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omments16.xml" ContentType="application/vnd.openxmlformats-officedocument.spreadsheetml.comments+xml"/>
  <Override PartName="/xl/drawings/drawing27.xml" ContentType="application/vnd.openxmlformats-officedocument.drawing+xml"/>
  <Override PartName="/xl/comments17.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18.xml" ContentType="application/vnd.openxmlformats-officedocument.spreadsheetml.comments+xml"/>
  <Override PartName="/xl/drawings/drawing30.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31.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33.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4.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6.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7.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8.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4.xml" ContentType="application/vnd.openxmlformats-officedocument.spreadsheetml.comments+xml"/>
  <Override PartName="/xl/drawings/drawing51.xml" ContentType="application/vnd.openxmlformats-officedocument.drawing+xml"/>
  <Override PartName="/xl/comments25.xml" ContentType="application/vnd.openxmlformats-officedocument.spreadsheetml.comments+xml"/>
  <Override PartName="/xl/drawings/drawing52.xml" ContentType="application/vnd.openxmlformats-officedocument.drawing+xml"/>
  <Override PartName="/xl/comments26.xml" ContentType="application/vnd.openxmlformats-officedocument.spreadsheetml.comments+xml"/>
  <Override PartName="/xl/drawings/drawing53.xml" ContentType="application/vnd.openxmlformats-officedocument.drawing+xml"/>
  <Override PartName="/xl/comments27.xml" ContentType="application/vnd.openxmlformats-officedocument.spreadsheetml.comments+xml"/>
  <Override PartName="/xl/drawings/drawing54.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5.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6.xml" ContentType="application/vnd.openxmlformats-officedocument.drawing+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comments29.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harts/chart8.xml" ContentType="application/vnd.openxmlformats-officedocument.drawingml.chart+xml"/>
  <Override PartName="/xl/drawings/drawing61.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omments31.xml" ContentType="application/vnd.openxmlformats-officedocument.spreadsheetml.comments+xml"/>
  <Override PartName="/xl/drawings/drawing64.xml" ContentType="application/vnd.openxmlformats-officedocument.drawing+xml"/>
  <Override PartName="/xl/comments32.xml" ContentType="application/vnd.openxmlformats-officedocument.spreadsheetml.comments+xml"/>
  <Override PartName="/xl/drawings/drawing65.xml" ContentType="application/vnd.openxmlformats-officedocument.drawing+xml"/>
  <Override PartName="/xl/comments33.xml" ContentType="application/vnd.openxmlformats-officedocument.spreadsheetml.comments+xml"/>
  <Override PartName="/xl/drawings/drawing66.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7.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8.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9.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70.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71.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72.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3.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4.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omments35.xml" ContentType="application/vnd.openxmlformats-officedocument.spreadsheetml.comments+xml"/>
  <Override PartName="/xl/drawings/drawing86.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36.xml" ContentType="application/vnd.openxmlformats-officedocument.spreadsheetml.comments+xml"/>
  <Override PartName="/xl/drawings/drawing8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7.xml" ContentType="application/vnd.openxmlformats-officedocument.spreadsheetml.comments+xml"/>
  <Override PartName="/xl/drawings/drawing8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38.xml" ContentType="application/vnd.openxmlformats-officedocument.spreadsheetml.comments+xml"/>
  <Override PartName="/xl/drawings/drawing89.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bk.bwl.net\LEL\Public\Abteilung2\PRODUKTE\Kalkulationsdaten\Pflanzenbau\Marktfrüchte\2022\aktuelle Internetversion\"/>
    </mc:Choice>
  </mc:AlternateContent>
  <bookViews>
    <workbookView xWindow="0" yWindow="0" windowWidth="28800" windowHeight="12705"/>
  </bookViews>
  <sheets>
    <sheet name="Inhalt" sheetId="4" r:id="rId1"/>
    <sheet name="Hinw" sheetId="5" r:id="rId2"/>
    <sheet name="E1" sheetId="6" r:id="rId3"/>
    <sheet name="E2" sheetId="7" r:id="rId4"/>
    <sheet name="EK1" sheetId="8" r:id="rId5"/>
    <sheet name="EK2" sheetId="10" r:id="rId6"/>
    <sheet name="EÖ1" sheetId="57" r:id="rId7"/>
    <sheet name="EÖ2" sheetId="58" r:id="rId8"/>
    <sheet name="SDK1" sheetId="12" r:id="rId9"/>
    <sheet name="Erträge_2-J" sheetId="92" state="hidden" r:id="rId10"/>
    <sheet name="Erträge_3-J" sheetId="93" state="hidden" r:id="rId11"/>
    <sheet name="Erträge_4-J" sheetId="94" state="hidden" r:id="rId12"/>
    <sheet name="Erträge_5-J" sheetId="95" state="hidden" r:id="rId13"/>
    <sheet name="Preiskalkulation_Biomasse" sheetId="96" state="hidden" r:id="rId14"/>
    <sheet name="Maschinenauslastung" sheetId="97" state="hidden" r:id="rId15"/>
    <sheet name="SDÖ1" sheetId="60" r:id="rId16"/>
    <sheet name="SD2" sheetId="13" r:id="rId17"/>
    <sheet name="SDK3" sheetId="14" r:id="rId18"/>
    <sheet name="SDÖ3" sheetId="62" r:id="rId19"/>
    <sheet name="SDK4" sheetId="15" r:id="rId20"/>
    <sheet name="SDÖ4" sheetId="63" r:id="rId21"/>
    <sheet name="SDK5" sheetId="16" r:id="rId22"/>
    <sheet name="SDÖ5" sheetId="65" r:id="rId23"/>
    <sheet name="SD6" sheetId="17" r:id="rId24"/>
    <sheet name="SDÖ7" sheetId="67" r:id="rId25"/>
    <sheet name="SDK7" sheetId="18" r:id="rId26"/>
    <sheet name="SD8" sheetId="19" r:id="rId27"/>
    <sheet name="Betriebsübersicht" sheetId="99" state="hidden" r:id="rId28"/>
    <sheet name="Kostenrechnung" sheetId="20" r:id="rId29"/>
    <sheet name="Daten" sheetId="21" r:id="rId30"/>
    <sheet name="WW1" sheetId="22" r:id="rId31"/>
    <sheet name="WW2" sheetId="23" r:id="rId32"/>
    <sheet name="WRo" sheetId="26" r:id="rId33"/>
    <sheet name="Tr" sheetId="27" r:id="rId34"/>
    <sheet name="WG" sheetId="28" r:id="rId35"/>
    <sheet name="Di" sheetId="29" r:id="rId36"/>
    <sheet name="SW" sheetId="30" r:id="rId37"/>
    <sheet name="SG-Fu" sheetId="31" r:id="rId38"/>
    <sheet name="BG" sheetId="32" r:id="rId39"/>
    <sheet name="Ha" sheetId="33" r:id="rId40"/>
    <sheet name="KöM" sheetId="35" r:id="rId41"/>
    <sheet name="Du" sheetId="34" r:id="rId42"/>
    <sheet name="KH" sheetId="36" r:id="rId43"/>
    <sheet name="WR" sheetId="37" r:id="rId44"/>
    <sheet name="SR" sheetId="38" r:id="rId45"/>
    <sheet name="Soja" sheetId="40" r:id="rId46"/>
    <sheet name="Öl" sheetId="41" r:id="rId47"/>
    <sheet name="FE" sheetId="42" r:id="rId48"/>
    <sheet name="AB" sheetId="43" r:id="rId49"/>
    <sheet name="Lu" sheetId="44" r:id="rId50"/>
    <sheet name="ZR" sheetId="45" r:id="rId51"/>
    <sheet name="FrühKa" sheetId="46" r:id="rId52"/>
    <sheet name="FrühKaFolieBer" sheetId="47" r:id="rId53"/>
    <sheet name="SpKa" sheetId="48" r:id="rId54"/>
    <sheet name="SpKaBer" sheetId="49" r:id="rId55"/>
    <sheet name="WW3" sheetId="24" r:id="rId56"/>
    <sheet name="WW4" sheetId="25" r:id="rId57"/>
    <sheet name="SoBl" sheetId="39" r:id="rId58"/>
    <sheet name="FAKT-Brachebegrünung" sheetId="50" r:id="rId59"/>
    <sheet name="Begr" sheetId="51" r:id="rId60"/>
    <sheet name="Kultur A" sheetId="107" r:id="rId61"/>
    <sheet name="Grafik1-DB" sheetId="100" state="hidden" r:id="rId62"/>
    <sheet name="Öko-KG1" sheetId="70" r:id="rId63"/>
    <sheet name="Öko-KG2" sheetId="71" r:id="rId64"/>
    <sheet name="Öko-LU1" sheetId="72" r:id="rId65"/>
    <sheet name="Öko-LU2" sheetId="73" r:id="rId66"/>
    <sheet name="Öko-WW-Brot" sheetId="75" r:id="rId67"/>
    <sheet name="Öko-WW-Futter" sheetId="74" r:id="rId68"/>
    <sheet name="Öko-Dinkel" sheetId="76" r:id="rId69"/>
    <sheet name="Öko-Dinkel,gegerbt" sheetId="77" r:id="rId70"/>
    <sheet name="Öko-Roggen" sheetId="78" r:id="rId71"/>
    <sheet name="Öko-Hafer" sheetId="79" r:id="rId72"/>
    <sheet name="Öko-Wintergerste" sheetId="109" r:id="rId73"/>
    <sheet name="Öko-Braugerste" sheetId="80" r:id="rId74"/>
    <sheet name="Öko-Körnermais" sheetId="81" r:id="rId75"/>
    <sheet name="Öko-Ackerbohnen" sheetId="82" r:id="rId76"/>
    <sheet name="Öko-Erbsen" sheetId="83" r:id="rId77"/>
    <sheet name="Öko-Sojabohnen" sheetId="84" r:id="rId78"/>
    <sheet name="Öko-Soblu" sheetId="86" r:id="rId79"/>
    <sheet name="Öko-Kartoffel" sheetId="87" r:id="rId80"/>
    <sheet name="Linsen" sheetId="101" state="hidden" r:id="rId81"/>
    <sheet name="Öko-Raps" sheetId="85" r:id="rId82"/>
    <sheet name="TE1" sheetId="91" r:id="rId83"/>
    <sheet name="Blühm." sheetId="89" r:id="rId84"/>
    <sheet name="Tabelle1" sheetId="110" r:id="rId85"/>
    <sheet name="Begrün." sheetId="90" r:id="rId86"/>
    <sheet name="TE5" sheetId="102" state="hidden" r:id="rId87"/>
    <sheet name="TE6" sheetId="103" state="hidden" r:id="rId88"/>
    <sheet name="TE7" sheetId="104" state="hidden" r:id="rId89"/>
    <sheet name="TE8" sheetId="105" state="hidden" r:id="rId90"/>
    <sheet name="TE9" sheetId="106" state="hidden" r:id="rId91"/>
  </sheets>
  <definedNames>
    <definedName name="_xlnm._FilterDatabase" localSheetId="2" hidden="1">'E1'!$B$12:$B$64</definedName>
    <definedName name="_xlnm._FilterDatabase" localSheetId="21" hidden="1">'SDK5'!$B$4:$AC$104</definedName>
    <definedName name="_xlnm._FilterDatabase" localSheetId="22" hidden="1">SDÖ5!$B$5:$U$19</definedName>
    <definedName name="a">'Öko-Körnermais'!$O$19:$O$21</definedName>
    <definedName name="_xlnm.Print_Area" localSheetId="48">AB!$B$2:$P$75</definedName>
    <definedName name="_xlnm.Print_Area" localSheetId="59">Begr!$B$2:$P$75</definedName>
    <definedName name="_xlnm.Print_Area" localSheetId="85">Begrün.!$B$2:$P$71</definedName>
    <definedName name="_xlnm.Print_Area" localSheetId="38">BG!$B$2:$P$75</definedName>
    <definedName name="_xlnm.Print_Area" localSheetId="83">Blühm.!$B$2:$P$71</definedName>
    <definedName name="_xlnm.Print_Area" localSheetId="29">Daten!$B$2:$CR$61</definedName>
    <definedName name="_xlnm.Print_Area" localSheetId="35">Di!$B$2:$P$75</definedName>
    <definedName name="_xlnm.Print_Area" localSheetId="41">Du!$B$2:$P$75</definedName>
    <definedName name="_xlnm.Print_Area" localSheetId="2">'E1'!$C$2:$K$43</definedName>
    <definedName name="_xlnm.Print_Area" localSheetId="3">'E2'!$B$2:$L$41</definedName>
    <definedName name="_xlnm.Print_Area" localSheetId="4">'EK1'!$B$2:$J$24</definedName>
    <definedName name="_xlnm.Print_Area" localSheetId="5">'EK2'!$B$2:$J$25</definedName>
    <definedName name="_xlnm.Print_Area" localSheetId="6">EÖ1!$B$3:$S$43</definedName>
    <definedName name="_xlnm.Print_Area" localSheetId="7">EÖ2!$B$3:$L$46</definedName>
    <definedName name="_xlnm.Print_Area" localSheetId="58">'FAKT-Brachebegrünung'!$B$2:$P$75</definedName>
    <definedName name="_xlnm.Print_Area" localSheetId="47">FE!$B$2:$P$75</definedName>
    <definedName name="_xlnm.Print_Area" localSheetId="51">FrühKa!$B$2:$P$75</definedName>
    <definedName name="_xlnm.Print_Area" localSheetId="52">FrühKaFolieBer!$B$2:$P$75</definedName>
    <definedName name="_xlnm.Print_Area" localSheetId="61">'Grafik1-DB'!$B$2:$L$79</definedName>
    <definedName name="_xlnm.Print_Area" localSheetId="39">Ha!$B$2:$P$75</definedName>
    <definedName name="_xlnm.Print_Area" localSheetId="1">Hinw!$B$1:$Q$65</definedName>
    <definedName name="_xlnm.Print_Area" localSheetId="0">Inhalt!$B$2:$F$90</definedName>
    <definedName name="_xlnm.Print_Area" localSheetId="42">KH!$B$2:$P$75</definedName>
    <definedName name="_xlnm.Print_Area" localSheetId="40">KöM!$B$2:$P$75</definedName>
    <definedName name="_xlnm.Print_Area" localSheetId="28">Kostenrechnung!$B$2:$N$78,Kostenrechnung!$B$113:$N$137,Kostenrechnung!$B$139:$N$184</definedName>
    <definedName name="_xlnm.Print_Area" localSheetId="60">'Kultur A'!$B$2:$P$75</definedName>
    <definedName name="_xlnm.Print_Area" localSheetId="80">Linsen!$B$2:$P$76</definedName>
    <definedName name="_xlnm.Print_Area" localSheetId="49">Lu!$B$2:$P$75</definedName>
    <definedName name="_xlnm.Print_Area" localSheetId="75">'Öko-Ackerbohnen'!$B$2:$P$71</definedName>
    <definedName name="_xlnm.Print_Area" localSheetId="73">'Öko-Braugerste'!$B$2:$P$71</definedName>
    <definedName name="_xlnm.Print_Area" localSheetId="68">'Öko-Dinkel'!$B$2:$P$71</definedName>
    <definedName name="_xlnm.Print_Area" localSheetId="69">'Öko-Dinkel,gegerbt'!$B$2:$P$71</definedName>
    <definedName name="_xlnm.Print_Area" localSheetId="76">'Öko-Erbsen'!$B$2:$P$71</definedName>
    <definedName name="_xlnm.Print_Area" localSheetId="71">'Öko-Hafer'!$B$2:$P$71</definedName>
    <definedName name="_xlnm.Print_Area" localSheetId="79">'Öko-Kartoffel'!$B$2:$P$71</definedName>
    <definedName name="_xlnm.Print_Area" localSheetId="62">'Öko-KG1'!$B$2:$P$72</definedName>
    <definedName name="_xlnm.Print_Area" localSheetId="63">'Öko-KG2'!$B$2:$P$71</definedName>
    <definedName name="_xlnm.Print_Area" localSheetId="74">'Öko-Körnermais'!$B$2:$P$71</definedName>
    <definedName name="_xlnm.Print_Area" localSheetId="64">'Öko-LU1'!$B$2:$P$71</definedName>
    <definedName name="_xlnm.Print_Area" localSheetId="65">'Öko-LU2'!$B$2:$P$71</definedName>
    <definedName name="_xlnm.Print_Area" localSheetId="81">'Öko-Raps'!$B$2:$P$71</definedName>
    <definedName name="_xlnm.Print_Area" localSheetId="70">'Öko-Roggen'!$B$2:$P$71</definedName>
    <definedName name="_xlnm.Print_Area" localSheetId="78">'Öko-Soblu'!$B$2:$P$71</definedName>
    <definedName name="_xlnm.Print_Area" localSheetId="77">'Öko-Sojabohnen'!$B$2:$P$71</definedName>
    <definedName name="_xlnm.Print_Area" localSheetId="72">'Öko-Wintergerste'!$B$2:$P$71</definedName>
    <definedName name="_xlnm.Print_Area" localSheetId="66">'Öko-WW-Brot'!$B$2:$P$71</definedName>
    <definedName name="_xlnm.Print_Area" localSheetId="67">'Öko-WW-Futter'!$B$2:$P$72</definedName>
    <definedName name="_xlnm.Print_Area" localSheetId="46">Öl!$B$2:$P$75</definedName>
    <definedName name="_xlnm.Print_Area" localSheetId="13">Preiskalkulation_Biomasse!$A$1:$U$111</definedName>
    <definedName name="_xlnm.Print_Area" localSheetId="16">'SD2'!$A$1:$N$80</definedName>
    <definedName name="_xlnm.Print_Area" localSheetId="23">'SD6'!$B$2:$N$87</definedName>
    <definedName name="_xlnm.Print_Area" localSheetId="26">'SD8'!$B$2:$I$60</definedName>
    <definedName name="_xlnm.Print_Area" localSheetId="8">'SDK1'!$B$2:$O$65</definedName>
    <definedName name="_xlnm.Print_Area" localSheetId="17">'SDK3'!$B$5:$O$92,'SDK3'!$B$94:$O$123</definedName>
    <definedName name="_xlnm.Print_Area" localSheetId="19">'SDK4'!$B$2:$N$55</definedName>
    <definedName name="_xlnm.Print_Area" localSheetId="21">'SDK5'!$AP$2:$BC$55</definedName>
    <definedName name="_xlnm.Print_Area" localSheetId="25">'SDK7'!$C$2:$O$190</definedName>
    <definedName name="_xlnm.Print_Area" localSheetId="15">SDÖ1!$B$1:$AD$81</definedName>
    <definedName name="_xlnm.Print_Area" localSheetId="18">SDÖ3!$B$2:$N$164</definedName>
    <definedName name="_xlnm.Print_Area" localSheetId="20">SDÖ4!$B$2:$O$60</definedName>
    <definedName name="_xlnm.Print_Area" localSheetId="22">SDÖ5!$C$3:$O$43</definedName>
    <definedName name="_xlnm.Print_Area" localSheetId="24">SDÖ7!$C$2:$O$141</definedName>
    <definedName name="_xlnm.Print_Area" localSheetId="37">'SG-Fu'!$B$2:$P$75</definedName>
    <definedName name="_xlnm.Print_Area" localSheetId="57">SoBl!$B$2:$P$75</definedName>
    <definedName name="_xlnm.Print_Area" localSheetId="45">Soja!$B$2:$P$75</definedName>
    <definedName name="_xlnm.Print_Area" localSheetId="53">SpKa!$B$2:$P$75</definedName>
    <definedName name="_xlnm.Print_Area" localSheetId="54">SpKaBer!$B$2:$P$75</definedName>
    <definedName name="_xlnm.Print_Area" localSheetId="44">SR!$B$2:$P$75</definedName>
    <definedName name="_xlnm.Print_Area" localSheetId="36">SW!$B$2:$P$75</definedName>
    <definedName name="_xlnm.Print_Area" localSheetId="82">'TE1'!$B$2:$P$71</definedName>
    <definedName name="_xlnm.Print_Area" localSheetId="86">'TE5'!$B$2:$P$76</definedName>
    <definedName name="_xlnm.Print_Area" localSheetId="87">'TE6'!$B$2:$P$76</definedName>
    <definedName name="_xlnm.Print_Area" localSheetId="88">'TE7'!$B$2:$P$76</definedName>
    <definedName name="_xlnm.Print_Area" localSheetId="89">'TE8'!$B$2:$P$76</definedName>
    <definedName name="_xlnm.Print_Area" localSheetId="90">'TE9'!$B$2:$P$76</definedName>
    <definedName name="_xlnm.Print_Area" localSheetId="33">Tr!$B$2:$P$75</definedName>
    <definedName name="_xlnm.Print_Area" localSheetId="34">WG!$B$2:$P$75</definedName>
    <definedName name="_xlnm.Print_Area" localSheetId="43">WR!$B$2:$P$75</definedName>
    <definedName name="_xlnm.Print_Area" localSheetId="32">WRo!$B$2:$P$75</definedName>
    <definedName name="_xlnm.Print_Area" localSheetId="30">'WW1'!$B$2:$P$76</definedName>
    <definedName name="_xlnm.Print_Area" localSheetId="31">'WW2'!$B$2:$P$75</definedName>
    <definedName name="_xlnm.Print_Area" localSheetId="55">'WW3'!$B$2:$P$75</definedName>
    <definedName name="_xlnm.Print_Area" localSheetId="56">'WW4'!$B$2:$P$75</definedName>
    <definedName name="_xlnm.Print_Area" localSheetId="50">ZR!$B$2:$P$75</definedName>
    <definedName name="_xlnm.Print_Titles" localSheetId="29">Daten!$B:$C,Daten!$2:$4</definedName>
    <definedName name="_xlnm.Print_Titles" localSheetId="13">Preiskalkulation_Biomasse!$1:$22</definedName>
    <definedName name="_xlnm.Print_Titles" localSheetId="16">'SD2'!$2:$3</definedName>
    <definedName name="_xlnm.Print_Titles" localSheetId="23">'SD6'!$2:$7</definedName>
    <definedName name="_xlnm.Print_Titles" localSheetId="17">'SDK3'!$2:$4</definedName>
    <definedName name="_xlnm.Print_Titles" localSheetId="25">'SDK7'!$2:$2</definedName>
    <definedName name="_xlnm.Print_Titles" localSheetId="18">SDÖ3!$2:$3</definedName>
    <definedName name="_xlnm.Print_Titles" localSheetId="24">SDÖ7!$2:$2</definedName>
    <definedName name="Saatbettkombination_4_5_m">'Öko-KG1'!$C$47</definedName>
    <definedName name="Wintergetreide" localSheetId="15">'Öko-KG1'!$E$67</definedName>
    <definedName name="Winterroggen___Brot">EÖ1!$I$8</definedName>
    <definedName name="Z_166CD656_4839_4ED4_9CB3_D994CFB3310C_.wvu.Cols" localSheetId="2" hidden="1">'E1'!$F:$F,'E1'!$I:$I</definedName>
    <definedName name="Z_166CD656_4839_4ED4_9CB3_D994CFB3310C_.wvu.Cols" localSheetId="0" hidden="1">Inhalt!$H:$I</definedName>
    <definedName name="Z_166CD656_4839_4ED4_9CB3_D994CFB3310C_.wvu.Cols" localSheetId="13" hidden="1">Preiskalkulation_Biomasse!$AB:$AB</definedName>
    <definedName name="Z_166CD656_4839_4ED4_9CB3_D994CFB3310C_.wvu.Cols" localSheetId="23" hidden="1">'SD6'!#REF!</definedName>
    <definedName name="Z_166CD656_4839_4ED4_9CB3_D994CFB3310C_.wvu.Cols" localSheetId="26" hidden="1">'SD8'!$C:$C</definedName>
    <definedName name="Z_166CD656_4839_4ED4_9CB3_D994CFB3310C_.wvu.Cols" localSheetId="17" hidden="1">'SDK3'!$R:$R</definedName>
    <definedName name="Z_166CD656_4839_4ED4_9CB3_D994CFB3310C_.wvu.Cols" localSheetId="21" hidden="1">'SDK5'!$P:$P</definedName>
    <definedName name="Z_166CD656_4839_4ED4_9CB3_D994CFB3310C_.wvu.FilterData" localSheetId="2" hidden="1">'E1'!$B$12:$B$43</definedName>
    <definedName name="Z_166CD656_4839_4ED4_9CB3_D994CFB3310C_.wvu.FilterData" localSheetId="21" hidden="1">'SDK5'!$B$4:$AC$86</definedName>
    <definedName name="Z_166CD656_4839_4ED4_9CB3_D994CFB3310C_.wvu.PrintArea" localSheetId="48" hidden="1">AB!$B$2:$P$75</definedName>
    <definedName name="Z_166CD656_4839_4ED4_9CB3_D994CFB3310C_.wvu.PrintArea" localSheetId="59" hidden="1">Begr!$B$2:$P$75</definedName>
    <definedName name="Z_166CD656_4839_4ED4_9CB3_D994CFB3310C_.wvu.PrintArea" localSheetId="38" hidden="1">BG!$B$2:$P$75</definedName>
    <definedName name="Z_166CD656_4839_4ED4_9CB3_D994CFB3310C_.wvu.PrintArea" localSheetId="35" hidden="1">Di!$B$2:$P$75</definedName>
    <definedName name="Z_166CD656_4839_4ED4_9CB3_D994CFB3310C_.wvu.PrintArea" localSheetId="41" hidden="1">Du!$B$2:$P$75</definedName>
    <definedName name="Z_166CD656_4839_4ED4_9CB3_D994CFB3310C_.wvu.PrintArea" localSheetId="2" hidden="1">'E1'!$C$2:$K$43</definedName>
    <definedName name="Z_166CD656_4839_4ED4_9CB3_D994CFB3310C_.wvu.PrintArea" localSheetId="3" hidden="1">'E2'!$B$2:$L$41</definedName>
    <definedName name="Z_166CD656_4839_4ED4_9CB3_D994CFB3310C_.wvu.PrintArea" localSheetId="4" hidden="1">'EK1'!$B$2:$J$24</definedName>
    <definedName name="Z_166CD656_4839_4ED4_9CB3_D994CFB3310C_.wvu.PrintArea" localSheetId="5" hidden="1">'EK2'!$B$2:$J$25</definedName>
    <definedName name="Z_166CD656_4839_4ED4_9CB3_D994CFB3310C_.wvu.PrintArea" localSheetId="58" hidden="1">'FAKT-Brachebegrünung'!$B$2:$P$75</definedName>
    <definedName name="Z_166CD656_4839_4ED4_9CB3_D994CFB3310C_.wvu.PrintArea" localSheetId="47" hidden="1">FE!$B$2:$P$75</definedName>
    <definedName name="Z_166CD656_4839_4ED4_9CB3_D994CFB3310C_.wvu.PrintArea" localSheetId="51" hidden="1">FrühKa!$B$2:$P$75</definedName>
    <definedName name="Z_166CD656_4839_4ED4_9CB3_D994CFB3310C_.wvu.PrintArea" localSheetId="52" hidden="1">FrühKaFolieBer!$B$2:$P$75</definedName>
    <definedName name="Z_166CD656_4839_4ED4_9CB3_D994CFB3310C_.wvu.PrintArea" localSheetId="39" hidden="1">Ha!$B$2:$P$75</definedName>
    <definedName name="Z_166CD656_4839_4ED4_9CB3_D994CFB3310C_.wvu.PrintArea" localSheetId="1" hidden="1">Hinw!$B$1:$Q$65</definedName>
    <definedName name="Z_166CD656_4839_4ED4_9CB3_D994CFB3310C_.wvu.PrintArea" localSheetId="0" hidden="1">Inhalt!$B$2:$F$90</definedName>
    <definedName name="Z_166CD656_4839_4ED4_9CB3_D994CFB3310C_.wvu.PrintArea" localSheetId="42" hidden="1">KH!$B$2:$P$75</definedName>
    <definedName name="Z_166CD656_4839_4ED4_9CB3_D994CFB3310C_.wvu.PrintArea" localSheetId="40" hidden="1">KöM!$B$2:$P$75</definedName>
    <definedName name="Z_166CD656_4839_4ED4_9CB3_D994CFB3310C_.wvu.PrintArea" localSheetId="60" hidden="1">'Kultur A'!$B$2:$P$75</definedName>
    <definedName name="Z_166CD656_4839_4ED4_9CB3_D994CFB3310C_.wvu.PrintArea" localSheetId="49" hidden="1">Lu!$B$2:$P$75</definedName>
    <definedName name="Z_166CD656_4839_4ED4_9CB3_D994CFB3310C_.wvu.PrintArea" localSheetId="46" hidden="1">Öl!$B$2:$P$75</definedName>
    <definedName name="Z_166CD656_4839_4ED4_9CB3_D994CFB3310C_.wvu.PrintArea" localSheetId="13" hidden="1">Preiskalkulation_Biomasse!$A$1:$U$111</definedName>
    <definedName name="Z_166CD656_4839_4ED4_9CB3_D994CFB3310C_.wvu.PrintArea" localSheetId="16" hidden="1">'SD2'!$A$1:$N$80</definedName>
    <definedName name="Z_166CD656_4839_4ED4_9CB3_D994CFB3310C_.wvu.PrintArea" localSheetId="23" hidden="1">'SD6'!$B$2:$N$87</definedName>
    <definedName name="Z_166CD656_4839_4ED4_9CB3_D994CFB3310C_.wvu.PrintArea" localSheetId="26" hidden="1">'SD8'!$B$2:$I$60</definedName>
    <definedName name="Z_166CD656_4839_4ED4_9CB3_D994CFB3310C_.wvu.PrintArea" localSheetId="8" hidden="1">'SDK1'!$B$2:$O$65</definedName>
    <definedName name="Z_166CD656_4839_4ED4_9CB3_D994CFB3310C_.wvu.PrintArea" localSheetId="17" hidden="1">'SDK3'!$B$5:$O$92,'SDK3'!$B$94:$O$123</definedName>
    <definedName name="Z_166CD656_4839_4ED4_9CB3_D994CFB3310C_.wvu.PrintArea" localSheetId="19" hidden="1">'SDK4'!$B$2:$N$55</definedName>
    <definedName name="Z_166CD656_4839_4ED4_9CB3_D994CFB3310C_.wvu.PrintArea" localSheetId="21" hidden="1">'SDK5'!$AP$2:$BC$55</definedName>
    <definedName name="Z_166CD656_4839_4ED4_9CB3_D994CFB3310C_.wvu.PrintArea" localSheetId="25" hidden="1">'SDK7'!$C$2:$O$190</definedName>
    <definedName name="Z_166CD656_4839_4ED4_9CB3_D994CFB3310C_.wvu.PrintArea" localSheetId="37" hidden="1">'SG-Fu'!$B$2:$P$75</definedName>
    <definedName name="Z_166CD656_4839_4ED4_9CB3_D994CFB3310C_.wvu.PrintArea" localSheetId="57" hidden="1">SoBl!$B$2:$P$75</definedName>
    <definedName name="Z_166CD656_4839_4ED4_9CB3_D994CFB3310C_.wvu.PrintArea" localSheetId="45" hidden="1">Soja!$B$2:$P$75</definedName>
    <definedName name="Z_166CD656_4839_4ED4_9CB3_D994CFB3310C_.wvu.PrintArea" localSheetId="53" hidden="1">SpKa!$B$2:$P$75</definedName>
    <definedName name="Z_166CD656_4839_4ED4_9CB3_D994CFB3310C_.wvu.PrintArea" localSheetId="54" hidden="1">SpKaBer!$B$2:$P$75</definedName>
    <definedName name="Z_166CD656_4839_4ED4_9CB3_D994CFB3310C_.wvu.PrintArea" localSheetId="44" hidden="1">SR!$B$2:$P$75</definedName>
    <definedName name="Z_166CD656_4839_4ED4_9CB3_D994CFB3310C_.wvu.PrintArea" localSheetId="36" hidden="1">SW!$B$2:$P$75</definedName>
    <definedName name="Z_166CD656_4839_4ED4_9CB3_D994CFB3310C_.wvu.PrintArea" localSheetId="33" hidden="1">Tr!$B$2:$P$75</definedName>
    <definedName name="Z_166CD656_4839_4ED4_9CB3_D994CFB3310C_.wvu.PrintArea" localSheetId="34" hidden="1">WG!$B$2:$P$75</definedName>
    <definedName name="Z_166CD656_4839_4ED4_9CB3_D994CFB3310C_.wvu.PrintArea" localSheetId="43" hidden="1">WR!$B$2:$P$75</definedName>
    <definedName name="Z_166CD656_4839_4ED4_9CB3_D994CFB3310C_.wvu.PrintArea" localSheetId="32" hidden="1">WRo!$B$2:$P$75</definedName>
    <definedName name="Z_166CD656_4839_4ED4_9CB3_D994CFB3310C_.wvu.PrintArea" localSheetId="30" hidden="1">'WW1'!$B$2:$P$76</definedName>
    <definedName name="Z_166CD656_4839_4ED4_9CB3_D994CFB3310C_.wvu.PrintArea" localSheetId="31" hidden="1">'WW2'!$B$2:$P$75</definedName>
    <definedName name="Z_166CD656_4839_4ED4_9CB3_D994CFB3310C_.wvu.PrintArea" localSheetId="55" hidden="1">'WW3'!$B$2:$P$75</definedName>
    <definedName name="Z_166CD656_4839_4ED4_9CB3_D994CFB3310C_.wvu.PrintArea" localSheetId="56" hidden="1">'WW4'!$B$2:$P$75</definedName>
    <definedName name="Z_166CD656_4839_4ED4_9CB3_D994CFB3310C_.wvu.PrintArea" localSheetId="50" hidden="1">ZR!$B$2:$P$75</definedName>
    <definedName name="Z_166CD656_4839_4ED4_9CB3_D994CFB3310C_.wvu.PrintTitles" localSheetId="13" hidden="1">Preiskalkulation_Biomasse!$1:$22</definedName>
    <definedName name="Z_166CD656_4839_4ED4_9CB3_D994CFB3310C_.wvu.PrintTitles" localSheetId="16" hidden="1">'SD2'!$2:$3</definedName>
    <definedName name="Z_166CD656_4839_4ED4_9CB3_D994CFB3310C_.wvu.PrintTitles" localSheetId="23" hidden="1">'SD6'!$2:$7</definedName>
    <definedName name="Z_166CD656_4839_4ED4_9CB3_D994CFB3310C_.wvu.PrintTitles" localSheetId="17" hidden="1">'SDK3'!$2:$4</definedName>
    <definedName name="Z_166CD656_4839_4ED4_9CB3_D994CFB3310C_.wvu.PrintTitles" localSheetId="25" hidden="1">'SDK7'!$2:$2</definedName>
    <definedName name="Z_166CD656_4839_4ED4_9CB3_D994CFB3310C_.wvu.Rows" localSheetId="48" hidden="1">AB!#REF!</definedName>
    <definedName name="Z_166CD656_4839_4ED4_9CB3_D994CFB3310C_.wvu.Rows" localSheetId="59" hidden="1">Begr!$11:$12,Begr!#REF!</definedName>
    <definedName name="Z_166CD656_4839_4ED4_9CB3_D994CFB3310C_.wvu.Rows" localSheetId="38" hidden="1">BG!#REF!</definedName>
    <definedName name="Z_166CD656_4839_4ED4_9CB3_D994CFB3310C_.wvu.Rows" localSheetId="35" hidden="1">Di!#REF!</definedName>
    <definedName name="Z_166CD656_4839_4ED4_9CB3_D994CFB3310C_.wvu.Rows" localSheetId="41" hidden="1">Du!#REF!</definedName>
    <definedName name="Z_166CD656_4839_4ED4_9CB3_D994CFB3310C_.wvu.Rows" localSheetId="4" hidden="1">'EK1'!$23:$24</definedName>
    <definedName name="Z_166CD656_4839_4ED4_9CB3_D994CFB3310C_.wvu.Rows" localSheetId="5" hidden="1">'EK2'!$23:$24</definedName>
    <definedName name="Z_166CD656_4839_4ED4_9CB3_D994CFB3310C_.wvu.Rows" localSheetId="9" hidden="1">'Erträge_2-J'!$11:$12,'Erträge_2-J'!$18:$19,'Erträge_2-J'!$25:$28,'Erträge_2-J'!$33:$33,'Erträge_2-J'!$38:$40,'Erträge_2-J'!$45:$70</definedName>
    <definedName name="Z_166CD656_4839_4ED4_9CB3_D994CFB3310C_.wvu.Rows" localSheetId="10" hidden="1">'Erträge_3-J'!$11:$12,'Erträge_3-J'!$18:$19,'Erträge_3-J'!$25:$28,'Erträge_3-J'!$33:$33,'Erträge_3-J'!$38:$40,'Erträge_3-J'!$45:$70</definedName>
    <definedName name="Z_166CD656_4839_4ED4_9CB3_D994CFB3310C_.wvu.Rows" localSheetId="11" hidden="1">'Erträge_4-J'!$11:$12,'Erträge_4-J'!$18:$19,'Erträge_4-J'!$25:$28,'Erträge_4-J'!$33:$33,'Erträge_4-J'!$38:$40,'Erträge_4-J'!$45:$70</definedName>
    <definedName name="Z_166CD656_4839_4ED4_9CB3_D994CFB3310C_.wvu.Rows" localSheetId="12" hidden="1">'Erträge_5-J'!$11:$12,'Erträge_5-J'!$18:$19,'Erträge_5-J'!$33:$33,'Erträge_5-J'!$38:$40,'Erträge_5-J'!$45:$70</definedName>
    <definedName name="Z_166CD656_4839_4ED4_9CB3_D994CFB3310C_.wvu.Rows" localSheetId="58" hidden="1">'FAKT-Brachebegrünung'!$11:$12,'FAKT-Brachebegrünung'!#REF!</definedName>
    <definedName name="Z_166CD656_4839_4ED4_9CB3_D994CFB3310C_.wvu.Rows" localSheetId="47" hidden="1">FE!$11:$12,FE!#REF!</definedName>
    <definedName name="Z_166CD656_4839_4ED4_9CB3_D994CFB3310C_.wvu.Rows" localSheetId="51" hidden="1">FrühKa!$11:$12,FrühKa!#REF!</definedName>
    <definedName name="Z_166CD656_4839_4ED4_9CB3_D994CFB3310C_.wvu.Rows" localSheetId="52" hidden="1">FrühKaFolieBer!$11:$12,FrühKaFolieBer!#REF!</definedName>
    <definedName name="Z_166CD656_4839_4ED4_9CB3_D994CFB3310C_.wvu.Rows" localSheetId="39" hidden="1">Ha!#REF!</definedName>
    <definedName name="Z_166CD656_4839_4ED4_9CB3_D994CFB3310C_.wvu.Rows" localSheetId="0" hidden="1">Inhalt!$60:$60,Inhalt!$66:$67,Inhalt!$72:$83,Inhalt!$87:$87</definedName>
    <definedName name="Z_166CD656_4839_4ED4_9CB3_D994CFB3310C_.wvu.Rows" localSheetId="42" hidden="1">KH!$11:$12,KH!#REF!</definedName>
    <definedName name="Z_166CD656_4839_4ED4_9CB3_D994CFB3310C_.wvu.Rows" localSheetId="40" hidden="1">KöM!$11:$12,KöM!#REF!</definedName>
    <definedName name="Z_166CD656_4839_4ED4_9CB3_D994CFB3310C_.wvu.Rows" localSheetId="60" hidden="1">'Kultur A'!#REF!</definedName>
    <definedName name="Z_166CD656_4839_4ED4_9CB3_D994CFB3310C_.wvu.Rows" localSheetId="49" hidden="1">Lu!$11:$12,Lu!#REF!</definedName>
    <definedName name="Z_166CD656_4839_4ED4_9CB3_D994CFB3310C_.wvu.Rows" localSheetId="46" hidden="1">Öl!$11:$12,Öl!#REF!</definedName>
    <definedName name="Z_166CD656_4839_4ED4_9CB3_D994CFB3310C_.wvu.Rows" localSheetId="16" hidden="1">'SD2'!$89:$92</definedName>
    <definedName name="Z_166CD656_4839_4ED4_9CB3_D994CFB3310C_.wvu.Rows" localSheetId="26" hidden="1">'SD8'!$8:$8,'SD8'!$57:$57</definedName>
    <definedName name="Z_166CD656_4839_4ED4_9CB3_D994CFB3310C_.wvu.Rows" localSheetId="8" hidden="1">'SDK1'!#REF!,'SDK1'!#REF!,'SDK1'!#REF!,'SDK1'!$43:$44,'SDK1'!$62:$62</definedName>
    <definedName name="Z_166CD656_4839_4ED4_9CB3_D994CFB3310C_.wvu.Rows" localSheetId="17" hidden="1">'SDK3'!$97:$97,'SDK3'!$106:$108</definedName>
    <definedName name="Z_166CD656_4839_4ED4_9CB3_D994CFB3310C_.wvu.Rows" localSheetId="19" hidden="1">'SDK4'!$19:$32</definedName>
    <definedName name="Z_166CD656_4839_4ED4_9CB3_D994CFB3310C_.wvu.Rows" localSheetId="25" hidden="1">'SDK7'!$117:$175,'SDK7'!$246:$253</definedName>
    <definedName name="Z_166CD656_4839_4ED4_9CB3_D994CFB3310C_.wvu.Rows" localSheetId="37" hidden="1">'SG-Fu'!#REF!</definedName>
    <definedName name="Z_166CD656_4839_4ED4_9CB3_D994CFB3310C_.wvu.Rows" localSheetId="57" hidden="1">SoBl!$11:$12,SoBl!#REF!</definedName>
    <definedName name="Z_166CD656_4839_4ED4_9CB3_D994CFB3310C_.wvu.Rows" localSheetId="45" hidden="1">Soja!$11:$12,Soja!#REF!</definedName>
    <definedName name="Z_166CD656_4839_4ED4_9CB3_D994CFB3310C_.wvu.Rows" localSheetId="53" hidden="1">SpKa!$11:$12,SpKa!#REF!</definedName>
    <definedName name="Z_166CD656_4839_4ED4_9CB3_D994CFB3310C_.wvu.Rows" localSheetId="54" hidden="1">SpKaBer!$11:$12,SpKaBer!#REF!</definedName>
    <definedName name="Z_166CD656_4839_4ED4_9CB3_D994CFB3310C_.wvu.Rows" localSheetId="44" hidden="1">SR!$11:$12,SR!#REF!</definedName>
    <definedName name="Z_166CD656_4839_4ED4_9CB3_D994CFB3310C_.wvu.Rows" localSheetId="36" hidden="1">SW!#REF!</definedName>
    <definedName name="Z_166CD656_4839_4ED4_9CB3_D994CFB3310C_.wvu.Rows" localSheetId="33" hidden="1">Tr!#REF!</definedName>
    <definedName name="Z_166CD656_4839_4ED4_9CB3_D994CFB3310C_.wvu.Rows" localSheetId="34" hidden="1">WG!#REF!</definedName>
    <definedName name="Z_166CD656_4839_4ED4_9CB3_D994CFB3310C_.wvu.Rows" localSheetId="43" hidden="1">WR!$11:$12,WR!#REF!</definedName>
    <definedName name="Z_166CD656_4839_4ED4_9CB3_D994CFB3310C_.wvu.Rows" localSheetId="32" hidden="1">WRo!#REF!</definedName>
    <definedName name="Z_166CD656_4839_4ED4_9CB3_D994CFB3310C_.wvu.Rows" localSheetId="30" hidden="1">'WW1'!#REF!</definedName>
    <definedName name="Z_166CD656_4839_4ED4_9CB3_D994CFB3310C_.wvu.Rows" localSheetId="31" hidden="1">'WW2'!#REF!</definedName>
    <definedName name="Z_166CD656_4839_4ED4_9CB3_D994CFB3310C_.wvu.Rows" localSheetId="55" hidden="1">'WW3'!#REF!</definedName>
    <definedName name="Z_166CD656_4839_4ED4_9CB3_D994CFB3310C_.wvu.Rows" localSheetId="56" hidden="1">'WW4'!#REF!</definedName>
    <definedName name="Z_166CD656_4839_4ED4_9CB3_D994CFB3310C_.wvu.Rows" localSheetId="50" hidden="1">ZR!$11:$12,ZR!#REF!</definedName>
    <definedName name="Z_93E81051_1F05_45AD_83CD_DAFA9258812A_.wvu.Cols" localSheetId="48" hidden="1">AB!$R:$T</definedName>
    <definedName name="Z_93E81051_1F05_45AD_83CD_DAFA9258812A_.wvu.Cols" localSheetId="59" hidden="1">Begr!$R:$T</definedName>
    <definedName name="Z_93E81051_1F05_45AD_83CD_DAFA9258812A_.wvu.Cols" localSheetId="85" hidden="1">Begrün.!$R:$T</definedName>
    <definedName name="Z_93E81051_1F05_45AD_83CD_DAFA9258812A_.wvu.Cols" localSheetId="38" hidden="1">BG!$R:$T</definedName>
    <definedName name="Z_93E81051_1F05_45AD_83CD_DAFA9258812A_.wvu.Cols" localSheetId="83" hidden="1">Blühm.!$R:$T</definedName>
    <definedName name="Z_93E81051_1F05_45AD_83CD_DAFA9258812A_.wvu.Cols" localSheetId="35" hidden="1">Di!$R:$T</definedName>
    <definedName name="Z_93E81051_1F05_45AD_83CD_DAFA9258812A_.wvu.Cols" localSheetId="41" hidden="1">Du!$R:$T</definedName>
    <definedName name="Z_93E81051_1F05_45AD_83CD_DAFA9258812A_.wvu.Cols" localSheetId="3" hidden="1">'E2'!$O:$Q</definedName>
    <definedName name="Z_93E81051_1F05_45AD_83CD_DAFA9258812A_.wvu.Cols" localSheetId="58" hidden="1">'FAKT-Brachebegrünung'!$R:$T</definedName>
    <definedName name="Z_93E81051_1F05_45AD_83CD_DAFA9258812A_.wvu.Cols" localSheetId="47" hidden="1">FE!$R:$T</definedName>
    <definedName name="Z_93E81051_1F05_45AD_83CD_DAFA9258812A_.wvu.Cols" localSheetId="51" hidden="1">FrühKa!$R:$T</definedName>
    <definedName name="Z_93E81051_1F05_45AD_83CD_DAFA9258812A_.wvu.Cols" localSheetId="52" hidden="1">FrühKaFolieBer!$R:$T</definedName>
    <definedName name="Z_93E81051_1F05_45AD_83CD_DAFA9258812A_.wvu.Cols" localSheetId="61" hidden="1">'Grafik1-DB'!$M:$M</definedName>
    <definedName name="Z_93E81051_1F05_45AD_83CD_DAFA9258812A_.wvu.Cols" localSheetId="39" hidden="1">Ha!$R:$T</definedName>
    <definedName name="Z_93E81051_1F05_45AD_83CD_DAFA9258812A_.wvu.Cols" localSheetId="0" hidden="1">Inhalt!$H:$I</definedName>
    <definedName name="Z_93E81051_1F05_45AD_83CD_DAFA9258812A_.wvu.Cols" localSheetId="42" hidden="1">KH!$R:$T</definedName>
    <definedName name="Z_93E81051_1F05_45AD_83CD_DAFA9258812A_.wvu.Cols" localSheetId="40" hidden="1">KöM!$R:$T</definedName>
    <definedName name="Z_93E81051_1F05_45AD_83CD_DAFA9258812A_.wvu.Cols" localSheetId="28" hidden="1">Kostenrechnung!$Q:$Q</definedName>
    <definedName name="Z_93E81051_1F05_45AD_83CD_DAFA9258812A_.wvu.Cols" localSheetId="60" hidden="1">'Kultur A'!$R:$T</definedName>
    <definedName name="Z_93E81051_1F05_45AD_83CD_DAFA9258812A_.wvu.Cols" localSheetId="80" hidden="1">Linsen!$R:$T</definedName>
    <definedName name="Z_93E81051_1F05_45AD_83CD_DAFA9258812A_.wvu.Cols" localSheetId="49" hidden="1">Lu!$R:$T</definedName>
    <definedName name="Z_93E81051_1F05_45AD_83CD_DAFA9258812A_.wvu.Cols" localSheetId="75" hidden="1">'Öko-Ackerbohnen'!$R:$T</definedName>
    <definedName name="Z_93E81051_1F05_45AD_83CD_DAFA9258812A_.wvu.Cols" localSheetId="73" hidden="1">'Öko-Braugerste'!$R:$T</definedName>
    <definedName name="Z_93E81051_1F05_45AD_83CD_DAFA9258812A_.wvu.Cols" localSheetId="68" hidden="1">'Öko-Dinkel'!$R:$T</definedName>
    <definedName name="Z_93E81051_1F05_45AD_83CD_DAFA9258812A_.wvu.Cols" localSheetId="69" hidden="1">'Öko-Dinkel,gegerbt'!$R:$T</definedName>
    <definedName name="Z_93E81051_1F05_45AD_83CD_DAFA9258812A_.wvu.Cols" localSheetId="76" hidden="1">'Öko-Erbsen'!$R:$T</definedName>
    <definedName name="Z_93E81051_1F05_45AD_83CD_DAFA9258812A_.wvu.Cols" localSheetId="71" hidden="1">'Öko-Hafer'!$R:$T</definedName>
    <definedName name="Z_93E81051_1F05_45AD_83CD_DAFA9258812A_.wvu.Cols" localSheetId="79" hidden="1">'Öko-Kartoffel'!$R:$T</definedName>
    <definedName name="Z_93E81051_1F05_45AD_83CD_DAFA9258812A_.wvu.Cols" localSheetId="62" hidden="1">'Öko-KG1'!$R:$T</definedName>
    <definedName name="Z_93E81051_1F05_45AD_83CD_DAFA9258812A_.wvu.Cols" localSheetId="63" hidden="1">'Öko-KG2'!$R:$T</definedName>
    <definedName name="Z_93E81051_1F05_45AD_83CD_DAFA9258812A_.wvu.Cols" localSheetId="74" hidden="1">'Öko-Körnermais'!$R:$T</definedName>
    <definedName name="Z_93E81051_1F05_45AD_83CD_DAFA9258812A_.wvu.Cols" localSheetId="64" hidden="1">'Öko-LU1'!$R:$T</definedName>
    <definedName name="Z_93E81051_1F05_45AD_83CD_DAFA9258812A_.wvu.Cols" localSheetId="65" hidden="1">'Öko-LU2'!$R:$T</definedName>
    <definedName name="Z_93E81051_1F05_45AD_83CD_DAFA9258812A_.wvu.Cols" localSheetId="81" hidden="1">'Öko-Raps'!$R:$T</definedName>
    <definedName name="Z_93E81051_1F05_45AD_83CD_DAFA9258812A_.wvu.Cols" localSheetId="70" hidden="1">'Öko-Roggen'!$R:$T</definedName>
    <definedName name="Z_93E81051_1F05_45AD_83CD_DAFA9258812A_.wvu.Cols" localSheetId="78" hidden="1">'Öko-Soblu'!$R:$T</definedName>
    <definedName name="Z_93E81051_1F05_45AD_83CD_DAFA9258812A_.wvu.Cols" localSheetId="77" hidden="1">'Öko-Sojabohnen'!$R:$T</definedName>
    <definedName name="Z_93E81051_1F05_45AD_83CD_DAFA9258812A_.wvu.Cols" localSheetId="72" hidden="1">'Öko-Wintergerste'!$R:$T</definedName>
    <definedName name="Z_93E81051_1F05_45AD_83CD_DAFA9258812A_.wvu.Cols" localSheetId="66" hidden="1">'Öko-WW-Brot'!$R:$T</definedName>
    <definedName name="Z_93E81051_1F05_45AD_83CD_DAFA9258812A_.wvu.Cols" localSheetId="46" hidden="1">Öl!$R:$T</definedName>
    <definedName name="Z_93E81051_1F05_45AD_83CD_DAFA9258812A_.wvu.Cols" localSheetId="13" hidden="1">Preiskalkulation_Biomasse!$AB:$AB</definedName>
    <definedName name="Z_93E81051_1F05_45AD_83CD_DAFA9258812A_.wvu.Cols" localSheetId="37" hidden="1">'SG-Fu'!$R:$T</definedName>
    <definedName name="Z_93E81051_1F05_45AD_83CD_DAFA9258812A_.wvu.Cols" localSheetId="57" hidden="1">SoBl!$R:$T</definedName>
    <definedName name="Z_93E81051_1F05_45AD_83CD_DAFA9258812A_.wvu.Cols" localSheetId="45" hidden="1">Soja!$R:$T</definedName>
    <definedName name="Z_93E81051_1F05_45AD_83CD_DAFA9258812A_.wvu.Cols" localSheetId="53" hidden="1">SpKa!$R:$T</definedName>
    <definedName name="Z_93E81051_1F05_45AD_83CD_DAFA9258812A_.wvu.Cols" localSheetId="54" hidden="1">SpKaBer!$R:$T</definedName>
    <definedName name="Z_93E81051_1F05_45AD_83CD_DAFA9258812A_.wvu.Cols" localSheetId="44" hidden="1">SR!$R:$T</definedName>
    <definedName name="Z_93E81051_1F05_45AD_83CD_DAFA9258812A_.wvu.Cols" localSheetId="36" hidden="1">SW!$R:$T</definedName>
    <definedName name="Z_93E81051_1F05_45AD_83CD_DAFA9258812A_.wvu.Cols" localSheetId="82" hidden="1">'TE1'!$R:$T</definedName>
    <definedName name="Z_93E81051_1F05_45AD_83CD_DAFA9258812A_.wvu.Cols" localSheetId="86" hidden="1">'TE5'!$R:$T</definedName>
    <definedName name="Z_93E81051_1F05_45AD_83CD_DAFA9258812A_.wvu.Cols" localSheetId="87" hidden="1">'TE6'!$R:$T</definedName>
    <definedName name="Z_93E81051_1F05_45AD_83CD_DAFA9258812A_.wvu.Cols" localSheetId="88" hidden="1">'TE7'!$R:$T</definedName>
    <definedName name="Z_93E81051_1F05_45AD_83CD_DAFA9258812A_.wvu.Cols" localSheetId="89" hidden="1">'TE8'!$R:$T</definedName>
    <definedName name="Z_93E81051_1F05_45AD_83CD_DAFA9258812A_.wvu.Cols" localSheetId="90" hidden="1">'TE9'!$R:$T</definedName>
    <definedName name="Z_93E81051_1F05_45AD_83CD_DAFA9258812A_.wvu.Cols" localSheetId="33" hidden="1">Tr!$R:$T</definedName>
    <definedName name="Z_93E81051_1F05_45AD_83CD_DAFA9258812A_.wvu.Cols" localSheetId="34" hidden="1">WG!$R:$T</definedName>
    <definedName name="Z_93E81051_1F05_45AD_83CD_DAFA9258812A_.wvu.Cols" localSheetId="43" hidden="1">WR!$R:$T</definedName>
    <definedName name="Z_93E81051_1F05_45AD_83CD_DAFA9258812A_.wvu.Cols" localSheetId="32" hidden="1">WRo!$R:$T</definedName>
    <definedName name="Z_93E81051_1F05_45AD_83CD_DAFA9258812A_.wvu.Cols" localSheetId="31" hidden="1">'WW2'!$R:$T</definedName>
    <definedName name="Z_93E81051_1F05_45AD_83CD_DAFA9258812A_.wvu.Cols" localSheetId="55" hidden="1">'WW3'!$R:$T</definedName>
    <definedName name="Z_93E81051_1F05_45AD_83CD_DAFA9258812A_.wvu.Cols" localSheetId="56" hidden="1">'WW4'!$R:$T</definedName>
    <definedName name="Z_93E81051_1F05_45AD_83CD_DAFA9258812A_.wvu.Cols" localSheetId="50" hidden="1">ZR!$R:$T</definedName>
    <definedName name="Z_93E81051_1F05_45AD_83CD_DAFA9258812A_.wvu.FilterData" localSheetId="2" hidden="1">'E1'!$B$12:$B$43</definedName>
    <definedName name="Z_93E81051_1F05_45AD_83CD_DAFA9258812A_.wvu.FilterData" localSheetId="21" hidden="1">'SDK5'!$C$4:$AF$85</definedName>
    <definedName name="Z_93E81051_1F05_45AD_83CD_DAFA9258812A_.wvu.FilterData" localSheetId="22" hidden="1">SDÖ5!$C$5:$W$19</definedName>
    <definedName name="Z_93E81051_1F05_45AD_83CD_DAFA9258812A_.wvu.PrintArea" localSheetId="48" hidden="1">AB!$B$2:$P$75</definedName>
    <definedName name="Z_93E81051_1F05_45AD_83CD_DAFA9258812A_.wvu.PrintArea" localSheetId="59" hidden="1">Begr!$B$2:$P$75</definedName>
    <definedName name="Z_93E81051_1F05_45AD_83CD_DAFA9258812A_.wvu.PrintArea" localSheetId="85" hidden="1">Begrün.!$B$2:$P$71</definedName>
    <definedName name="Z_93E81051_1F05_45AD_83CD_DAFA9258812A_.wvu.PrintArea" localSheetId="38" hidden="1">BG!$B$2:$P$75</definedName>
    <definedName name="Z_93E81051_1F05_45AD_83CD_DAFA9258812A_.wvu.PrintArea" localSheetId="83" hidden="1">Blühm.!$B$2:$P$71</definedName>
    <definedName name="Z_93E81051_1F05_45AD_83CD_DAFA9258812A_.wvu.PrintArea" localSheetId="29" hidden="1">Daten!$B$2:$CR$61</definedName>
    <definedName name="Z_93E81051_1F05_45AD_83CD_DAFA9258812A_.wvu.PrintArea" localSheetId="35" hidden="1">Di!$B$2:$P$75</definedName>
    <definedName name="Z_93E81051_1F05_45AD_83CD_DAFA9258812A_.wvu.PrintArea" localSheetId="41" hidden="1">Du!$B$2:$P$75</definedName>
    <definedName name="Z_93E81051_1F05_45AD_83CD_DAFA9258812A_.wvu.PrintArea" localSheetId="2" hidden="1">'E1'!$C$2:$K$43</definedName>
    <definedName name="Z_93E81051_1F05_45AD_83CD_DAFA9258812A_.wvu.PrintArea" localSheetId="3" hidden="1">'E2'!$B$2:$L$41</definedName>
    <definedName name="Z_93E81051_1F05_45AD_83CD_DAFA9258812A_.wvu.PrintArea" localSheetId="4" hidden="1">'EK1'!$B$2:$J$24</definedName>
    <definedName name="Z_93E81051_1F05_45AD_83CD_DAFA9258812A_.wvu.PrintArea" localSheetId="5" hidden="1">'EK2'!$B$2:$J$24</definedName>
    <definedName name="Z_93E81051_1F05_45AD_83CD_DAFA9258812A_.wvu.PrintArea" localSheetId="6" hidden="1">EÖ1!$B$3:$S$23</definedName>
    <definedName name="Z_93E81051_1F05_45AD_83CD_DAFA9258812A_.wvu.PrintArea" localSheetId="7" hidden="1">EÖ2!$B$3:$L$23</definedName>
    <definedName name="Z_93E81051_1F05_45AD_83CD_DAFA9258812A_.wvu.PrintArea" localSheetId="58" hidden="1">'FAKT-Brachebegrünung'!$B$2:$P$75</definedName>
    <definedName name="Z_93E81051_1F05_45AD_83CD_DAFA9258812A_.wvu.PrintArea" localSheetId="47" hidden="1">FE!$B$2:$P$75</definedName>
    <definedName name="Z_93E81051_1F05_45AD_83CD_DAFA9258812A_.wvu.PrintArea" localSheetId="51" hidden="1">FrühKa!$B$2:$P$75</definedName>
    <definedName name="Z_93E81051_1F05_45AD_83CD_DAFA9258812A_.wvu.PrintArea" localSheetId="52" hidden="1">FrühKaFolieBer!$B$2:$P$75</definedName>
    <definedName name="Z_93E81051_1F05_45AD_83CD_DAFA9258812A_.wvu.PrintArea" localSheetId="61" hidden="1">'Grafik1-DB'!$B$2:$L$79</definedName>
    <definedName name="Z_93E81051_1F05_45AD_83CD_DAFA9258812A_.wvu.PrintArea" localSheetId="39" hidden="1">Ha!$B$2:$P$75</definedName>
    <definedName name="Z_93E81051_1F05_45AD_83CD_DAFA9258812A_.wvu.PrintArea" localSheetId="1" hidden="1">Hinw!$B$1:$P$65</definedName>
    <definedName name="Z_93E81051_1F05_45AD_83CD_DAFA9258812A_.wvu.PrintArea" localSheetId="0" hidden="1">Inhalt!$B$2:$F$90</definedName>
    <definedName name="Z_93E81051_1F05_45AD_83CD_DAFA9258812A_.wvu.PrintArea" localSheetId="42" hidden="1">KH!$B$2:$P$75</definedName>
    <definedName name="Z_93E81051_1F05_45AD_83CD_DAFA9258812A_.wvu.PrintArea" localSheetId="40" hidden="1">KöM!$B$2:$P$75</definedName>
    <definedName name="Z_93E81051_1F05_45AD_83CD_DAFA9258812A_.wvu.PrintArea" localSheetId="28" hidden="1">Kostenrechnung!$B$2:$N$78</definedName>
    <definedName name="Z_93E81051_1F05_45AD_83CD_DAFA9258812A_.wvu.PrintArea" localSheetId="60" hidden="1">'Kultur A'!$B$2:$P$75</definedName>
    <definedName name="Z_93E81051_1F05_45AD_83CD_DAFA9258812A_.wvu.PrintArea" localSheetId="80" hidden="1">Linsen!$B$2:$P$76</definedName>
    <definedName name="Z_93E81051_1F05_45AD_83CD_DAFA9258812A_.wvu.PrintArea" localSheetId="49" hidden="1">Lu!$B$2:$P$75</definedName>
    <definedName name="Z_93E81051_1F05_45AD_83CD_DAFA9258812A_.wvu.PrintArea" localSheetId="75" hidden="1">'Öko-Ackerbohnen'!$B$2:$P$71</definedName>
    <definedName name="Z_93E81051_1F05_45AD_83CD_DAFA9258812A_.wvu.PrintArea" localSheetId="73" hidden="1">'Öko-Braugerste'!$B$2:$P$71</definedName>
    <definedName name="Z_93E81051_1F05_45AD_83CD_DAFA9258812A_.wvu.PrintArea" localSheetId="68" hidden="1">'Öko-Dinkel'!$B$2:$P$71</definedName>
    <definedName name="Z_93E81051_1F05_45AD_83CD_DAFA9258812A_.wvu.PrintArea" localSheetId="69" hidden="1">'Öko-Dinkel,gegerbt'!$B$2:$P$71</definedName>
    <definedName name="Z_93E81051_1F05_45AD_83CD_DAFA9258812A_.wvu.PrintArea" localSheetId="76" hidden="1">'Öko-Erbsen'!$B$2:$P$71</definedName>
    <definedName name="Z_93E81051_1F05_45AD_83CD_DAFA9258812A_.wvu.PrintArea" localSheetId="71" hidden="1">'Öko-Hafer'!$B$2:$P$71</definedName>
    <definedName name="Z_93E81051_1F05_45AD_83CD_DAFA9258812A_.wvu.PrintArea" localSheetId="79" hidden="1">'Öko-Kartoffel'!$B$2:$P$71</definedName>
    <definedName name="Z_93E81051_1F05_45AD_83CD_DAFA9258812A_.wvu.PrintArea" localSheetId="62" hidden="1">'Öko-KG1'!$B$2:$P$72</definedName>
    <definedName name="Z_93E81051_1F05_45AD_83CD_DAFA9258812A_.wvu.PrintArea" localSheetId="63" hidden="1">'Öko-KG2'!$B$2:$P$71</definedName>
    <definedName name="Z_93E81051_1F05_45AD_83CD_DAFA9258812A_.wvu.PrintArea" localSheetId="74" hidden="1">'Öko-Körnermais'!$B$2:$P$71</definedName>
    <definedName name="Z_93E81051_1F05_45AD_83CD_DAFA9258812A_.wvu.PrintArea" localSheetId="64" hidden="1">'Öko-LU1'!$B$2:$P$71</definedName>
    <definedName name="Z_93E81051_1F05_45AD_83CD_DAFA9258812A_.wvu.PrintArea" localSheetId="65" hidden="1">'Öko-LU2'!$B$2:$P$71</definedName>
    <definedName name="Z_93E81051_1F05_45AD_83CD_DAFA9258812A_.wvu.PrintArea" localSheetId="81" hidden="1">'Öko-Raps'!$B$2:$P$71</definedName>
    <definedName name="Z_93E81051_1F05_45AD_83CD_DAFA9258812A_.wvu.PrintArea" localSheetId="70" hidden="1">'Öko-Roggen'!$B$2:$P$71</definedName>
    <definedName name="Z_93E81051_1F05_45AD_83CD_DAFA9258812A_.wvu.PrintArea" localSheetId="78" hidden="1">'Öko-Soblu'!$B$2:$P$71</definedName>
    <definedName name="Z_93E81051_1F05_45AD_83CD_DAFA9258812A_.wvu.PrintArea" localSheetId="77" hidden="1">'Öko-Sojabohnen'!$B$2:$P$71</definedName>
    <definedName name="Z_93E81051_1F05_45AD_83CD_DAFA9258812A_.wvu.PrintArea" localSheetId="72" hidden="1">'Öko-Wintergerste'!$B$2:$P$71</definedName>
    <definedName name="Z_93E81051_1F05_45AD_83CD_DAFA9258812A_.wvu.PrintArea" localSheetId="66" hidden="1">'Öko-WW-Brot'!$B$2:$P$71</definedName>
    <definedName name="Z_93E81051_1F05_45AD_83CD_DAFA9258812A_.wvu.PrintArea" localSheetId="67" hidden="1">'Öko-WW-Futter'!$B$2:$P$72</definedName>
    <definedName name="Z_93E81051_1F05_45AD_83CD_DAFA9258812A_.wvu.PrintArea" localSheetId="46" hidden="1">Öl!$B$2:$P$75</definedName>
    <definedName name="Z_93E81051_1F05_45AD_83CD_DAFA9258812A_.wvu.PrintArea" localSheetId="13" hidden="1">Preiskalkulation_Biomasse!$A$1:$U$111</definedName>
    <definedName name="Z_93E81051_1F05_45AD_83CD_DAFA9258812A_.wvu.PrintArea" localSheetId="16" hidden="1">'SD2'!$A$1:$N$93</definedName>
    <definedName name="Z_93E81051_1F05_45AD_83CD_DAFA9258812A_.wvu.PrintArea" localSheetId="23" hidden="1">'SD6'!$B$2:$N$87</definedName>
    <definedName name="Z_93E81051_1F05_45AD_83CD_DAFA9258812A_.wvu.PrintArea" localSheetId="26" hidden="1">'SD8'!$B$2:$I$60</definedName>
    <definedName name="Z_93E81051_1F05_45AD_83CD_DAFA9258812A_.wvu.PrintArea" localSheetId="8" hidden="1">'SDK1'!$B$2:$O$65</definedName>
    <definedName name="Z_93E81051_1F05_45AD_83CD_DAFA9258812A_.wvu.PrintArea" localSheetId="17" hidden="1">'SDK3'!$B$5:$O$92,'SDK3'!$B$94:$O$123</definedName>
    <definedName name="Z_93E81051_1F05_45AD_83CD_DAFA9258812A_.wvu.PrintArea" localSheetId="19" hidden="1">'SDK4'!$B$2:$N$54</definedName>
    <definedName name="Z_93E81051_1F05_45AD_83CD_DAFA9258812A_.wvu.PrintArea" localSheetId="21" hidden="1">'SDK5'!$B$2:$E$86</definedName>
    <definedName name="Z_93E81051_1F05_45AD_83CD_DAFA9258812A_.wvu.PrintArea" localSheetId="25" hidden="1">'SDK7'!$C$2:$O$249</definedName>
    <definedName name="Z_93E81051_1F05_45AD_83CD_DAFA9258812A_.wvu.PrintArea" localSheetId="15" hidden="1">SDÖ1!$B$2:$L$80</definedName>
    <definedName name="Z_93E81051_1F05_45AD_83CD_DAFA9258812A_.wvu.PrintArea" localSheetId="18" hidden="1">SDÖ3!$B$4:$N$94,SDÖ3!$B$136:$N$166</definedName>
    <definedName name="Z_93E81051_1F05_45AD_83CD_DAFA9258812A_.wvu.PrintArea" localSheetId="20" hidden="1">SDÖ4!$B$2:$O$58</definedName>
    <definedName name="Z_93E81051_1F05_45AD_83CD_DAFA9258812A_.wvu.PrintArea" localSheetId="22" hidden="1">SDÖ5!$B$2:$E$16</definedName>
    <definedName name="Z_93E81051_1F05_45AD_83CD_DAFA9258812A_.wvu.PrintArea" localSheetId="24" hidden="1">SDÖ7!$C$2:$O$196</definedName>
    <definedName name="Z_93E81051_1F05_45AD_83CD_DAFA9258812A_.wvu.PrintArea" localSheetId="37" hidden="1">'SG-Fu'!$B$2:$P$75</definedName>
    <definedName name="Z_93E81051_1F05_45AD_83CD_DAFA9258812A_.wvu.PrintArea" localSheetId="57" hidden="1">SoBl!$B$2:$P$75</definedName>
    <definedName name="Z_93E81051_1F05_45AD_83CD_DAFA9258812A_.wvu.PrintArea" localSheetId="45" hidden="1">Soja!$B$2:$P$75</definedName>
    <definedName name="Z_93E81051_1F05_45AD_83CD_DAFA9258812A_.wvu.PrintArea" localSheetId="53" hidden="1">SpKa!$B$2:$P$75</definedName>
    <definedName name="Z_93E81051_1F05_45AD_83CD_DAFA9258812A_.wvu.PrintArea" localSheetId="54" hidden="1">SpKaBer!$B$2:$P$75</definedName>
    <definedName name="Z_93E81051_1F05_45AD_83CD_DAFA9258812A_.wvu.PrintArea" localSheetId="44" hidden="1">SR!$B$2:$P$75</definedName>
    <definedName name="Z_93E81051_1F05_45AD_83CD_DAFA9258812A_.wvu.PrintArea" localSheetId="36" hidden="1">SW!$B$2:$P$75</definedName>
    <definedName name="Z_93E81051_1F05_45AD_83CD_DAFA9258812A_.wvu.PrintArea" localSheetId="82" hidden="1">'TE1'!$B$2:$P$71</definedName>
    <definedName name="Z_93E81051_1F05_45AD_83CD_DAFA9258812A_.wvu.PrintArea" localSheetId="86" hidden="1">'TE5'!$B$2:$P$76</definedName>
    <definedName name="Z_93E81051_1F05_45AD_83CD_DAFA9258812A_.wvu.PrintArea" localSheetId="87" hidden="1">'TE6'!$B$2:$P$76</definedName>
    <definedName name="Z_93E81051_1F05_45AD_83CD_DAFA9258812A_.wvu.PrintArea" localSheetId="88" hidden="1">'TE7'!$B$2:$P$76</definedName>
    <definedName name="Z_93E81051_1F05_45AD_83CD_DAFA9258812A_.wvu.PrintArea" localSheetId="89" hidden="1">'TE8'!$B$2:$P$76</definedName>
    <definedName name="Z_93E81051_1F05_45AD_83CD_DAFA9258812A_.wvu.PrintArea" localSheetId="90" hidden="1">'TE9'!$B$2:$P$76</definedName>
    <definedName name="Z_93E81051_1F05_45AD_83CD_DAFA9258812A_.wvu.PrintArea" localSheetId="33" hidden="1">Tr!$B$2:$P$75</definedName>
    <definedName name="Z_93E81051_1F05_45AD_83CD_DAFA9258812A_.wvu.PrintArea" localSheetId="34" hidden="1">WG!$B$2:$P$75</definedName>
    <definedName name="Z_93E81051_1F05_45AD_83CD_DAFA9258812A_.wvu.PrintArea" localSheetId="43" hidden="1">WR!$B$2:$P$75</definedName>
    <definedName name="Z_93E81051_1F05_45AD_83CD_DAFA9258812A_.wvu.PrintArea" localSheetId="32" hidden="1">WRo!$B$2:$P$75</definedName>
    <definedName name="Z_93E81051_1F05_45AD_83CD_DAFA9258812A_.wvu.PrintArea" localSheetId="30" hidden="1">'WW1'!$B$2:$P$76</definedName>
    <definedName name="Z_93E81051_1F05_45AD_83CD_DAFA9258812A_.wvu.PrintArea" localSheetId="31" hidden="1">'WW2'!$B$2:$P$75</definedName>
    <definedName name="Z_93E81051_1F05_45AD_83CD_DAFA9258812A_.wvu.PrintArea" localSheetId="55" hidden="1">'WW3'!$B$2:$P$75</definedName>
    <definedName name="Z_93E81051_1F05_45AD_83CD_DAFA9258812A_.wvu.PrintArea" localSheetId="56" hidden="1">'WW4'!$B$2:$P$75</definedName>
    <definedName name="Z_93E81051_1F05_45AD_83CD_DAFA9258812A_.wvu.PrintArea" localSheetId="50" hidden="1">ZR!$B$2:$P$75</definedName>
    <definedName name="Z_93E81051_1F05_45AD_83CD_DAFA9258812A_.wvu.PrintTitles" localSheetId="29" hidden="1">Daten!$B:$C,Daten!$2:$4</definedName>
    <definedName name="Z_93E81051_1F05_45AD_83CD_DAFA9258812A_.wvu.PrintTitles" localSheetId="28" hidden="1">Kostenrechnung!$1:$11</definedName>
    <definedName name="Z_93E81051_1F05_45AD_83CD_DAFA9258812A_.wvu.PrintTitles" localSheetId="13" hidden="1">Preiskalkulation_Biomasse!$1:$22</definedName>
    <definedName name="Z_93E81051_1F05_45AD_83CD_DAFA9258812A_.wvu.PrintTitles" localSheetId="16" hidden="1">'SD2'!$2:$3</definedName>
    <definedName name="Z_93E81051_1F05_45AD_83CD_DAFA9258812A_.wvu.PrintTitles" localSheetId="23" hidden="1">'SD6'!$2:$7</definedName>
    <definedName name="Z_93E81051_1F05_45AD_83CD_DAFA9258812A_.wvu.PrintTitles" localSheetId="17" hidden="1">'SDK3'!$2:$4</definedName>
    <definedName name="Z_93E81051_1F05_45AD_83CD_DAFA9258812A_.wvu.PrintTitles" localSheetId="25" hidden="1">'SDK7'!$2:$2</definedName>
    <definedName name="Z_93E81051_1F05_45AD_83CD_DAFA9258812A_.wvu.PrintTitles" localSheetId="18" hidden="1">SDÖ3!$2:$3</definedName>
    <definedName name="Z_93E81051_1F05_45AD_83CD_DAFA9258812A_.wvu.PrintTitles" localSheetId="24" hidden="1">SDÖ7!$2:$2</definedName>
    <definedName name="Z_93E81051_1F05_45AD_83CD_DAFA9258812A_.wvu.Rows" localSheetId="48" hidden="1">AB!#REF!,AB!$78:$161</definedName>
    <definedName name="Z_93E81051_1F05_45AD_83CD_DAFA9258812A_.wvu.Rows" localSheetId="59" hidden="1">Begr!#REF!,Begr!$78:$149</definedName>
    <definedName name="Z_93E81051_1F05_45AD_83CD_DAFA9258812A_.wvu.Rows" localSheetId="85" hidden="1">Begrün.!#REF!,Begrün.!$80:$151</definedName>
    <definedName name="Z_93E81051_1F05_45AD_83CD_DAFA9258812A_.wvu.Rows" localSheetId="38" hidden="1">BG!#REF!,BG!$78:$157</definedName>
    <definedName name="Z_93E81051_1F05_45AD_83CD_DAFA9258812A_.wvu.Rows" localSheetId="83" hidden="1">Blühm.!#REF!</definedName>
    <definedName name="Z_93E81051_1F05_45AD_83CD_DAFA9258812A_.wvu.Rows" localSheetId="35" hidden="1">Di!#REF!,Di!$78:$158</definedName>
    <definedName name="Z_93E81051_1F05_45AD_83CD_DAFA9258812A_.wvu.Rows" localSheetId="41" hidden="1">Du!#REF!,Du!$78:$158</definedName>
    <definedName name="Z_93E81051_1F05_45AD_83CD_DAFA9258812A_.wvu.Rows" localSheetId="4" hidden="1">'EK1'!$23:$24</definedName>
    <definedName name="Z_93E81051_1F05_45AD_83CD_DAFA9258812A_.wvu.Rows" localSheetId="5" hidden="1">'EK2'!$23:$24</definedName>
    <definedName name="Z_93E81051_1F05_45AD_83CD_DAFA9258812A_.wvu.Rows" localSheetId="6" hidden="1">EÖ1!#REF!</definedName>
    <definedName name="Z_93E81051_1F05_45AD_83CD_DAFA9258812A_.wvu.Rows" localSheetId="7" hidden="1">EÖ2!#REF!</definedName>
    <definedName name="Z_93E81051_1F05_45AD_83CD_DAFA9258812A_.wvu.Rows" localSheetId="58" hidden="1">'FAKT-Brachebegrünung'!#REF!,'FAKT-Brachebegrünung'!$78:$149</definedName>
    <definedName name="Z_93E81051_1F05_45AD_83CD_DAFA9258812A_.wvu.Rows" localSheetId="47" hidden="1">FE!#REF!,FE!$78:$161</definedName>
    <definedName name="Z_93E81051_1F05_45AD_83CD_DAFA9258812A_.wvu.Rows" localSheetId="51" hidden="1">FrühKa!#REF!,FrühKa!$78:$159</definedName>
    <definedName name="Z_93E81051_1F05_45AD_83CD_DAFA9258812A_.wvu.Rows" localSheetId="52" hidden="1">FrühKaFolieBer!#REF!,FrühKaFolieBer!$78:$159</definedName>
    <definedName name="Z_93E81051_1F05_45AD_83CD_DAFA9258812A_.wvu.Rows" localSheetId="39" hidden="1">Ha!#REF!,Ha!$78:$157</definedName>
    <definedName name="Z_93E81051_1F05_45AD_83CD_DAFA9258812A_.wvu.Rows" localSheetId="1" hidden="1">Hinw!#REF!,Hinw!#REF!</definedName>
    <definedName name="Z_93E81051_1F05_45AD_83CD_DAFA9258812A_.wvu.Rows" localSheetId="0" hidden="1">Inhalt!$73:$81,Inhalt!$83:$83,Inhalt!$87:$87</definedName>
    <definedName name="Z_93E81051_1F05_45AD_83CD_DAFA9258812A_.wvu.Rows" localSheetId="42" hidden="1">KH!#REF!,KH!$78:$157</definedName>
    <definedName name="Z_93E81051_1F05_45AD_83CD_DAFA9258812A_.wvu.Rows" localSheetId="40" hidden="1">KöM!#REF!,KöM!$78:$157</definedName>
    <definedName name="Z_93E81051_1F05_45AD_83CD_DAFA9258812A_.wvu.Rows" localSheetId="28" hidden="1">Kostenrechnung!$60:$60,Kostenrechnung!$103:$106</definedName>
    <definedName name="Z_93E81051_1F05_45AD_83CD_DAFA9258812A_.wvu.Rows" localSheetId="60" hidden="1">'Kultur A'!#REF!</definedName>
    <definedName name="Z_93E81051_1F05_45AD_83CD_DAFA9258812A_.wvu.Rows" localSheetId="80" hidden="1">Linsen!#REF!,Linsen!$81:$160</definedName>
    <definedName name="Z_93E81051_1F05_45AD_83CD_DAFA9258812A_.wvu.Rows" localSheetId="49" hidden="1">Lu!#REF!,Lu!$78:$156</definedName>
    <definedName name="Z_93E81051_1F05_45AD_83CD_DAFA9258812A_.wvu.Rows" localSheetId="75" hidden="1">'Öko-Ackerbohnen'!#REF!,'Öko-Ackerbohnen'!$80:$163</definedName>
    <definedName name="Z_93E81051_1F05_45AD_83CD_DAFA9258812A_.wvu.Rows" localSheetId="73" hidden="1">'Öko-Braugerste'!#REF!,'Öko-Braugerste'!$80:$159</definedName>
    <definedName name="Z_93E81051_1F05_45AD_83CD_DAFA9258812A_.wvu.Rows" localSheetId="68" hidden="1">'Öko-Dinkel'!#REF!,'Öko-Dinkel'!$80:$160</definedName>
    <definedName name="Z_93E81051_1F05_45AD_83CD_DAFA9258812A_.wvu.Rows" localSheetId="69" hidden="1">'Öko-Dinkel,gegerbt'!#REF!,'Öko-Dinkel,gegerbt'!$80:$160</definedName>
    <definedName name="Z_93E81051_1F05_45AD_83CD_DAFA9258812A_.wvu.Rows" localSheetId="76" hidden="1">'Öko-Erbsen'!#REF!,'Öko-Erbsen'!$80:$163</definedName>
    <definedName name="Z_93E81051_1F05_45AD_83CD_DAFA9258812A_.wvu.Rows" localSheetId="71" hidden="1">'Öko-Hafer'!#REF!,'Öko-Hafer'!$80:$159</definedName>
    <definedName name="Z_93E81051_1F05_45AD_83CD_DAFA9258812A_.wvu.Rows" localSheetId="79" hidden="1">'Öko-Kartoffel'!#REF!,'Öko-Kartoffel'!$80:$161</definedName>
    <definedName name="Z_93E81051_1F05_45AD_83CD_DAFA9258812A_.wvu.Rows" localSheetId="62" hidden="1">'Öko-KG1'!#REF!,'Öko-KG1'!$80:$159</definedName>
    <definedName name="Z_93E81051_1F05_45AD_83CD_DAFA9258812A_.wvu.Rows" localSheetId="63" hidden="1">'Öko-KG2'!#REF!,'Öko-KG2'!$80:$159</definedName>
    <definedName name="Z_93E81051_1F05_45AD_83CD_DAFA9258812A_.wvu.Rows" localSheetId="74" hidden="1">'Öko-Körnermais'!#REF!,'Öko-Körnermais'!$80:$159</definedName>
    <definedName name="Z_93E81051_1F05_45AD_83CD_DAFA9258812A_.wvu.Rows" localSheetId="64" hidden="1">'Öko-LU1'!#REF!,'Öko-LU1'!$80:$159</definedName>
    <definedName name="Z_93E81051_1F05_45AD_83CD_DAFA9258812A_.wvu.Rows" localSheetId="65" hidden="1">'Öko-LU2'!#REF!,'Öko-LU2'!$80:$159</definedName>
    <definedName name="Z_93E81051_1F05_45AD_83CD_DAFA9258812A_.wvu.Rows" localSheetId="81" hidden="1">'Öko-Raps'!#REF!,'Öko-Raps'!$80:$158</definedName>
    <definedName name="Z_93E81051_1F05_45AD_83CD_DAFA9258812A_.wvu.Rows" localSheetId="70" hidden="1">'Öko-Roggen'!#REF!</definedName>
    <definedName name="Z_93E81051_1F05_45AD_83CD_DAFA9258812A_.wvu.Rows" localSheetId="78" hidden="1">'Öko-Soblu'!#REF!</definedName>
    <definedName name="Z_93E81051_1F05_45AD_83CD_DAFA9258812A_.wvu.Rows" localSheetId="77" hidden="1">'Öko-Sojabohnen'!#REF!,'Öko-Sojabohnen'!$80:$161</definedName>
    <definedName name="Z_93E81051_1F05_45AD_83CD_DAFA9258812A_.wvu.Rows" localSheetId="72" hidden="1">'Öko-Wintergerste'!#REF!</definedName>
    <definedName name="Z_93E81051_1F05_45AD_83CD_DAFA9258812A_.wvu.Rows" localSheetId="66" hidden="1">'Öko-WW-Brot'!#REF!</definedName>
    <definedName name="Z_93E81051_1F05_45AD_83CD_DAFA9258812A_.wvu.Rows" localSheetId="67" hidden="1">'Öko-WW-Futter'!#REF!</definedName>
    <definedName name="Z_93E81051_1F05_45AD_83CD_DAFA9258812A_.wvu.Rows" localSheetId="46" hidden="1">Öl!#REF!,Öl!$78:$163</definedName>
    <definedName name="Z_93E81051_1F05_45AD_83CD_DAFA9258812A_.wvu.Rows" localSheetId="16" hidden="1">'SD2'!$59:$59,'SD2'!#REF!,'SD2'!#REF!</definedName>
    <definedName name="Z_93E81051_1F05_45AD_83CD_DAFA9258812A_.wvu.Rows" localSheetId="25" hidden="1">'SDK7'!$250:$253</definedName>
    <definedName name="Z_93E81051_1F05_45AD_83CD_DAFA9258812A_.wvu.Rows" localSheetId="24" hidden="1">SDÖ7!$197:$200</definedName>
    <definedName name="Z_93E81051_1F05_45AD_83CD_DAFA9258812A_.wvu.Rows" localSheetId="37" hidden="1">'SG-Fu'!#REF!,'SG-Fu'!$78:$157</definedName>
    <definedName name="Z_93E81051_1F05_45AD_83CD_DAFA9258812A_.wvu.Rows" localSheetId="57" hidden="1">SoBl!#REF!,SoBl!$78:$157</definedName>
    <definedName name="Z_93E81051_1F05_45AD_83CD_DAFA9258812A_.wvu.Rows" localSheetId="45" hidden="1">Soja!#REF!,Soja!$78:$159</definedName>
    <definedName name="Z_93E81051_1F05_45AD_83CD_DAFA9258812A_.wvu.Rows" localSheetId="53" hidden="1">SpKa!#REF!,SpKa!$78:$159</definedName>
    <definedName name="Z_93E81051_1F05_45AD_83CD_DAFA9258812A_.wvu.Rows" localSheetId="54" hidden="1">SpKaBer!#REF!,SpKaBer!$78:$159</definedName>
    <definedName name="Z_93E81051_1F05_45AD_83CD_DAFA9258812A_.wvu.Rows" localSheetId="44" hidden="1">SR!#REF!,SR!$78:$157</definedName>
    <definedName name="Z_93E81051_1F05_45AD_83CD_DAFA9258812A_.wvu.Rows" localSheetId="36" hidden="1">SW!#REF!,SW!$78:$157</definedName>
    <definedName name="Z_93E81051_1F05_45AD_83CD_DAFA9258812A_.wvu.Rows" localSheetId="82" hidden="1">'TE1'!#REF!</definedName>
    <definedName name="Z_93E81051_1F05_45AD_83CD_DAFA9258812A_.wvu.Rows" localSheetId="86" hidden="1">'TE5'!#REF!,'TE5'!$81:$162</definedName>
    <definedName name="Z_93E81051_1F05_45AD_83CD_DAFA9258812A_.wvu.Rows" localSheetId="87" hidden="1">'TE6'!#REF!,'TE6'!$81:$162</definedName>
    <definedName name="Z_93E81051_1F05_45AD_83CD_DAFA9258812A_.wvu.Rows" localSheetId="88" hidden="1">'TE7'!#REF!,'TE7'!$81:$159</definedName>
    <definedName name="Z_93E81051_1F05_45AD_83CD_DAFA9258812A_.wvu.Rows" localSheetId="89" hidden="1">'TE8'!#REF!,'TE8'!$81:$159</definedName>
    <definedName name="Z_93E81051_1F05_45AD_83CD_DAFA9258812A_.wvu.Rows" localSheetId="90" hidden="1">'TE9'!#REF!,'TE9'!$81:$162</definedName>
    <definedName name="Z_93E81051_1F05_45AD_83CD_DAFA9258812A_.wvu.Rows" localSheetId="33" hidden="1">Tr!#REF!,Tr!$78:$157</definedName>
    <definedName name="Z_93E81051_1F05_45AD_83CD_DAFA9258812A_.wvu.Rows" localSheetId="34" hidden="1">WG!#REF!,WG!$78:$155</definedName>
    <definedName name="Z_93E81051_1F05_45AD_83CD_DAFA9258812A_.wvu.Rows" localSheetId="43" hidden="1">WR!#REF!,WR!$78:$164</definedName>
    <definedName name="Z_93E81051_1F05_45AD_83CD_DAFA9258812A_.wvu.Rows" localSheetId="32" hidden="1">WRo!#REF!</definedName>
    <definedName name="Z_93E81051_1F05_45AD_83CD_DAFA9258812A_.wvu.Rows" localSheetId="30" hidden="1">'WW1'!#REF!</definedName>
    <definedName name="Z_93E81051_1F05_45AD_83CD_DAFA9258812A_.wvu.Rows" localSheetId="31" hidden="1">'WW2'!#REF!</definedName>
    <definedName name="Z_93E81051_1F05_45AD_83CD_DAFA9258812A_.wvu.Rows" localSheetId="55" hidden="1">'WW3'!#REF!</definedName>
    <definedName name="Z_93E81051_1F05_45AD_83CD_DAFA9258812A_.wvu.Rows" localSheetId="56" hidden="1">'WW4'!#REF!</definedName>
    <definedName name="Z_93E81051_1F05_45AD_83CD_DAFA9258812A_.wvu.Rows" localSheetId="50" hidden="1">ZR!#REF!,ZR!$78:$164</definedName>
    <definedName name="Z_B67A0BFB_4603_4093_A911_42348CD38486_.wvu.Cols" localSheetId="2" hidden="1">'E1'!$F:$F,'E1'!$I:$I</definedName>
    <definedName name="Z_B67A0BFB_4603_4093_A911_42348CD38486_.wvu.Cols" localSheetId="0" hidden="1">Inhalt!$H:$I</definedName>
    <definedName name="Z_B67A0BFB_4603_4093_A911_42348CD38486_.wvu.Cols" localSheetId="13" hidden="1">Preiskalkulation_Biomasse!$AB:$AB</definedName>
    <definedName name="Z_B67A0BFB_4603_4093_A911_42348CD38486_.wvu.Cols" localSheetId="23" hidden="1">'SD6'!#REF!</definedName>
    <definedName name="Z_B67A0BFB_4603_4093_A911_42348CD38486_.wvu.Cols" localSheetId="21" hidden="1">'SDK5'!$P:$P</definedName>
    <definedName name="Z_B67A0BFB_4603_4093_A911_42348CD38486_.wvu.FilterData" localSheetId="2" hidden="1">'E1'!$B$12:$B$43</definedName>
    <definedName name="Z_B67A0BFB_4603_4093_A911_42348CD38486_.wvu.FilterData" localSheetId="21" hidden="1">'SDK5'!$B$4:$AC$85</definedName>
    <definedName name="Z_B67A0BFB_4603_4093_A911_42348CD38486_.wvu.PrintArea" localSheetId="48" hidden="1">AB!$B$2:$P$75</definedName>
    <definedName name="Z_B67A0BFB_4603_4093_A911_42348CD38486_.wvu.PrintArea" localSheetId="59" hidden="1">Begr!$B$2:$P$75</definedName>
    <definedName name="Z_B67A0BFB_4603_4093_A911_42348CD38486_.wvu.PrintArea" localSheetId="38" hidden="1">BG!$B$2:$P$75</definedName>
    <definedName name="Z_B67A0BFB_4603_4093_A911_42348CD38486_.wvu.PrintArea" localSheetId="29" hidden="1">Daten!$B$2:$CR$61</definedName>
    <definedName name="Z_B67A0BFB_4603_4093_A911_42348CD38486_.wvu.PrintArea" localSheetId="35" hidden="1">Di!$B$2:$P$75</definedName>
    <definedName name="Z_B67A0BFB_4603_4093_A911_42348CD38486_.wvu.PrintArea" localSheetId="41" hidden="1">Du!$B$2:$P$75</definedName>
    <definedName name="Z_B67A0BFB_4603_4093_A911_42348CD38486_.wvu.PrintArea" localSheetId="2" hidden="1">'E1'!$C$2:$K$43</definedName>
    <definedName name="Z_B67A0BFB_4603_4093_A911_42348CD38486_.wvu.PrintArea" localSheetId="3" hidden="1">'E2'!$B$2:$L$41</definedName>
    <definedName name="Z_B67A0BFB_4603_4093_A911_42348CD38486_.wvu.PrintArea" localSheetId="4" hidden="1">'EK1'!$B$2:$J$24</definedName>
    <definedName name="Z_B67A0BFB_4603_4093_A911_42348CD38486_.wvu.PrintArea" localSheetId="5" hidden="1">'EK2'!$B$2:$J$25</definedName>
    <definedName name="Z_B67A0BFB_4603_4093_A911_42348CD38486_.wvu.PrintArea" localSheetId="58" hidden="1">'FAKT-Brachebegrünung'!$B$2:$P$75</definedName>
    <definedName name="Z_B67A0BFB_4603_4093_A911_42348CD38486_.wvu.PrintArea" localSheetId="47" hidden="1">FE!$B$2:$P$75</definedName>
    <definedName name="Z_B67A0BFB_4603_4093_A911_42348CD38486_.wvu.PrintArea" localSheetId="51" hidden="1">FrühKa!$B$2:$P$75</definedName>
    <definedName name="Z_B67A0BFB_4603_4093_A911_42348CD38486_.wvu.PrintArea" localSheetId="52" hidden="1">FrühKaFolieBer!$B$2:$P$75</definedName>
    <definedName name="Z_B67A0BFB_4603_4093_A911_42348CD38486_.wvu.PrintArea" localSheetId="39" hidden="1">Ha!$B$2:$P$75</definedName>
    <definedName name="Z_B67A0BFB_4603_4093_A911_42348CD38486_.wvu.PrintArea" localSheetId="1" hidden="1">Hinw!$B$1:$Q$65</definedName>
    <definedName name="Z_B67A0BFB_4603_4093_A911_42348CD38486_.wvu.PrintArea" localSheetId="0" hidden="1">Inhalt!$B$2:$F$90</definedName>
    <definedName name="Z_B67A0BFB_4603_4093_A911_42348CD38486_.wvu.PrintArea" localSheetId="42" hidden="1">KH!$B$2:$P$75</definedName>
    <definedName name="Z_B67A0BFB_4603_4093_A911_42348CD38486_.wvu.PrintArea" localSheetId="40" hidden="1">KöM!$B$2:$P$75</definedName>
    <definedName name="Z_B67A0BFB_4603_4093_A911_42348CD38486_.wvu.PrintArea" localSheetId="28" hidden="1">Kostenrechnung!$B$2:$N$78,Kostenrechnung!$B$113:$N$137,Kostenrechnung!$B$139:$N$184</definedName>
    <definedName name="Z_B67A0BFB_4603_4093_A911_42348CD38486_.wvu.PrintArea" localSheetId="60" hidden="1">'Kultur A'!$B$2:$P$75</definedName>
    <definedName name="Z_B67A0BFB_4603_4093_A911_42348CD38486_.wvu.PrintArea" localSheetId="49" hidden="1">Lu!$B$2:$P$75</definedName>
    <definedName name="Z_B67A0BFB_4603_4093_A911_42348CD38486_.wvu.PrintArea" localSheetId="46" hidden="1">Öl!$B$2:$P$75</definedName>
    <definedName name="Z_B67A0BFB_4603_4093_A911_42348CD38486_.wvu.PrintArea" localSheetId="13" hidden="1">Preiskalkulation_Biomasse!$A$1:$U$111</definedName>
    <definedName name="Z_B67A0BFB_4603_4093_A911_42348CD38486_.wvu.PrintArea" localSheetId="16" hidden="1">'SD2'!$A$1:$N$80</definedName>
    <definedName name="Z_B67A0BFB_4603_4093_A911_42348CD38486_.wvu.PrintArea" localSheetId="23" hidden="1">'SD6'!$B$2:$N$87</definedName>
    <definedName name="Z_B67A0BFB_4603_4093_A911_42348CD38486_.wvu.PrintArea" localSheetId="26" hidden="1">'SD8'!$B$2:$I$60</definedName>
    <definedName name="Z_B67A0BFB_4603_4093_A911_42348CD38486_.wvu.PrintArea" localSheetId="8" hidden="1">'SDK1'!$B$2:$O$65</definedName>
    <definedName name="Z_B67A0BFB_4603_4093_A911_42348CD38486_.wvu.PrintArea" localSheetId="17" hidden="1">'SDK3'!$B$5:$O$92,'SDK3'!$B$94:$O$123</definedName>
    <definedName name="Z_B67A0BFB_4603_4093_A911_42348CD38486_.wvu.PrintArea" localSheetId="19" hidden="1">'SDK4'!$B$2:$N$55</definedName>
    <definedName name="Z_B67A0BFB_4603_4093_A911_42348CD38486_.wvu.PrintArea" localSheetId="21" hidden="1">'SDK5'!$AP$2:$BC$55</definedName>
    <definedName name="Z_B67A0BFB_4603_4093_A911_42348CD38486_.wvu.PrintArea" localSheetId="25" hidden="1">'SDK7'!$C$2:$O$190</definedName>
    <definedName name="Z_B67A0BFB_4603_4093_A911_42348CD38486_.wvu.PrintArea" localSheetId="37" hidden="1">'SG-Fu'!$B$2:$P$75</definedName>
    <definedName name="Z_B67A0BFB_4603_4093_A911_42348CD38486_.wvu.PrintArea" localSheetId="57" hidden="1">SoBl!$B$2:$P$75</definedName>
    <definedName name="Z_B67A0BFB_4603_4093_A911_42348CD38486_.wvu.PrintArea" localSheetId="45" hidden="1">Soja!$B$2:$P$75</definedName>
    <definedName name="Z_B67A0BFB_4603_4093_A911_42348CD38486_.wvu.PrintArea" localSheetId="53" hidden="1">SpKa!$B$2:$P$75</definedName>
    <definedName name="Z_B67A0BFB_4603_4093_A911_42348CD38486_.wvu.PrintArea" localSheetId="54" hidden="1">SpKaBer!$B$2:$P$75</definedName>
    <definedName name="Z_B67A0BFB_4603_4093_A911_42348CD38486_.wvu.PrintArea" localSheetId="44" hidden="1">SR!$B$2:$P$75</definedName>
    <definedName name="Z_B67A0BFB_4603_4093_A911_42348CD38486_.wvu.PrintArea" localSheetId="36" hidden="1">SW!$B$2:$P$75</definedName>
    <definedName name="Z_B67A0BFB_4603_4093_A911_42348CD38486_.wvu.PrintArea" localSheetId="33" hidden="1">Tr!$B$2:$P$75</definedName>
    <definedName name="Z_B67A0BFB_4603_4093_A911_42348CD38486_.wvu.PrintArea" localSheetId="34" hidden="1">WG!$B$2:$P$75</definedName>
    <definedName name="Z_B67A0BFB_4603_4093_A911_42348CD38486_.wvu.PrintArea" localSheetId="43" hidden="1">WR!$B$2:$P$75</definedName>
    <definedName name="Z_B67A0BFB_4603_4093_A911_42348CD38486_.wvu.PrintArea" localSheetId="32" hidden="1">WRo!$B$2:$P$75</definedName>
    <definedName name="Z_B67A0BFB_4603_4093_A911_42348CD38486_.wvu.PrintArea" localSheetId="30" hidden="1">'WW1'!$B$2:$P$76</definedName>
    <definedName name="Z_B67A0BFB_4603_4093_A911_42348CD38486_.wvu.PrintArea" localSheetId="31" hidden="1">'WW2'!$B$2:$P$75</definedName>
    <definedName name="Z_B67A0BFB_4603_4093_A911_42348CD38486_.wvu.PrintArea" localSheetId="55" hidden="1">'WW3'!$B$2:$P$75</definedName>
    <definedName name="Z_B67A0BFB_4603_4093_A911_42348CD38486_.wvu.PrintArea" localSheetId="56" hidden="1">'WW4'!$B$2:$P$75</definedName>
    <definedName name="Z_B67A0BFB_4603_4093_A911_42348CD38486_.wvu.PrintArea" localSheetId="50" hidden="1">ZR!$B$2:$P$75</definedName>
    <definedName name="Z_B67A0BFB_4603_4093_A911_42348CD38486_.wvu.PrintTitles" localSheetId="29" hidden="1">Daten!$B:$C,Daten!$2:$4</definedName>
    <definedName name="Z_B67A0BFB_4603_4093_A911_42348CD38486_.wvu.PrintTitles" localSheetId="13" hidden="1">Preiskalkulation_Biomasse!$1:$22</definedName>
    <definedName name="Z_B67A0BFB_4603_4093_A911_42348CD38486_.wvu.PrintTitles" localSheetId="16" hidden="1">'SD2'!$2:$3</definedName>
    <definedName name="Z_B67A0BFB_4603_4093_A911_42348CD38486_.wvu.PrintTitles" localSheetId="23" hidden="1">'SD6'!$2:$7</definedName>
    <definedName name="Z_B67A0BFB_4603_4093_A911_42348CD38486_.wvu.PrintTitles" localSheetId="17" hidden="1">'SDK3'!$2:$4</definedName>
    <definedName name="Z_B67A0BFB_4603_4093_A911_42348CD38486_.wvu.PrintTitles" localSheetId="25" hidden="1">'SDK7'!$2:$2</definedName>
    <definedName name="Z_B67A0BFB_4603_4093_A911_42348CD38486_.wvu.Rows" localSheetId="59" hidden="1">Begr!$11:$12</definedName>
    <definedName name="Z_B67A0BFB_4603_4093_A911_42348CD38486_.wvu.Rows" localSheetId="4" hidden="1">'EK1'!$23:$24</definedName>
    <definedName name="Z_B67A0BFB_4603_4093_A911_42348CD38486_.wvu.Rows" localSheetId="5" hidden="1">'EK2'!$23:$24</definedName>
    <definedName name="Z_B67A0BFB_4603_4093_A911_42348CD38486_.wvu.Rows" localSheetId="58" hidden="1">'FAKT-Brachebegrünung'!$11:$12</definedName>
    <definedName name="Z_B67A0BFB_4603_4093_A911_42348CD38486_.wvu.Rows" localSheetId="51" hidden="1">FrühKa!$11:$12</definedName>
    <definedName name="Z_B67A0BFB_4603_4093_A911_42348CD38486_.wvu.Rows" localSheetId="52" hidden="1">FrühKaFolieBer!$11:$12</definedName>
    <definedName name="Z_B67A0BFB_4603_4093_A911_42348CD38486_.wvu.Rows" localSheetId="0" hidden="1">Inhalt!$60:$60,Inhalt!$66:$67,Inhalt!$72:$83,Inhalt!$87:$87</definedName>
    <definedName name="Z_B67A0BFB_4603_4093_A911_42348CD38486_.wvu.Rows" localSheetId="40" hidden="1">KöM!$11:$12</definedName>
    <definedName name="Z_B67A0BFB_4603_4093_A911_42348CD38486_.wvu.Rows" localSheetId="28" hidden="1">Kostenrechnung!$33:$33,Kostenrechnung!$60:$60,Kostenrechnung!$91:$110</definedName>
    <definedName name="Z_B67A0BFB_4603_4093_A911_42348CD38486_.wvu.Rows" localSheetId="16" hidden="1">'SD2'!$89:$92</definedName>
    <definedName name="Z_B67A0BFB_4603_4093_A911_42348CD38486_.wvu.Rows" localSheetId="26" hidden="1">'SD8'!$37:$38,'SD8'!$57:$57</definedName>
    <definedName name="Z_B67A0BFB_4603_4093_A911_42348CD38486_.wvu.Rows" localSheetId="8" hidden="1">'SDK1'!$43:$44,'SDK1'!$62:$62</definedName>
    <definedName name="Z_B67A0BFB_4603_4093_A911_42348CD38486_.wvu.Rows" localSheetId="17" hidden="1">'SDK3'!$82:$92,'SDK3'!$106:$108</definedName>
    <definedName name="Z_B67A0BFB_4603_4093_A911_42348CD38486_.wvu.Rows" localSheetId="19" hidden="1">'SDK4'!$19:$32</definedName>
    <definedName name="Z_B67A0BFB_4603_4093_A911_42348CD38486_.wvu.Rows" localSheetId="21" hidden="1">'SDK5'!$94:$195</definedName>
    <definedName name="Z_B67A0BFB_4603_4093_A911_42348CD38486_.wvu.Rows" localSheetId="25" hidden="1">'SDK7'!$117:$175,'SDK7'!$246:$253</definedName>
    <definedName name="Z_B67A0BFB_4603_4093_A911_42348CD38486_.wvu.Rows" localSheetId="57" hidden="1">SoBl!$11:$12</definedName>
    <definedName name="Z_B67A0BFB_4603_4093_A911_42348CD38486_.wvu.Rows" localSheetId="53" hidden="1">SpKa!$11:$12</definedName>
    <definedName name="Z_B67A0BFB_4603_4093_A911_42348CD38486_.wvu.Rows" localSheetId="54" hidden="1">SpKaBer!$11:$12</definedName>
    <definedName name="Z_B67A0BFB_4603_4093_A911_42348CD38486_.wvu.Rows" localSheetId="30" hidden="1">'WW1'!#REF!</definedName>
    <definedName name="Z_B67A0BFB_4603_4093_A911_42348CD38486_.wvu.Rows" localSheetId="50" hidden="1">ZR!$11:$12</definedName>
  </definedNames>
  <calcPr calcId="162913"/>
</workbook>
</file>

<file path=xl/calcChain.xml><?xml version="1.0" encoding="utf-8"?>
<calcChain xmlns="http://schemas.openxmlformats.org/spreadsheetml/2006/main">
  <c r="CR63" i="21" l="1"/>
  <c r="CR64" i="21"/>
  <c r="BL64" i="21"/>
  <c r="BL63" i="21"/>
  <c r="AF63" i="21"/>
  <c r="BK63" i="21"/>
  <c r="CT64" i="21"/>
  <c r="BN64" i="21"/>
  <c r="AH64" i="21"/>
  <c r="I17" i="22" l="1"/>
  <c r="L17" i="22"/>
  <c r="O17" i="22"/>
  <c r="Q17" i="22"/>
  <c r="I34" i="19" l="1"/>
  <c r="I35" i="19"/>
  <c r="I36" i="19"/>
  <c r="I37" i="19"/>
  <c r="I33" i="19"/>
  <c r="J33" i="19"/>
  <c r="K33" i="19"/>
  <c r="H34" i="19"/>
  <c r="H35" i="19"/>
  <c r="H36" i="19"/>
  <c r="H37" i="19"/>
  <c r="H33" i="19"/>
  <c r="H32" i="19" l="1"/>
  <c r="H31" i="19"/>
  <c r="H30" i="19"/>
  <c r="H28" i="19"/>
  <c r="K28" i="19"/>
  <c r="J28" i="19"/>
  <c r="I28" i="19"/>
  <c r="D32" i="19"/>
  <c r="D31" i="19"/>
  <c r="D30" i="19"/>
  <c r="J30" i="19"/>
  <c r="K30" i="19"/>
  <c r="I30" i="19"/>
  <c r="D28" i="19"/>
  <c r="I29" i="19"/>
  <c r="J29" i="19"/>
  <c r="K29" i="19"/>
  <c r="H29" i="19"/>
  <c r="J27" i="19"/>
  <c r="K27" i="19"/>
  <c r="I27" i="19"/>
  <c r="H27" i="19"/>
  <c r="H16" i="19"/>
  <c r="I16" i="19"/>
  <c r="J16" i="19"/>
  <c r="K16" i="19"/>
  <c r="H17" i="19"/>
  <c r="I17" i="19"/>
  <c r="J17" i="19"/>
  <c r="K17" i="19"/>
  <c r="H18" i="19"/>
  <c r="I18" i="19"/>
  <c r="J18" i="19"/>
  <c r="K18" i="19"/>
  <c r="H19" i="19"/>
  <c r="I19" i="19"/>
  <c r="J19" i="19"/>
  <c r="K19" i="19"/>
  <c r="H20" i="19"/>
  <c r="I20" i="19"/>
  <c r="J20" i="19"/>
  <c r="K20" i="19"/>
  <c r="H21" i="19"/>
  <c r="I21" i="19"/>
  <c r="J21" i="19"/>
  <c r="K21" i="19"/>
  <c r="H22" i="19"/>
  <c r="I22" i="19"/>
  <c r="J22" i="19"/>
  <c r="K22" i="19"/>
  <c r="H23" i="19"/>
  <c r="I23" i="19"/>
  <c r="J23" i="19"/>
  <c r="K23" i="19"/>
  <c r="H24" i="19"/>
  <c r="I24" i="19"/>
  <c r="J24" i="19"/>
  <c r="K24" i="19"/>
  <c r="H25" i="19"/>
  <c r="I25" i="19"/>
  <c r="J25" i="19"/>
  <c r="K25" i="19"/>
  <c r="H26" i="19"/>
  <c r="I26" i="19"/>
  <c r="J26" i="19"/>
  <c r="K26" i="19"/>
  <c r="S41" i="19"/>
  <c r="K15" i="19" l="1"/>
  <c r="J15" i="19"/>
  <c r="I15" i="19"/>
  <c r="H15" i="19"/>
  <c r="H13" i="19"/>
  <c r="H12" i="19"/>
  <c r="I12" i="19"/>
  <c r="J12" i="19"/>
  <c r="K12" i="19"/>
  <c r="I13" i="19"/>
  <c r="J13" i="19"/>
  <c r="K13" i="19"/>
  <c r="I14" i="19"/>
  <c r="J14" i="19"/>
  <c r="K14" i="19"/>
  <c r="H14" i="19"/>
  <c r="J11" i="19"/>
  <c r="I11" i="19"/>
  <c r="H11" i="19"/>
  <c r="K11" i="19"/>
  <c r="I10" i="19"/>
  <c r="J10" i="19"/>
  <c r="K10" i="19"/>
  <c r="H10" i="19"/>
  <c r="F30" i="22" s="1"/>
  <c r="E30" i="22"/>
  <c r="H50" i="44" l="1"/>
  <c r="F36" i="38" l="1"/>
  <c r="B215"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C208" i="16"/>
  <c r="AG208" i="16" s="1"/>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C207" i="16"/>
  <c r="AG207" i="16" s="1"/>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C206" i="16"/>
  <c r="AG206" i="16" s="1"/>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C205"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C204" i="16"/>
  <c r="AG204" i="16" s="1"/>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C203" i="16"/>
  <c r="AG203" i="16" s="1"/>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C202" i="16"/>
  <c r="AG202" i="16" s="1"/>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C201"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C200" i="16"/>
  <c r="AG200" i="16" s="1"/>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C199" i="16"/>
  <c r="AG199" i="16" s="1"/>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C198" i="16"/>
  <c r="AG198" i="16" s="1"/>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C197"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C196" i="16"/>
  <c r="AG196" i="16" s="1"/>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C195" i="16"/>
  <c r="AG195" i="16" s="1"/>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C194" i="16"/>
  <c r="AG194" i="16" s="1"/>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C193"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C192" i="16"/>
  <c r="AG192" i="16" s="1"/>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C191" i="16"/>
  <c r="AG191" i="16" s="1"/>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C190" i="16"/>
  <c r="AG190" i="16" s="1"/>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C189"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C188" i="16"/>
  <c r="AG188" i="16" s="1"/>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C187" i="16"/>
  <c r="AG187" i="16" s="1"/>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C186"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C185"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C184" i="16"/>
  <c r="AG184" i="16" s="1"/>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C183" i="16"/>
  <c r="AG183" i="16" s="1"/>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C182"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C181"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C180" i="16"/>
  <c r="AG180" i="16" s="1"/>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C179" i="16"/>
  <c r="AG179" i="16" s="1"/>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C178"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C177"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C176" i="16"/>
  <c r="AG176" i="16" s="1"/>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C175" i="16"/>
  <c r="AG175" i="16" s="1"/>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C174"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C173"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C172" i="16"/>
  <c r="AG172" i="16" s="1"/>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C171" i="16"/>
  <c r="AG171" i="16" s="1"/>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C170"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C169"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C168" i="16"/>
  <c r="AG168" i="16" s="1"/>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C167" i="16"/>
  <c r="AG167" i="16" s="1"/>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C166"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C165"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C164" i="16"/>
  <c r="AG164" i="16" s="1"/>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C163" i="16"/>
  <c r="AG163" i="16" s="1"/>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C162"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C161"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C160" i="16"/>
  <c r="AG160" i="16" s="1"/>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C159" i="16"/>
  <c r="AG159" i="16" s="1"/>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C158"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C157"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C156" i="16"/>
  <c r="AG156" i="16" s="1"/>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C155" i="16"/>
  <c r="AG155" i="16" s="1"/>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C154"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C153"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C152" i="16"/>
  <c r="AG152" i="16" s="1"/>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C151" i="16"/>
  <c r="AG151" i="16" s="1"/>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C150"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C149"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C148" i="16"/>
  <c r="AG148" i="16" s="1"/>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C147" i="16"/>
  <c r="AG147" i="16" s="1"/>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C146"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C145"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C144" i="16"/>
  <c r="AG144" i="16" s="1"/>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C143" i="16"/>
  <c r="AG143" i="16" s="1"/>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C142"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C141"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C140" i="16"/>
  <c r="AG140" i="16" s="1"/>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C139" i="16"/>
  <c r="AG139" i="16" s="1"/>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C138"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C137"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C136" i="16"/>
  <c r="AG136" i="16" s="1"/>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C135" i="16"/>
  <c r="AG135" i="16" s="1"/>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C134"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C133"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C132" i="16"/>
  <c r="AG132" i="16" s="1"/>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C131" i="16"/>
  <c r="AG131" i="16" s="1"/>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C130"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C129"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C128" i="16"/>
  <c r="AG128" i="16" s="1"/>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C127" i="16"/>
  <c r="AG127" i="16" s="1"/>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C126"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C125"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C124" i="16"/>
  <c r="AG124" i="16" s="1"/>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C123" i="16"/>
  <c r="AG123" i="16" s="1"/>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C122"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C121"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C120" i="16"/>
  <c r="AG120" i="16" s="1"/>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C119" i="16"/>
  <c r="AG119" i="16" s="1"/>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C118"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C117"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C116" i="16"/>
  <c r="AG116" i="16" s="1"/>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C115" i="16"/>
  <c r="AG115" i="16" s="1"/>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C114"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C113"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C112" i="16"/>
  <c r="AG112" i="16" s="1"/>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C111" i="16"/>
  <c r="B111" i="16"/>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C110" i="16"/>
  <c r="AF109" i="16"/>
  <c r="AE109" i="16"/>
  <c r="AE215" i="16" s="1"/>
  <c r="AD109" i="16"/>
  <c r="AC109" i="16"/>
  <c r="AB109" i="16"/>
  <c r="AA109" i="16"/>
  <c r="AA214" i="16" s="1"/>
  <c r="Z109" i="16"/>
  <c r="Y109" i="16"/>
  <c r="X109" i="16"/>
  <c r="W109" i="16"/>
  <c r="W215" i="16" s="1"/>
  <c r="V109" i="16"/>
  <c r="U109" i="16"/>
  <c r="T109" i="16"/>
  <c r="S109" i="16"/>
  <c r="S214" i="16" s="1"/>
  <c r="R109" i="16"/>
  <c r="Q109" i="16"/>
  <c r="P109" i="16"/>
  <c r="O109" i="16"/>
  <c r="O215" i="16" s="1"/>
  <c r="N109" i="16"/>
  <c r="M109" i="16"/>
  <c r="L109" i="16"/>
  <c r="K109" i="16"/>
  <c r="K214" i="16" s="1"/>
  <c r="J109" i="16"/>
  <c r="I109" i="16"/>
  <c r="H109" i="16"/>
  <c r="G109" i="16"/>
  <c r="F109"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BC64" i="16"/>
  <c r="BB64" i="16"/>
  <c r="AZ64" i="16"/>
  <c r="AW64" i="16"/>
  <c r="AV64" i="16"/>
  <c r="AQ64" i="16"/>
  <c r="AG64" i="16"/>
  <c r="BC63" i="16"/>
  <c r="BB63" i="16"/>
  <c r="AZ63" i="16"/>
  <c r="AW63" i="16"/>
  <c r="AV63" i="16"/>
  <c r="AQ63" i="16"/>
  <c r="AG63" i="16"/>
  <c r="BC62" i="16"/>
  <c r="BB62" i="16"/>
  <c r="AZ62" i="16"/>
  <c r="AW62" i="16"/>
  <c r="AV62" i="16"/>
  <c r="AQ62" i="16"/>
  <c r="AG62" i="16"/>
  <c r="BC61" i="16"/>
  <c r="BB61" i="16"/>
  <c r="AZ61" i="16"/>
  <c r="AW61" i="16"/>
  <c r="AV61" i="16"/>
  <c r="AQ61" i="16"/>
  <c r="AG61" i="16"/>
  <c r="BC60" i="16"/>
  <c r="BB60" i="16"/>
  <c r="AZ60" i="16"/>
  <c r="AW60" i="16"/>
  <c r="AV60" i="16"/>
  <c r="AQ60" i="16"/>
  <c r="AG60" i="16"/>
  <c r="BC59" i="16"/>
  <c r="BB59" i="16"/>
  <c r="AZ59" i="16"/>
  <c r="AW59" i="16"/>
  <c r="AV59" i="16"/>
  <c r="AQ59" i="16"/>
  <c r="AG59" i="16"/>
  <c r="BC58" i="16"/>
  <c r="BB58" i="16"/>
  <c r="AZ58" i="16"/>
  <c r="AW58" i="16"/>
  <c r="AV58" i="16"/>
  <c r="AQ58" i="16"/>
  <c r="AG58" i="16"/>
  <c r="BC57" i="16"/>
  <c r="BB57" i="16"/>
  <c r="AZ57" i="16"/>
  <c r="AW57" i="16"/>
  <c r="AV57" i="16"/>
  <c r="AQ57" i="16"/>
  <c r="AG57" i="16"/>
  <c r="BC56" i="16"/>
  <c r="BB56" i="16"/>
  <c r="AZ56" i="16"/>
  <c r="AW56" i="16"/>
  <c r="AV56" i="16"/>
  <c r="AQ56" i="16"/>
  <c r="AG56" i="16"/>
  <c r="BC55" i="16"/>
  <c r="BB55" i="16"/>
  <c r="AZ55" i="16"/>
  <c r="AW55" i="16"/>
  <c r="AV55" i="16"/>
  <c r="AQ55" i="16"/>
  <c r="AG55" i="16"/>
  <c r="BC54" i="16"/>
  <c r="BB54" i="16"/>
  <c r="AZ54" i="16"/>
  <c r="AW54" i="16"/>
  <c r="AV54" i="16"/>
  <c r="AQ54" i="16"/>
  <c r="AG54" i="16"/>
  <c r="BC53" i="16"/>
  <c r="BB53" i="16"/>
  <c r="AZ53" i="16"/>
  <c r="AW53" i="16"/>
  <c r="AV53" i="16"/>
  <c r="AQ53" i="16"/>
  <c r="AG53" i="16"/>
  <c r="BC52" i="16"/>
  <c r="BB52" i="16"/>
  <c r="AZ52" i="16"/>
  <c r="AW52" i="16"/>
  <c r="AV52" i="16"/>
  <c r="AQ52" i="16"/>
  <c r="AG52" i="16"/>
  <c r="BC51" i="16"/>
  <c r="BB51" i="16"/>
  <c r="AZ51" i="16"/>
  <c r="AW51" i="16"/>
  <c r="AV51" i="16"/>
  <c r="AQ51" i="16"/>
  <c r="AG51" i="16"/>
  <c r="BC50" i="16"/>
  <c r="BB50" i="16"/>
  <c r="AZ50" i="16"/>
  <c r="AW50" i="16"/>
  <c r="AV50" i="16"/>
  <c r="AQ50" i="16"/>
  <c r="AG50" i="16"/>
  <c r="BC49" i="16"/>
  <c r="BB49" i="16"/>
  <c r="AZ49" i="16"/>
  <c r="AW49" i="16"/>
  <c r="AV49" i="16"/>
  <c r="AQ49" i="16"/>
  <c r="AG49" i="16"/>
  <c r="BC48" i="16"/>
  <c r="BB48" i="16"/>
  <c r="AZ48" i="16"/>
  <c r="AW48" i="16"/>
  <c r="AV48" i="16"/>
  <c r="AQ48" i="16"/>
  <c r="AG48" i="16"/>
  <c r="BC47" i="16"/>
  <c r="BB47" i="16"/>
  <c r="AZ47" i="16"/>
  <c r="AW47" i="16"/>
  <c r="AV47" i="16"/>
  <c r="AQ47" i="16"/>
  <c r="AG47" i="16"/>
  <c r="BC46" i="16"/>
  <c r="BB46" i="16"/>
  <c r="AZ46" i="16"/>
  <c r="AW46" i="16"/>
  <c r="AV46" i="16"/>
  <c r="AQ46" i="16"/>
  <c r="AG46" i="16"/>
  <c r="BC45" i="16"/>
  <c r="BB45" i="16"/>
  <c r="AZ45" i="16"/>
  <c r="AW45" i="16"/>
  <c r="AV45" i="16"/>
  <c r="AQ45" i="16"/>
  <c r="AG45" i="16"/>
  <c r="BC44" i="16"/>
  <c r="BB44" i="16"/>
  <c r="AZ44" i="16"/>
  <c r="AW44" i="16"/>
  <c r="AV44" i="16"/>
  <c r="AQ44" i="16"/>
  <c r="AG44" i="16"/>
  <c r="BC43" i="16"/>
  <c r="BB43" i="16"/>
  <c r="AZ43" i="16"/>
  <c r="AW43" i="16"/>
  <c r="AV43" i="16"/>
  <c r="AQ43" i="16"/>
  <c r="AG43" i="16"/>
  <c r="BC42" i="16"/>
  <c r="BB42" i="16"/>
  <c r="AZ42" i="16"/>
  <c r="AW42" i="16"/>
  <c r="AV42" i="16"/>
  <c r="AQ42" i="16"/>
  <c r="AG42" i="16"/>
  <c r="BC41" i="16"/>
  <c r="BB41" i="16"/>
  <c r="AZ41" i="16"/>
  <c r="AW41" i="16"/>
  <c r="AV41" i="16"/>
  <c r="AQ41" i="16"/>
  <c r="AG41" i="16"/>
  <c r="BC40" i="16"/>
  <c r="BB40" i="16"/>
  <c r="AZ40" i="16"/>
  <c r="AW40" i="16"/>
  <c r="AV40" i="16"/>
  <c r="AQ40" i="16"/>
  <c r="AG40" i="16"/>
  <c r="BC39" i="16"/>
  <c r="BB39" i="16"/>
  <c r="AZ39" i="16"/>
  <c r="AW39" i="16"/>
  <c r="AV39" i="16"/>
  <c r="AQ39" i="16"/>
  <c r="AG39" i="16"/>
  <c r="BC38" i="16"/>
  <c r="BB38" i="16"/>
  <c r="AZ38" i="16"/>
  <c r="AW38" i="16"/>
  <c r="AV38" i="16"/>
  <c r="AQ38" i="16"/>
  <c r="AG38" i="16"/>
  <c r="BC37" i="16"/>
  <c r="BB37" i="16"/>
  <c r="AZ37" i="16"/>
  <c r="AW37" i="16"/>
  <c r="AV37" i="16"/>
  <c r="AQ37" i="16"/>
  <c r="AG37" i="16"/>
  <c r="BC36" i="16"/>
  <c r="BB36" i="16"/>
  <c r="AZ36" i="16"/>
  <c r="AW36" i="16"/>
  <c r="AV36" i="16"/>
  <c r="AQ36" i="16"/>
  <c r="AG36" i="16"/>
  <c r="BC35" i="16"/>
  <c r="BB35" i="16"/>
  <c r="AZ35" i="16"/>
  <c r="AW35" i="16"/>
  <c r="AV35" i="16"/>
  <c r="AQ35" i="16"/>
  <c r="AG35" i="16"/>
  <c r="BC34" i="16"/>
  <c r="BB34" i="16"/>
  <c r="AZ34" i="16"/>
  <c r="AW34" i="16"/>
  <c r="AV34" i="16"/>
  <c r="AQ34" i="16"/>
  <c r="AG34" i="16"/>
  <c r="BC33" i="16"/>
  <c r="BB33" i="16"/>
  <c r="AZ33" i="16"/>
  <c r="AW33" i="16"/>
  <c r="AV33" i="16"/>
  <c r="AQ33" i="16"/>
  <c r="AG33" i="16"/>
  <c r="BC32" i="16"/>
  <c r="BB32" i="16"/>
  <c r="AZ32" i="16"/>
  <c r="AW32" i="16"/>
  <c r="AV32" i="16"/>
  <c r="AQ32" i="16"/>
  <c r="AG32" i="16"/>
  <c r="BC31" i="16"/>
  <c r="BB31" i="16"/>
  <c r="AZ31" i="16"/>
  <c r="AW31" i="16"/>
  <c r="AV31" i="16"/>
  <c r="AQ31" i="16"/>
  <c r="AG31" i="16"/>
  <c r="BC30" i="16"/>
  <c r="BB30" i="16"/>
  <c r="AZ30" i="16"/>
  <c r="AW30" i="16"/>
  <c r="AV30" i="16"/>
  <c r="AQ30" i="16"/>
  <c r="AG30" i="16"/>
  <c r="BC29" i="16"/>
  <c r="BB29" i="16"/>
  <c r="AZ29" i="16"/>
  <c r="AW29" i="16"/>
  <c r="AV29" i="16"/>
  <c r="AQ29" i="16"/>
  <c r="AG29" i="16"/>
  <c r="BC28" i="16"/>
  <c r="BB28" i="16"/>
  <c r="AZ28" i="16"/>
  <c r="AW28" i="16"/>
  <c r="AV28" i="16"/>
  <c r="AQ28" i="16"/>
  <c r="AG28" i="16"/>
  <c r="BC27" i="16"/>
  <c r="BB27" i="16"/>
  <c r="AZ27" i="16"/>
  <c r="AW27" i="16"/>
  <c r="AV27" i="16"/>
  <c r="AQ27" i="16"/>
  <c r="AG27" i="16"/>
  <c r="BC26" i="16"/>
  <c r="BB26" i="16"/>
  <c r="AZ26" i="16"/>
  <c r="AW26" i="16"/>
  <c r="AV26" i="16"/>
  <c r="AQ26" i="16"/>
  <c r="AG26" i="16"/>
  <c r="BC25" i="16"/>
  <c r="BB25" i="16"/>
  <c r="AZ25" i="16"/>
  <c r="AW25" i="16"/>
  <c r="AV25" i="16"/>
  <c r="AQ25" i="16"/>
  <c r="AG25" i="16"/>
  <c r="BC24" i="16"/>
  <c r="BB24" i="16"/>
  <c r="AZ24" i="16"/>
  <c r="AW24" i="16"/>
  <c r="AV24" i="16"/>
  <c r="AQ24" i="16"/>
  <c r="AG24" i="16"/>
  <c r="BC23" i="16"/>
  <c r="BB23" i="16"/>
  <c r="AZ23" i="16"/>
  <c r="AW23" i="16"/>
  <c r="AV23" i="16"/>
  <c r="AQ23" i="16"/>
  <c r="AG23" i="16"/>
  <c r="BC22" i="16"/>
  <c r="BB22" i="16"/>
  <c r="AZ22" i="16"/>
  <c r="AW22" i="16"/>
  <c r="AV22" i="16"/>
  <c r="AQ22" i="16"/>
  <c r="AG22" i="16"/>
  <c r="BC21" i="16"/>
  <c r="BB21" i="16"/>
  <c r="AZ21" i="16"/>
  <c r="AW21" i="16"/>
  <c r="AV21" i="16"/>
  <c r="AQ21" i="16"/>
  <c r="AG21" i="16"/>
  <c r="BC20" i="16"/>
  <c r="BB20" i="16"/>
  <c r="AZ20" i="16"/>
  <c r="AW20" i="16"/>
  <c r="AV20" i="16"/>
  <c r="AQ20" i="16"/>
  <c r="AG20" i="16"/>
  <c r="BC19" i="16"/>
  <c r="BB19" i="16"/>
  <c r="AZ19" i="16"/>
  <c r="AW19" i="16"/>
  <c r="AV19" i="16"/>
  <c r="AQ19" i="16"/>
  <c r="AG19" i="16"/>
  <c r="BC18" i="16"/>
  <c r="BB18" i="16"/>
  <c r="AZ18" i="16"/>
  <c r="AW18" i="16"/>
  <c r="AV18" i="16"/>
  <c r="AQ18" i="16"/>
  <c r="AG18" i="16"/>
  <c r="BC17" i="16"/>
  <c r="BB17" i="16"/>
  <c r="AZ17" i="16"/>
  <c r="AW17" i="16"/>
  <c r="AV17" i="16"/>
  <c r="AQ17" i="16"/>
  <c r="AG17" i="16"/>
  <c r="BC16" i="16"/>
  <c r="BB16" i="16"/>
  <c r="AZ16" i="16"/>
  <c r="AW16" i="16"/>
  <c r="AV16" i="16"/>
  <c r="AQ16" i="16"/>
  <c r="AG16" i="16"/>
  <c r="BC15" i="16"/>
  <c r="BB15" i="16"/>
  <c r="AZ15" i="16"/>
  <c r="AW15" i="16"/>
  <c r="AV15" i="16"/>
  <c r="AQ15" i="16"/>
  <c r="AP15" i="16"/>
  <c r="AG15" i="16"/>
  <c r="AG14" i="16"/>
  <c r="AG13" i="16"/>
  <c r="AG12" i="16"/>
  <c r="AG11" i="16"/>
  <c r="AG10" i="16"/>
  <c r="AG9" i="16"/>
  <c r="AG8" i="16"/>
  <c r="AG7" i="16"/>
  <c r="B7" i="16"/>
  <c r="B8" i="16" s="1"/>
  <c r="AG6" i="16"/>
  <c r="B6" i="16"/>
  <c r="AP16" i="16" s="1"/>
  <c r="AG5" i="16"/>
  <c r="AP2" i="16"/>
  <c r="F36" i="37"/>
  <c r="B9" i="16" l="1"/>
  <c r="AP18" i="16"/>
  <c r="AP17" i="16"/>
  <c r="T214" i="16"/>
  <c r="L214" i="16"/>
  <c r="AB214" i="16"/>
  <c r="M214" i="16"/>
  <c r="U214" i="16"/>
  <c r="AC214" i="16"/>
  <c r="F214" i="16"/>
  <c r="N214" i="16"/>
  <c r="V214" i="16"/>
  <c r="AD214" i="16"/>
  <c r="W214" i="16"/>
  <c r="AE214" i="16"/>
  <c r="P214" i="16"/>
  <c r="P215" i="16"/>
  <c r="O214" i="16"/>
  <c r="H214" i="16"/>
  <c r="H215" i="16"/>
  <c r="X214" i="16"/>
  <c r="X215" i="16"/>
  <c r="I214" i="16"/>
  <c r="Q214" i="16"/>
  <c r="Y214" i="16"/>
  <c r="AD215" i="16"/>
  <c r="G214" i="16"/>
  <c r="AF214" i="16"/>
  <c r="AF215" i="16"/>
  <c r="J214" i="16"/>
  <c r="R214" i="16"/>
  <c r="Z214" i="16"/>
  <c r="G215" i="16"/>
  <c r="I215" i="16"/>
  <c r="Q215" i="16"/>
  <c r="Y215" i="16"/>
  <c r="B216" i="16"/>
  <c r="J215" i="16"/>
  <c r="R215" i="16"/>
  <c r="Z215" i="16"/>
  <c r="K215" i="16"/>
  <c r="S215" i="16"/>
  <c r="AA215" i="16"/>
  <c r="L215" i="16"/>
  <c r="T215" i="16"/>
  <c r="AB215" i="16"/>
  <c r="M215" i="16"/>
  <c r="U215" i="16"/>
  <c r="AC215" i="16"/>
  <c r="F215" i="16"/>
  <c r="N215" i="16"/>
  <c r="V215" i="16"/>
  <c r="Z216" i="16" l="1"/>
  <c r="R216" i="16"/>
  <c r="J216" i="16"/>
  <c r="B217" i="16"/>
  <c r="Y216" i="16"/>
  <c r="Q216" i="16"/>
  <c r="I216" i="16"/>
  <c r="AF216" i="16"/>
  <c r="X216" i="16"/>
  <c r="P216" i="16"/>
  <c r="H216" i="16"/>
  <c r="AE216" i="16"/>
  <c r="W216" i="16"/>
  <c r="O216" i="16"/>
  <c r="G216" i="16"/>
  <c r="AD216" i="16"/>
  <c r="V216" i="16"/>
  <c r="N216" i="16"/>
  <c r="F216" i="16"/>
  <c r="AC216" i="16"/>
  <c r="U216" i="16"/>
  <c r="M216" i="16"/>
  <c r="AB216" i="16"/>
  <c r="T216" i="16"/>
  <c r="L216" i="16"/>
  <c r="AA216" i="16"/>
  <c r="S216" i="16"/>
  <c r="K216" i="16"/>
  <c r="AP19" i="16"/>
  <c r="B10" i="16"/>
  <c r="AD217" i="16" l="1"/>
  <c r="V217" i="16"/>
  <c r="N217" i="16"/>
  <c r="F217" i="16"/>
  <c r="AC217" i="16"/>
  <c r="U217" i="16"/>
  <c r="M217" i="16"/>
  <c r="AB217" i="16"/>
  <c r="T217" i="16"/>
  <c r="L217" i="16"/>
  <c r="AA217" i="16"/>
  <c r="S217" i="16"/>
  <c r="K217" i="16"/>
  <c r="Z217" i="16"/>
  <c r="R217" i="16"/>
  <c r="J217" i="16"/>
  <c r="B218" i="16"/>
  <c r="Y217" i="16"/>
  <c r="Q217" i="16"/>
  <c r="I217" i="16"/>
  <c r="AF217" i="16"/>
  <c r="X217" i="16"/>
  <c r="P217" i="16"/>
  <c r="H217" i="16"/>
  <c r="O217" i="16"/>
  <c r="G217" i="16"/>
  <c r="AE217" i="16"/>
  <c r="W217" i="16"/>
  <c r="AP20" i="16"/>
  <c r="B11" i="16"/>
  <c r="B12" i="16" l="1"/>
  <c r="AP21" i="16"/>
  <c r="Z218" i="16"/>
  <c r="R218" i="16"/>
  <c r="J218" i="16"/>
  <c r="B219" i="16"/>
  <c r="Y218" i="16"/>
  <c r="Q218" i="16"/>
  <c r="I218" i="16"/>
  <c r="AF218" i="16"/>
  <c r="X218" i="16"/>
  <c r="P218" i="16"/>
  <c r="H218" i="16"/>
  <c r="AE218" i="16"/>
  <c r="W218" i="16"/>
  <c r="O218" i="16"/>
  <c r="G218" i="16"/>
  <c r="AD218" i="16"/>
  <c r="V218" i="16"/>
  <c r="N218" i="16"/>
  <c r="F218" i="16"/>
  <c r="AC218" i="16"/>
  <c r="U218" i="16"/>
  <c r="M218" i="16"/>
  <c r="AB218" i="16"/>
  <c r="T218" i="16"/>
  <c r="L218" i="16"/>
  <c r="AA218" i="16"/>
  <c r="S218" i="16"/>
  <c r="K218" i="16"/>
  <c r="AD219" i="16" l="1"/>
  <c r="V219" i="16"/>
  <c r="N219" i="16"/>
  <c r="F219" i="16"/>
  <c r="AC219" i="16"/>
  <c r="U219" i="16"/>
  <c r="M219" i="16"/>
  <c r="AB219" i="16"/>
  <c r="T219" i="16"/>
  <c r="L219" i="16"/>
  <c r="AA219" i="16"/>
  <c r="S219" i="16"/>
  <c r="K219" i="16"/>
  <c r="Z219" i="16"/>
  <c r="R219" i="16"/>
  <c r="J219" i="16"/>
  <c r="B220" i="16"/>
  <c r="Y219" i="16"/>
  <c r="Q219" i="16"/>
  <c r="I219" i="16"/>
  <c r="AF219" i="16"/>
  <c r="X219" i="16"/>
  <c r="P219" i="16"/>
  <c r="H219" i="16"/>
  <c r="W219" i="16"/>
  <c r="O219" i="16"/>
  <c r="G219" i="16"/>
  <c r="AE219" i="16"/>
  <c r="B13" i="16"/>
  <c r="AP22" i="16"/>
  <c r="AP23" i="16" l="1"/>
  <c r="B14" i="16"/>
  <c r="Z220" i="16"/>
  <c r="R220" i="16"/>
  <c r="J220" i="16"/>
  <c r="B221" i="16"/>
  <c r="Y220" i="16"/>
  <c r="Q220" i="16"/>
  <c r="I220" i="16"/>
  <c r="AF220" i="16"/>
  <c r="X220" i="16"/>
  <c r="P220" i="16"/>
  <c r="H220" i="16"/>
  <c r="AE220" i="16"/>
  <c r="W220" i="16"/>
  <c r="O220" i="16"/>
  <c r="G220" i="16"/>
  <c r="AD220" i="16"/>
  <c r="V220" i="16"/>
  <c r="N220" i="16"/>
  <c r="F220" i="16"/>
  <c r="AC220" i="16"/>
  <c r="U220" i="16"/>
  <c r="M220" i="16"/>
  <c r="AB220" i="16"/>
  <c r="T220" i="16"/>
  <c r="L220" i="16"/>
  <c r="AA220" i="16"/>
  <c r="S220" i="16"/>
  <c r="K220" i="16"/>
  <c r="AD221" i="16" l="1"/>
  <c r="V221" i="16"/>
  <c r="N221" i="16"/>
  <c r="F221" i="16"/>
  <c r="AC221" i="16"/>
  <c r="U221" i="16"/>
  <c r="M221" i="16"/>
  <c r="AB221" i="16"/>
  <c r="T221" i="16"/>
  <c r="L221" i="16"/>
  <c r="AA221" i="16"/>
  <c r="S221" i="16"/>
  <c r="K221" i="16"/>
  <c r="Z221" i="16"/>
  <c r="R221" i="16"/>
  <c r="J221" i="16"/>
  <c r="B222" i="16"/>
  <c r="Y221" i="16"/>
  <c r="Q221" i="16"/>
  <c r="I221" i="16"/>
  <c r="AF221" i="16"/>
  <c r="X221" i="16"/>
  <c r="P221" i="16"/>
  <c r="H221" i="16"/>
  <c r="AE221" i="16"/>
  <c r="W221" i="16"/>
  <c r="O221" i="16"/>
  <c r="G221" i="16"/>
  <c r="AP24" i="16"/>
  <c r="B15" i="16"/>
  <c r="B16" i="16" l="1"/>
  <c r="AP25" i="16"/>
  <c r="Z222" i="16"/>
  <c r="R222" i="16"/>
  <c r="J222" i="16"/>
  <c r="B223" i="16"/>
  <c r="Y222" i="16"/>
  <c r="Q222" i="16"/>
  <c r="I222" i="16"/>
  <c r="AF222" i="16"/>
  <c r="X222" i="16"/>
  <c r="P222" i="16"/>
  <c r="H222" i="16"/>
  <c r="AE222" i="16"/>
  <c r="W222" i="16"/>
  <c r="O222" i="16"/>
  <c r="G222" i="16"/>
  <c r="AD222" i="16"/>
  <c r="V222" i="16"/>
  <c r="N222" i="16"/>
  <c r="F222" i="16"/>
  <c r="AC222" i="16"/>
  <c r="U222" i="16"/>
  <c r="M222" i="16"/>
  <c r="AB222" i="16"/>
  <c r="T222" i="16"/>
  <c r="L222" i="16"/>
  <c r="AA222" i="16"/>
  <c r="K222" i="16"/>
  <c r="S222" i="16"/>
  <c r="AD223" i="16" l="1"/>
  <c r="V223" i="16"/>
  <c r="N223" i="16"/>
  <c r="F223" i="16"/>
  <c r="AC223" i="16"/>
  <c r="U223" i="16"/>
  <c r="M223" i="16"/>
  <c r="AB223" i="16"/>
  <c r="T223" i="16"/>
  <c r="L223" i="16"/>
  <c r="AA223" i="16"/>
  <c r="S223" i="16"/>
  <c r="K223" i="16"/>
  <c r="Z223" i="16"/>
  <c r="R223" i="16"/>
  <c r="J223" i="16"/>
  <c r="B224" i="16"/>
  <c r="Y223" i="16"/>
  <c r="Q223" i="16"/>
  <c r="I223" i="16"/>
  <c r="AF223" i="16"/>
  <c r="X223" i="16"/>
  <c r="P223" i="16"/>
  <c r="H223" i="16"/>
  <c r="AE223" i="16"/>
  <c r="W223" i="16"/>
  <c r="O223" i="16"/>
  <c r="G223" i="16"/>
  <c r="B17" i="16"/>
  <c r="AP26" i="16"/>
  <c r="AP27" i="16" l="1"/>
  <c r="B18" i="16"/>
  <c r="Z224" i="16"/>
  <c r="R224" i="16"/>
  <c r="J224" i="16"/>
  <c r="B225" i="16"/>
  <c r="Y224" i="16"/>
  <c r="Q224" i="16"/>
  <c r="I224" i="16"/>
  <c r="AF224" i="16"/>
  <c r="X224" i="16"/>
  <c r="P224" i="16"/>
  <c r="H224" i="16"/>
  <c r="AE224" i="16"/>
  <c r="W224" i="16"/>
  <c r="O224" i="16"/>
  <c r="G224" i="16"/>
  <c r="AD224" i="16"/>
  <c r="V224" i="16"/>
  <c r="N224" i="16"/>
  <c r="F224" i="16"/>
  <c r="AC224" i="16"/>
  <c r="U224" i="16"/>
  <c r="M224" i="16"/>
  <c r="AB224" i="16"/>
  <c r="T224" i="16"/>
  <c r="L224" i="16"/>
  <c r="K224" i="16"/>
  <c r="AA224" i="16"/>
  <c r="S224" i="16"/>
  <c r="AD225" i="16" l="1"/>
  <c r="V225" i="16"/>
  <c r="N225" i="16"/>
  <c r="F225" i="16"/>
  <c r="AC225" i="16"/>
  <c r="U225" i="16"/>
  <c r="M225" i="16"/>
  <c r="AB225" i="16"/>
  <c r="T225" i="16"/>
  <c r="L225" i="16"/>
  <c r="AA225" i="16"/>
  <c r="S225" i="16"/>
  <c r="K225" i="16"/>
  <c r="Z225" i="16"/>
  <c r="R225" i="16"/>
  <c r="J225" i="16"/>
  <c r="B226" i="16"/>
  <c r="Y225" i="16"/>
  <c r="Q225" i="16"/>
  <c r="I225" i="16"/>
  <c r="AF225" i="16"/>
  <c r="X225" i="16"/>
  <c r="P225" i="16"/>
  <c r="H225" i="16"/>
  <c r="AE225" i="16"/>
  <c r="W225" i="16"/>
  <c r="O225" i="16"/>
  <c r="G225" i="16"/>
  <c r="AP28" i="16"/>
  <c r="B19" i="16"/>
  <c r="B20" i="16" l="1"/>
  <c r="AP29" i="16"/>
  <c r="Z226" i="16"/>
  <c r="R226" i="16"/>
  <c r="J226" i="16"/>
  <c r="B227" i="16"/>
  <c r="Y226" i="16"/>
  <c r="Q226" i="16"/>
  <c r="I226" i="16"/>
  <c r="AF226" i="16"/>
  <c r="X226" i="16"/>
  <c r="P226" i="16"/>
  <c r="H226" i="16"/>
  <c r="AE226" i="16"/>
  <c r="W226" i="16"/>
  <c r="O226" i="16"/>
  <c r="G226" i="16"/>
  <c r="AD226" i="16"/>
  <c r="V226" i="16"/>
  <c r="N226" i="16"/>
  <c r="F226" i="16"/>
  <c r="AC226" i="16"/>
  <c r="U226" i="16"/>
  <c r="M226" i="16"/>
  <c r="AB226" i="16"/>
  <c r="T226" i="16"/>
  <c r="L226" i="16"/>
  <c r="S226" i="16"/>
  <c r="K226" i="16"/>
  <c r="AA226" i="16"/>
  <c r="AD227" i="16" l="1"/>
  <c r="V227" i="16"/>
  <c r="N227" i="16"/>
  <c r="F227" i="16"/>
  <c r="AC227" i="16"/>
  <c r="U227" i="16"/>
  <c r="M227" i="16"/>
  <c r="AB227" i="16"/>
  <c r="T227" i="16"/>
  <c r="L227" i="16"/>
  <c r="AA227" i="16"/>
  <c r="S227" i="16"/>
  <c r="K227" i="16"/>
  <c r="Z227" i="16"/>
  <c r="R227" i="16"/>
  <c r="J227" i="16"/>
  <c r="B228" i="16"/>
  <c r="Y227" i="16"/>
  <c r="Q227" i="16"/>
  <c r="I227" i="16"/>
  <c r="AF227" i="16"/>
  <c r="X227" i="16"/>
  <c r="P227" i="16"/>
  <c r="H227" i="16"/>
  <c r="AE227" i="16"/>
  <c r="W227" i="16"/>
  <c r="O227" i="16"/>
  <c r="G227" i="16"/>
  <c r="B21" i="16"/>
  <c r="AP30" i="16"/>
  <c r="AP31" i="16" l="1"/>
  <c r="B22" i="16"/>
  <c r="Z228" i="16"/>
  <c r="R228" i="16"/>
  <c r="J228" i="16"/>
  <c r="B229" i="16"/>
  <c r="Y228" i="16"/>
  <c r="Q228" i="16"/>
  <c r="I228" i="16"/>
  <c r="AF228" i="16"/>
  <c r="X228" i="16"/>
  <c r="P228" i="16"/>
  <c r="H228" i="16"/>
  <c r="AE228" i="16"/>
  <c r="W228" i="16"/>
  <c r="O228" i="16"/>
  <c r="G228" i="16"/>
  <c r="AD228" i="16"/>
  <c r="V228" i="16"/>
  <c r="N228" i="16"/>
  <c r="F228" i="16"/>
  <c r="AC228" i="16"/>
  <c r="U228" i="16"/>
  <c r="M228" i="16"/>
  <c r="AB228" i="16"/>
  <c r="T228" i="16"/>
  <c r="L228" i="16"/>
  <c r="AA228" i="16"/>
  <c r="S228" i="16"/>
  <c r="K228" i="16"/>
  <c r="AD229" i="16" l="1"/>
  <c r="V229" i="16"/>
  <c r="N229" i="16"/>
  <c r="F229" i="16"/>
  <c r="AC229" i="16"/>
  <c r="U229" i="16"/>
  <c r="M229" i="16"/>
  <c r="AB229" i="16"/>
  <c r="T229" i="16"/>
  <c r="L229" i="16"/>
  <c r="AA229" i="16"/>
  <c r="S229" i="16"/>
  <c r="K229" i="16"/>
  <c r="Z229" i="16"/>
  <c r="R229" i="16"/>
  <c r="J229" i="16"/>
  <c r="B230" i="16"/>
  <c r="Y229" i="16"/>
  <c r="Q229" i="16"/>
  <c r="I229" i="16"/>
  <c r="AF229" i="16"/>
  <c r="X229" i="16"/>
  <c r="P229" i="16"/>
  <c r="H229" i="16"/>
  <c r="AE229" i="16"/>
  <c r="G229" i="16"/>
  <c r="W229" i="16"/>
  <c r="O229" i="16"/>
  <c r="AP32" i="16"/>
  <c r="B23" i="16"/>
  <c r="B24" i="16" l="1"/>
  <c r="AP33" i="16"/>
  <c r="Z230" i="16"/>
  <c r="R230" i="16"/>
  <c r="J230" i="16"/>
  <c r="B231" i="16"/>
  <c r="Y230" i="16"/>
  <c r="Q230" i="16"/>
  <c r="I230" i="16"/>
  <c r="AF230" i="16"/>
  <c r="X230" i="16"/>
  <c r="P230" i="16"/>
  <c r="H230" i="16"/>
  <c r="AE230" i="16"/>
  <c r="W230" i="16"/>
  <c r="O230" i="16"/>
  <c r="G230" i="16"/>
  <c r="AD230" i="16"/>
  <c r="V230" i="16"/>
  <c r="N230" i="16"/>
  <c r="F230" i="16"/>
  <c r="AC230" i="16"/>
  <c r="U230" i="16"/>
  <c r="M230" i="16"/>
  <c r="AB230" i="16"/>
  <c r="T230" i="16"/>
  <c r="L230" i="16"/>
  <c r="AA230" i="16"/>
  <c r="S230" i="16"/>
  <c r="K230" i="16"/>
  <c r="AD231" i="16" l="1"/>
  <c r="V231" i="16"/>
  <c r="N231" i="16"/>
  <c r="F231" i="16"/>
  <c r="AC231" i="16"/>
  <c r="U231" i="16"/>
  <c r="M231" i="16"/>
  <c r="AB231" i="16"/>
  <c r="T231" i="16"/>
  <c r="L231" i="16"/>
  <c r="AA231" i="16"/>
  <c r="S231" i="16"/>
  <c r="K231" i="16"/>
  <c r="Z231" i="16"/>
  <c r="R231" i="16"/>
  <c r="J231" i="16"/>
  <c r="B232" i="16"/>
  <c r="Y231" i="16"/>
  <c r="Q231" i="16"/>
  <c r="I231" i="16"/>
  <c r="AF231" i="16"/>
  <c r="X231" i="16"/>
  <c r="P231" i="16"/>
  <c r="H231" i="16"/>
  <c r="G231" i="16"/>
  <c r="AE231" i="16"/>
  <c r="W231" i="16"/>
  <c r="O231" i="16"/>
  <c r="B25" i="16"/>
  <c r="AP34" i="16"/>
  <c r="AP35" i="16" l="1"/>
  <c r="B26" i="16"/>
  <c r="Z232" i="16"/>
  <c r="R232" i="16"/>
  <c r="J232" i="16"/>
  <c r="B233" i="16"/>
  <c r="Y232" i="16"/>
  <c r="Q232" i="16"/>
  <c r="I232" i="16"/>
  <c r="AF232" i="16"/>
  <c r="X232" i="16"/>
  <c r="P232" i="16"/>
  <c r="H232" i="16"/>
  <c r="AE232" i="16"/>
  <c r="W232" i="16"/>
  <c r="O232" i="16"/>
  <c r="G232" i="16"/>
  <c r="AD232" i="16"/>
  <c r="V232" i="16"/>
  <c r="N232" i="16"/>
  <c r="F232" i="16"/>
  <c r="AC232" i="16"/>
  <c r="U232" i="16"/>
  <c r="M232" i="16"/>
  <c r="AB232" i="16"/>
  <c r="T232" i="16"/>
  <c r="L232" i="16"/>
  <c r="AA232" i="16"/>
  <c r="S232" i="16"/>
  <c r="K232" i="16"/>
  <c r="AD233" i="16" l="1"/>
  <c r="V233" i="16"/>
  <c r="N233" i="16"/>
  <c r="F233" i="16"/>
  <c r="AC233" i="16"/>
  <c r="U233" i="16"/>
  <c r="M233" i="16"/>
  <c r="AB233" i="16"/>
  <c r="T233" i="16"/>
  <c r="L233" i="16"/>
  <c r="AA233" i="16"/>
  <c r="S233" i="16"/>
  <c r="K233" i="16"/>
  <c r="Z233" i="16"/>
  <c r="R233" i="16"/>
  <c r="J233" i="16"/>
  <c r="B234" i="16"/>
  <c r="Y233" i="16"/>
  <c r="Q233" i="16"/>
  <c r="I233" i="16"/>
  <c r="AF233" i="16"/>
  <c r="X233" i="16"/>
  <c r="P233" i="16"/>
  <c r="H233" i="16"/>
  <c r="O233" i="16"/>
  <c r="G233" i="16"/>
  <c r="W233" i="16"/>
  <c r="AE233" i="16"/>
  <c r="AP36" i="16"/>
  <c r="B27" i="16"/>
  <c r="B28" i="16" l="1"/>
  <c r="AP37" i="16"/>
  <c r="Z234" i="16"/>
  <c r="R234" i="16"/>
  <c r="J234" i="16"/>
  <c r="B235" i="16"/>
  <c r="Y234" i="16"/>
  <c r="Q234" i="16"/>
  <c r="I234" i="16"/>
  <c r="AF234" i="16"/>
  <c r="X234" i="16"/>
  <c r="P234" i="16"/>
  <c r="H234" i="16"/>
  <c r="AE234" i="16"/>
  <c r="W234" i="16"/>
  <c r="O234" i="16"/>
  <c r="G234" i="16"/>
  <c r="AD234" i="16"/>
  <c r="V234" i="16"/>
  <c r="N234" i="16"/>
  <c r="F234" i="16"/>
  <c r="AC234" i="16"/>
  <c r="U234" i="16"/>
  <c r="M234" i="16"/>
  <c r="AB234" i="16"/>
  <c r="T234" i="16"/>
  <c r="L234" i="16"/>
  <c r="AA234" i="16"/>
  <c r="S234" i="16"/>
  <c r="K234" i="16"/>
  <c r="AD235" i="16" l="1"/>
  <c r="V235" i="16"/>
  <c r="N235" i="16"/>
  <c r="F235" i="16"/>
  <c r="AC235" i="16"/>
  <c r="U235" i="16"/>
  <c r="M235" i="16"/>
  <c r="AB235" i="16"/>
  <c r="T235" i="16"/>
  <c r="L235" i="16"/>
  <c r="AA235" i="16"/>
  <c r="S235" i="16"/>
  <c r="K235" i="16"/>
  <c r="Z235" i="16"/>
  <c r="R235" i="16"/>
  <c r="J235" i="16"/>
  <c r="B236" i="16"/>
  <c r="Y235" i="16"/>
  <c r="Q235" i="16"/>
  <c r="I235" i="16"/>
  <c r="AF235" i="16"/>
  <c r="X235" i="16"/>
  <c r="P235" i="16"/>
  <c r="H235" i="16"/>
  <c r="W235" i="16"/>
  <c r="O235" i="16"/>
  <c r="G235" i="16"/>
  <c r="AE235" i="16"/>
  <c r="B29" i="16"/>
  <c r="AP38" i="16"/>
  <c r="AP39" i="16" l="1"/>
  <c r="B30" i="16"/>
  <c r="Z236" i="16"/>
  <c r="R236" i="16"/>
  <c r="J236" i="16"/>
  <c r="B237" i="16"/>
  <c r="Y236" i="16"/>
  <c r="Q236" i="16"/>
  <c r="I236" i="16"/>
  <c r="AF236" i="16"/>
  <c r="X236" i="16"/>
  <c r="P236" i="16"/>
  <c r="H236" i="16"/>
  <c r="AE236" i="16"/>
  <c r="W236" i="16"/>
  <c r="O236" i="16"/>
  <c r="G236" i="16"/>
  <c r="AD236" i="16"/>
  <c r="V236" i="16"/>
  <c r="N236" i="16"/>
  <c r="F236" i="16"/>
  <c r="AC236" i="16"/>
  <c r="U236" i="16"/>
  <c r="M236" i="16"/>
  <c r="AB236" i="16"/>
  <c r="T236" i="16"/>
  <c r="L236" i="16"/>
  <c r="AA236" i="16"/>
  <c r="S236" i="16"/>
  <c r="K236" i="16"/>
  <c r="AD237" i="16" l="1"/>
  <c r="V237" i="16"/>
  <c r="N237" i="16"/>
  <c r="F237" i="16"/>
  <c r="AC237" i="16"/>
  <c r="U237" i="16"/>
  <c r="M237" i="16"/>
  <c r="AB237" i="16"/>
  <c r="T237" i="16"/>
  <c r="L237" i="16"/>
  <c r="AA237" i="16"/>
  <c r="S237" i="16"/>
  <c r="K237" i="16"/>
  <c r="Z237" i="16"/>
  <c r="R237" i="16"/>
  <c r="J237" i="16"/>
  <c r="B238" i="16"/>
  <c r="Y237" i="16"/>
  <c r="Q237" i="16"/>
  <c r="I237" i="16"/>
  <c r="AF237" i="16"/>
  <c r="X237" i="16"/>
  <c r="P237" i="16"/>
  <c r="H237" i="16"/>
  <c r="AE237" i="16"/>
  <c r="W237" i="16"/>
  <c r="O237" i="16"/>
  <c r="G237" i="16"/>
  <c r="AP40" i="16"/>
  <c r="B31" i="16"/>
  <c r="B32" i="16" l="1"/>
  <c r="AP41" i="16"/>
  <c r="Z238" i="16"/>
  <c r="R238" i="16"/>
  <c r="J238" i="16"/>
  <c r="B239" i="16"/>
  <c r="Y238" i="16"/>
  <c r="Q238" i="16"/>
  <c r="I238" i="16"/>
  <c r="AF238" i="16"/>
  <c r="X238" i="16"/>
  <c r="P238" i="16"/>
  <c r="H238" i="16"/>
  <c r="AE238" i="16"/>
  <c r="W238" i="16"/>
  <c r="O238" i="16"/>
  <c r="G238" i="16"/>
  <c r="AD238" i="16"/>
  <c r="V238" i="16"/>
  <c r="N238" i="16"/>
  <c r="F238" i="16"/>
  <c r="AC238" i="16"/>
  <c r="U238" i="16"/>
  <c r="M238" i="16"/>
  <c r="AB238" i="16"/>
  <c r="T238" i="16"/>
  <c r="L238" i="16"/>
  <c r="AA238" i="16"/>
  <c r="S238" i="16"/>
  <c r="K238" i="16"/>
  <c r="AD239" i="16" l="1"/>
  <c r="V239" i="16"/>
  <c r="N239" i="16"/>
  <c r="F239" i="16"/>
  <c r="AC239" i="16"/>
  <c r="U239" i="16"/>
  <c r="M239" i="16"/>
  <c r="AB239" i="16"/>
  <c r="T239" i="16"/>
  <c r="L239" i="16"/>
  <c r="AA239" i="16"/>
  <c r="S239" i="16"/>
  <c r="K239" i="16"/>
  <c r="Z239" i="16"/>
  <c r="R239" i="16"/>
  <c r="J239" i="16"/>
  <c r="B240" i="16"/>
  <c r="Y239" i="16"/>
  <c r="Q239" i="16"/>
  <c r="I239" i="16"/>
  <c r="AF239" i="16"/>
  <c r="X239" i="16"/>
  <c r="P239" i="16"/>
  <c r="H239" i="16"/>
  <c r="AE239" i="16"/>
  <c r="W239" i="16"/>
  <c r="O239" i="16"/>
  <c r="G239" i="16"/>
  <c r="B33" i="16"/>
  <c r="AP42" i="16"/>
  <c r="AP43" i="16" l="1"/>
  <c r="B34" i="16"/>
  <c r="Z240" i="16"/>
  <c r="R240" i="16"/>
  <c r="J240" i="16"/>
  <c r="B241" i="16"/>
  <c r="Y240" i="16"/>
  <c r="Q240" i="16"/>
  <c r="I240" i="16"/>
  <c r="AF240" i="16"/>
  <c r="X240" i="16"/>
  <c r="P240" i="16"/>
  <c r="H240" i="16"/>
  <c r="AE240" i="16"/>
  <c r="W240" i="16"/>
  <c r="O240" i="16"/>
  <c r="G240" i="16"/>
  <c r="AD240" i="16"/>
  <c r="V240" i="16"/>
  <c r="N240" i="16"/>
  <c r="F240" i="16"/>
  <c r="AC240" i="16"/>
  <c r="U240" i="16"/>
  <c r="M240" i="16"/>
  <c r="AB240" i="16"/>
  <c r="T240" i="16"/>
  <c r="L240" i="16"/>
  <c r="K240" i="16"/>
  <c r="S240" i="16"/>
  <c r="AA240" i="16"/>
  <c r="AD241" i="16" l="1"/>
  <c r="V241" i="16"/>
  <c r="N241" i="16"/>
  <c r="F241" i="16"/>
  <c r="AC241" i="16"/>
  <c r="U241" i="16"/>
  <c r="M241" i="16"/>
  <c r="AB241" i="16"/>
  <c r="T241" i="16"/>
  <c r="L241" i="16"/>
  <c r="AA241" i="16"/>
  <c r="S241" i="16"/>
  <c r="K241" i="16"/>
  <c r="Z241" i="16"/>
  <c r="R241" i="16"/>
  <c r="J241" i="16"/>
  <c r="B242" i="16"/>
  <c r="Y241" i="16"/>
  <c r="Q241" i="16"/>
  <c r="I241" i="16"/>
  <c r="AF241" i="16"/>
  <c r="X241" i="16"/>
  <c r="P241" i="16"/>
  <c r="H241" i="16"/>
  <c r="AE241" i="16"/>
  <c r="W241" i="16"/>
  <c r="O241" i="16"/>
  <c r="G241" i="16"/>
  <c r="AP44" i="16"/>
  <c r="B35" i="16"/>
  <c r="B36" i="16" l="1"/>
  <c r="AP45" i="16"/>
  <c r="Z242" i="16"/>
  <c r="R242" i="16"/>
  <c r="J242" i="16"/>
  <c r="B243" i="16"/>
  <c r="Y242" i="16"/>
  <c r="Q242" i="16"/>
  <c r="I242" i="16"/>
  <c r="AF242" i="16"/>
  <c r="X242" i="16"/>
  <c r="P242" i="16"/>
  <c r="H242" i="16"/>
  <c r="AE242" i="16"/>
  <c r="W242" i="16"/>
  <c r="O242" i="16"/>
  <c r="G242" i="16"/>
  <c r="AD242" i="16"/>
  <c r="V242" i="16"/>
  <c r="N242" i="16"/>
  <c r="F242" i="16"/>
  <c r="AC242" i="16"/>
  <c r="U242" i="16"/>
  <c r="M242" i="16"/>
  <c r="AB242" i="16"/>
  <c r="T242" i="16"/>
  <c r="L242" i="16"/>
  <c r="S242" i="16"/>
  <c r="K242" i="16"/>
  <c r="AA242" i="16"/>
  <c r="AD243" i="16" l="1"/>
  <c r="V243" i="16"/>
  <c r="N243" i="16"/>
  <c r="F243" i="16"/>
  <c r="AC243" i="16"/>
  <c r="U243" i="16"/>
  <c r="M243" i="16"/>
  <c r="AB243" i="16"/>
  <c r="T243" i="16"/>
  <c r="L243" i="16"/>
  <c r="AA243" i="16"/>
  <c r="S243" i="16"/>
  <c r="K243" i="16"/>
  <c r="Z243" i="16"/>
  <c r="R243" i="16"/>
  <c r="J243" i="16"/>
  <c r="B244" i="16"/>
  <c r="Y243" i="16"/>
  <c r="Q243" i="16"/>
  <c r="I243" i="16"/>
  <c r="AF243" i="16"/>
  <c r="X243" i="16"/>
  <c r="P243" i="16"/>
  <c r="H243" i="16"/>
  <c r="AE243" i="16"/>
  <c r="W243" i="16"/>
  <c r="O243" i="16"/>
  <c r="G243" i="16"/>
  <c r="B37" i="16"/>
  <c r="AP46" i="16"/>
  <c r="AP47" i="16" l="1"/>
  <c r="B38" i="16"/>
  <c r="Z244" i="16"/>
  <c r="R244" i="16"/>
  <c r="J244" i="16"/>
  <c r="B245" i="16"/>
  <c r="Y244" i="16"/>
  <c r="Q244" i="16"/>
  <c r="I244" i="16"/>
  <c r="AF244" i="16"/>
  <c r="X244" i="16"/>
  <c r="P244" i="16"/>
  <c r="H244" i="16"/>
  <c r="AE244" i="16"/>
  <c r="W244" i="16"/>
  <c r="O244" i="16"/>
  <c r="G244" i="16"/>
  <c r="AD244" i="16"/>
  <c r="V244" i="16"/>
  <c r="N244" i="16"/>
  <c r="F244" i="16"/>
  <c r="AC244" i="16"/>
  <c r="U244" i="16"/>
  <c r="M244" i="16"/>
  <c r="AB244" i="16"/>
  <c r="T244" i="16"/>
  <c r="L244" i="16"/>
  <c r="AA244" i="16"/>
  <c r="S244" i="16"/>
  <c r="K244" i="16"/>
  <c r="AP48" i="16" l="1"/>
  <c r="B39" i="16"/>
  <c r="AD245" i="16"/>
  <c r="V245" i="16"/>
  <c r="N245" i="16"/>
  <c r="F245" i="16"/>
  <c r="AC245" i="16"/>
  <c r="U245" i="16"/>
  <c r="M245" i="16"/>
  <c r="AB245" i="16"/>
  <c r="T245" i="16"/>
  <c r="L245" i="16"/>
  <c r="AA245" i="16"/>
  <c r="S245" i="16"/>
  <c r="K245" i="16"/>
  <c r="Z245" i="16"/>
  <c r="R245" i="16"/>
  <c r="J245" i="16"/>
  <c r="B246" i="16"/>
  <c r="Y245" i="16"/>
  <c r="Q245" i="16"/>
  <c r="I245" i="16"/>
  <c r="AF245" i="16"/>
  <c r="X245" i="16"/>
  <c r="P245" i="16"/>
  <c r="H245" i="16"/>
  <c r="AE245" i="16"/>
  <c r="G245" i="16"/>
  <c r="W245" i="16"/>
  <c r="O245" i="16"/>
  <c r="AP49" i="16" l="1"/>
  <c r="B40" i="16"/>
  <c r="AE246" i="16"/>
  <c r="Z246" i="16"/>
  <c r="R246" i="16"/>
  <c r="J246" i="16"/>
  <c r="Y246" i="16"/>
  <c r="Q246" i="16"/>
  <c r="I246" i="16"/>
  <c r="B247" i="16"/>
  <c r="X246" i="16"/>
  <c r="P246" i="16"/>
  <c r="H246" i="16"/>
  <c r="AF246" i="16"/>
  <c r="W246" i="16"/>
  <c r="O246" i="16"/>
  <c r="G246" i="16"/>
  <c r="AD246" i="16"/>
  <c r="V246" i="16"/>
  <c r="N246" i="16"/>
  <c r="F246" i="16"/>
  <c r="AC246" i="16"/>
  <c r="U246" i="16"/>
  <c r="M246" i="16"/>
  <c r="AB246" i="16"/>
  <c r="T246" i="16"/>
  <c r="L246" i="16"/>
  <c r="AA246" i="16"/>
  <c r="S246" i="16"/>
  <c r="K246" i="16"/>
  <c r="AD247" i="16" l="1"/>
  <c r="V247" i="16"/>
  <c r="N247" i="16"/>
  <c r="F247" i="16"/>
  <c r="AA247" i="16"/>
  <c r="S247" i="16"/>
  <c r="K247" i="16"/>
  <c r="B248" i="16"/>
  <c r="Y247" i="16"/>
  <c r="Q247" i="16"/>
  <c r="I247" i="16"/>
  <c r="AF247" i="16"/>
  <c r="X247" i="16"/>
  <c r="P247" i="16"/>
  <c r="W247" i="16"/>
  <c r="H247" i="16"/>
  <c r="U247" i="16"/>
  <c r="G247" i="16"/>
  <c r="T247" i="16"/>
  <c r="R247" i="16"/>
  <c r="AE247" i="16"/>
  <c r="O247" i="16"/>
  <c r="AC247" i="16"/>
  <c r="M247" i="16"/>
  <c r="AB247" i="16"/>
  <c r="L247" i="16"/>
  <c r="J247" i="16"/>
  <c r="Z247" i="16"/>
  <c r="AP50" i="16"/>
  <c r="B41" i="16"/>
  <c r="Z248" i="16" l="1"/>
  <c r="R248" i="16"/>
  <c r="J248" i="16"/>
  <c r="AE248" i="16"/>
  <c r="W248" i="16"/>
  <c r="O248" i="16"/>
  <c r="G248" i="16"/>
  <c r="AC248" i="16"/>
  <c r="U248" i="16"/>
  <c r="M248" i="16"/>
  <c r="AB248" i="16"/>
  <c r="T248" i="16"/>
  <c r="L248" i="16"/>
  <c r="AA248" i="16"/>
  <c r="K248" i="16"/>
  <c r="Y248" i="16"/>
  <c r="I248" i="16"/>
  <c r="X248" i="16"/>
  <c r="H248" i="16"/>
  <c r="V248" i="16"/>
  <c r="F248" i="16"/>
  <c r="S248" i="16"/>
  <c r="B249" i="16"/>
  <c r="Q248" i="16"/>
  <c r="AF248" i="16"/>
  <c r="P248" i="16"/>
  <c r="AD248" i="16"/>
  <c r="N248" i="16"/>
  <c r="AP51" i="16"/>
  <c r="B42" i="16"/>
  <c r="AD249" i="16" l="1"/>
  <c r="V249" i="16"/>
  <c r="N249" i="16"/>
  <c r="F249" i="16"/>
  <c r="AA249" i="16"/>
  <c r="S249" i="16"/>
  <c r="K249" i="16"/>
  <c r="B250" i="16"/>
  <c r="Y249" i="16"/>
  <c r="Q249" i="16"/>
  <c r="I249" i="16"/>
  <c r="AF249" i="16"/>
  <c r="X249" i="16"/>
  <c r="P249" i="16"/>
  <c r="H249" i="16"/>
  <c r="AE249" i="16"/>
  <c r="O249" i="16"/>
  <c r="AC249" i="16"/>
  <c r="M249" i="16"/>
  <c r="AB249" i="16"/>
  <c r="L249" i="16"/>
  <c r="Z249" i="16"/>
  <c r="J249" i="16"/>
  <c r="W249" i="16"/>
  <c r="G249" i="16"/>
  <c r="U249" i="16"/>
  <c r="T249" i="16"/>
  <c r="R249" i="16"/>
  <c r="AP52" i="16"/>
  <c r="B43" i="16"/>
  <c r="Z250" i="16" l="1"/>
  <c r="R250" i="16"/>
  <c r="J250" i="16"/>
  <c r="AF250" i="16"/>
  <c r="AE250" i="16"/>
  <c r="W250" i="16"/>
  <c r="O250" i="16"/>
  <c r="G250" i="16"/>
  <c r="AC250" i="16"/>
  <c r="U250" i="16"/>
  <c r="M250" i="16"/>
  <c r="AB250" i="16"/>
  <c r="T250" i="16"/>
  <c r="L250" i="16"/>
  <c r="S250" i="16"/>
  <c r="Q250" i="16"/>
  <c r="B251" i="16"/>
  <c r="P250" i="16"/>
  <c r="AD250" i="16"/>
  <c r="N250" i="16"/>
  <c r="AA250" i="16"/>
  <c r="K250" i="16"/>
  <c r="Y250" i="16"/>
  <c r="I250" i="16"/>
  <c r="X250" i="16"/>
  <c r="H250" i="16"/>
  <c r="V250" i="16"/>
  <c r="F250" i="16"/>
  <c r="AP53" i="16"/>
  <c r="B44" i="16"/>
  <c r="AP54" i="16" l="1"/>
  <c r="B45" i="16"/>
  <c r="AD251" i="16"/>
  <c r="V251" i="16"/>
  <c r="N251" i="16"/>
  <c r="F251" i="16"/>
  <c r="AB251" i="16"/>
  <c r="T251" i="16"/>
  <c r="L251" i="16"/>
  <c r="AA251" i="16"/>
  <c r="S251" i="16"/>
  <c r="K251" i="16"/>
  <c r="Z251" i="16"/>
  <c r="R251" i="16"/>
  <c r="J251" i="16"/>
  <c r="B252" i="16"/>
  <c r="Y251" i="16"/>
  <c r="Q251" i="16"/>
  <c r="I251" i="16"/>
  <c r="AF251" i="16"/>
  <c r="X251" i="16"/>
  <c r="P251" i="16"/>
  <c r="H251" i="16"/>
  <c r="M251" i="16"/>
  <c r="G251" i="16"/>
  <c r="AE251" i="16"/>
  <c r="AC251" i="16"/>
  <c r="W251" i="16"/>
  <c r="U251" i="16"/>
  <c r="O251" i="16"/>
  <c r="Z252" i="16" l="1"/>
  <c r="R252" i="16"/>
  <c r="J252" i="16"/>
  <c r="AF252" i="16"/>
  <c r="X252" i="16"/>
  <c r="P252" i="16"/>
  <c r="H252" i="16"/>
  <c r="AE252" i="16"/>
  <c r="W252" i="16"/>
  <c r="O252" i="16"/>
  <c r="G252" i="16"/>
  <c r="AD252" i="16"/>
  <c r="V252" i="16"/>
  <c r="N252" i="16"/>
  <c r="F252" i="16"/>
  <c r="AC252" i="16"/>
  <c r="U252" i="16"/>
  <c r="M252" i="16"/>
  <c r="AB252" i="16"/>
  <c r="T252" i="16"/>
  <c r="L252" i="16"/>
  <c r="Q252" i="16"/>
  <c r="K252" i="16"/>
  <c r="I252" i="16"/>
  <c r="B253" i="16"/>
  <c r="AA252" i="16"/>
  <c r="Y252" i="16"/>
  <c r="S252" i="16"/>
  <c r="AP55" i="16"/>
  <c r="B46" i="16"/>
  <c r="B47" i="16" l="1"/>
  <c r="AP56" i="16"/>
  <c r="AD253" i="16"/>
  <c r="V253" i="16"/>
  <c r="N253" i="16"/>
  <c r="F253" i="16"/>
  <c r="AB253" i="16"/>
  <c r="T253" i="16"/>
  <c r="L253" i="16"/>
  <c r="AA253" i="16"/>
  <c r="S253" i="16"/>
  <c r="K253" i="16"/>
  <c r="Z253" i="16"/>
  <c r="R253" i="16"/>
  <c r="J253" i="16"/>
  <c r="B254" i="16"/>
  <c r="Y253" i="16"/>
  <c r="Q253" i="16"/>
  <c r="I253" i="16"/>
  <c r="AF253" i="16"/>
  <c r="X253" i="16"/>
  <c r="P253" i="16"/>
  <c r="H253" i="16"/>
  <c r="U253" i="16"/>
  <c r="O253" i="16"/>
  <c r="M253" i="16"/>
  <c r="G253" i="16"/>
  <c r="AE253" i="16"/>
  <c r="AC253" i="16"/>
  <c r="W253" i="16"/>
  <c r="Z254" i="16" l="1"/>
  <c r="R254" i="16"/>
  <c r="J254" i="16"/>
  <c r="B255" i="16"/>
  <c r="Y254" i="16"/>
  <c r="Q254" i="16"/>
  <c r="AF254" i="16"/>
  <c r="X254" i="16"/>
  <c r="P254" i="16"/>
  <c r="H254" i="16"/>
  <c r="AE254" i="16"/>
  <c r="W254" i="16"/>
  <c r="O254" i="16"/>
  <c r="G254" i="16"/>
  <c r="AD254" i="16"/>
  <c r="V254" i="16"/>
  <c r="N254" i="16"/>
  <c r="F254" i="16"/>
  <c r="AC254" i="16"/>
  <c r="U254" i="16"/>
  <c r="M254" i="16"/>
  <c r="AB254" i="16"/>
  <c r="T254" i="16"/>
  <c r="L254" i="16"/>
  <c r="AA254" i="16"/>
  <c r="S254" i="16"/>
  <c r="K254" i="16"/>
  <c r="I254" i="16"/>
  <c r="B48" i="16"/>
  <c r="AP57" i="16"/>
  <c r="AD255" i="16" l="1"/>
  <c r="V255" i="16"/>
  <c r="N255" i="16"/>
  <c r="F255" i="16"/>
  <c r="AC255" i="16"/>
  <c r="U255" i="16"/>
  <c r="M255" i="16"/>
  <c r="AB255" i="16"/>
  <c r="T255" i="16"/>
  <c r="L255" i="16"/>
  <c r="AA255" i="16"/>
  <c r="S255" i="16"/>
  <c r="K255" i="16"/>
  <c r="Z255" i="16"/>
  <c r="R255" i="16"/>
  <c r="J255" i="16"/>
  <c r="B256" i="16"/>
  <c r="Y255" i="16"/>
  <c r="Q255" i="16"/>
  <c r="I255" i="16"/>
  <c r="AF255" i="16"/>
  <c r="X255" i="16"/>
  <c r="P255" i="16"/>
  <c r="H255" i="16"/>
  <c r="G255" i="16"/>
  <c r="AE255" i="16"/>
  <c r="W255" i="16"/>
  <c r="O255" i="16"/>
  <c r="AP58" i="16"/>
  <c r="B49" i="16"/>
  <c r="B50" i="16" l="1"/>
  <c r="AP59" i="16"/>
  <c r="Z256" i="16"/>
  <c r="R256" i="16"/>
  <c r="J256" i="16"/>
  <c r="B257" i="16"/>
  <c r="Y256" i="16"/>
  <c r="Q256" i="16"/>
  <c r="I256" i="16"/>
  <c r="AF256" i="16"/>
  <c r="X256" i="16"/>
  <c r="P256" i="16"/>
  <c r="H256" i="16"/>
  <c r="AE256" i="16"/>
  <c r="W256" i="16"/>
  <c r="O256" i="16"/>
  <c r="G256" i="16"/>
  <c r="AD256" i="16"/>
  <c r="V256" i="16"/>
  <c r="N256" i="16"/>
  <c r="F256" i="16"/>
  <c r="AC256" i="16"/>
  <c r="U256" i="16"/>
  <c r="M256" i="16"/>
  <c r="AB256" i="16"/>
  <c r="T256" i="16"/>
  <c r="L256" i="16"/>
  <c r="AA256" i="16"/>
  <c r="S256" i="16"/>
  <c r="K256" i="16"/>
  <c r="AD257" i="16" l="1"/>
  <c r="V257" i="16"/>
  <c r="N257" i="16"/>
  <c r="F257" i="16"/>
  <c r="AC257" i="16"/>
  <c r="U257" i="16"/>
  <c r="M257" i="16"/>
  <c r="AB257" i="16"/>
  <c r="T257" i="16"/>
  <c r="L257" i="16"/>
  <c r="AA257" i="16"/>
  <c r="S257" i="16"/>
  <c r="K257" i="16"/>
  <c r="Z257" i="16"/>
  <c r="R257" i="16"/>
  <c r="J257" i="16"/>
  <c r="B258" i="16"/>
  <c r="Y257" i="16"/>
  <c r="Q257" i="16"/>
  <c r="I257" i="16"/>
  <c r="AF257" i="16"/>
  <c r="X257" i="16"/>
  <c r="P257" i="16"/>
  <c r="H257" i="16"/>
  <c r="O257" i="16"/>
  <c r="G257" i="16"/>
  <c r="AE257" i="16"/>
  <c r="W257" i="16"/>
  <c r="B51" i="16"/>
  <c r="AP60" i="16"/>
  <c r="AP61" i="16" l="1"/>
  <c r="B52" i="16"/>
  <c r="Z258" i="16"/>
  <c r="R258" i="16"/>
  <c r="J258" i="16"/>
  <c r="B259" i="16"/>
  <c r="Y258" i="16"/>
  <c r="Q258" i="16"/>
  <c r="I258" i="16"/>
  <c r="AF258" i="16"/>
  <c r="X258" i="16"/>
  <c r="P258" i="16"/>
  <c r="H258" i="16"/>
  <c r="AE258" i="16"/>
  <c r="W258" i="16"/>
  <c r="O258" i="16"/>
  <c r="G258" i="16"/>
  <c r="AD258" i="16"/>
  <c r="V258" i="16"/>
  <c r="N258" i="16"/>
  <c r="F258" i="16"/>
  <c r="AC258" i="16"/>
  <c r="U258" i="16"/>
  <c r="M258" i="16"/>
  <c r="AB258" i="16"/>
  <c r="T258" i="16"/>
  <c r="L258" i="16"/>
  <c r="AA258" i="16"/>
  <c r="S258" i="16"/>
  <c r="K258" i="16"/>
  <c r="AD259" i="16" l="1"/>
  <c r="V259" i="16"/>
  <c r="N259" i="16"/>
  <c r="F259" i="16"/>
  <c r="AC259" i="16"/>
  <c r="U259" i="16"/>
  <c r="M259" i="16"/>
  <c r="AB259" i="16"/>
  <c r="T259" i="16"/>
  <c r="L259" i="16"/>
  <c r="AA259" i="16"/>
  <c r="S259" i="16"/>
  <c r="K259" i="16"/>
  <c r="Z259" i="16"/>
  <c r="R259" i="16"/>
  <c r="J259" i="16"/>
  <c r="B260" i="16"/>
  <c r="Y259" i="16"/>
  <c r="Q259" i="16"/>
  <c r="I259" i="16"/>
  <c r="AF259" i="16"/>
  <c r="X259" i="16"/>
  <c r="P259" i="16"/>
  <c r="H259" i="16"/>
  <c r="W259" i="16"/>
  <c r="O259" i="16"/>
  <c r="G259" i="16"/>
  <c r="AE259" i="16"/>
  <c r="AP62" i="16"/>
  <c r="B53" i="16"/>
  <c r="AP63" i="16" l="1"/>
  <c r="B54" i="16"/>
  <c r="Z260" i="16"/>
  <c r="R260" i="16"/>
  <c r="J260" i="16"/>
  <c r="B261" i="16"/>
  <c r="Y260" i="16"/>
  <c r="Q260" i="16"/>
  <c r="I260" i="16"/>
  <c r="AF260" i="16"/>
  <c r="X260" i="16"/>
  <c r="P260" i="16"/>
  <c r="H260" i="16"/>
  <c r="AE260" i="16"/>
  <c r="W260" i="16"/>
  <c r="O260" i="16"/>
  <c r="G260" i="16"/>
  <c r="AD260" i="16"/>
  <c r="V260" i="16"/>
  <c r="N260" i="16"/>
  <c r="F260" i="16"/>
  <c r="AC260" i="16"/>
  <c r="U260" i="16"/>
  <c r="M260" i="16"/>
  <c r="AB260" i="16"/>
  <c r="T260" i="16"/>
  <c r="L260" i="16"/>
  <c r="AA260" i="16"/>
  <c r="S260" i="16"/>
  <c r="K260" i="16"/>
  <c r="B55" i="16" l="1"/>
  <c r="AP64" i="16"/>
  <c r="AD261" i="16"/>
  <c r="V261" i="16"/>
  <c r="N261" i="16"/>
  <c r="F261" i="16"/>
  <c r="AC261" i="16"/>
  <c r="U261" i="16"/>
  <c r="M261" i="16"/>
  <c r="AB261" i="16"/>
  <c r="T261" i="16"/>
  <c r="L261" i="16"/>
  <c r="AA261" i="16"/>
  <c r="S261" i="16"/>
  <c r="K261" i="16"/>
  <c r="Z261" i="16"/>
  <c r="R261" i="16"/>
  <c r="J261" i="16"/>
  <c r="B262" i="16"/>
  <c r="Y261" i="16"/>
  <c r="Q261" i="16"/>
  <c r="I261" i="16"/>
  <c r="AF261" i="16"/>
  <c r="X261" i="16"/>
  <c r="P261" i="16"/>
  <c r="H261" i="16"/>
  <c r="AE261" i="16"/>
  <c r="W261" i="16"/>
  <c r="O261" i="16"/>
  <c r="G261" i="16"/>
  <c r="Z262" i="16" l="1"/>
  <c r="R262" i="16"/>
  <c r="J262" i="16"/>
  <c r="B263" i="16"/>
  <c r="Y262" i="16"/>
  <c r="Q262" i="16"/>
  <c r="I262" i="16"/>
  <c r="AF262" i="16"/>
  <c r="X262" i="16"/>
  <c r="P262" i="16"/>
  <c r="H262" i="16"/>
  <c r="AE262" i="16"/>
  <c r="W262" i="16"/>
  <c r="O262" i="16"/>
  <c r="G262" i="16"/>
  <c r="AD262" i="16"/>
  <c r="V262" i="16"/>
  <c r="N262" i="16"/>
  <c r="F262" i="16"/>
  <c r="AC262" i="16"/>
  <c r="U262" i="16"/>
  <c r="M262" i="16"/>
  <c r="AB262" i="16"/>
  <c r="T262" i="16"/>
  <c r="L262" i="16"/>
  <c r="AA262" i="16"/>
  <c r="S262" i="16"/>
  <c r="K262" i="16"/>
  <c r="B56" i="16"/>
  <c r="AY15" i="16"/>
  <c r="B57" i="16" l="1"/>
  <c r="AY16" i="16"/>
  <c r="AD263" i="16"/>
  <c r="V263" i="16"/>
  <c r="N263" i="16"/>
  <c r="F263" i="16"/>
  <c r="AC263" i="16"/>
  <c r="U263" i="16"/>
  <c r="M263" i="16"/>
  <c r="AB263" i="16"/>
  <c r="T263" i="16"/>
  <c r="L263" i="16"/>
  <c r="AA263" i="16"/>
  <c r="S263" i="16"/>
  <c r="K263" i="16"/>
  <c r="Z263" i="16"/>
  <c r="R263" i="16"/>
  <c r="J263" i="16"/>
  <c r="B264" i="16"/>
  <c r="Y263" i="16"/>
  <c r="Q263" i="16"/>
  <c r="I263" i="16"/>
  <c r="AF263" i="16"/>
  <c r="X263" i="16"/>
  <c r="P263" i="16"/>
  <c r="H263" i="16"/>
  <c r="AE263" i="16"/>
  <c r="W263" i="16"/>
  <c r="O263" i="16"/>
  <c r="G263" i="16"/>
  <c r="Z264" i="16" l="1"/>
  <c r="R264" i="16"/>
  <c r="J264" i="16"/>
  <c r="B265" i="16"/>
  <c r="Y264" i="16"/>
  <c r="Q264" i="16"/>
  <c r="I264" i="16"/>
  <c r="AF264" i="16"/>
  <c r="X264" i="16"/>
  <c r="P264" i="16"/>
  <c r="H264" i="16"/>
  <c r="AE264" i="16"/>
  <c r="W264" i="16"/>
  <c r="O264" i="16"/>
  <c r="G264" i="16"/>
  <c r="AD264" i="16"/>
  <c r="V264" i="16"/>
  <c r="N264" i="16"/>
  <c r="F264" i="16"/>
  <c r="AC264" i="16"/>
  <c r="U264" i="16"/>
  <c r="M264" i="16"/>
  <c r="AB264" i="16"/>
  <c r="T264" i="16"/>
  <c r="L264" i="16"/>
  <c r="K264" i="16"/>
  <c r="AA264" i="16"/>
  <c r="S264" i="16"/>
  <c r="AY17" i="16"/>
  <c r="B58" i="16"/>
  <c r="AD265" i="16" l="1"/>
  <c r="V265" i="16"/>
  <c r="N265" i="16"/>
  <c r="F265" i="16"/>
  <c r="AC265" i="16"/>
  <c r="U265" i="16"/>
  <c r="M265" i="16"/>
  <c r="AB265" i="16"/>
  <c r="T265" i="16"/>
  <c r="L265" i="16"/>
  <c r="AA265" i="16"/>
  <c r="S265" i="16"/>
  <c r="K265" i="16"/>
  <c r="Z265" i="16"/>
  <c r="R265" i="16"/>
  <c r="J265" i="16"/>
  <c r="B266" i="16"/>
  <c r="Y265" i="16"/>
  <c r="Q265" i="16"/>
  <c r="I265" i="16"/>
  <c r="AF265" i="16"/>
  <c r="X265" i="16"/>
  <c r="P265" i="16"/>
  <c r="H265" i="16"/>
  <c r="AE265" i="16"/>
  <c r="W265" i="16"/>
  <c r="O265" i="16"/>
  <c r="G265" i="16"/>
  <c r="B59" i="16"/>
  <c r="AY18" i="16"/>
  <c r="B60" i="16" l="1"/>
  <c r="AY19" i="16"/>
  <c r="Z266" i="16"/>
  <c r="R266" i="16"/>
  <c r="J266" i="16"/>
  <c r="B267" i="16"/>
  <c r="Y266" i="16"/>
  <c r="Q266" i="16"/>
  <c r="I266" i="16"/>
  <c r="AF266" i="16"/>
  <c r="X266" i="16"/>
  <c r="P266" i="16"/>
  <c r="H266" i="16"/>
  <c r="AE266" i="16"/>
  <c r="W266" i="16"/>
  <c r="O266" i="16"/>
  <c r="G266" i="16"/>
  <c r="AD266" i="16"/>
  <c r="V266" i="16"/>
  <c r="N266" i="16"/>
  <c r="F266" i="16"/>
  <c r="AC266" i="16"/>
  <c r="U266" i="16"/>
  <c r="M266" i="16"/>
  <c r="AB266" i="16"/>
  <c r="T266" i="16"/>
  <c r="L266" i="16"/>
  <c r="S266" i="16"/>
  <c r="K266" i="16"/>
  <c r="AA266" i="16"/>
  <c r="AD267" i="16" l="1"/>
  <c r="V267" i="16"/>
  <c r="N267" i="16"/>
  <c r="F267" i="16"/>
  <c r="AC267" i="16"/>
  <c r="U267" i="16"/>
  <c r="M267" i="16"/>
  <c r="AB267" i="16"/>
  <c r="T267" i="16"/>
  <c r="L267" i="16"/>
  <c r="AA267" i="16"/>
  <c r="S267" i="16"/>
  <c r="K267" i="16"/>
  <c r="Z267" i="16"/>
  <c r="R267" i="16"/>
  <c r="J267" i="16"/>
  <c r="B268" i="16"/>
  <c r="Y267" i="16"/>
  <c r="Q267" i="16"/>
  <c r="I267" i="16"/>
  <c r="AF267" i="16"/>
  <c r="X267" i="16"/>
  <c r="P267" i="16"/>
  <c r="H267" i="16"/>
  <c r="AE267" i="16"/>
  <c r="W267" i="16"/>
  <c r="O267" i="16"/>
  <c r="G267" i="16"/>
  <c r="B61" i="16"/>
  <c r="AY20" i="16"/>
  <c r="B62" i="16" l="1"/>
  <c r="AY21" i="16"/>
  <c r="B269" i="16"/>
  <c r="Y268" i="16"/>
  <c r="Q268" i="16"/>
  <c r="AF268" i="16"/>
  <c r="X268" i="16"/>
  <c r="P268" i="16"/>
  <c r="AE268" i="16"/>
  <c r="W268" i="16"/>
  <c r="O268" i="16"/>
  <c r="AD268" i="16"/>
  <c r="V268" i="16"/>
  <c r="AC268" i="16"/>
  <c r="U268" i="16"/>
  <c r="M268" i="16"/>
  <c r="AB268" i="16"/>
  <c r="T268" i="16"/>
  <c r="AA268" i="16"/>
  <c r="S268" i="16"/>
  <c r="J268" i="16"/>
  <c r="I268" i="16"/>
  <c r="H268" i="16"/>
  <c r="Z268" i="16"/>
  <c r="G268" i="16"/>
  <c r="R268" i="16"/>
  <c r="F268" i="16"/>
  <c r="N268" i="16"/>
  <c r="L268" i="16"/>
  <c r="K268" i="16"/>
  <c r="AC269" i="16" l="1"/>
  <c r="U269" i="16"/>
  <c r="M269" i="16"/>
  <c r="AB269" i="16"/>
  <c r="T269" i="16"/>
  <c r="L269" i="16"/>
  <c r="AA269" i="16"/>
  <c r="S269" i="16"/>
  <c r="K269" i="16"/>
  <c r="Z269" i="16"/>
  <c r="R269" i="16"/>
  <c r="J269" i="16"/>
  <c r="B270" i="16"/>
  <c r="Y269" i="16"/>
  <c r="Q269" i="16"/>
  <c r="I269" i="16"/>
  <c r="AF269" i="16"/>
  <c r="X269" i="16"/>
  <c r="P269" i="16"/>
  <c r="H269" i="16"/>
  <c r="AE269" i="16"/>
  <c r="W269" i="16"/>
  <c r="O269" i="16"/>
  <c r="G269" i="16"/>
  <c r="V269" i="16"/>
  <c r="N269" i="16"/>
  <c r="F269" i="16"/>
  <c r="AD269" i="16"/>
  <c r="B63" i="16"/>
  <c r="AY22" i="16"/>
  <c r="B64" i="16" l="1"/>
  <c r="AY23" i="16"/>
  <c r="B271" i="16"/>
  <c r="Y270" i="16"/>
  <c r="Q270" i="16"/>
  <c r="I270" i="16"/>
  <c r="AF270" i="16"/>
  <c r="X270" i="16"/>
  <c r="P270" i="16"/>
  <c r="H270" i="16"/>
  <c r="AE270" i="16"/>
  <c r="W270" i="16"/>
  <c r="O270" i="16"/>
  <c r="G270" i="16"/>
  <c r="AD270" i="16"/>
  <c r="V270" i="16"/>
  <c r="N270" i="16"/>
  <c r="F270" i="16"/>
  <c r="AC270" i="16"/>
  <c r="U270" i="16"/>
  <c r="M270" i="16"/>
  <c r="AB270" i="16"/>
  <c r="T270" i="16"/>
  <c r="L270" i="16"/>
  <c r="AA270" i="16"/>
  <c r="S270" i="16"/>
  <c r="K270" i="16"/>
  <c r="Z270" i="16"/>
  <c r="R270" i="16"/>
  <c r="J270" i="16"/>
  <c r="AC271" i="16" l="1"/>
  <c r="U271" i="16"/>
  <c r="M271" i="16"/>
  <c r="AB271" i="16"/>
  <c r="T271" i="16"/>
  <c r="L271" i="16"/>
  <c r="AA271" i="16"/>
  <c r="S271" i="16"/>
  <c r="K271" i="16"/>
  <c r="Z271" i="16"/>
  <c r="R271" i="16"/>
  <c r="J271" i="16"/>
  <c r="B272" i="16"/>
  <c r="Y271" i="16"/>
  <c r="Q271" i="16"/>
  <c r="I271" i="16"/>
  <c r="AF271" i="16"/>
  <c r="X271" i="16"/>
  <c r="P271" i="16"/>
  <c r="H271" i="16"/>
  <c r="AE271" i="16"/>
  <c r="W271" i="16"/>
  <c r="O271" i="16"/>
  <c r="G271" i="16"/>
  <c r="AD271" i="16"/>
  <c r="V271" i="16"/>
  <c r="N271" i="16"/>
  <c r="F271" i="16"/>
  <c r="AY24" i="16"/>
  <c r="B65" i="16"/>
  <c r="B273" i="16" l="1"/>
  <c r="Y272" i="16"/>
  <c r="Q272" i="16"/>
  <c r="I272" i="16"/>
  <c r="AF272" i="16"/>
  <c r="X272" i="16"/>
  <c r="P272" i="16"/>
  <c r="H272" i="16"/>
  <c r="AE272" i="16"/>
  <c r="W272" i="16"/>
  <c r="O272" i="16"/>
  <c r="G272" i="16"/>
  <c r="AD272" i="16"/>
  <c r="V272" i="16"/>
  <c r="N272" i="16"/>
  <c r="F272" i="16"/>
  <c r="AC272" i="16"/>
  <c r="U272" i="16"/>
  <c r="M272" i="16"/>
  <c r="AB272" i="16"/>
  <c r="T272" i="16"/>
  <c r="L272" i="16"/>
  <c r="AA272" i="16"/>
  <c r="S272" i="16"/>
  <c r="K272" i="16"/>
  <c r="Z272" i="16"/>
  <c r="R272" i="16"/>
  <c r="J272" i="16"/>
  <c r="AY25" i="16"/>
  <c r="B66" i="16"/>
  <c r="AY26" i="16" l="1"/>
  <c r="B67" i="16"/>
  <c r="AC273" i="16"/>
  <c r="U273" i="16"/>
  <c r="M273" i="16"/>
  <c r="AB273" i="16"/>
  <c r="T273" i="16"/>
  <c r="L273" i="16"/>
  <c r="AA273" i="16"/>
  <c r="S273" i="16"/>
  <c r="K273" i="16"/>
  <c r="Z273" i="16"/>
  <c r="R273" i="16"/>
  <c r="J273" i="16"/>
  <c r="B274" i="16"/>
  <c r="Y273" i="16"/>
  <c r="Q273" i="16"/>
  <c r="I273" i="16"/>
  <c r="AF273" i="16"/>
  <c r="X273" i="16"/>
  <c r="P273" i="16"/>
  <c r="H273" i="16"/>
  <c r="AE273" i="16"/>
  <c r="W273" i="16"/>
  <c r="O273" i="16"/>
  <c r="G273" i="16"/>
  <c r="AD273" i="16"/>
  <c r="V273" i="16"/>
  <c r="N273" i="16"/>
  <c r="F273" i="16"/>
  <c r="B275" i="16" l="1"/>
  <c r="Y274" i="16"/>
  <c r="Q274" i="16"/>
  <c r="I274" i="16"/>
  <c r="AF274" i="16"/>
  <c r="X274" i="16"/>
  <c r="P274" i="16"/>
  <c r="H274" i="16"/>
  <c r="AE274" i="16"/>
  <c r="W274" i="16"/>
  <c r="O274" i="16"/>
  <c r="G274" i="16"/>
  <c r="AD274" i="16"/>
  <c r="V274" i="16"/>
  <c r="N274" i="16"/>
  <c r="F274" i="16"/>
  <c r="AC274" i="16"/>
  <c r="U274" i="16"/>
  <c r="M274" i="16"/>
  <c r="AB274" i="16"/>
  <c r="T274" i="16"/>
  <c r="L274" i="16"/>
  <c r="AA274" i="16"/>
  <c r="S274" i="16"/>
  <c r="K274" i="16"/>
  <c r="J274" i="16"/>
  <c r="Z274" i="16"/>
  <c r="R274" i="16"/>
  <c r="B68" i="16"/>
  <c r="AY27" i="16"/>
  <c r="AY28" i="16" l="1"/>
  <c r="B69" i="16"/>
  <c r="AC275" i="16"/>
  <c r="U275" i="16"/>
  <c r="M275" i="16"/>
  <c r="AB275" i="16"/>
  <c r="T275" i="16"/>
  <c r="L275" i="16"/>
  <c r="AA275" i="16"/>
  <c r="S275" i="16"/>
  <c r="K275" i="16"/>
  <c r="Z275" i="16"/>
  <c r="R275" i="16"/>
  <c r="J275" i="16"/>
  <c r="B276" i="16"/>
  <c r="Y275" i="16"/>
  <c r="Q275" i="16"/>
  <c r="I275" i="16"/>
  <c r="AF275" i="16"/>
  <c r="X275" i="16"/>
  <c r="P275" i="16"/>
  <c r="H275" i="16"/>
  <c r="AE275" i="16"/>
  <c r="W275" i="16"/>
  <c r="O275" i="16"/>
  <c r="G275" i="16"/>
  <c r="AD275" i="16"/>
  <c r="V275" i="16"/>
  <c r="N275" i="16"/>
  <c r="F275" i="16"/>
  <c r="B277" i="16" l="1"/>
  <c r="Y276" i="16"/>
  <c r="Q276" i="16"/>
  <c r="I276" i="16"/>
  <c r="AF276" i="16"/>
  <c r="X276" i="16"/>
  <c r="P276" i="16"/>
  <c r="H276" i="16"/>
  <c r="AE276" i="16"/>
  <c r="W276" i="16"/>
  <c r="O276" i="16"/>
  <c r="G276" i="16"/>
  <c r="AD276" i="16"/>
  <c r="V276" i="16"/>
  <c r="N276" i="16"/>
  <c r="F276" i="16"/>
  <c r="AC276" i="16"/>
  <c r="U276" i="16"/>
  <c r="M276" i="16"/>
  <c r="AB276" i="16"/>
  <c r="T276" i="16"/>
  <c r="L276" i="16"/>
  <c r="AA276" i="16"/>
  <c r="S276" i="16"/>
  <c r="K276" i="16"/>
  <c r="R276" i="16"/>
  <c r="J276" i="16"/>
  <c r="Z276" i="16"/>
  <c r="AY29" i="16"/>
  <c r="B70" i="16"/>
  <c r="AY30" i="16" l="1"/>
  <c r="B71" i="16"/>
  <c r="AC277" i="16"/>
  <c r="U277" i="16"/>
  <c r="M277" i="16"/>
  <c r="AB277" i="16"/>
  <c r="T277" i="16"/>
  <c r="L277" i="16"/>
  <c r="AA277" i="16"/>
  <c r="S277" i="16"/>
  <c r="K277" i="16"/>
  <c r="Z277" i="16"/>
  <c r="R277" i="16"/>
  <c r="J277" i="16"/>
  <c r="B278" i="16"/>
  <c r="Y277" i="16"/>
  <c r="Q277" i="16"/>
  <c r="I277" i="16"/>
  <c r="AF277" i="16"/>
  <c r="X277" i="16"/>
  <c r="P277" i="16"/>
  <c r="H277" i="16"/>
  <c r="AE277" i="16"/>
  <c r="W277" i="16"/>
  <c r="O277" i="16"/>
  <c r="G277" i="16"/>
  <c r="AD277" i="16"/>
  <c r="V277" i="16"/>
  <c r="N277" i="16"/>
  <c r="F277" i="16"/>
  <c r="B279" i="16" l="1"/>
  <c r="Y278" i="16"/>
  <c r="Q278" i="16"/>
  <c r="I278" i="16"/>
  <c r="AF278" i="16"/>
  <c r="X278" i="16"/>
  <c r="P278" i="16"/>
  <c r="H278" i="16"/>
  <c r="AE278" i="16"/>
  <c r="W278" i="16"/>
  <c r="O278" i="16"/>
  <c r="G278" i="16"/>
  <c r="AD278" i="16"/>
  <c r="V278" i="16"/>
  <c r="N278" i="16"/>
  <c r="F278" i="16"/>
  <c r="AC278" i="16"/>
  <c r="U278" i="16"/>
  <c r="M278" i="16"/>
  <c r="AB278" i="16"/>
  <c r="T278" i="16"/>
  <c r="L278" i="16"/>
  <c r="AA278" i="16"/>
  <c r="S278" i="16"/>
  <c r="K278" i="16"/>
  <c r="Z278" i="16"/>
  <c r="R278" i="16"/>
  <c r="J278" i="16"/>
  <c r="B72" i="16"/>
  <c r="AY31" i="16"/>
  <c r="AY32" i="16" l="1"/>
  <c r="B73" i="16"/>
  <c r="AC279" i="16"/>
  <c r="U279" i="16"/>
  <c r="M279" i="16"/>
  <c r="AB279" i="16"/>
  <c r="T279" i="16"/>
  <c r="L279" i="16"/>
  <c r="AA279" i="16"/>
  <c r="S279" i="16"/>
  <c r="K279" i="16"/>
  <c r="Z279" i="16"/>
  <c r="R279" i="16"/>
  <c r="J279" i="16"/>
  <c r="B280" i="16"/>
  <c r="Y279" i="16"/>
  <c r="Q279" i="16"/>
  <c r="I279" i="16"/>
  <c r="AF279" i="16"/>
  <c r="X279" i="16"/>
  <c r="P279" i="16"/>
  <c r="H279" i="16"/>
  <c r="AE279" i="16"/>
  <c r="W279" i="16"/>
  <c r="O279" i="16"/>
  <c r="G279" i="16"/>
  <c r="AD279" i="16"/>
  <c r="V279" i="16"/>
  <c r="N279" i="16"/>
  <c r="F279" i="16"/>
  <c r="B281" i="16" l="1"/>
  <c r="Y280" i="16"/>
  <c r="Q280" i="16"/>
  <c r="I280" i="16"/>
  <c r="AF280" i="16"/>
  <c r="X280" i="16"/>
  <c r="P280" i="16"/>
  <c r="H280" i="16"/>
  <c r="AE280" i="16"/>
  <c r="W280" i="16"/>
  <c r="O280" i="16"/>
  <c r="G280" i="16"/>
  <c r="AD280" i="16"/>
  <c r="V280" i="16"/>
  <c r="N280" i="16"/>
  <c r="F280" i="16"/>
  <c r="AC280" i="16"/>
  <c r="U280" i="16"/>
  <c r="M280" i="16"/>
  <c r="AB280" i="16"/>
  <c r="T280" i="16"/>
  <c r="L280" i="16"/>
  <c r="AA280" i="16"/>
  <c r="S280" i="16"/>
  <c r="K280" i="16"/>
  <c r="Z280" i="16"/>
  <c r="R280" i="16"/>
  <c r="J280" i="16"/>
  <c r="AY33" i="16"/>
  <c r="B74" i="16"/>
  <c r="AY34" i="16" l="1"/>
  <c r="B75" i="16"/>
  <c r="AC281" i="16"/>
  <c r="U281" i="16"/>
  <c r="M281" i="16"/>
  <c r="AB281" i="16"/>
  <c r="T281" i="16"/>
  <c r="L281" i="16"/>
  <c r="AA281" i="16"/>
  <c r="S281" i="16"/>
  <c r="K281" i="16"/>
  <c r="Z281" i="16"/>
  <c r="R281" i="16"/>
  <c r="J281" i="16"/>
  <c r="B282" i="16"/>
  <c r="Y281" i="16"/>
  <c r="Q281" i="16"/>
  <c r="I281" i="16"/>
  <c r="AF281" i="16"/>
  <c r="X281" i="16"/>
  <c r="P281" i="16"/>
  <c r="H281" i="16"/>
  <c r="AE281" i="16"/>
  <c r="W281" i="16"/>
  <c r="O281" i="16"/>
  <c r="G281" i="16"/>
  <c r="F281" i="16"/>
  <c r="AD281" i="16"/>
  <c r="V281" i="16"/>
  <c r="N281" i="16"/>
  <c r="B283" i="16" l="1"/>
  <c r="Y282" i="16"/>
  <c r="Q282" i="16"/>
  <c r="I282" i="16"/>
  <c r="AF282" i="16"/>
  <c r="X282" i="16"/>
  <c r="P282" i="16"/>
  <c r="H282" i="16"/>
  <c r="AE282" i="16"/>
  <c r="W282" i="16"/>
  <c r="O282" i="16"/>
  <c r="G282" i="16"/>
  <c r="AD282" i="16"/>
  <c r="V282" i="16"/>
  <c r="N282" i="16"/>
  <c r="F282" i="16"/>
  <c r="AC282" i="16"/>
  <c r="U282" i="16"/>
  <c r="M282" i="16"/>
  <c r="AB282" i="16"/>
  <c r="T282" i="16"/>
  <c r="L282" i="16"/>
  <c r="AA282" i="16"/>
  <c r="S282" i="16"/>
  <c r="K282" i="16"/>
  <c r="Z282" i="16"/>
  <c r="R282" i="16"/>
  <c r="J282" i="16"/>
  <c r="B76" i="16"/>
  <c r="AY35" i="16"/>
  <c r="AY36" i="16" l="1"/>
  <c r="B77" i="16"/>
  <c r="AC283" i="16"/>
  <c r="U283" i="16"/>
  <c r="M283" i="16"/>
  <c r="AB283" i="16"/>
  <c r="T283" i="16"/>
  <c r="L283" i="16"/>
  <c r="AA283" i="16"/>
  <c r="S283" i="16"/>
  <c r="K283" i="16"/>
  <c r="Z283" i="16"/>
  <c r="R283" i="16"/>
  <c r="J283" i="16"/>
  <c r="B284" i="16"/>
  <c r="Y283" i="16"/>
  <c r="Q283" i="16"/>
  <c r="I283" i="16"/>
  <c r="AF283" i="16"/>
  <c r="X283" i="16"/>
  <c r="P283" i="16"/>
  <c r="H283" i="16"/>
  <c r="AE283" i="16"/>
  <c r="W283" i="16"/>
  <c r="O283" i="16"/>
  <c r="G283" i="16"/>
  <c r="N283" i="16"/>
  <c r="F283" i="16"/>
  <c r="AD283" i="16"/>
  <c r="V283" i="16"/>
  <c r="AY37" i="16" l="1"/>
  <c r="B78" i="16"/>
  <c r="B285" i="16"/>
  <c r="Y284" i="16"/>
  <c r="Q284" i="16"/>
  <c r="I284" i="16"/>
  <c r="AF284" i="16"/>
  <c r="X284" i="16"/>
  <c r="P284" i="16"/>
  <c r="H284" i="16"/>
  <c r="AE284" i="16"/>
  <c r="W284" i="16"/>
  <c r="O284" i="16"/>
  <c r="G284" i="16"/>
  <c r="AD284" i="16"/>
  <c r="V284" i="16"/>
  <c r="N284" i="16"/>
  <c r="F284" i="16"/>
  <c r="AC284" i="16"/>
  <c r="U284" i="16"/>
  <c r="M284" i="16"/>
  <c r="AB284" i="16"/>
  <c r="T284" i="16"/>
  <c r="L284" i="16"/>
  <c r="AA284" i="16"/>
  <c r="S284" i="16"/>
  <c r="K284" i="16"/>
  <c r="Z284" i="16"/>
  <c r="R284" i="16"/>
  <c r="J284" i="16"/>
  <c r="AC285" i="16" l="1"/>
  <c r="U285" i="16"/>
  <c r="M285" i="16"/>
  <c r="AB285" i="16"/>
  <c r="T285" i="16"/>
  <c r="L285" i="16"/>
  <c r="AA285" i="16"/>
  <c r="S285" i="16"/>
  <c r="K285" i="16"/>
  <c r="Z285" i="16"/>
  <c r="R285" i="16"/>
  <c r="J285" i="16"/>
  <c r="B286" i="16"/>
  <c r="Y285" i="16"/>
  <c r="Q285" i="16"/>
  <c r="I285" i="16"/>
  <c r="AF285" i="16"/>
  <c r="X285" i="16"/>
  <c r="P285" i="16"/>
  <c r="H285" i="16"/>
  <c r="AE285" i="16"/>
  <c r="W285" i="16"/>
  <c r="O285" i="16"/>
  <c r="G285" i="16"/>
  <c r="V285" i="16"/>
  <c r="N285" i="16"/>
  <c r="F285" i="16"/>
  <c r="AD285" i="16"/>
  <c r="AY38" i="16"/>
  <c r="B79" i="16"/>
  <c r="B287" i="16" l="1"/>
  <c r="Y286" i="16"/>
  <c r="Q286" i="16"/>
  <c r="I286" i="16"/>
  <c r="AF286" i="16"/>
  <c r="X286" i="16"/>
  <c r="P286" i="16"/>
  <c r="H286" i="16"/>
  <c r="AE286" i="16"/>
  <c r="W286" i="16"/>
  <c r="O286" i="16"/>
  <c r="G286" i="16"/>
  <c r="AD286" i="16"/>
  <c r="V286" i="16"/>
  <c r="N286" i="16"/>
  <c r="F286" i="16"/>
  <c r="AC286" i="16"/>
  <c r="U286" i="16"/>
  <c r="M286" i="16"/>
  <c r="AB286" i="16"/>
  <c r="T286" i="16"/>
  <c r="L286" i="16"/>
  <c r="AA286" i="16"/>
  <c r="S286" i="16"/>
  <c r="K286" i="16"/>
  <c r="Z286" i="16"/>
  <c r="R286" i="16"/>
  <c r="J286" i="16"/>
  <c r="B80" i="16"/>
  <c r="AY39" i="16"/>
  <c r="AY40" i="16" l="1"/>
  <c r="B81" i="16"/>
  <c r="AC287" i="16"/>
  <c r="U287" i="16"/>
  <c r="M287" i="16"/>
  <c r="AB287" i="16"/>
  <c r="T287" i="16"/>
  <c r="L287" i="16"/>
  <c r="AA287" i="16"/>
  <c r="S287" i="16"/>
  <c r="K287" i="16"/>
  <c r="Z287" i="16"/>
  <c r="R287" i="16"/>
  <c r="J287" i="16"/>
  <c r="B288" i="16"/>
  <c r="Y287" i="16"/>
  <c r="Q287" i="16"/>
  <c r="I287" i="16"/>
  <c r="AF287" i="16"/>
  <c r="X287" i="16"/>
  <c r="P287" i="16"/>
  <c r="H287" i="16"/>
  <c r="AE287" i="16"/>
  <c r="W287" i="16"/>
  <c r="O287" i="16"/>
  <c r="G287" i="16"/>
  <c r="AD287" i="16"/>
  <c r="V287" i="16"/>
  <c r="N287" i="16"/>
  <c r="F287" i="16"/>
  <c r="B289" i="16" l="1"/>
  <c r="Y288" i="16"/>
  <c r="Q288" i="16"/>
  <c r="I288" i="16"/>
  <c r="AF288" i="16"/>
  <c r="X288" i="16"/>
  <c r="P288" i="16"/>
  <c r="H288" i="16"/>
  <c r="AE288" i="16"/>
  <c r="W288" i="16"/>
  <c r="O288" i="16"/>
  <c r="G288" i="16"/>
  <c r="AD288" i="16"/>
  <c r="V288" i="16"/>
  <c r="N288" i="16"/>
  <c r="F288" i="16"/>
  <c r="AC288" i="16"/>
  <c r="U288" i="16"/>
  <c r="M288" i="16"/>
  <c r="AB288" i="16"/>
  <c r="T288" i="16"/>
  <c r="L288" i="16"/>
  <c r="AA288" i="16"/>
  <c r="S288" i="16"/>
  <c r="K288" i="16"/>
  <c r="Z288" i="16"/>
  <c r="R288" i="16"/>
  <c r="J288" i="16"/>
  <c r="AY41" i="16"/>
  <c r="B82" i="16"/>
  <c r="AY42" i="16" l="1"/>
  <c r="B83" i="16"/>
  <c r="AF289" i="16"/>
  <c r="AE289" i="16"/>
  <c r="AD289" i="16"/>
  <c r="AC289" i="16"/>
  <c r="AB289" i="16"/>
  <c r="Z289" i="16"/>
  <c r="B290" i="16"/>
  <c r="Y289" i="16"/>
  <c r="U289" i="16"/>
  <c r="M289" i="16"/>
  <c r="T289" i="16"/>
  <c r="L289" i="16"/>
  <c r="S289" i="16"/>
  <c r="K289" i="16"/>
  <c r="R289" i="16"/>
  <c r="J289" i="16"/>
  <c r="AA289" i="16"/>
  <c r="Q289" i="16"/>
  <c r="I289" i="16"/>
  <c r="X289" i="16"/>
  <c r="P289" i="16"/>
  <c r="H289" i="16"/>
  <c r="W289" i="16"/>
  <c r="O289" i="16"/>
  <c r="G289" i="16"/>
  <c r="V289" i="16"/>
  <c r="N289" i="16"/>
  <c r="F289" i="16"/>
  <c r="B84" i="16" l="1"/>
  <c r="AY43" i="16"/>
  <c r="AB290" i="16"/>
  <c r="T290" i="16"/>
  <c r="L290" i="16"/>
  <c r="AA290" i="16"/>
  <c r="S290" i="16"/>
  <c r="K290" i="16"/>
  <c r="Z290" i="16"/>
  <c r="R290" i="16"/>
  <c r="J290" i="16"/>
  <c r="B291" i="16"/>
  <c r="Y290" i="16"/>
  <c r="Q290" i="16"/>
  <c r="I290" i="16"/>
  <c r="AF290" i="16"/>
  <c r="X290" i="16"/>
  <c r="P290" i="16"/>
  <c r="H290" i="16"/>
  <c r="AD290" i="16"/>
  <c r="V290" i="16"/>
  <c r="N290" i="16"/>
  <c r="F290" i="16"/>
  <c r="AC290" i="16"/>
  <c r="U290" i="16"/>
  <c r="M290" i="16"/>
  <c r="AE290" i="16"/>
  <c r="W290" i="16"/>
  <c r="O290" i="16"/>
  <c r="G290" i="16"/>
  <c r="AF291" i="16" l="1"/>
  <c r="X291" i="16"/>
  <c r="P291" i="16"/>
  <c r="H291" i="16"/>
  <c r="AE291" i="16"/>
  <c r="W291" i="16"/>
  <c r="O291" i="16"/>
  <c r="G291" i="16"/>
  <c r="AD291" i="16"/>
  <c r="V291" i="16"/>
  <c r="N291" i="16"/>
  <c r="F291" i="16"/>
  <c r="AC291" i="16"/>
  <c r="U291" i="16"/>
  <c r="M291" i="16"/>
  <c r="AB291" i="16"/>
  <c r="T291" i="16"/>
  <c r="L291" i="16"/>
  <c r="Z291" i="16"/>
  <c r="R291" i="16"/>
  <c r="J291" i="16"/>
  <c r="B292" i="16"/>
  <c r="Y291" i="16"/>
  <c r="Q291" i="16"/>
  <c r="I291" i="16"/>
  <c r="AA291" i="16"/>
  <c r="S291" i="16"/>
  <c r="K291" i="16"/>
  <c r="AY44" i="16"/>
  <c r="B85" i="16"/>
  <c r="AY45" i="16" l="1"/>
  <c r="B86" i="16"/>
  <c r="AB292" i="16"/>
  <c r="T292" i="16"/>
  <c r="L292" i="16"/>
  <c r="AA292" i="16"/>
  <c r="S292" i="16"/>
  <c r="K292" i="16"/>
  <c r="Z292" i="16"/>
  <c r="R292" i="16"/>
  <c r="J292" i="16"/>
  <c r="B293" i="16"/>
  <c r="Y292" i="16"/>
  <c r="Q292" i="16"/>
  <c r="I292" i="16"/>
  <c r="AF292" i="16"/>
  <c r="X292" i="16"/>
  <c r="P292" i="16"/>
  <c r="H292" i="16"/>
  <c r="AD292" i="16"/>
  <c r="V292" i="16"/>
  <c r="N292" i="16"/>
  <c r="F292" i="16"/>
  <c r="AC292" i="16"/>
  <c r="U292" i="16"/>
  <c r="M292" i="16"/>
  <c r="AE292" i="16"/>
  <c r="W292" i="16"/>
  <c r="O292" i="16"/>
  <c r="G292" i="16"/>
  <c r="AF293" i="16" l="1"/>
  <c r="X293" i="16"/>
  <c r="P293" i="16"/>
  <c r="H293" i="16"/>
  <c r="AE293" i="16"/>
  <c r="W293" i="16"/>
  <c r="O293" i="16"/>
  <c r="G293" i="16"/>
  <c r="AD293" i="16"/>
  <c r="V293" i="16"/>
  <c r="N293" i="16"/>
  <c r="F293" i="16"/>
  <c r="AC293" i="16"/>
  <c r="U293" i="16"/>
  <c r="M293" i="16"/>
  <c r="AB293" i="16"/>
  <c r="T293" i="16"/>
  <c r="L293" i="16"/>
  <c r="Z293" i="16"/>
  <c r="R293" i="16"/>
  <c r="J293" i="16"/>
  <c r="B294" i="16"/>
  <c r="Y293" i="16"/>
  <c r="Q293" i="16"/>
  <c r="I293" i="16"/>
  <c r="K293" i="16"/>
  <c r="AA293" i="16"/>
  <c r="S293" i="16"/>
  <c r="AY46" i="16"/>
  <c r="B87" i="16"/>
  <c r="B88" i="16" l="1"/>
  <c r="AY47" i="16"/>
  <c r="AB294" i="16"/>
  <c r="T294" i="16"/>
  <c r="L294" i="16"/>
  <c r="AA294" i="16"/>
  <c r="S294" i="16"/>
  <c r="K294" i="16"/>
  <c r="Z294" i="16"/>
  <c r="R294" i="16"/>
  <c r="J294" i="16"/>
  <c r="B295" i="16"/>
  <c r="Y294" i="16"/>
  <c r="Q294" i="16"/>
  <c r="I294" i="16"/>
  <c r="AF294" i="16"/>
  <c r="X294" i="16"/>
  <c r="P294" i="16"/>
  <c r="H294" i="16"/>
  <c r="AD294" i="16"/>
  <c r="V294" i="16"/>
  <c r="N294" i="16"/>
  <c r="F294" i="16"/>
  <c r="AC294" i="16"/>
  <c r="U294" i="16"/>
  <c r="M294" i="16"/>
  <c r="AE294" i="16"/>
  <c r="W294" i="16"/>
  <c r="O294" i="16"/>
  <c r="G294" i="16"/>
  <c r="AY48" i="16" l="1"/>
  <c r="B89" i="16"/>
  <c r="AF295" i="16"/>
  <c r="X295" i="16"/>
  <c r="P295" i="16"/>
  <c r="H295" i="16"/>
  <c r="AE295" i="16"/>
  <c r="W295" i="16"/>
  <c r="O295" i="16"/>
  <c r="G295" i="16"/>
  <c r="AD295" i="16"/>
  <c r="V295" i="16"/>
  <c r="N295" i="16"/>
  <c r="F295" i="16"/>
  <c r="AC295" i="16"/>
  <c r="U295" i="16"/>
  <c r="M295" i="16"/>
  <c r="AB295" i="16"/>
  <c r="T295" i="16"/>
  <c r="L295" i="16"/>
  <c r="Z295" i="16"/>
  <c r="R295" i="16"/>
  <c r="J295" i="16"/>
  <c r="B296" i="16"/>
  <c r="Y295" i="16"/>
  <c r="Q295" i="16"/>
  <c r="I295" i="16"/>
  <c r="S295" i="16"/>
  <c r="K295" i="16"/>
  <c r="AA295" i="16"/>
  <c r="AB296" i="16" l="1"/>
  <c r="T296" i="16"/>
  <c r="L296" i="16"/>
  <c r="AA296" i="16"/>
  <c r="S296" i="16"/>
  <c r="K296" i="16"/>
  <c r="Z296" i="16"/>
  <c r="R296" i="16"/>
  <c r="J296" i="16"/>
  <c r="B297" i="16"/>
  <c r="Y296" i="16"/>
  <c r="Q296" i="16"/>
  <c r="I296" i="16"/>
  <c r="AF296" i="16"/>
  <c r="X296" i="16"/>
  <c r="P296" i="16"/>
  <c r="H296" i="16"/>
  <c r="AD296" i="16"/>
  <c r="V296" i="16"/>
  <c r="N296" i="16"/>
  <c r="F296" i="16"/>
  <c r="AC296" i="16"/>
  <c r="U296" i="16"/>
  <c r="M296" i="16"/>
  <c r="AE296" i="16"/>
  <c r="W296" i="16"/>
  <c r="O296" i="16"/>
  <c r="G296" i="16"/>
  <c r="B90" i="16"/>
  <c r="AY49" i="16"/>
  <c r="AY50" i="16" l="1"/>
  <c r="B91" i="16"/>
  <c r="AF297" i="16"/>
  <c r="X297" i="16"/>
  <c r="P297" i="16"/>
  <c r="H297" i="16"/>
  <c r="AE297" i="16"/>
  <c r="W297" i="16"/>
  <c r="O297" i="16"/>
  <c r="G297" i="16"/>
  <c r="AD297" i="16"/>
  <c r="V297" i="16"/>
  <c r="N297" i="16"/>
  <c r="F297" i="16"/>
  <c r="AC297" i="16"/>
  <c r="U297" i="16"/>
  <c r="M297" i="16"/>
  <c r="AB297" i="16"/>
  <c r="T297" i="16"/>
  <c r="L297" i="16"/>
  <c r="Z297" i="16"/>
  <c r="R297" i="16"/>
  <c r="J297" i="16"/>
  <c r="B298" i="16"/>
  <c r="Y297" i="16"/>
  <c r="Q297" i="16"/>
  <c r="I297" i="16"/>
  <c r="AA297" i="16"/>
  <c r="S297" i="16"/>
  <c r="K297" i="16"/>
  <c r="AB298" i="16" l="1"/>
  <c r="T298" i="16"/>
  <c r="L298" i="16"/>
  <c r="AA298" i="16"/>
  <c r="S298" i="16"/>
  <c r="K298" i="16"/>
  <c r="Z298" i="16"/>
  <c r="R298" i="16"/>
  <c r="J298" i="16"/>
  <c r="B299" i="16"/>
  <c r="Y298" i="16"/>
  <c r="Q298" i="16"/>
  <c r="I298" i="16"/>
  <c r="AF298" i="16"/>
  <c r="X298" i="16"/>
  <c r="P298" i="16"/>
  <c r="H298" i="16"/>
  <c r="AD298" i="16"/>
  <c r="V298" i="16"/>
  <c r="N298" i="16"/>
  <c r="F298" i="16"/>
  <c r="AC298" i="16"/>
  <c r="U298" i="16"/>
  <c r="M298" i="16"/>
  <c r="AE298" i="16"/>
  <c r="W298" i="16"/>
  <c r="O298" i="16"/>
  <c r="G298" i="16"/>
  <c r="B92" i="16"/>
  <c r="AY51" i="16"/>
  <c r="AY52" i="16" l="1"/>
  <c r="B93" i="16"/>
  <c r="AF299" i="16"/>
  <c r="X299" i="16"/>
  <c r="P299" i="16"/>
  <c r="H299" i="16"/>
  <c r="AE299" i="16"/>
  <c r="W299" i="16"/>
  <c r="O299" i="16"/>
  <c r="G299" i="16"/>
  <c r="AD299" i="16"/>
  <c r="V299" i="16"/>
  <c r="N299" i="16"/>
  <c r="F299" i="16"/>
  <c r="AC299" i="16"/>
  <c r="U299" i="16"/>
  <c r="M299" i="16"/>
  <c r="AB299" i="16"/>
  <c r="T299" i="16"/>
  <c r="L299" i="16"/>
  <c r="Z299" i="16"/>
  <c r="R299" i="16"/>
  <c r="J299" i="16"/>
  <c r="B300" i="16"/>
  <c r="Y299" i="16"/>
  <c r="Q299" i="16"/>
  <c r="I299" i="16"/>
  <c r="AA299" i="16"/>
  <c r="S299" i="16"/>
  <c r="K299" i="16"/>
  <c r="AB300" i="16" l="1"/>
  <c r="T300" i="16"/>
  <c r="L300" i="16"/>
  <c r="AA300" i="16"/>
  <c r="S300" i="16"/>
  <c r="K300" i="16"/>
  <c r="Z300" i="16"/>
  <c r="R300" i="16"/>
  <c r="J300" i="16"/>
  <c r="B301" i="16"/>
  <c r="Y300" i="16"/>
  <c r="Q300" i="16"/>
  <c r="I300" i="16"/>
  <c r="AF300" i="16"/>
  <c r="X300" i="16"/>
  <c r="P300" i="16"/>
  <c r="H300" i="16"/>
  <c r="AD300" i="16"/>
  <c r="V300" i="16"/>
  <c r="N300" i="16"/>
  <c r="F300" i="16"/>
  <c r="AC300" i="16"/>
  <c r="U300" i="16"/>
  <c r="M300" i="16"/>
  <c r="G300" i="16"/>
  <c r="AE300" i="16"/>
  <c r="W300" i="16"/>
  <c r="O300" i="16"/>
  <c r="AY53" i="16"/>
  <c r="B94" i="16"/>
  <c r="B95" i="16" l="1"/>
  <c r="AY54" i="16"/>
  <c r="AF301" i="16"/>
  <c r="X301" i="16"/>
  <c r="P301" i="16"/>
  <c r="H301" i="16"/>
  <c r="AE301" i="16"/>
  <c r="W301" i="16"/>
  <c r="O301" i="16"/>
  <c r="G301" i="16"/>
  <c r="AD301" i="16"/>
  <c r="V301" i="16"/>
  <c r="N301" i="16"/>
  <c r="F301" i="16"/>
  <c r="AC301" i="16"/>
  <c r="U301" i="16"/>
  <c r="M301" i="16"/>
  <c r="AB301" i="16"/>
  <c r="T301" i="16"/>
  <c r="L301" i="16"/>
  <c r="Z301" i="16"/>
  <c r="R301" i="16"/>
  <c r="J301" i="16"/>
  <c r="B302" i="16"/>
  <c r="Y301" i="16"/>
  <c r="Q301" i="16"/>
  <c r="I301" i="16"/>
  <c r="AA301" i="16"/>
  <c r="S301" i="16"/>
  <c r="K301" i="16"/>
  <c r="AB302" i="16" l="1"/>
  <c r="T302" i="16"/>
  <c r="L302" i="16"/>
  <c r="AA302" i="16"/>
  <c r="S302" i="16"/>
  <c r="K302" i="16"/>
  <c r="Z302" i="16"/>
  <c r="R302" i="16"/>
  <c r="J302" i="16"/>
  <c r="B303" i="16"/>
  <c r="Y302" i="16"/>
  <c r="Q302" i="16"/>
  <c r="I302" i="16"/>
  <c r="AF302" i="16"/>
  <c r="X302" i="16"/>
  <c r="P302" i="16"/>
  <c r="H302" i="16"/>
  <c r="AD302" i="16"/>
  <c r="V302" i="16"/>
  <c r="N302" i="16"/>
  <c r="F302" i="16"/>
  <c r="AC302" i="16"/>
  <c r="U302" i="16"/>
  <c r="M302" i="16"/>
  <c r="O302" i="16"/>
  <c r="G302" i="16"/>
  <c r="AE302" i="16"/>
  <c r="W302" i="16"/>
  <c r="B96" i="16"/>
  <c r="AY55" i="16"/>
  <c r="AY56" i="16" l="1"/>
  <c r="B97" i="16"/>
  <c r="AF303" i="16"/>
  <c r="X303" i="16"/>
  <c r="P303" i="16"/>
  <c r="H303" i="16"/>
  <c r="AE303" i="16"/>
  <c r="W303" i="16"/>
  <c r="O303" i="16"/>
  <c r="G303" i="16"/>
  <c r="AD303" i="16"/>
  <c r="V303" i="16"/>
  <c r="N303" i="16"/>
  <c r="F303" i="16"/>
  <c r="AC303" i="16"/>
  <c r="U303" i="16"/>
  <c r="M303" i="16"/>
  <c r="AB303" i="16"/>
  <c r="T303" i="16"/>
  <c r="L303" i="16"/>
  <c r="Z303" i="16"/>
  <c r="R303" i="16"/>
  <c r="J303" i="16"/>
  <c r="B304" i="16"/>
  <c r="Y303" i="16"/>
  <c r="Q303" i="16"/>
  <c r="I303" i="16"/>
  <c r="AA303" i="16"/>
  <c r="S303" i="16"/>
  <c r="K303" i="16"/>
  <c r="AB304" i="16" l="1"/>
  <c r="T304" i="16"/>
  <c r="L304" i="16"/>
  <c r="AA304" i="16"/>
  <c r="S304" i="16"/>
  <c r="K304" i="16"/>
  <c r="Z304" i="16"/>
  <c r="R304" i="16"/>
  <c r="J304" i="16"/>
  <c r="B305" i="16"/>
  <c r="Y304" i="16"/>
  <c r="Q304" i="16"/>
  <c r="I304" i="16"/>
  <c r="AF304" i="16"/>
  <c r="X304" i="16"/>
  <c r="P304" i="16"/>
  <c r="H304" i="16"/>
  <c r="AD304" i="16"/>
  <c r="V304" i="16"/>
  <c r="N304" i="16"/>
  <c r="F304" i="16"/>
  <c r="AC304" i="16"/>
  <c r="U304" i="16"/>
  <c r="M304" i="16"/>
  <c r="W304" i="16"/>
  <c r="O304" i="16"/>
  <c r="G304" i="16"/>
  <c r="AE304" i="16"/>
  <c r="AY57" i="16"/>
  <c r="B98" i="16"/>
  <c r="AY58" i="16" l="1"/>
  <c r="B99" i="16"/>
  <c r="AF305" i="16"/>
  <c r="X305" i="16"/>
  <c r="P305" i="16"/>
  <c r="H305" i="16"/>
  <c r="AE305" i="16"/>
  <c r="W305" i="16"/>
  <c r="O305" i="16"/>
  <c r="G305" i="16"/>
  <c r="AD305" i="16"/>
  <c r="V305" i="16"/>
  <c r="N305" i="16"/>
  <c r="F305" i="16"/>
  <c r="AC305" i="16"/>
  <c r="U305" i="16"/>
  <c r="M305" i="16"/>
  <c r="AB305" i="16"/>
  <c r="T305" i="16"/>
  <c r="L305" i="16"/>
  <c r="Z305" i="16"/>
  <c r="R305" i="16"/>
  <c r="J305" i="16"/>
  <c r="B306" i="16"/>
  <c r="Y305" i="16"/>
  <c r="Q305" i="16"/>
  <c r="I305" i="16"/>
  <c r="AA305" i="16"/>
  <c r="S305" i="16"/>
  <c r="K305" i="16"/>
  <c r="AB306" i="16" l="1"/>
  <c r="T306" i="16"/>
  <c r="L306" i="16"/>
  <c r="AA306" i="16"/>
  <c r="S306" i="16"/>
  <c r="K306" i="16"/>
  <c r="Z306" i="16"/>
  <c r="R306" i="16"/>
  <c r="J306" i="16"/>
  <c r="B307" i="16"/>
  <c r="Y306" i="16"/>
  <c r="Q306" i="16"/>
  <c r="I306" i="16"/>
  <c r="AF306" i="16"/>
  <c r="X306" i="16"/>
  <c r="P306" i="16"/>
  <c r="H306" i="16"/>
  <c r="AD306" i="16"/>
  <c r="V306" i="16"/>
  <c r="N306" i="16"/>
  <c r="F306" i="16"/>
  <c r="AC306" i="16"/>
  <c r="U306" i="16"/>
  <c r="M306" i="16"/>
  <c r="AE306" i="16"/>
  <c r="W306" i="16"/>
  <c r="O306" i="16"/>
  <c r="G306" i="16"/>
  <c r="B100" i="16"/>
  <c r="AY59" i="16"/>
  <c r="AY60" i="16" l="1"/>
  <c r="B101" i="16"/>
  <c r="AF307" i="16"/>
  <c r="X307" i="16"/>
  <c r="P307" i="16"/>
  <c r="H307" i="16"/>
  <c r="AE307" i="16"/>
  <c r="W307" i="16"/>
  <c r="O307" i="16"/>
  <c r="G307" i="16"/>
  <c r="AD307" i="16"/>
  <c r="V307" i="16"/>
  <c r="N307" i="16"/>
  <c r="F307" i="16"/>
  <c r="AC307" i="16"/>
  <c r="U307" i="16"/>
  <c r="M307" i="16"/>
  <c r="AB307" i="16"/>
  <c r="T307" i="16"/>
  <c r="L307" i="16"/>
  <c r="Z307" i="16"/>
  <c r="R307" i="16"/>
  <c r="J307" i="16"/>
  <c r="B308" i="16"/>
  <c r="Y307" i="16"/>
  <c r="Q307" i="16"/>
  <c r="I307" i="16"/>
  <c r="AA307" i="16"/>
  <c r="S307" i="16"/>
  <c r="K307" i="16"/>
  <c r="AB308" i="16" l="1"/>
  <c r="T308" i="16"/>
  <c r="L308" i="16"/>
  <c r="AA308" i="16"/>
  <c r="S308" i="16"/>
  <c r="K308" i="16"/>
  <c r="Z308" i="16"/>
  <c r="R308" i="16"/>
  <c r="J308" i="16"/>
  <c r="B309" i="16"/>
  <c r="Y308" i="16"/>
  <c r="Q308" i="16"/>
  <c r="I308" i="16"/>
  <c r="AF308" i="16"/>
  <c r="X308" i="16"/>
  <c r="P308" i="16"/>
  <c r="H308" i="16"/>
  <c r="AD308" i="16"/>
  <c r="V308" i="16"/>
  <c r="N308" i="16"/>
  <c r="F308" i="16"/>
  <c r="AC308" i="16"/>
  <c r="U308" i="16"/>
  <c r="M308" i="16"/>
  <c r="AE308" i="16"/>
  <c r="W308" i="16"/>
  <c r="O308" i="16"/>
  <c r="G308" i="16"/>
  <c r="B102" i="16"/>
  <c r="AY61" i="16"/>
  <c r="B103" i="16" l="1"/>
  <c r="AY63" i="16" s="1"/>
  <c r="AY62" i="16"/>
  <c r="AF309" i="16"/>
  <c r="X309" i="16"/>
  <c r="P309" i="16"/>
  <c r="H309" i="16"/>
  <c r="AE309" i="16"/>
  <c r="W309" i="16"/>
  <c r="O309" i="16"/>
  <c r="G309" i="16"/>
  <c r="AD309" i="16"/>
  <c r="V309" i="16"/>
  <c r="N309" i="16"/>
  <c r="F309" i="16"/>
  <c r="AC309" i="16"/>
  <c r="U309" i="16"/>
  <c r="M309" i="16"/>
  <c r="AB309" i="16"/>
  <c r="T309" i="16"/>
  <c r="L309" i="16"/>
  <c r="Z309" i="16"/>
  <c r="R309" i="16"/>
  <c r="J309" i="16"/>
  <c r="B310" i="16"/>
  <c r="Y309" i="16"/>
  <c r="Q309" i="16"/>
  <c r="I309" i="16"/>
  <c r="K309" i="16"/>
  <c r="AA309" i="16"/>
  <c r="S309" i="16"/>
  <c r="AB310" i="16" l="1"/>
  <c r="T310" i="16"/>
  <c r="L310" i="16"/>
  <c r="AA310" i="16"/>
  <c r="S310" i="16"/>
  <c r="K310" i="16"/>
  <c r="Z310" i="16"/>
  <c r="R310" i="16"/>
  <c r="J310" i="16"/>
  <c r="B311" i="16"/>
  <c r="Y310" i="16"/>
  <c r="Q310" i="16"/>
  <c r="I310" i="16"/>
  <c r="AF310" i="16"/>
  <c r="X310" i="16"/>
  <c r="P310" i="16"/>
  <c r="H310" i="16"/>
  <c r="AD310" i="16"/>
  <c r="V310" i="16"/>
  <c r="N310" i="16"/>
  <c r="F310" i="16"/>
  <c r="AC310" i="16"/>
  <c r="U310" i="16"/>
  <c r="M310" i="16"/>
  <c r="AE310" i="16"/>
  <c r="W310" i="16"/>
  <c r="O310" i="16"/>
  <c r="G310" i="16"/>
  <c r="AF311" i="16" l="1"/>
  <c r="X311" i="16"/>
  <c r="P311" i="16"/>
  <c r="H311" i="16"/>
  <c r="AE311" i="16"/>
  <c r="W311" i="16"/>
  <c r="O311" i="16"/>
  <c r="G311" i="16"/>
  <c r="AD311" i="16"/>
  <c r="V311" i="16"/>
  <c r="N311" i="16"/>
  <c r="F311" i="16"/>
  <c r="AC311" i="16"/>
  <c r="U311" i="16"/>
  <c r="M311" i="16"/>
  <c r="AB311" i="16"/>
  <c r="T311" i="16"/>
  <c r="L311" i="16"/>
  <c r="Z311" i="16"/>
  <c r="R311" i="16"/>
  <c r="J311" i="16"/>
  <c r="B312" i="16"/>
  <c r="Y311" i="16"/>
  <c r="Q311" i="16"/>
  <c r="I311" i="16"/>
  <c r="S311" i="16"/>
  <c r="K311" i="16"/>
  <c r="AA311" i="16"/>
  <c r="AB312" i="16" l="1"/>
  <c r="T312" i="16"/>
  <c r="L312" i="16"/>
  <c r="AA312" i="16"/>
  <c r="S312" i="16"/>
  <c r="K312" i="16"/>
  <c r="Z312" i="16"/>
  <c r="R312" i="16"/>
  <c r="J312" i="16"/>
  <c r="B313" i="16"/>
  <c r="Y312" i="16"/>
  <c r="Q312" i="16"/>
  <c r="I312" i="16"/>
  <c r="AF312" i="16"/>
  <c r="X312" i="16"/>
  <c r="P312" i="16"/>
  <c r="H312" i="16"/>
  <c r="AD312" i="16"/>
  <c r="V312" i="16"/>
  <c r="N312" i="16"/>
  <c r="F312" i="16"/>
  <c r="AC312" i="16"/>
  <c r="U312" i="16"/>
  <c r="M312" i="16"/>
  <c r="AE312" i="16"/>
  <c r="W312" i="16"/>
  <c r="O312" i="16"/>
  <c r="G312" i="16"/>
  <c r="AF313" i="16" l="1"/>
  <c r="X313" i="16"/>
  <c r="P313" i="16"/>
  <c r="H313" i="16"/>
  <c r="AE313" i="16"/>
  <c r="W313" i="16"/>
  <c r="O313" i="16"/>
  <c r="G313" i="16"/>
  <c r="AD313" i="16"/>
  <c r="V313" i="16"/>
  <c r="N313" i="16"/>
  <c r="F313" i="16"/>
  <c r="AC313" i="16"/>
  <c r="U313" i="16"/>
  <c r="M313" i="16"/>
  <c r="AB313" i="16"/>
  <c r="T313" i="16"/>
  <c r="L313" i="16"/>
  <c r="Z313" i="16"/>
  <c r="R313" i="16"/>
  <c r="J313" i="16"/>
  <c r="Y313" i="16"/>
  <c r="Q313" i="16"/>
  <c r="I313" i="16"/>
  <c r="AA313" i="16"/>
  <c r="S313" i="16"/>
  <c r="K313" i="16"/>
  <c r="F36" i="22" l="1"/>
  <c r="O19" i="73" l="1"/>
  <c r="O20" i="90"/>
  <c r="O21" i="90"/>
  <c r="I20" i="90"/>
  <c r="I21" i="90"/>
  <c r="O20" i="89"/>
  <c r="O21" i="89"/>
  <c r="I20" i="89"/>
  <c r="I21" i="89"/>
  <c r="O20" i="91"/>
  <c r="O21" i="91"/>
  <c r="I20" i="91"/>
  <c r="I21" i="91"/>
  <c r="O20" i="85"/>
  <c r="O21" i="85"/>
  <c r="I20" i="85"/>
  <c r="I21" i="85"/>
  <c r="O20" i="87"/>
  <c r="O21" i="87"/>
  <c r="I20" i="87"/>
  <c r="I21" i="87"/>
  <c r="O20" i="86"/>
  <c r="O21" i="86"/>
  <c r="I20" i="86"/>
  <c r="I21" i="86"/>
  <c r="O20" i="76"/>
  <c r="O21" i="76"/>
  <c r="O20" i="74"/>
  <c r="O21" i="74"/>
  <c r="I20" i="74"/>
  <c r="I21" i="74"/>
  <c r="O20" i="75"/>
  <c r="O21" i="75"/>
  <c r="O20" i="73"/>
  <c r="O21" i="73"/>
  <c r="I20" i="73"/>
  <c r="I21" i="73"/>
  <c r="O20" i="72"/>
  <c r="O21" i="72"/>
  <c r="I20" i="72"/>
  <c r="I21" i="72"/>
  <c r="O20" i="71"/>
  <c r="O21" i="71"/>
  <c r="I20" i="71"/>
  <c r="I21" i="71"/>
  <c r="O20" i="70"/>
  <c r="O21" i="70"/>
  <c r="I20" i="70"/>
  <c r="I21" i="70"/>
  <c r="O20" i="107"/>
  <c r="O21" i="107"/>
  <c r="L20" i="107"/>
  <c r="L21" i="107"/>
  <c r="I20" i="107"/>
  <c r="I21" i="107"/>
  <c r="O19" i="51"/>
  <c r="O19" i="107"/>
  <c r="I19" i="51"/>
  <c r="L19" i="107"/>
  <c r="L19" i="51"/>
  <c r="I19" i="107"/>
  <c r="I20" i="51"/>
  <c r="O20" i="51"/>
  <c r="O21" i="51"/>
  <c r="I21" i="51"/>
  <c r="O20" i="50"/>
  <c r="O21" i="50"/>
  <c r="I20" i="50"/>
  <c r="I21" i="50"/>
  <c r="O20" i="39"/>
  <c r="O21" i="39"/>
  <c r="I20" i="39"/>
  <c r="I21" i="39"/>
  <c r="O20" i="25"/>
  <c r="O21" i="25"/>
  <c r="I20" i="25"/>
  <c r="I21" i="25"/>
  <c r="O20" i="24"/>
  <c r="O21" i="24"/>
  <c r="I20" i="24"/>
  <c r="I21" i="24"/>
  <c r="O20" i="49"/>
  <c r="O21" i="49"/>
  <c r="I20" i="49"/>
  <c r="I21" i="49"/>
  <c r="O20" i="48"/>
  <c r="O21" i="48"/>
  <c r="I20" i="48"/>
  <c r="I21" i="48"/>
  <c r="O20" i="47"/>
  <c r="O21" i="47"/>
  <c r="I20" i="47"/>
  <c r="I21" i="47"/>
  <c r="O20" i="46"/>
  <c r="O21" i="46"/>
  <c r="I20" i="46"/>
  <c r="I21" i="46"/>
  <c r="O20" i="45"/>
  <c r="O21" i="45"/>
  <c r="I20" i="45"/>
  <c r="I21" i="45"/>
  <c r="O20" i="44"/>
  <c r="O21" i="44"/>
  <c r="I20" i="44"/>
  <c r="I21" i="44"/>
  <c r="O20" i="43"/>
  <c r="O21" i="43"/>
  <c r="I20" i="43"/>
  <c r="I21" i="43"/>
  <c r="O20" i="42"/>
  <c r="O21" i="42"/>
  <c r="I20" i="42"/>
  <c r="I21" i="42"/>
  <c r="O20" i="41"/>
  <c r="O21" i="41"/>
  <c r="I20" i="41"/>
  <c r="I21" i="41"/>
  <c r="O20" i="40"/>
  <c r="O21" i="40"/>
  <c r="I20" i="40"/>
  <c r="I21" i="40"/>
  <c r="O20" i="38"/>
  <c r="O21" i="38"/>
  <c r="I20" i="38"/>
  <c r="I21" i="38"/>
  <c r="O20" i="37"/>
  <c r="O21" i="37"/>
  <c r="I20" i="37"/>
  <c r="I21" i="37"/>
  <c r="O20" i="36"/>
  <c r="O21" i="36"/>
  <c r="I20" i="36"/>
  <c r="I21" i="36"/>
  <c r="O20" i="34"/>
  <c r="O21" i="34"/>
  <c r="L20" i="34"/>
  <c r="L21" i="34"/>
  <c r="I20" i="34"/>
  <c r="I21" i="34"/>
  <c r="O20" i="35"/>
  <c r="O21" i="35"/>
  <c r="I20" i="35"/>
  <c r="I21" i="35"/>
  <c r="O20" i="33"/>
  <c r="O21" i="33"/>
  <c r="I20" i="33"/>
  <c r="I21" i="33"/>
  <c r="O20" i="32"/>
  <c r="O21" i="32"/>
  <c r="I20" i="32"/>
  <c r="I21" i="32"/>
  <c r="O20" i="31"/>
  <c r="O21" i="31"/>
  <c r="I20" i="31"/>
  <c r="I21" i="31"/>
  <c r="O20" i="30"/>
  <c r="O21" i="30"/>
  <c r="I20" i="30"/>
  <c r="I21" i="30"/>
  <c r="O20" i="29"/>
  <c r="O21" i="29"/>
  <c r="I20" i="29"/>
  <c r="I21" i="29"/>
  <c r="O20" i="28"/>
  <c r="O21" i="28"/>
  <c r="I20" i="28"/>
  <c r="I21" i="28"/>
  <c r="O20" i="27"/>
  <c r="O21" i="27"/>
  <c r="I20" i="27"/>
  <c r="I21" i="27"/>
  <c r="O20" i="26"/>
  <c r="O21" i="26"/>
  <c r="L20" i="26"/>
  <c r="L21" i="26"/>
  <c r="I20" i="26"/>
  <c r="I21" i="26"/>
  <c r="O20" i="23"/>
  <c r="O21" i="23"/>
  <c r="L20" i="23"/>
  <c r="L21" i="23"/>
  <c r="I20" i="23"/>
  <c r="I21" i="23"/>
  <c r="O20" i="22"/>
  <c r="O21" i="22"/>
  <c r="L20" i="22"/>
  <c r="L21" i="22"/>
  <c r="I20" i="22"/>
  <c r="I21" i="22"/>
  <c r="O53" i="63" l="1"/>
  <c r="O51" i="63"/>
  <c r="O50" i="63"/>
  <c r="O49" i="63"/>
  <c r="O48" i="63"/>
  <c r="N49" i="63" l="1"/>
  <c r="N50" i="63"/>
  <c r="N51" i="63"/>
  <c r="N53" i="63"/>
  <c r="N48" i="63"/>
  <c r="O46" i="15"/>
  <c r="O47" i="15"/>
  <c r="O48" i="15"/>
  <c r="O50" i="15"/>
  <c r="O45" i="15"/>
  <c r="N16" i="12"/>
  <c r="N30" i="12"/>
  <c r="L19" i="89" l="1"/>
  <c r="L20" i="87"/>
  <c r="L21" i="87"/>
  <c r="L19" i="87"/>
  <c r="L20" i="86"/>
  <c r="L21" i="86"/>
  <c r="L19" i="86"/>
  <c r="L20" i="90"/>
  <c r="L21" i="90"/>
  <c r="L20" i="89"/>
  <c r="L21" i="89"/>
  <c r="L20" i="85"/>
  <c r="L21" i="85"/>
  <c r="L19" i="85"/>
  <c r="L20" i="91"/>
  <c r="L21" i="91"/>
  <c r="L19" i="91"/>
  <c r="L19" i="90"/>
  <c r="L20" i="84"/>
  <c r="L21" i="84"/>
  <c r="L19" i="84"/>
  <c r="M18" i="84" s="1"/>
  <c r="L20" i="83"/>
  <c r="L21" i="83"/>
  <c r="L19" i="83"/>
  <c r="L20" i="82"/>
  <c r="L21" i="82"/>
  <c r="L19" i="82"/>
  <c r="L20" i="81"/>
  <c r="L21" i="81"/>
  <c r="L19" i="81"/>
  <c r="L20" i="80"/>
  <c r="L21" i="80"/>
  <c r="L19" i="80"/>
  <c r="L20" i="109"/>
  <c r="L21" i="109"/>
  <c r="L19" i="109"/>
  <c r="L20" i="79"/>
  <c r="L21" i="79"/>
  <c r="L19" i="79"/>
  <c r="L21" i="76"/>
  <c r="L21" i="74"/>
  <c r="L21" i="75"/>
  <c r="L20" i="78"/>
  <c r="L21" i="78"/>
  <c r="L19" i="78"/>
  <c r="L20" i="77"/>
  <c r="L21" i="77"/>
  <c r="L19" i="77"/>
  <c r="L20" i="76"/>
  <c r="L19" i="76"/>
  <c r="Q14" i="77"/>
  <c r="L20" i="74"/>
  <c r="L19" i="74"/>
  <c r="L20" i="75"/>
  <c r="L19" i="75"/>
  <c r="L21" i="73"/>
  <c r="L20" i="73"/>
  <c r="L19" i="73"/>
  <c r="L20" i="72"/>
  <c r="L21" i="72"/>
  <c r="L19" i="72"/>
  <c r="L20" i="71"/>
  <c r="L21" i="71"/>
  <c r="L19" i="71"/>
  <c r="L20" i="70"/>
  <c r="L21" i="70"/>
  <c r="L19" i="70"/>
  <c r="L20" i="51"/>
  <c r="L21" i="51"/>
  <c r="L20" i="50"/>
  <c r="L21" i="50"/>
  <c r="L19" i="50"/>
  <c r="L20" i="39"/>
  <c r="L21" i="39"/>
  <c r="L19" i="39"/>
  <c r="L20" i="25"/>
  <c r="L21" i="25"/>
  <c r="L19" i="25"/>
  <c r="L20" i="24"/>
  <c r="L21" i="24"/>
  <c r="L19" i="24"/>
  <c r="L20" i="49"/>
  <c r="L21" i="49"/>
  <c r="L19" i="49"/>
  <c r="L20" i="48"/>
  <c r="L21" i="48"/>
  <c r="L19" i="48"/>
  <c r="L20" i="47"/>
  <c r="L21" i="47"/>
  <c r="L19" i="47"/>
  <c r="L20" i="46"/>
  <c r="L21" i="46"/>
  <c r="L19" i="46"/>
  <c r="L20" i="45"/>
  <c r="L21" i="45"/>
  <c r="L19" i="45"/>
  <c r="L20" i="44"/>
  <c r="L21" i="44"/>
  <c r="L19" i="44"/>
  <c r="L20" i="43"/>
  <c r="L21" i="43"/>
  <c r="L19" i="43"/>
  <c r="L20" i="42"/>
  <c r="L21" i="42"/>
  <c r="L19" i="42"/>
  <c r="L20" i="41"/>
  <c r="L21" i="41"/>
  <c r="L19" i="41"/>
  <c r="L20" i="40"/>
  <c r="L21" i="40"/>
  <c r="L19" i="40"/>
  <c r="L20" i="38"/>
  <c r="L21" i="38"/>
  <c r="L19" i="38"/>
  <c r="L20" i="37"/>
  <c r="L21" i="37"/>
  <c r="L19" i="37"/>
  <c r="L20" i="36"/>
  <c r="L21" i="36"/>
  <c r="L19" i="36"/>
  <c r="L20" i="35"/>
  <c r="L21" i="35"/>
  <c r="L19" i="35"/>
  <c r="L19" i="34"/>
  <c r="L20" i="33"/>
  <c r="L21" i="33"/>
  <c r="L19" i="33"/>
  <c r="L20" i="32"/>
  <c r="L21" i="32"/>
  <c r="L19" i="32"/>
  <c r="L19" i="31"/>
  <c r="L20" i="31" l="1"/>
  <c r="L21" i="31"/>
  <c r="L20" i="30"/>
  <c r="L21" i="30"/>
  <c r="L19" i="30"/>
  <c r="L20" i="29"/>
  <c r="L21" i="29"/>
  <c r="L19" i="29"/>
  <c r="L19" i="28"/>
  <c r="L20" i="28"/>
  <c r="L21" i="28"/>
  <c r="L20" i="27"/>
  <c r="L21" i="27"/>
  <c r="L19" i="27"/>
  <c r="N72" i="13"/>
  <c r="N73" i="13"/>
  <c r="N71" i="13"/>
  <c r="L19" i="23" s="1"/>
  <c r="L19" i="22"/>
  <c r="Q15" i="22"/>
  <c r="Q16" i="22"/>
  <c r="Q14" i="22"/>
  <c r="M25" i="12" l="1"/>
  <c r="M21" i="12"/>
  <c r="M20" i="12"/>
  <c r="M19" i="12"/>
  <c r="M18" i="12"/>
  <c r="M16" i="12"/>
  <c r="A38" i="60" l="1"/>
  <c r="L19" i="26" l="1"/>
  <c r="N60" i="13" l="1"/>
  <c r="N61" i="13"/>
  <c r="N62" i="13"/>
  <c r="N63" i="13"/>
  <c r="N64" i="13"/>
  <c r="N65" i="13"/>
  <c r="N66" i="13"/>
  <c r="N67" i="13"/>
  <c r="N68" i="13"/>
  <c r="N69" i="13"/>
  <c r="N70" i="13"/>
  <c r="N36" i="13"/>
  <c r="N37" i="13"/>
  <c r="N38" i="13"/>
  <c r="N39" i="13"/>
  <c r="N40" i="13"/>
  <c r="N41" i="13"/>
  <c r="N42" i="13"/>
  <c r="N43" i="13"/>
  <c r="N44" i="13"/>
  <c r="N45" i="13"/>
  <c r="N46" i="13"/>
  <c r="F25" i="50" l="1"/>
  <c r="F25" i="39"/>
  <c r="F25" i="25"/>
  <c r="F25" i="24"/>
  <c r="F25" i="49"/>
  <c r="F25" i="48"/>
  <c r="F25" i="47"/>
  <c r="F25" i="46"/>
  <c r="F25" i="45"/>
  <c r="F25" i="44"/>
  <c r="F25" i="43"/>
  <c r="F25" i="42"/>
  <c r="F25" i="41"/>
  <c r="F25" i="40"/>
  <c r="F26" i="37"/>
  <c r="F25" i="37"/>
  <c r="F25" i="36" l="1"/>
  <c r="F25" i="35"/>
  <c r="F25" i="34"/>
  <c r="F25" i="33"/>
  <c r="F25" i="32"/>
  <c r="F25" i="31"/>
  <c r="F25" i="30"/>
  <c r="F25" i="29"/>
  <c r="F25" i="28"/>
  <c r="F25" i="27"/>
  <c r="F26" i="26"/>
  <c r="F25" i="26"/>
  <c r="F25" i="23"/>
  <c r="F25" i="22"/>
  <c r="N59" i="13"/>
  <c r="L58" i="13"/>
  <c r="H58" i="13"/>
  <c r="I58" i="13"/>
  <c r="J58" i="13"/>
  <c r="K58" i="13"/>
  <c r="G58" i="13"/>
  <c r="N58" i="13"/>
  <c r="N35" i="13"/>
  <c r="O9" i="12" l="1"/>
  <c r="N16" i="60" l="1"/>
  <c r="N59" i="12" l="1"/>
  <c r="N52" i="12"/>
  <c r="N48" i="12"/>
  <c r="N29" i="12"/>
  <c r="N31" i="12"/>
  <c r="N32" i="12"/>
  <c r="N33" i="12"/>
  <c r="N34" i="12"/>
  <c r="N35" i="12"/>
  <c r="N36" i="12"/>
  <c r="N37" i="12"/>
  <c r="N38" i="12"/>
  <c r="N39" i="12"/>
  <c r="N40" i="12"/>
  <c r="N41" i="12"/>
  <c r="N42" i="12"/>
  <c r="N43" i="12"/>
  <c r="N44" i="12"/>
  <c r="N45" i="12"/>
  <c r="N46" i="12"/>
  <c r="N47" i="12"/>
  <c r="N17" i="12"/>
  <c r="N18" i="12"/>
  <c r="N19" i="12"/>
  <c r="N20" i="12"/>
  <c r="N21" i="12"/>
  <c r="N22" i="12"/>
  <c r="N23" i="12"/>
  <c r="N24" i="12"/>
  <c r="N25" i="12"/>
  <c r="N26" i="12"/>
  <c r="N27" i="12"/>
  <c r="N28" i="12"/>
  <c r="N23" i="13"/>
  <c r="N21" i="13"/>
  <c r="N12" i="13"/>
  <c r="N11" i="13"/>
  <c r="N13" i="13"/>
  <c r="P42" i="15" l="1"/>
  <c r="N42" i="15"/>
  <c r="A62" i="12"/>
  <c r="O62" i="12" s="1"/>
  <c r="A63" i="12"/>
  <c r="O63" i="12" s="1"/>
  <c r="A64" i="12"/>
  <c r="N64" i="12"/>
  <c r="O64" i="12" l="1"/>
  <c r="D5" i="14" s="1"/>
  <c r="P47" i="15"/>
  <c r="P45" i="15"/>
  <c r="P46" i="15"/>
  <c r="P50" i="15"/>
  <c r="D4" i="62"/>
  <c r="N56" i="60"/>
  <c r="N57" i="60"/>
  <c r="N58" i="60"/>
  <c r="N55" i="60"/>
  <c r="N17" i="60"/>
  <c r="N18" i="60"/>
  <c r="N19" i="60"/>
  <c r="N20" i="60"/>
  <c r="N21" i="60"/>
  <c r="N22" i="60"/>
  <c r="N23" i="60"/>
  <c r="N24" i="60"/>
  <c r="N25" i="60"/>
  <c r="N26" i="60"/>
  <c r="N27" i="60"/>
  <c r="N28" i="60"/>
  <c r="N29" i="60"/>
  <c r="N30" i="60"/>
  <c r="N31" i="60"/>
  <c r="N32" i="60"/>
  <c r="N33" i="60"/>
  <c r="N36" i="60"/>
  <c r="N37" i="60"/>
  <c r="N40" i="60"/>
  <c r="N41" i="60"/>
  <c r="N43" i="60"/>
  <c r="N44" i="60"/>
  <c r="N45" i="60"/>
  <c r="N46" i="60"/>
  <c r="N47" i="60"/>
  <c r="N48" i="60"/>
  <c r="N49" i="60"/>
  <c r="N50" i="60"/>
  <c r="N51" i="60"/>
  <c r="N53" i="12" l="1"/>
  <c r="N54" i="12"/>
  <c r="N55" i="12"/>
  <c r="D43" i="14" l="1"/>
  <c r="M10" i="6" l="1"/>
  <c r="CX65" i="21" l="1"/>
  <c r="CY65" i="21"/>
  <c r="D4" i="21"/>
  <c r="Q39" i="22"/>
  <c r="Q40" i="22"/>
  <c r="Q41" i="22"/>
  <c r="Q42" i="22"/>
  <c r="F42" i="107"/>
  <c r="F41" i="107"/>
  <c r="F40" i="107"/>
  <c r="F39" i="107"/>
  <c r="F38" i="107"/>
  <c r="F37" i="107"/>
  <c r="F36" i="107"/>
  <c r="F42" i="51"/>
  <c r="F41" i="51"/>
  <c r="F40" i="51"/>
  <c r="F39" i="51"/>
  <c r="F38" i="51"/>
  <c r="F37" i="51"/>
  <c r="F36" i="51"/>
  <c r="F42" i="50"/>
  <c r="F41" i="50"/>
  <c r="F40" i="50"/>
  <c r="F39" i="50"/>
  <c r="F38" i="50"/>
  <c r="F37" i="50"/>
  <c r="F36" i="50"/>
  <c r="F42" i="23"/>
  <c r="F41" i="23"/>
  <c r="F40" i="23"/>
  <c r="F39" i="23"/>
  <c r="F38" i="23"/>
  <c r="F37" i="23"/>
  <c r="F36" i="23"/>
  <c r="F42" i="26"/>
  <c r="F41" i="26"/>
  <c r="F40" i="26"/>
  <c r="F39" i="26"/>
  <c r="F38" i="26"/>
  <c r="F37" i="26"/>
  <c r="F36" i="26"/>
  <c r="F42" i="27"/>
  <c r="F41" i="27"/>
  <c r="F40" i="27"/>
  <c r="F39" i="27"/>
  <c r="F38" i="27"/>
  <c r="F37" i="27"/>
  <c r="F36" i="27"/>
  <c r="F42" i="28"/>
  <c r="F41" i="28"/>
  <c r="F40" i="28"/>
  <c r="F39" i="28"/>
  <c r="F38" i="28"/>
  <c r="F37" i="28"/>
  <c r="F36" i="28"/>
  <c r="F42" i="29"/>
  <c r="F41" i="29"/>
  <c r="F40" i="29"/>
  <c r="F39" i="29"/>
  <c r="F38" i="29"/>
  <c r="F37" i="29"/>
  <c r="F36" i="29"/>
  <c r="F42" i="30"/>
  <c r="F41" i="30"/>
  <c r="F40" i="30"/>
  <c r="F39" i="30"/>
  <c r="F38" i="30"/>
  <c r="F37" i="30"/>
  <c r="F36" i="30"/>
  <c r="F42" i="31"/>
  <c r="F41" i="31"/>
  <c r="F40" i="31"/>
  <c r="F39" i="31"/>
  <c r="F38" i="31"/>
  <c r="F37" i="31"/>
  <c r="F36" i="31"/>
  <c r="F42" i="32"/>
  <c r="F41" i="32"/>
  <c r="F40" i="32"/>
  <c r="F39" i="32"/>
  <c r="F38" i="32"/>
  <c r="F37" i="32"/>
  <c r="F36" i="32"/>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42" i="38"/>
  <c r="F41" i="38"/>
  <c r="F40" i="38"/>
  <c r="F39" i="38"/>
  <c r="F38" i="38"/>
  <c r="F37" i="38"/>
  <c r="F42" i="40"/>
  <c r="F41" i="40"/>
  <c r="F40" i="40"/>
  <c r="F39" i="40"/>
  <c r="F38" i="40"/>
  <c r="F37" i="40"/>
  <c r="F36" i="40"/>
  <c r="F42" i="41"/>
  <c r="F41" i="41"/>
  <c r="F40" i="41"/>
  <c r="F39" i="41"/>
  <c r="F38" i="41"/>
  <c r="F37" i="41"/>
  <c r="F36" i="41"/>
  <c r="F42" i="42"/>
  <c r="F41" i="42"/>
  <c r="F40" i="42"/>
  <c r="F39" i="42"/>
  <c r="F38" i="42"/>
  <c r="F37" i="42"/>
  <c r="F36" i="42"/>
  <c r="F42" i="43"/>
  <c r="F41" i="43"/>
  <c r="F40" i="43"/>
  <c r="F39" i="43"/>
  <c r="F38" i="43"/>
  <c r="F37" i="43"/>
  <c r="F36" i="43"/>
  <c r="F42" i="44"/>
  <c r="F41" i="44"/>
  <c r="F40" i="44"/>
  <c r="F39" i="44"/>
  <c r="F38" i="44"/>
  <c r="F37" i="44"/>
  <c r="F36" i="44"/>
  <c r="F42" i="45"/>
  <c r="F41" i="45"/>
  <c r="F40" i="45"/>
  <c r="F39" i="45"/>
  <c r="F38" i="45"/>
  <c r="F37" i="45"/>
  <c r="F36" i="45"/>
  <c r="F42" i="46"/>
  <c r="F41" i="46"/>
  <c r="F40" i="46"/>
  <c r="F39" i="46"/>
  <c r="F38" i="46"/>
  <c r="F37" i="46"/>
  <c r="F36" i="46"/>
  <c r="F42" i="47"/>
  <c r="F41" i="47"/>
  <c r="F40" i="47"/>
  <c r="F39" i="47"/>
  <c r="F38" i="47"/>
  <c r="F37" i="47"/>
  <c r="F36" i="47"/>
  <c r="F42" i="48"/>
  <c r="F41" i="48"/>
  <c r="F40" i="48"/>
  <c r="F39" i="48"/>
  <c r="F38" i="48"/>
  <c r="F37" i="48"/>
  <c r="F36" i="48"/>
  <c r="F42" i="49"/>
  <c r="F41" i="49"/>
  <c r="F40" i="49"/>
  <c r="F39" i="49"/>
  <c r="F38" i="49"/>
  <c r="F37" i="49"/>
  <c r="F36" i="49"/>
  <c r="F42" i="24"/>
  <c r="F41" i="24"/>
  <c r="F40" i="24"/>
  <c r="F39" i="24"/>
  <c r="F38" i="24"/>
  <c r="F37" i="24"/>
  <c r="F36" i="24"/>
  <c r="F42" i="25"/>
  <c r="F41" i="25"/>
  <c r="F40" i="25"/>
  <c r="F39" i="25"/>
  <c r="F38" i="25"/>
  <c r="F37" i="25"/>
  <c r="F36" i="25"/>
  <c r="F42" i="39"/>
  <c r="F41" i="39"/>
  <c r="F40" i="39"/>
  <c r="F39" i="39"/>
  <c r="F38" i="39"/>
  <c r="F37" i="39"/>
  <c r="F36" i="39"/>
  <c r="F36" i="90"/>
  <c r="F37" i="90"/>
  <c r="F38" i="90"/>
  <c r="F39" i="90"/>
  <c r="F40" i="90"/>
  <c r="F41" i="90"/>
  <c r="F42" i="90"/>
  <c r="F36" i="89"/>
  <c r="F37" i="89"/>
  <c r="F38" i="89"/>
  <c r="F39" i="89"/>
  <c r="F40" i="89"/>
  <c r="F41" i="89"/>
  <c r="F42" i="89"/>
  <c r="F36" i="91"/>
  <c r="F37" i="91"/>
  <c r="F38" i="91"/>
  <c r="F39" i="91"/>
  <c r="F40" i="91"/>
  <c r="F41" i="91"/>
  <c r="F42" i="91"/>
  <c r="F36" i="85"/>
  <c r="F37" i="85"/>
  <c r="F38" i="85"/>
  <c r="F39" i="85"/>
  <c r="F40" i="85"/>
  <c r="F41" i="85"/>
  <c r="F42" i="85"/>
  <c r="F36" i="87"/>
  <c r="F37" i="87"/>
  <c r="F38" i="87"/>
  <c r="F39" i="87"/>
  <c r="F40" i="87"/>
  <c r="F41" i="87"/>
  <c r="F42" i="87"/>
  <c r="F36" i="86"/>
  <c r="F37" i="86"/>
  <c r="F38" i="86"/>
  <c r="F39" i="86"/>
  <c r="F40" i="86"/>
  <c r="F41" i="86"/>
  <c r="F42" i="86"/>
  <c r="F36" i="84"/>
  <c r="F37" i="84"/>
  <c r="F38" i="84"/>
  <c r="F39" i="84"/>
  <c r="F40" i="84"/>
  <c r="F41" i="84"/>
  <c r="F42" i="84"/>
  <c r="F36" i="83"/>
  <c r="F37" i="83"/>
  <c r="F38" i="83"/>
  <c r="F39" i="83"/>
  <c r="F40" i="83"/>
  <c r="F41" i="83"/>
  <c r="F42" i="83"/>
  <c r="F36" i="82"/>
  <c r="F37" i="82"/>
  <c r="F38" i="82"/>
  <c r="F39" i="82"/>
  <c r="F40" i="82"/>
  <c r="F41" i="82"/>
  <c r="F42" i="82"/>
  <c r="F36" i="81"/>
  <c r="F37" i="81"/>
  <c r="F38" i="81"/>
  <c r="F39" i="81"/>
  <c r="F40" i="81"/>
  <c r="F41" i="81"/>
  <c r="F42" i="81"/>
  <c r="F36" i="80"/>
  <c r="F37" i="80"/>
  <c r="F38" i="80"/>
  <c r="F39" i="80"/>
  <c r="F40" i="80"/>
  <c r="F41" i="80"/>
  <c r="F42" i="80"/>
  <c r="F36" i="109"/>
  <c r="F37" i="109"/>
  <c r="F38" i="109"/>
  <c r="F39" i="109"/>
  <c r="F40" i="109"/>
  <c r="F41" i="109"/>
  <c r="F42" i="109"/>
  <c r="F36" i="79"/>
  <c r="F37" i="79"/>
  <c r="F38" i="79"/>
  <c r="F39" i="79"/>
  <c r="F40" i="79"/>
  <c r="F41" i="79"/>
  <c r="F42" i="79"/>
  <c r="F36" i="78"/>
  <c r="F37" i="78"/>
  <c r="F38" i="78"/>
  <c r="F39" i="78"/>
  <c r="F40" i="78"/>
  <c r="F41" i="78"/>
  <c r="F42" i="78"/>
  <c r="F36" i="77"/>
  <c r="F37" i="77"/>
  <c r="F38" i="77"/>
  <c r="F39" i="77"/>
  <c r="F40" i="77"/>
  <c r="F41" i="77"/>
  <c r="F42" i="77"/>
  <c r="F36" i="76"/>
  <c r="F37" i="76"/>
  <c r="F38" i="76"/>
  <c r="F39" i="76"/>
  <c r="F40" i="76"/>
  <c r="F41" i="76"/>
  <c r="F42" i="76"/>
  <c r="F36" i="74"/>
  <c r="F37" i="74"/>
  <c r="F38" i="74"/>
  <c r="F39" i="74"/>
  <c r="F40" i="74"/>
  <c r="F41" i="74"/>
  <c r="F42" i="74"/>
  <c r="F36" i="75"/>
  <c r="F37" i="75"/>
  <c r="F38" i="75"/>
  <c r="F39" i="75"/>
  <c r="F40" i="75"/>
  <c r="F41" i="75"/>
  <c r="F42" i="75"/>
  <c r="F36" i="73"/>
  <c r="F37" i="73"/>
  <c r="F38" i="73"/>
  <c r="F39" i="73"/>
  <c r="F40" i="73"/>
  <c r="F41" i="73"/>
  <c r="F42" i="73"/>
  <c r="F36" i="72"/>
  <c r="F37" i="72"/>
  <c r="F38" i="72"/>
  <c r="F39" i="72"/>
  <c r="F40" i="72"/>
  <c r="F41" i="72"/>
  <c r="F42" i="72"/>
  <c r="F36" i="71"/>
  <c r="F37" i="71"/>
  <c r="F38" i="71"/>
  <c r="F39" i="71"/>
  <c r="F40" i="71"/>
  <c r="F41" i="71"/>
  <c r="F42" i="71"/>
  <c r="F36" i="70"/>
  <c r="F37" i="70"/>
  <c r="F38" i="70"/>
  <c r="F39" i="70"/>
  <c r="F40" i="70"/>
  <c r="F41" i="70"/>
  <c r="F42" i="70"/>
  <c r="Q38" i="22"/>
  <c r="F39" i="22"/>
  <c r="F40" i="22"/>
  <c r="F41" i="22"/>
  <c r="F42" i="22"/>
  <c r="F37" i="22"/>
  <c r="F38" i="22"/>
  <c r="CO4" i="21"/>
  <c r="EF4" i="21"/>
  <c r="DK4" i="21"/>
  <c r="AH4" i="21"/>
  <c r="AR4" i="21"/>
  <c r="CY4" i="21"/>
  <c r="BO4" i="21"/>
  <c r="AX4" i="21"/>
  <c r="BR4" i="21"/>
  <c r="DX4" i="21"/>
  <c r="CX4" i="21"/>
  <c r="Q4" i="21"/>
  <c r="EJ4" i="21"/>
  <c r="FK4" i="21"/>
  <c r="AK4" i="21"/>
  <c r="ER4" i="21"/>
  <c r="FG4" i="21"/>
  <c r="J4" i="21"/>
  <c r="E4" i="21"/>
  <c r="BZ4" i="21"/>
  <c r="EH4" i="21"/>
  <c r="CC4" i="21"/>
  <c r="AQ4" i="21"/>
  <c r="ES4" i="21"/>
  <c r="AA4" i="21"/>
  <c r="DV4" i="21"/>
  <c r="EV4" i="21"/>
  <c r="BT4" i="21"/>
  <c r="BF4" i="21"/>
  <c r="R4" i="21"/>
  <c r="AD4" i="21"/>
  <c r="EM4" i="21"/>
  <c r="EG4" i="21"/>
  <c r="AL4" i="21"/>
  <c r="EP4" i="21"/>
  <c r="AE4" i="21"/>
  <c r="DJ4" i="21"/>
  <c r="CA4" i="21"/>
  <c r="FJ4" i="21"/>
  <c r="DL4" i="21"/>
  <c r="ED4" i="21"/>
  <c r="BA4" i="21"/>
  <c r="BD4" i="21"/>
  <c r="EL4" i="21"/>
  <c r="FA4" i="21"/>
  <c r="EN4" i="21"/>
  <c r="DD4" i="21"/>
  <c r="AY4" i="21"/>
  <c r="BH4" i="21"/>
  <c r="DM4" i="21"/>
  <c r="DW4" i="21"/>
  <c r="DR4" i="21"/>
  <c r="CP4" i="21"/>
  <c r="DS4" i="21"/>
  <c r="CK4" i="21"/>
  <c r="DU4" i="21"/>
  <c r="K4" i="21"/>
  <c r="DN4" i="21"/>
  <c r="AF4" i="21"/>
  <c r="DF4" i="21"/>
  <c r="BX4" i="21"/>
  <c r="I4" i="21"/>
  <c r="AU4" i="21"/>
  <c r="AC4" i="21"/>
  <c r="S4" i="21"/>
  <c r="Y4" i="21"/>
  <c r="CD4" i="21"/>
  <c r="CG4" i="21"/>
  <c r="CR4" i="21"/>
  <c r="CJ4" i="21"/>
  <c r="CI4" i="21"/>
  <c r="FE4" i="21"/>
  <c r="CF4" i="21"/>
  <c r="BC4" i="21"/>
  <c r="DB4" i="21"/>
  <c r="O4" i="21"/>
  <c r="FD4" i="21"/>
  <c r="FC4" i="21"/>
  <c r="AB4" i="21"/>
  <c r="DI4" i="21"/>
  <c r="P4" i="21"/>
  <c r="EW4" i="21"/>
  <c r="EY4" i="21"/>
  <c r="BN4" i="21"/>
  <c r="BM4" i="21"/>
  <c r="BG4" i="21"/>
  <c r="H4" i="21"/>
  <c r="EU4" i="21"/>
  <c r="EX4" i="21"/>
  <c r="FI4" i="21"/>
  <c r="AZ4" i="21"/>
  <c r="BE4" i="21"/>
  <c r="U4" i="21"/>
  <c r="DQ4" i="21"/>
  <c r="BU4" i="21"/>
  <c r="EK4" i="21"/>
  <c r="AW4" i="21"/>
  <c r="DO4" i="21"/>
  <c r="FM4" i="21"/>
  <c r="AI4" i="21"/>
  <c r="EA4" i="21"/>
  <c r="BW4" i="21"/>
  <c r="BY4" i="21"/>
  <c r="G4" i="21"/>
  <c r="AT4" i="21"/>
  <c r="FB4" i="21"/>
  <c r="AJ4" i="21"/>
  <c r="DE4" i="21"/>
  <c r="CM4" i="21"/>
  <c r="CH4" i="21"/>
  <c r="CZ4" i="21"/>
  <c r="CE4" i="21"/>
  <c r="AN4" i="21"/>
  <c r="M4" i="21"/>
  <c r="DT4" i="21"/>
  <c r="AM4" i="21"/>
  <c r="W4" i="21"/>
  <c r="DY4" i="21"/>
  <c r="EZ4" i="21"/>
  <c r="AV4" i="21"/>
  <c r="AO4" i="21"/>
  <c r="BI4" i="21"/>
  <c r="BS4" i="21"/>
  <c r="EI4" i="21"/>
  <c r="N4" i="21"/>
  <c r="DH4" i="21"/>
  <c r="BB4" i="21"/>
  <c r="AP4" i="21"/>
  <c r="X4" i="21"/>
  <c r="EO4" i="21"/>
  <c r="ET4" i="21"/>
  <c r="CB4" i="21"/>
  <c r="EB4" i="21"/>
  <c r="CN4" i="21"/>
  <c r="BP4" i="21"/>
  <c r="AS4" i="21"/>
  <c r="EC4" i="21"/>
  <c r="DC4" i="21"/>
  <c r="BV4" i="21"/>
  <c r="CL4" i="21"/>
  <c r="CT4" i="21"/>
  <c r="T4" i="21"/>
  <c r="DG4" i="21"/>
  <c r="BQ4" i="21"/>
  <c r="CQ4" i="21"/>
  <c r="FL4" i="21"/>
  <c r="FH4" i="21"/>
  <c r="CS4" i="21"/>
  <c r="BJ4" i="21"/>
  <c r="BL4" i="21"/>
  <c r="F4" i="21"/>
  <c r="EE4" i="21"/>
  <c r="V4" i="21"/>
  <c r="Z4" i="21"/>
  <c r="DP4" i="21"/>
  <c r="DZ4" i="21"/>
  <c r="L4" i="21"/>
  <c r="FF4" i="21"/>
  <c r="DA4" i="21"/>
  <c r="BK4" i="21"/>
  <c r="AG4" i="21"/>
  <c r="EQ4" i="21"/>
  <c r="F284" i="20" l="1"/>
  <c r="J42" i="15" l="1"/>
  <c r="K42" i="15" s="1"/>
  <c r="L42" i="15" s="1"/>
  <c r="D61" i="85" l="1"/>
  <c r="N60" i="12" l="1"/>
  <c r="N61" i="12"/>
  <c r="F64" i="86" l="1"/>
  <c r="F63" i="86"/>
  <c r="F62" i="86"/>
  <c r="K1" i="57"/>
  <c r="A45" i="60" l="1"/>
  <c r="A46" i="60"/>
  <c r="A47" i="60"/>
  <c r="A48" i="60"/>
  <c r="F62" i="75"/>
  <c r="F63" i="75"/>
  <c r="F64" i="75"/>
  <c r="F70" i="75"/>
  <c r="F64" i="62"/>
  <c r="O45" i="63" l="1"/>
  <c r="K9" i="77" l="1"/>
  <c r="K10" i="77" s="1"/>
  <c r="O12" i="12" l="1"/>
  <c r="D72" i="75" s="1"/>
  <c r="O11" i="12"/>
  <c r="O10" i="12"/>
  <c r="O9" i="60"/>
  <c r="O10" i="60"/>
  <c r="O11" i="60"/>
  <c r="O12" i="60"/>
  <c r="D35" i="38" l="1"/>
  <c r="G36" i="38" s="1"/>
  <c r="I36" i="38" s="1"/>
  <c r="U68" i="35"/>
  <c r="S68" i="81"/>
  <c r="T68" i="81"/>
  <c r="R68" i="81"/>
  <c r="T68" i="35"/>
  <c r="V68" i="35"/>
  <c r="S68" i="22"/>
  <c r="R68" i="22"/>
  <c r="R68" i="85"/>
  <c r="R68" i="86"/>
  <c r="S68" i="85"/>
  <c r="T68" i="85"/>
  <c r="S68" i="83"/>
  <c r="T68" i="84"/>
  <c r="S68" i="86"/>
  <c r="R68" i="83"/>
  <c r="S68" i="84"/>
  <c r="T68" i="82"/>
  <c r="R68" i="84"/>
  <c r="R68" i="82"/>
  <c r="T68" i="83"/>
  <c r="S68" i="82"/>
  <c r="T68" i="86"/>
  <c r="T68" i="79"/>
  <c r="R68" i="77"/>
  <c r="S68" i="79"/>
  <c r="R68" i="79"/>
  <c r="R68" i="78"/>
  <c r="T68" i="77"/>
  <c r="T68" i="78"/>
  <c r="S68" i="78"/>
  <c r="S68" i="77"/>
  <c r="M67" i="77" s="1"/>
  <c r="D61" i="90"/>
  <c r="D61" i="89"/>
  <c r="D61" i="86"/>
  <c r="D61" i="109"/>
  <c r="D61" i="84"/>
  <c r="D61" i="77"/>
  <c r="D61" i="91"/>
  <c r="D61" i="79"/>
  <c r="D61" i="70"/>
  <c r="D61" i="87"/>
  <c r="D61" i="76"/>
  <c r="D61" i="71"/>
  <c r="D61" i="83"/>
  <c r="D61" i="78"/>
  <c r="D61" i="73"/>
  <c r="D61" i="81"/>
  <c r="D61" i="82"/>
  <c r="D61" i="74"/>
  <c r="D61" i="72"/>
  <c r="D61" i="75"/>
  <c r="D61" i="80"/>
  <c r="G63" i="75" l="1"/>
  <c r="G64" i="75"/>
  <c r="G62" i="75"/>
  <c r="G63" i="86"/>
  <c r="G64" i="86"/>
  <c r="G62" i="86"/>
  <c r="I63" i="75" l="1"/>
  <c r="L63" i="75"/>
  <c r="O63" i="75"/>
  <c r="O62" i="86"/>
  <c r="I62" i="86"/>
  <c r="L62" i="86"/>
  <c r="O63" i="86"/>
  <c r="L63" i="86"/>
  <c r="I63" i="86"/>
  <c r="L62" i="75"/>
  <c r="O62" i="75"/>
  <c r="I62" i="75"/>
  <c r="J45" i="63"/>
  <c r="K45" i="63" s="1"/>
  <c r="L45" i="63" s="1"/>
  <c r="C136" i="62"/>
  <c r="D119" i="14"/>
  <c r="D117" i="14"/>
  <c r="D116" i="14"/>
  <c r="D113" i="14"/>
  <c r="D115" i="14"/>
  <c r="D114" i="14"/>
  <c r="D112" i="14"/>
  <c r="D111" i="14"/>
  <c r="D110" i="14"/>
  <c r="D105" i="14"/>
  <c r="D102" i="14" l="1"/>
  <c r="D100" i="14"/>
  <c r="D99" i="14"/>
  <c r="K9" i="23" l="1"/>
  <c r="X13" i="37" l="1"/>
  <c r="Y13" i="37"/>
  <c r="M18" i="101" l="1"/>
  <c r="J18" i="101"/>
  <c r="I14" i="102" l="1"/>
  <c r="J13" i="102" s="1"/>
  <c r="I14" i="103"/>
  <c r="I14" i="104"/>
  <c r="J13" i="104" s="1"/>
  <c r="I14" i="105"/>
  <c r="J13" i="105" s="1"/>
  <c r="I14" i="106"/>
  <c r="J13" i="106"/>
  <c r="J13" i="103"/>
  <c r="N50" i="44"/>
  <c r="K50" i="44"/>
  <c r="N53" i="41"/>
  <c r="K53" i="41"/>
  <c r="H53" i="41"/>
  <c r="N50" i="37"/>
  <c r="K50" i="37"/>
  <c r="H50" i="37"/>
  <c r="N50" i="36"/>
  <c r="K50" i="36"/>
  <c r="H50" i="36"/>
  <c r="N51" i="35"/>
  <c r="K51" i="35"/>
  <c r="H51" i="35"/>
  <c r="H50" i="28" l="1"/>
  <c r="N50" i="28"/>
  <c r="K50" i="28"/>
  <c r="N50" i="26"/>
  <c r="K50" i="26"/>
  <c r="H50" i="26"/>
  <c r="Q37" i="23" l="1"/>
  <c r="Q38" i="23"/>
  <c r="Q39" i="23"/>
  <c r="Q36" i="23"/>
  <c r="Q36" i="22"/>
  <c r="Q37" i="22"/>
  <c r="Q37" i="32" l="1"/>
  <c r="Q38" i="32"/>
  <c r="Q39" i="32"/>
  <c r="Q40" i="32"/>
  <c r="Q41" i="32"/>
  <c r="Q42" i="32"/>
  <c r="Q36" i="32"/>
  <c r="F43" i="62" l="1"/>
  <c r="F50" i="62"/>
  <c r="F36" i="62"/>
  <c r="N37" i="62"/>
  <c r="N36" i="62"/>
  <c r="D37" i="62"/>
  <c r="D36" i="62"/>
  <c r="O17" i="27" l="1"/>
  <c r="O16" i="27"/>
  <c r="L17" i="27"/>
  <c r="L16" i="27"/>
  <c r="I17" i="27"/>
  <c r="I16" i="27"/>
  <c r="O17" i="26"/>
  <c r="O16" i="26"/>
  <c r="L17" i="26"/>
  <c r="L16" i="26"/>
  <c r="I17" i="26"/>
  <c r="I16" i="26"/>
  <c r="K73" i="77" l="1"/>
  <c r="K53" i="77"/>
  <c r="K53" i="76"/>
  <c r="M12" i="76"/>
  <c r="F64" i="74"/>
  <c r="N52" i="74"/>
  <c r="K52" i="74"/>
  <c r="CX5" i="21" l="1"/>
  <c r="Q17" i="91" l="1"/>
  <c r="O17" i="91"/>
  <c r="L17" i="91"/>
  <c r="I17" i="91"/>
  <c r="Q16" i="91"/>
  <c r="O16" i="91"/>
  <c r="L16" i="91"/>
  <c r="I16" i="91"/>
  <c r="Q15" i="91"/>
  <c r="O15" i="91"/>
  <c r="L15" i="91"/>
  <c r="I15" i="91"/>
  <c r="Q17" i="90"/>
  <c r="O17" i="90"/>
  <c r="L17" i="90"/>
  <c r="I17" i="90"/>
  <c r="Q16" i="90"/>
  <c r="O16" i="90"/>
  <c r="L16" i="90"/>
  <c r="I16" i="90"/>
  <c r="Q17" i="89"/>
  <c r="O17" i="89"/>
  <c r="L17" i="89"/>
  <c r="I17" i="89"/>
  <c r="Q16" i="89"/>
  <c r="O16" i="89"/>
  <c r="L16" i="89"/>
  <c r="I16" i="89"/>
  <c r="Q15" i="89"/>
  <c r="O15" i="89"/>
  <c r="L15" i="89"/>
  <c r="I15" i="89"/>
  <c r="Q17" i="87"/>
  <c r="O17" i="87"/>
  <c r="L17" i="87"/>
  <c r="I17" i="87"/>
  <c r="Q16" i="87"/>
  <c r="O16" i="87"/>
  <c r="L16" i="87"/>
  <c r="I16" i="87"/>
  <c r="Q17" i="86"/>
  <c r="O17" i="86"/>
  <c r="L17" i="86"/>
  <c r="I17" i="86"/>
  <c r="Q16" i="86"/>
  <c r="O16" i="86"/>
  <c r="L16" i="86"/>
  <c r="I16" i="86"/>
  <c r="Q17" i="85"/>
  <c r="O17" i="85"/>
  <c r="L17" i="85"/>
  <c r="I17" i="85"/>
  <c r="Q16" i="85"/>
  <c r="O16" i="85"/>
  <c r="L16" i="85"/>
  <c r="I16" i="85"/>
  <c r="Q15" i="85"/>
  <c r="O15" i="85"/>
  <c r="L15" i="85"/>
  <c r="I15" i="85"/>
  <c r="Q17" i="84"/>
  <c r="O17" i="84"/>
  <c r="L17" i="84"/>
  <c r="I17" i="84"/>
  <c r="Q16" i="84"/>
  <c r="O16" i="84"/>
  <c r="L16" i="84"/>
  <c r="I16" i="84"/>
  <c r="Q17" i="83"/>
  <c r="O17" i="83"/>
  <c r="L17" i="83"/>
  <c r="I17" i="83"/>
  <c r="Q16" i="83"/>
  <c r="O16" i="83"/>
  <c r="L16" i="83"/>
  <c r="I16" i="83"/>
  <c r="O15" i="83"/>
  <c r="L15" i="83"/>
  <c r="Q17" i="82"/>
  <c r="O17" i="82"/>
  <c r="L17" i="82"/>
  <c r="I17" i="82"/>
  <c r="Q16" i="82"/>
  <c r="O16" i="82"/>
  <c r="L16" i="82"/>
  <c r="I16" i="82"/>
  <c r="Q17" i="81"/>
  <c r="O17" i="81"/>
  <c r="L17" i="81"/>
  <c r="I17" i="81"/>
  <c r="Q16" i="81"/>
  <c r="O16" i="81"/>
  <c r="L16" i="81"/>
  <c r="I16" i="81"/>
  <c r="Q17" i="80"/>
  <c r="O17" i="80"/>
  <c r="L17" i="80"/>
  <c r="I17" i="80"/>
  <c r="Q16" i="80"/>
  <c r="O16" i="80"/>
  <c r="L16" i="80"/>
  <c r="I16" i="80"/>
  <c r="Q17" i="109"/>
  <c r="O17" i="109"/>
  <c r="L17" i="109"/>
  <c r="I17" i="109"/>
  <c r="Q16" i="109"/>
  <c r="O16" i="109"/>
  <c r="L16" i="109"/>
  <c r="I16" i="109"/>
  <c r="Q17" i="79"/>
  <c r="O17" i="79"/>
  <c r="L17" i="79"/>
  <c r="I17" i="79"/>
  <c r="Q16" i="79"/>
  <c r="O16" i="79"/>
  <c r="L16" i="79"/>
  <c r="I16" i="79"/>
  <c r="Q17" i="78"/>
  <c r="O17" i="78"/>
  <c r="L17" i="78"/>
  <c r="I17" i="78"/>
  <c r="Q16" i="78"/>
  <c r="O16" i="78"/>
  <c r="L16" i="78"/>
  <c r="I16"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Q17" i="73"/>
  <c r="O17" i="73"/>
  <c r="L17" i="73"/>
  <c r="I17" i="73"/>
  <c r="Q16" i="73"/>
  <c r="O16" i="73"/>
  <c r="L16" i="73"/>
  <c r="I16" i="73"/>
  <c r="Q17" i="72"/>
  <c r="O17" i="72"/>
  <c r="L17" i="72"/>
  <c r="I17" i="72"/>
  <c r="Q16" i="72"/>
  <c r="O16" i="72"/>
  <c r="L16" i="72"/>
  <c r="I16" i="72"/>
  <c r="Q17" i="71"/>
  <c r="O17" i="71"/>
  <c r="L17" i="71"/>
  <c r="I17" i="71"/>
  <c r="Q16" i="71"/>
  <c r="O16" i="71"/>
  <c r="L16" i="71"/>
  <c r="I16" i="71"/>
  <c r="Q17" i="70"/>
  <c r="O17" i="70"/>
  <c r="L17" i="70"/>
  <c r="I17" i="70"/>
  <c r="Q16" i="70"/>
  <c r="O16" i="70"/>
  <c r="L16" i="70"/>
  <c r="I16" i="70"/>
  <c r="Q17" i="107"/>
  <c r="Q16" i="107"/>
  <c r="Q15" i="107"/>
  <c r="Q17" i="51"/>
  <c r="Q16" i="51"/>
  <c r="Q15" i="51"/>
  <c r="Q17" i="50"/>
  <c r="Q16" i="50"/>
  <c r="Q17" i="49"/>
  <c r="Q16" i="49"/>
  <c r="Q15" i="49"/>
  <c r="Q17" i="48"/>
  <c r="Q16" i="48"/>
  <c r="Q15" i="48"/>
  <c r="Q17" i="47"/>
  <c r="Q16" i="47"/>
  <c r="Q15" i="47"/>
  <c r="Q17" i="46"/>
  <c r="Q16" i="46"/>
  <c r="Q15" i="46"/>
  <c r="Q17" i="45"/>
  <c r="Q16" i="45"/>
  <c r="Q15" i="45"/>
  <c r="Q17" i="44"/>
  <c r="Q16" i="44"/>
  <c r="Q15" i="44"/>
  <c r="Q17" i="43"/>
  <c r="Q16" i="43"/>
  <c r="Q15" i="43"/>
  <c r="Q17" i="42"/>
  <c r="Q17" i="41"/>
  <c r="Q16" i="41"/>
  <c r="Q17" i="40"/>
  <c r="Q16" i="40"/>
  <c r="Q17" i="39"/>
  <c r="Q16" i="39"/>
  <c r="Q15" i="39"/>
  <c r="Q17" i="38"/>
  <c r="Q16" i="38"/>
  <c r="Q15" i="38"/>
  <c r="Q17" i="37"/>
  <c r="Q16" i="37"/>
  <c r="Q15" i="37"/>
  <c r="Q17" i="36"/>
  <c r="Q16" i="36"/>
  <c r="Q15" i="36"/>
  <c r="Q17" i="35"/>
  <c r="Q16" i="35"/>
  <c r="Q15" i="35"/>
  <c r="Q17" i="34"/>
  <c r="Q16" i="34"/>
  <c r="Q17" i="33"/>
  <c r="Q16" i="33"/>
  <c r="Q17" i="32"/>
  <c r="Q16" i="32"/>
  <c r="Q15" i="32"/>
  <c r="Q17" i="31"/>
  <c r="Q16" i="31"/>
  <c r="Q15" i="31"/>
  <c r="Q17" i="30"/>
  <c r="Q16" i="30"/>
  <c r="Q17" i="29"/>
  <c r="Q16" i="29"/>
  <c r="Q15" i="29"/>
  <c r="Q17" i="28"/>
  <c r="Q16" i="28"/>
  <c r="Q15" i="28"/>
  <c r="Q17" i="27"/>
  <c r="Q16" i="27"/>
  <c r="Q17" i="26"/>
  <c r="Q16" i="26"/>
  <c r="Q17" i="25"/>
  <c r="Q16" i="25"/>
  <c r="Q15" i="25"/>
  <c r="Q17" i="24"/>
  <c r="Q16" i="24"/>
  <c r="Q15" i="24"/>
  <c r="Q17" i="23"/>
  <c r="Q16" i="23"/>
  <c r="N1" i="13"/>
  <c r="E30" i="73" l="1"/>
  <c r="E30" i="72"/>
  <c r="E30" i="71"/>
  <c r="E30" i="70"/>
  <c r="S44" i="19"/>
  <c r="S43" i="19"/>
  <c r="S42" i="19"/>
  <c r="K31" i="71"/>
  <c r="N33" i="71"/>
  <c r="X7" i="20"/>
  <c r="X31" i="20" l="1"/>
  <c r="X20" i="20"/>
  <c r="K32" i="71"/>
  <c r="K33" i="71"/>
  <c r="N30" i="71"/>
  <c r="N31" i="71"/>
  <c r="N32" i="71"/>
  <c r="K30" i="71"/>
  <c r="E33" i="87" l="1"/>
  <c r="E32" i="87"/>
  <c r="E31" i="87"/>
  <c r="E30" i="87"/>
  <c r="E33" i="86"/>
  <c r="E32" i="86"/>
  <c r="E31" i="86"/>
  <c r="E33" i="85"/>
  <c r="E32" i="85"/>
  <c r="E31" i="85"/>
  <c r="E30" i="85"/>
  <c r="E33" i="84"/>
  <c r="E32" i="84"/>
  <c r="E31" i="84"/>
  <c r="E30" i="84"/>
  <c r="E33" i="83"/>
  <c r="E32" i="83"/>
  <c r="E31" i="83"/>
  <c r="E30" i="83"/>
  <c r="E33" i="82"/>
  <c r="E32" i="82"/>
  <c r="E31" i="82"/>
  <c r="E30" i="82"/>
  <c r="E33" i="81"/>
  <c r="E32" i="81"/>
  <c r="E31" i="81"/>
  <c r="E30" i="81"/>
  <c r="E33" i="80"/>
  <c r="E32" i="80"/>
  <c r="E31" i="80"/>
  <c r="E30" i="80"/>
  <c r="E33" i="109"/>
  <c r="E32" i="109"/>
  <c r="E31" i="109"/>
  <c r="E30" i="109"/>
  <c r="E33" i="79"/>
  <c r="E32" i="79"/>
  <c r="E31" i="79"/>
  <c r="E30" i="79"/>
  <c r="E33" i="78"/>
  <c r="E32" i="78"/>
  <c r="E31" i="78"/>
  <c r="E30" i="78"/>
  <c r="E33" i="77"/>
  <c r="E31" i="77"/>
  <c r="E30" i="77"/>
  <c r="E33" i="76"/>
  <c r="E31" i="76"/>
  <c r="E30" i="76"/>
  <c r="E33" i="75"/>
  <c r="E32" i="75"/>
  <c r="E31" i="75"/>
  <c r="E30" i="75"/>
  <c r="E33" i="74"/>
  <c r="E32" i="74"/>
  <c r="E31" i="74"/>
  <c r="E30" i="40"/>
  <c r="K33" i="70" l="1"/>
  <c r="N33" i="70"/>
  <c r="K33" i="73"/>
  <c r="N33" i="73"/>
  <c r="K30" i="73"/>
  <c r="N30" i="73"/>
  <c r="N30" i="72"/>
  <c r="K30" i="72"/>
  <c r="N32" i="70"/>
  <c r="K32" i="70"/>
  <c r="N31" i="72"/>
  <c r="K31" i="72"/>
  <c r="K31" i="70"/>
  <c r="N31" i="70"/>
  <c r="N32" i="73"/>
  <c r="K32" i="73"/>
  <c r="K32" i="72"/>
  <c r="N32" i="72"/>
  <c r="K31" i="73"/>
  <c r="N31" i="73"/>
  <c r="N33" i="72"/>
  <c r="K33" i="72"/>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F63" i="70" l="1"/>
  <c r="F62" i="7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9" i="60"/>
  <c r="A40" i="60"/>
  <c r="A41" i="60"/>
  <c r="A42" i="60"/>
  <c r="A43" i="60"/>
  <c r="A44" i="60"/>
  <c r="A49" i="60"/>
  <c r="A50" i="60"/>
  <c r="A51" i="60"/>
  <c r="A52" i="60"/>
  <c r="A53" i="60"/>
  <c r="A54" i="60"/>
  <c r="A55" i="60"/>
  <c r="A56" i="60"/>
  <c r="A57" i="60"/>
  <c r="A58" i="60"/>
  <c r="A59" i="60"/>
  <c r="A60" i="60"/>
  <c r="A61" i="60"/>
  <c r="A62" i="60"/>
  <c r="A63" i="60"/>
  <c r="A64" i="60"/>
  <c r="A65" i="60"/>
  <c r="A66" i="60"/>
  <c r="A67" i="60"/>
  <c r="A68" i="60"/>
  <c r="A69" i="60"/>
  <c r="A70" i="60"/>
  <c r="A71" i="60"/>
  <c r="O71" i="60" s="1"/>
  <c r="A72" i="60"/>
  <c r="O72" i="60" s="1"/>
  <c r="A73" i="60"/>
  <c r="O73" i="60" s="1"/>
  <c r="A74" i="60"/>
  <c r="A75" i="60"/>
  <c r="A76" i="60"/>
  <c r="A77" i="60"/>
  <c r="A78" i="60"/>
  <c r="A79" i="60"/>
  <c r="FB65" i="21" l="1"/>
  <c r="FB62" i="21"/>
  <c r="FB61" i="21"/>
  <c r="FB10" i="21"/>
  <c r="FB43" i="21"/>
  <c r="EE65" i="21"/>
  <c r="EE62" i="21"/>
  <c r="EE61" i="21"/>
  <c r="EE10" i="21"/>
  <c r="EE5" i="21"/>
  <c r="EE43" i="21"/>
  <c r="DH65" i="21"/>
  <c r="DH62" i="21"/>
  <c r="DH61" i="21"/>
  <c r="DH10" i="21"/>
  <c r="DH43" i="21"/>
  <c r="DR2" i="21"/>
  <c r="DR1" i="21" s="1"/>
  <c r="EF5" i="21"/>
  <c r="EF10" i="21"/>
  <c r="EF43" i="21"/>
  <c r="EF61" i="21"/>
  <c r="EF62" i="21"/>
  <c r="EF65" i="21"/>
  <c r="F70" i="109"/>
  <c r="P65" i="109"/>
  <c r="FB17" i="21" s="1"/>
  <c r="M65" i="109"/>
  <c r="EE17" i="21" s="1"/>
  <c r="J65" i="109"/>
  <c r="DH17" i="21" s="1"/>
  <c r="F64" i="109"/>
  <c r="F63" i="109"/>
  <c r="G56" i="109"/>
  <c r="P56" i="109" s="1"/>
  <c r="F56" i="109"/>
  <c r="I56" i="109" s="1"/>
  <c r="E56" i="109"/>
  <c r="G53" i="109"/>
  <c r="M53" i="109" s="1"/>
  <c r="F53" i="109"/>
  <c r="L53" i="109" s="1"/>
  <c r="E53" i="109"/>
  <c r="F50" i="109"/>
  <c r="O50" i="109" s="1"/>
  <c r="E50" i="109"/>
  <c r="K30" i="109"/>
  <c r="D27" i="109"/>
  <c r="N26" i="109"/>
  <c r="K26" i="109"/>
  <c r="N25" i="109"/>
  <c r="K25" i="109"/>
  <c r="P19" i="109"/>
  <c r="M19" i="109"/>
  <c r="J19" i="109"/>
  <c r="Y12" i="109"/>
  <c r="Y14" i="109" s="1"/>
  <c r="K31" i="109" s="1"/>
  <c r="M12" i="109"/>
  <c r="K11" i="109"/>
  <c r="K57" i="109" s="1"/>
  <c r="O10" i="109"/>
  <c r="L10" i="109"/>
  <c r="I10" i="109"/>
  <c r="K9" i="109"/>
  <c r="EE6" i="21" s="1"/>
  <c r="P6" i="109"/>
  <c r="J6" i="109"/>
  <c r="H11" i="109" s="1"/>
  <c r="H57" i="109" s="1"/>
  <c r="N3" i="109"/>
  <c r="O20" i="109" l="1"/>
  <c r="O21" i="109"/>
  <c r="DH5" i="21"/>
  <c r="I20" i="109"/>
  <c r="I21" i="109"/>
  <c r="N11" i="109"/>
  <c r="N57" i="109" s="1"/>
  <c r="J56" i="109"/>
  <c r="M56" i="109"/>
  <c r="I53" i="109"/>
  <c r="O53" i="109"/>
  <c r="FB5" i="21"/>
  <c r="DS2" i="21"/>
  <c r="DS1" i="21" s="1"/>
  <c r="I50" i="109"/>
  <c r="L50" i="109"/>
  <c r="P53" i="109"/>
  <c r="O56" i="109"/>
  <c r="L56" i="109"/>
  <c r="Z12" i="109"/>
  <c r="Z16" i="109" s="1"/>
  <c r="N33" i="109" s="1"/>
  <c r="N9" i="109"/>
  <c r="FB6" i="21" s="1"/>
  <c r="O12" i="109"/>
  <c r="N30" i="109"/>
  <c r="Y13" i="109"/>
  <c r="Y15" i="109"/>
  <c r="K32" i="109" s="1"/>
  <c r="X12" i="109"/>
  <c r="J53" i="109"/>
  <c r="Y16" i="109"/>
  <c r="K33" i="109" s="1"/>
  <c r="H9" i="109"/>
  <c r="DH6" i="21" s="1"/>
  <c r="I12" i="109"/>
  <c r="G56" i="75"/>
  <c r="F56" i="75"/>
  <c r="E56" i="75"/>
  <c r="G55" i="75"/>
  <c r="F55" i="75"/>
  <c r="E55" i="75"/>
  <c r="G52" i="75"/>
  <c r="F52" i="75"/>
  <c r="E52" i="75"/>
  <c r="G56" i="76"/>
  <c r="F56" i="76"/>
  <c r="E56" i="76"/>
  <c r="G55" i="76"/>
  <c r="F55" i="76"/>
  <c r="E55" i="76"/>
  <c r="G52" i="76"/>
  <c r="F52" i="76"/>
  <c r="E52" i="76"/>
  <c r="G56" i="77"/>
  <c r="F56" i="77"/>
  <c r="E56" i="77"/>
  <c r="G54" i="77"/>
  <c r="F54" i="77"/>
  <c r="E54" i="77"/>
  <c r="G52" i="77"/>
  <c r="F52" i="77"/>
  <c r="E52" i="77"/>
  <c r="G56" i="78"/>
  <c r="F56" i="78"/>
  <c r="E56" i="78"/>
  <c r="G53" i="78"/>
  <c r="F53" i="78"/>
  <c r="E53" i="78"/>
  <c r="G56" i="79"/>
  <c r="F56" i="79"/>
  <c r="E56" i="79"/>
  <c r="G53" i="79"/>
  <c r="F53" i="79"/>
  <c r="E53" i="79"/>
  <c r="G56" i="80"/>
  <c r="F56" i="80"/>
  <c r="E56" i="80"/>
  <c r="G55" i="80"/>
  <c r="F55" i="80"/>
  <c r="E55" i="80"/>
  <c r="G52" i="80"/>
  <c r="F52" i="80"/>
  <c r="E52" i="80"/>
  <c r="G56" i="82"/>
  <c r="F56" i="82"/>
  <c r="E56" i="82"/>
  <c r="G56" i="83"/>
  <c r="F56" i="83"/>
  <c r="E56" i="83"/>
  <c r="G55" i="83"/>
  <c r="F55" i="83"/>
  <c r="E55" i="83"/>
  <c r="G56" i="84"/>
  <c r="F56" i="84"/>
  <c r="E56" i="84"/>
  <c r="G46" i="84"/>
  <c r="F46" i="84"/>
  <c r="E46" i="84"/>
  <c r="G57" i="85"/>
  <c r="F57" i="85"/>
  <c r="E57" i="85"/>
  <c r="G56" i="85"/>
  <c r="F56" i="85"/>
  <c r="E56" i="85"/>
  <c r="G57" i="86"/>
  <c r="F57" i="86"/>
  <c r="E57" i="86"/>
  <c r="G56" i="86"/>
  <c r="F56" i="86"/>
  <c r="E56" i="86"/>
  <c r="G57" i="87"/>
  <c r="F57" i="87"/>
  <c r="E57" i="87"/>
  <c r="G57" i="89"/>
  <c r="F57" i="89"/>
  <c r="E57" i="89"/>
  <c r="G56" i="89"/>
  <c r="F56" i="89"/>
  <c r="E56" i="89"/>
  <c r="G55" i="89"/>
  <c r="F55" i="89"/>
  <c r="E55" i="89"/>
  <c r="G54" i="89"/>
  <c r="F54" i="89"/>
  <c r="E54" i="89"/>
  <c r="G53" i="89"/>
  <c r="F53" i="89"/>
  <c r="E53" i="89"/>
  <c r="G52" i="89"/>
  <c r="F52" i="89"/>
  <c r="E52" i="89"/>
  <c r="G51" i="89"/>
  <c r="F51" i="89"/>
  <c r="E51" i="89"/>
  <c r="G57" i="90"/>
  <c r="F57" i="90"/>
  <c r="E57" i="90"/>
  <c r="G56" i="90"/>
  <c r="F56" i="90"/>
  <c r="E56" i="90"/>
  <c r="G55" i="90"/>
  <c r="F55" i="90"/>
  <c r="E55" i="90"/>
  <c r="G54" i="90"/>
  <c r="F54" i="90"/>
  <c r="E54" i="90"/>
  <c r="G53" i="90"/>
  <c r="F53" i="90"/>
  <c r="E53" i="90"/>
  <c r="G52" i="90"/>
  <c r="F52" i="90"/>
  <c r="E52" i="90"/>
  <c r="G51" i="90"/>
  <c r="F51" i="90"/>
  <c r="E51" i="90"/>
  <c r="F50" i="90"/>
  <c r="E50" i="90"/>
  <c r="G49" i="90"/>
  <c r="F49" i="90"/>
  <c r="E49" i="90"/>
  <c r="G47" i="90"/>
  <c r="F47" i="90"/>
  <c r="E47" i="90"/>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G47" i="91"/>
  <c r="F47" i="91"/>
  <c r="E47" i="91"/>
  <c r="G46" i="91"/>
  <c r="F46" i="91"/>
  <c r="E46" i="91"/>
  <c r="G56" i="74"/>
  <c r="F56" i="74"/>
  <c r="E56" i="74"/>
  <c r="G55" i="74"/>
  <c r="F55" i="74"/>
  <c r="E55" i="74"/>
  <c r="G54" i="74"/>
  <c r="F54" i="74"/>
  <c r="E54" i="74"/>
  <c r="G57" i="72"/>
  <c r="F57" i="72"/>
  <c r="E57" i="72"/>
  <c r="G56" i="72"/>
  <c r="F56" i="72"/>
  <c r="E56" i="72"/>
  <c r="G55" i="72"/>
  <c r="F55" i="72"/>
  <c r="E55" i="72"/>
  <c r="G54" i="72"/>
  <c r="F54" i="72"/>
  <c r="E54" i="72"/>
  <c r="G53" i="72"/>
  <c r="F53" i="72"/>
  <c r="E53" i="72"/>
  <c r="G52" i="72"/>
  <c r="F52" i="72"/>
  <c r="E52" i="72"/>
  <c r="G57" i="73"/>
  <c r="F57" i="73"/>
  <c r="E57" i="73"/>
  <c r="G56" i="73"/>
  <c r="F56" i="73"/>
  <c r="E56" i="73"/>
  <c r="G55" i="73"/>
  <c r="F55" i="73"/>
  <c r="E55" i="73"/>
  <c r="G54" i="73"/>
  <c r="F54" i="73"/>
  <c r="E54" i="73"/>
  <c r="G53" i="73"/>
  <c r="F53" i="73"/>
  <c r="E53" i="73"/>
  <c r="G52" i="73"/>
  <c r="F52" i="73"/>
  <c r="E52" i="73"/>
  <c r="G57" i="71"/>
  <c r="F57" i="71"/>
  <c r="E57" i="71"/>
  <c r="G56" i="71"/>
  <c r="F56" i="71"/>
  <c r="E56" i="71"/>
  <c r="G55" i="71"/>
  <c r="F55" i="71"/>
  <c r="E55" i="71"/>
  <c r="G54" i="71"/>
  <c r="F54" i="71"/>
  <c r="E54" i="71"/>
  <c r="G53" i="71"/>
  <c r="F53" i="71"/>
  <c r="E53" i="71"/>
  <c r="G52" i="71"/>
  <c r="F52" i="71"/>
  <c r="E52" i="71"/>
  <c r="E52" i="70"/>
  <c r="E53" i="70"/>
  <c r="E54" i="70"/>
  <c r="E55" i="70"/>
  <c r="E56" i="70"/>
  <c r="E57" i="70"/>
  <c r="F52" i="70"/>
  <c r="F53" i="70"/>
  <c r="F54" i="70"/>
  <c r="F55" i="70"/>
  <c r="F56" i="70"/>
  <c r="F57" i="70"/>
  <c r="G52" i="70"/>
  <c r="G53" i="70"/>
  <c r="G54" i="70"/>
  <c r="G55" i="70"/>
  <c r="G56" i="70"/>
  <c r="G57" i="70"/>
  <c r="F87" i="62"/>
  <c r="J81" i="62"/>
  <c r="J84" i="62"/>
  <c r="J85" i="62"/>
  <c r="F78" i="62"/>
  <c r="E53" i="87" s="1"/>
  <c r="F79" i="62"/>
  <c r="F80" i="62"/>
  <c r="F81" i="62"/>
  <c r="F82" i="62"/>
  <c r="F83" i="62"/>
  <c r="F84" i="62"/>
  <c r="F85" i="62"/>
  <c r="F86" i="62"/>
  <c r="E55" i="87" l="1"/>
  <c r="P57" i="72"/>
  <c r="J57" i="72"/>
  <c r="M57" i="72"/>
  <c r="L57" i="72"/>
  <c r="I57" i="72"/>
  <c r="O57" i="72"/>
  <c r="Z15" i="109"/>
  <c r="N32" i="109" s="1"/>
  <c r="Z13" i="109"/>
  <c r="Z14" i="109"/>
  <c r="N31" i="109" s="1"/>
  <c r="X13" i="109"/>
  <c r="H30" i="109" s="1"/>
  <c r="X14" i="109"/>
  <c r="H31" i="109" s="1"/>
  <c r="X15" i="109"/>
  <c r="H32" i="109" s="1"/>
  <c r="X16" i="109"/>
  <c r="H33" i="109" s="1"/>
  <c r="E54" i="87"/>
  <c r="J71" i="62"/>
  <c r="J45" i="62"/>
  <c r="D146" i="62"/>
  <c r="O3" i="65" l="1"/>
  <c r="N2" i="15"/>
  <c r="M16" i="63"/>
  <c r="M17" i="63"/>
  <c r="M18" i="63"/>
  <c r="K16" i="63"/>
  <c r="K17" i="63"/>
  <c r="K18" i="63"/>
  <c r="M16" i="15"/>
  <c r="K16" i="15"/>
  <c r="O2" i="62"/>
  <c r="O3" i="60" l="1"/>
  <c r="P4" i="109" s="1"/>
  <c r="O2" i="14"/>
  <c r="O3" i="63" l="1"/>
  <c r="O3" i="62"/>
  <c r="D5" i="60"/>
  <c r="F63" i="67" l="1"/>
  <c r="F64" i="67"/>
  <c r="F65" i="67"/>
  <c r="F66" i="67"/>
  <c r="F67" i="67"/>
  <c r="F68" i="67"/>
  <c r="F69" i="67"/>
  <c r="F70" i="67"/>
  <c r="F71" i="67"/>
  <c r="F72" i="67"/>
  <c r="F73" i="67"/>
  <c r="F62" i="67"/>
  <c r="F53" i="58" l="1"/>
  <c r="C53" i="58"/>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B3" i="21"/>
  <c r="F54" i="58" l="1"/>
  <c r="F55" i="58" s="1"/>
  <c r="F56" i="58" s="1"/>
  <c r="F57" i="58" l="1"/>
  <c r="F58" i="58" s="1"/>
  <c r="F59" i="58" s="1"/>
  <c r="F60" i="58" s="1"/>
  <c r="F61" i="58" l="1"/>
  <c r="F62" i="58" s="1"/>
  <c r="F63" i="58" s="1"/>
  <c r="F64" i="58" s="1"/>
  <c r="F65" i="58" s="1"/>
  <c r="F66" i="58" s="1"/>
  <c r="F67" i="58" s="1"/>
  <c r="F68" i="58" s="1"/>
  <c r="F69" i="58" s="1"/>
  <c r="F70" i="58" s="1"/>
  <c r="F71" i="58" s="1"/>
  <c r="F72" i="58" s="1"/>
  <c r="F73" i="58" s="1"/>
  <c r="C53" i="57" l="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F53" i="57"/>
  <c r="F54" i="57" s="1"/>
  <c r="F55" i="57" s="1"/>
  <c r="F56" i="57" s="1"/>
  <c r="F57" i="57" s="1"/>
  <c r="F58" i="57" s="1"/>
  <c r="F59" i="57" s="1"/>
  <c r="F60" i="57" s="1"/>
  <c r="F61" i="57" s="1"/>
  <c r="F62" i="57" s="1"/>
  <c r="F63" i="57" s="1"/>
  <c r="F64" i="57" s="1"/>
  <c r="F65" i="57" s="1"/>
  <c r="F66" i="57" s="1"/>
  <c r="F67" i="57" s="1"/>
  <c r="F68" i="57" s="1"/>
  <c r="F69" i="57" s="1"/>
  <c r="F70" i="57" s="1"/>
  <c r="F71" i="57" s="1"/>
  <c r="F72" i="57" s="1"/>
  <c r="F73" i="57" s="1"/>
  <c r="B8" i="6" l="1"/>
  <c r="CY5" i="21" l="1"/>
  <c r="CZ5" i="21"/>
  <c r="DA5" i="21"/>
  <c r="DN5" i="21"/>
  <c r="DO5" i="21"/>
  <c r="DP5" i="21"/>
  <c r="DQ5" i="21"/>
  <c r="DR5" i="21"/>
  <c r="DS5" i="21"/>
  <c r="CX7" i="21"/>
  <c r="CY7" i="21"/>
  <c r="CZ7" i="21"/>
  <c r="DA7" i="21"/>
  <c r="DR7" i="21"/>
  <c r="DS7" i="21"/>
  <c r="CX10" i="21"/>
  <c r="CY10" i="21"/>
  <c r="CZ10" i="21"/>
  <c r="DA10" i="21"/>
  <c r="DB10" i="21"/>
  <c r="DC10" i="21"/>
  <c r="DD10" i="21"/>
  <c r="DE10" i="21"/>
  <c r="DF10" i="21"/>
  <c r="DG10" i="21"/>
  <c r="DI10" i="21"/>
  <c r="DJ10" i="21"/>
  <c r="DK10" i="21"/>
  <c r="DL10" i="21"/>
  <c r="DM10" i="21"/>
  <c r="DN10" i="21"/>
  <c r="DO10" i="21"/>
  <c r="DP10" i="21"/>
  <c r="DQ10" i="21"/>
  <c r="DR10" i="21"/>
  <c r="DS10" i="21"/>
  <c r="AF62" i="21" l="1"/>
  <c r="AF61" i="21"/>
  <c r="AF10" i="21"/>
  <c r="AF7" i="21"/>
  <c r="AF5" i="21"/>
  <c r="CR62" i="21"/>
  <c r="CR23" i="21"/>
  <c r="CR51" i="21" s="1"/>
  <c r="CR10" i="21"/>
  <c r="CR7" i="21"/>
  <c r="CR5" i="21"/>
  <c r="CR43" i="21"/>
  <c r="FM10" i="21" l="1"/>
  <c r="FL10" i="21"/>
  <c r="FK10" i="21"/>
  <c r="FJ10" i="21"/>
  <c r="FI10" i="21"/>
  <c r="FH10" i="21"/>
  <c r="FG10" i="21"/>
  <c r="FF10" i="21"/>
  <c r="FE10" i="21"/>
  <c r="FD10" i="21"/>
  <c r="FC10" i="21"/>
  <c r="FA10" i="21"/>
  <c r="EZ10" i="21"/>
  <c r="EY10" i="21"/>
  <c r="EX10" i="21"/>
  <c r="EW10" i="21"/>
  <c r="EV10" i="21"/>
  <c r="EU10" i="21"/>
  <c r="ET10" i="21"/>
  <c r="ES10" i="21"/>
  <c r="EP10" i="21"/>
  <c r="EO10" i="21"/>
  <c r="EN10" i="21"/>
  <c r="EM10" i="21"/>
  <c r="EL10" i="21"/>
  <c r="EK10" i="21"/>
  <c r="EJ10" i="21"/>
  <c r="EI10" i="21"/>
  <c r="EH10" i="21"/>
  <c r="EG10" i="21"/>
  <c r="ED10" i="21"/>
  <c r="EC10" i="21"/>
  <c r="EB10" i="21"/>
  <c r="EA10" i="21"/>
  <c r="DZ10" i="21"/>
  <c r="DY10" i="21"/>
  <c r="DX10" i="21"/>
  <c r="DW10" i="21"/>
  <c r="DV10" i="21"/>
  <c r="DU10" i="21"/>
  <c r="Z13" i="83"/>
  <c r="Y13" i="83"/>
  <c r="X13" i="83"/>
  <c r="Z13" i="84"/>
  <c r="Y13" i="84"/>
  <c r="X13" i="84"/>
  <c r="Z13" i="87"/>
  <c r="Y13" i="87"/>
  <c r="X13" i="87"/>
  <c r="Z13" i="89"/>
  <c r="Y13" i="89"/>
  <c r="X13" i="89"/>
  <c r="H30" i="89" s="1"/>
  <c r="Z13" i="91"/>
  <c r="Y13" i="91"/>
  <c r="X13" i="91"/>
  <c r="Z13" i="82"/>
  <c r="Y13" i="82"/>
  <c r="X13" i="82"/>
  <c r="K30" i="83"/>
  <c r="D27" i="83"/>
  <c r="N26" i="83"/>
  <c r="K26" i="83"/>
  <c r="N25" i="83"/>
  <c r="K25" i="83"/>
  <c r="K30" i="84"/>
  <c r="D27" i="84"/>
  <c r="N26" i="84"/>
  <c r="K26" i="84"/>
  <c r="N25" i="84"/>
  <c r="K25" i="84"/>
  <c r="N30" i="85"/>
  <c r="K30" i="85"/>
  <c r="D27" i="85"/>
  <c r="N26" i="85"/>
  <c r="K26" i="85"/>
  <c r="N25" i="85"/>
  <c r="K25" i="85"/>
  <c r="N30" i="86"/>
  <c r="K30" i="86"/>
  <c r="D27" i="86"/>
  <c r="N26" i="86"/>
  <c r="K26" i="86"/>
  <c r="N25" i="86"/>
  <c r="K25" i="86"/>
  <c r="N30" i="87"/>
  <c r="K30" i="87"/>
  <c r="D27" i="87"/>
  <c r="N26" i="87"/>
  <c r="K26" i="87"/>
  <c r="N25" i="87"/>
  <c r="K25" i="87"/>
  <c r="N30" i="89"/>
  <c r="K30" i="89"/>
  <c r="D27" i="89"/>
  <c r="N26" i="89"/>
  <c r="K26" i="89"/>
  <c r="N25" i="89"/>
  <c r="K25" i="89"/>
  <c r="N30" i="90"/>
  <c r="K30" i="90"/>
  <c r="D27" i="90"/>
  <c r="N26" i="90"/>
  <c r="K26" i="90"/>
  <c r="N25" i="90"/>
  <c r="K25" i="90"/>
  <c r="K30" i="91"/>
  <c r="D27" i="91"/>
  <c r="N26" i="91"/>
  <c r="K26" i="91"/>
  <c r="N25" i="91"/>
  <c r="K25" i="91"/>
  <c r="K30" i="82"/>
  <c r="D27" i="82"/>
  <c r="N26" i="82"/>
  <c r="K26" i="82"/>
  <c r="N25" i="82"/>
  <c r="K25" i="82"/>
  <c r="O2" i="63"/>
  <c r="FM65" i="21" l="1"/>
  <c r="FL65" i="21"/>
  <c r="FK65" i="21"/>
  <c r="FJ65" i="21"/>
  <c r="FI65" i="21"/>
  <c r="FH65" i="21"/>
  <c r="FG65" i="21"/>
  <c r="FF65" i="21"/>
  <c r="FE65" i="21"/>
  <c r="FD65" i="21"/>
  <c r="FC65" i="21"/>
  <c r="FA65" i="21"/>
  <c r="EZ65" i="21"/>
  <c r="EY65" i="21"/>
  <c r="EX65" i="21"/>
  <c r="EW65" i="21"/>
  <c r="EV65" i="21"/>
  <c r="EU65" i="21"/>
  <c r="ET65" i="21"/>
  <c r="ES65" i="21"/>
  <c r="ER65" i="21"/>
  <c r="DS65" i="21"/>
  <c r="DR65" i="21"/>
  <c r="DQ65" i="21"/>
  <c r="DP65" i="21"/>
  <c r="DO65" i="21"/>
  <c r="DN65" i="21"/>
  <c r="DM65" i="21"/>
  <c r="DL65" i="21"/>
  <c r="DK65" i="21"/>
  <c r="DJ65" i="21"/>
  <c r="DI65" i="21"/>
  <c r="DG65" i="21"/>
  <c r="DF65" i="21"/>
  <c r="DE65" i="21"/>
  <c r="DD65" i="21"/>
  <c r="DC65" i="21"/>
  <c r="DB65" i="21"/>
  <c r="DA65" i="21"/>
  <c r="CZ65" i="21"/>
  <c r="EP65" i="21"/>
  <c r="EO65" i="21"/>
  <c r="EN65" i="21"/>
  <c r="EM65" i="21"/>
  <c r="EL65" i="21"/>
  <c r="EK65" i="21"/>
  <c r="EJ65" i="21"/>
  <c r="EI65" i="21"/>
  <c r="EH65" i="21"/>
  <c r="EG65" i="21"/>
  <c r="ED65" i="21"/>
  <c r="EC65" i="21"/>
  <c r="EB65" i="21"/>
  <c r="EA65" i="21"/>
  <c r="DZ65" i="21"/>
  <c r="DX65" i="21"/>
  <c r="DY65" i="21"/>
  <c r="DW65" i="21"/>
  <c r="DV65" i="21"/>
  <c r="DU65" i="21"/>
  <c r="D66" i="21"/>
  <c r="BG64" i="21"/>
  <c r="A64" i="21"/>
  <c r="A63" i="21"/>
  <c r="FM62" i="21"/>
  <c r="FL62" i="21"/>
  <c r="FK62" i="21"/>
  <c r="FJ62" i="21"/>
  <c r="FI62" i="21"/>
  <c r="FH62" i="21"/>
  <c r="FG62" i="21"/>
  <c r="FF62" i="21"/>
  <c r="FE62" i="21"/>
  <c r="FD62" i="21"/>
  <c r="FC62" i="21"/>
  <c r="FA62" i="21"/>
  <c r="EZ62" i="21"/>
  <c r="EY62" i="21"/>
  <c r="EX62" i="21"/>
  <c r="EW62" i="21"/>
  <c r="EV62" i="21"/>
  <c r="EU62" i="21"/>
  <c r="ET62" i="21"/>
  <c r="ES62" i="21"/>
  <c r="ER62" i="21"/>
  <c r="EP62" i="21"/>
  <c r="EO62" i="21"/>
  <c r="EN62" i="21"/>
  <c r="EM62" i="21"/>
  <c r="EL62" i="21"/>
  <c r="EK62" i="21"/>
  <c r="EJ62" i="21"/>
  <c r="EI62" i="21"/>
  <c r="EH62" i="21"/>
  <c r="EG62" i="21"/>
  <c r="ED62" i="21"/>
  <c r="EC62" i="21"/>
  <c r="EB62" i="21"/>
  <c r="EA62" i="21"/>
  <c r="DZ62" i="21"/>
  <c r="DY62" i="21"/>
  <c r="DX62" i="21"/>
  <c r="DW62" i="21"/>
  <c r="DV62" i="21"/>
  <c r="DU62" i="21"/>
  <c r="DS62" i="21"/>
  <c r="DR62" i="21"/>
  <c r="DQ62" i="21"/>
  <c r="DP62" i="21"/>
  <c r="DO62" i="21"/>
  <c r="DN62" i="21"/>
  <c r="DM62" i="21"/>
  <c r="DL62" i="21"/>
  <c r="DK62" i="21"/>
  <c r="DJ62" i="21"/>
  <c r="DI62" i="21"/>
  <c r="DG62" i="21"/>
  <c r="DF62" i="21"/>
  <c r="DE62" i="21"/>
  <c r="DD62" i="21"/>
  <c r="DC62" i="21"/>
  <c r="DB62" i="21"/>
  <c r="DA62" i="21"/>
  <c r="CZ62" i="21"/>
  <c r="CY62" i="21"/>
  <c r="CX62" i="21"/>
  <c r="CT62" i="21"/>
  <c r="CS62" i="21"/>
  <c r="CQ62" i="21"/>
  <c r="CP62" i="21"/>
  <c r="CO62" i="21"/>
  <c r="CN62" i="21"/>
  <c r="CM62" i="21"/>
  <c r="CL62" i="21"/>
  <c r="CK62" i="21"/>
  <c r="CJ62" i="21"/>
  <c r="CI62" i="21"/>
  <c r="CH62" i="21"/>
  <c r="CG62" i="21"/>
  <c r="CF62" i="21"/>
  <c r="CE62" i="21"/>
  <c r="CD62" i="21"/>
  <c r="CC62" i="21"/>
  <c r="CB62" i="21"/>
  <c r="CA62" i="21"/>
  <c r="BZ62" i="21"/>
  <c r="BY62" i="21"/>
  <c r="BX62" i="21"/>
  <c r="BW62" i="21"/>
  <c r="BV62" i="21"/>
  <c r="BU62" i="21"/>
  <c r="BT62" i="21"/>
  <c r="BS62" i="21"/>
  <c r="BR62" i="21"/>
  <c r="BQ62" i="21"/>
  <c r="BP62" i="21"/>
  <c r="BN62" i="21"/>
  <c r="BM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H62" i="21"/>
  <c r="AG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A62" i="21"/>
  <c r="FM61" i="21"/>
  <c r="FL61" i="21"/>
  <c r="FK61" i="21"/>
  <c r="FJ61" i="21"/>
  <c r="FI61" i="21"/>
  <c r="FH61" i="21"/>
  <c r="FG61" i="21"/>
  <c r="FF61" i="21"/>
  <c r="FE61" i="21"/>
  <c r="FD61" i="21"/>
  <c r="FC61" i="21"/>
  <c r="FA61" i="21"/>
  <c r="EZ61" i="21"/>
  <c r="EY61" i="21"/>
  <c r="EX61" i="21"/>
  <c r="EW61" i="21"/>
  <c r="EV61" i="21"/>
  <c r="EU61" i="21"/>
  <c r="ET61" i="21"/>
  <c r="ES61" i="21"/>
  <c r="ER61" i="21"/>
  <c r="EP61" i="21"/>
  <c r="EO61" i="21"/>
  <c r="EN61" i="21"/>
  <c r="EM61" i="21"/>
  <c r="EL61" i="21"/>
  <c r="EK61" i="21"/>
  <c r="EJ61" i="21"/>
  <c r="EI61" i="21"/>
  <c r="EH61" i="21"/>
  <c r="EG61" i="21"/>
  <c r="ED61" i="21"/>
  <c r="EC61" i="21"/>
  <c r="EB61" i="21"/>
  <c r="EA61" i="21"/>
  <c r="DZ61" i="21"/>
  <c r="DY61" i="21"/>
  <c r="DX61" i="21"/>
  <c r="DW61" i="21"/>
  <c r="DV61" i="21"/>
  <c r="DU61" i="21"/>
  <c r="DS61" i="21"/>
  <c r="DR61" i="21"/>
  <c r="DQ61" i="21"/>
  <c r="DP61" i="21"/>
  <c r="DO61" i="21"/>
  <c r="DN61" i="21"/>
  <c r="DM61" i="21"/>
  <c r="DL61" i="21"/>
  <c r="DK61" i="21"/>
  <c r="DJ61" i="21"/>
  <c r="DI61" i="21"/>
  <c r="DG61" i="21"/>
  <c r="DF61" i="21"/>
  <c r="DE61" i="21"/>
  <c r="DD61" i="21"/>
  <c r="DC61" i="21"/>
  <c r="DB61" i="21"/>
  <c r="DA61" i="21"/>
  <c r="CZ61" i="21"/>
  <c r="CY61" i="21"/>
  <c r="CX61" i="21"/>
  <c r="AH61" i="21"/>
  <c r="AG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A61" i="21"/>
  <c r="A60" i="21"/>
  <c r="FO59" i="21"/>
  <c r="A59" i="21"/>
  <c r="A58" i="21"/>
  <c r="A57" i="21"/>
  <c r="A56" i="21"/>
  <c r="A55" i="21"/>
  <c r="A54" i="21"/>
  <c r="A53" i="21"/>
  <c r="A52" i="21"/>
  <c r="A51" i="21"/>
  <c r="A50" i="21"/>
  <c r="A49" i="21"/>
  <c r="A48" i="21"/>
  <c r="A47" i="21"/>
  <c r="A46" i="21"/>
  <c r="A45" i="21"/>
  <c r="A44" i="21"/>
  <c r="FL43" i="21"/>
  <c r="FK43" i="21"/>
  <c r="FJ43" i="21"/>
  <c r="FG43" i="21"/>
  <c r="FF43" i="21"/>
  <c r="FE43" i="21"/>
  <c r="FD43" i="21"/>
  <c r="FC43" i="21"/>
  <c r="FA43" i="21"/>
  <c r="EZ43" i="21"/>
  <c r="EX43" i="21"/>
  <c r="EW43" i="21"/>
  <c r="EV43" i="21"/>
  <c r="EO43" i="21"/>
  <c r="EN43" i="21"/>
  <c r="EM43" i="21"/>
  <c r="EJ43" i="21"/>
  <c r="EI43" i="21"/>
  <c r="EH43" i="21"/>
  <c r="EG43" i="21"/>
  <c r="ED43" i="21"/>
  <c r="EC43" i="21"/>
  <c r="EA43" i="21"/>
  <c r="DZ43" i="21"/>
  <c r="DY43" i="21"/>
  <c r="DS43" i="21"/>
  <c r="DR43" i="21"/>
  <c r="DQ43" i="21"/>
  <c r="DP43" i="21"/>
  <c r="DO43" i="21"/>
  <c r="DN43" i="21"/>
  <c r="DM43" i="21"/>
  <c r="DL43" i="21"/>
  <c r="DK43" i="21"/>
  <c r="DJ43" i="21"/>
  <c r="DI43" i="21"/>
  <c r="DG43" i="21"/>
  <c r="DF43" i="21"/>
  <c r="DE43" i="21"/>
  <c r="DD43" i="21"/>
  <c r="DC43" i="21"/>
  <c r="DB43" i="21"/>
  <c r="DA43" i="21"/>
  <c r="CZ43" i="21"/>
  <c r="CY43" i="21"/>
  <c r="CX43" i="21"/>
  <c r="CT43" i="21"/>
  <c r="CS43" i="21"/>
  <c r="CQ43" i="21"/>
  <c r="CP43" i="21"/>
  <c r="CO43" i="21"/>
  <c r="CN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N43" i="21"/>
  <c r="BM43" i="21"/>
  <c r="BL43" i="21"/>
  <c r="BK43" i="21"/>
  <c r="BJ43" i="21"/>
  <c r="BI43" i="21"/>
  <c r="BH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H43" i="21"/>
  <c r="AG43" i="21"/>
  <c r="AF43" i="21"/>
  <c r="AE43" i="21"/>
  <c r="AD43" i="21"/>
  <c r="AC43" i="21"/>
  <c r="AB43" i="21"/>
  <c r="Z43" i="21"/>
  <c r="Y43" i="21"/>
  <c r="X43" i="21"/>
  <c r="W43" i="21"/>
  <c r="V43" i="21"/>
  <c r="U43" i="21"/>
  <c r="T43" i="21"/>
  <c r="S43" i="21"/>
  <c r="R43" i="21"/>
  <c r="Q43" i="21"/>
  <c r="P43" i="21"/>
  <c r="O43" i="21"/>
  <c r="N43" i="21"/>
  <c r="M43" i="21"/>
  <c r="L43" i="21"/>
  <c r="K43" i="21"/>
  <c r="J43" i="21"/>
  <c r="I43" i="21"/>
  <c r="H43" i="21"/>
  <c r="G43" i="21"/>
  <c r="F43" i="21"/>
  <c r="E43" i="21"/>
  <c r="D43" i="21"/>
  <c r="A43" i="21"/>
  <c r="A42" i="21"/>
  <c r="A41" i="21"/>
  <c r="A40" i="21"/>
  <c r="A39" i="21"/>
  <c r="A38" i="21"/>
  <c r="BL55" i="21"/>
  <c r="A37" i="21"/>
  <c r="A36" i="21"/>
  <c r="A35" i="21"/>
  <c r="A34" i="21"/>
  <c r="A33" i="21"/>
  <c r="CW32" i="21"/>
  <c r="A32" i="21"/>
  <c r="FM43" i="21"/>
  <c r="EP43" i="21"/>
  <c r="A31" i="21"/>
  <c r="A30" i="21"/>
  <c r="A29" i="21"/>
  <c r="EV28" i="21"/>
  <c r="DB28" i="21"/>
  <c r="A28" i="21"/>
  <c r="BL42" i="21"/>
  <c r="A27" i="21"/>
  <c r="A26" i="21"/>
  <c r="A25" i="21"/>
  <c r="A24" i="21"/>
  <c r="BL51" i="21"/>
  <c r="A23" i="21"/>
  <c r="A22" i="21"/>
  <c r="A21" i="21"/>
  <c r="A20" i="21"/>
  <c r="A19" i="21"/>
  <c r="CT18" i="21"/>
  <c r="CS18" i="21"/>
  <c r="BN18" i="21"/>
  <c r="BM18" i="21"/>
  <c r="AH18" i="21"/>
  <c r="AG18" i="21"/>
  <c r="A18" i="21"/>
  <c r="A17" i="21"/>
  <c r="A16" i="21"/>
  <c r="A15" i="21"/>
  <c r="A14" i="21"/>
  <c r="A13" i="21"/>
  <c r="A12" i="21"/>
  <c r="A11" i="21"/>
  <c r="ER10" i="21"/>
  <c r="CT10" i="21"/>
  <c r="CS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N10" i="21"/>
  <c r="BM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H10" i="21"/>
  <c r="AG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A10" i="21"/>
  <c r="A9" i="21"/>
  <c r="A8" i="21"/>
  <c r="FM7" i="21"/>
  <c r="FL7" i="21"/>
  <c r="EU7" i="21"/>
  <c r="ET7" i="21"/>
  <c r="ES7" i="21"/>
  <c r="ER7" i="21"/>
  <c r="EP7" i="21"/>
  <c r="EO7" i="21"/>
  <c r="DX7" i="21"/>
  <c r="DW7" i="21"/>
  <c r="DV7" i="21"/>
  <c r="DU7" i="21"/>
  <c r="CT7" i="21"/>
  <c r="CS7" i="21"/>
  <c r="BN7" i="21"/>
  <c r="BM7" i="21"/>
  <c r="AH7" i="21"/>
  <c r="AG7" i="21"/>
  <c r="A7" i="21"/>
  <c r="A6" i="21"/>
  <c r="FM5" i="21"/>
  <c r="FL5" i="21"/>
  <c r="FK5" i="21"/>
  <c r="FJ5" i="21"/>
  <c r="FI5" i="21"/>
  <c r="FH5" i="21"/>
  <c r="EW5" i="21"/>
  <c r="EV5" i="21"/>
  <c r="EU5" i="21"/>
  <c r="ET5" i="21"/>
  <c r="ES5" i="21"/>
  <c r="ER5" i="21"/>
  <c r="EP5" i="21"/>
  <c r="EO5" i="21"/>
  <c r="EN5" i="21"/>
  <c r="EM5" i="21"/>
  <c r="EL5" i="21"/>
  <c r="EK5" i="21"/>
  <c r="EJ5" i="21"/>
  <c r="EI5" i="21"/>
  <c r="EH5" i="21"/>
  <c r="EG5" i="21"/>
  <c r="ED5" i="21"/>
  <c r="EC5" i="21"/>
  <c r="EB5" i="21"/>
  <c r="EA5" i="21"/>
  <c r="DZ5" i="21"/>
  <c r="DY5" i="21"/>
  <c r="DX5" i="21"/>
  <c r="DW5" i="21"/>
  <c r="DV5" i="21"/>
  <c r="DU5" i="21"/>
  <c r="CT5" i="21"/>
  <c r="CS5" i="21"/>
  <c r="CQ5" i="21"/>
  <c r="CP5" i="21"/>
  <c r="CO5" i="21"/>
  <c r="CN5" i="21"/>
  <c r="CM5" i="21"/>
  <c r="CL5" i="21"/>
  <c r="CK5" i="21"/>
  <c r="CJ5" i="21"/>
  <c r="CI5" i="21"/>
  <c r="CH5" i="21"/>
  <c r="CG5" i="21"/>
  <c r="CF5" i="21"/>
  <c r="CE5" i="21"/>
  <c r="CD5" i="21"/>
  <c r="CC5" i="21"/>
  <c r="CB5" i="21"/>
  <c r="CA5" i="21"/>
  <c r="BZ5" i="21"/>
  <c r="BY5" i="21"/>
  <c r="BX5" i="21"/>
  <c r="BW5" i="21"/>
  <c r="BV5" i="21"/>
  <c r="BU5" i="21"/>
  <c r="BT5" i="21"/>
  <c r="BS5" i="21"/>
  <c r="BR5" i="21"/>
  <c r="BQ5" i="21"/>
  <c r="BP5" i="21"/>
  <c r="BN5" i="21"/>
  <c r="BM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H5" i="21"/>
  <c r="AG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A5" i="21"/>
  <c r="A4" i="21"/>
  <c r="CT3" i="21"/>
  <c r="CS3" i="21"/>
  <c r="CR3" i="21"/>
  <c r="CQ3" i="21"/>
  <c r="CP3" i="21"/>
  <c r="CO3" i="21"/>
  <c r="CN3" i="21"/>
  <c r="CM3" i="21"/>
  <c r="CL3" i="21"/>
  <c r="CK3" i="21"/>
  <c r="CJ3" i="21"/>
  <c r="CI3" i="21"/>
  <c r="CH3" i="21"/>
  <c r="CG3" i="21"/>
  <c r="CF3" i="21"/>
  <c r="CE3" i="21"/>
  <c r="CD3" i="21"/>
  <c r="CC3" i="21"/>
  <c r="CB3" i="21"/>
  <c r="CA3" i="21"/>
  <c r="BZ3" i="21"/>
  <c r="BY3" i="21"/>
  <c r="BX3" i="21"/>
  <c r="BW3" i="21"/>
  <c r="BV3" i="21"/>
  <c r="BU3" i="21"/>
  <c r="BT3" i="21"/>
  <c r="BS3" i="21"/>
  <c r="BR3" i="21"/>
  <c r="BQ3" i="21"/>
  <c r="BP3" i="21"/>
  <c r="BN3" i="21"/>
  <c r="BM3" i="21"/>
  <c r="BL3" i="21"/>
  <c r="BK3" i="21"/>
  <c r="BJ3" i="21"/>
  <c r="BI3" i="21"/>
  <c r="BH3" i="21"/>
  <c r="BG3" i="21"/>
  <c r="BF3" i="21"/>
  <c r="BE3" i="21"/>
  <c r="BD3" i="21"/>
  <c r="BC3" i="21"/>
  <c r="BB3" i="21"/>
  <c r="BA3" i="21"/>
  <c r="AZ3" i="21"/>
  <c r="AY3" i="21"/>
  <c r="AX3" i="21"/>
  <c r="AW3" i="21"/>
  <c r="AV3" i="21"/>
  <c r="AU3" i="21"/>
  <c r="AT3" i="21"/>
  <c r="AS3" i="21"/>
  <c r="AR3" i="21"/>
  <c r="AQ3" i="21"/>
  <c r="AP3" i="21"/>
  <c r="AO3" i="21"/>
  <c r="AN3" i="21"/>
  <c r="AM3" i="21"/>
  <c r="AL3" i="21"/>
  <c r="AK3" i="21"/>
  <c r="AJ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A3" i="21"/>
  <c r="ER2" i="21"/>
  <c r="ER1" i="21" s="1"/>
  <c r="DU2" i="21"/>
  <c r="CY2" i="21"/>
  <c r="CY1" i="21" s="1"/>
  <c r="CX2" i="21"/>
  <c r="CX3" i="21" s="1"/>
  <c r="A2" i="21"/>
  <c r="CX1" i="21"/>
  <c r="A1" i="21"/>
  <c r="ER3" i="21" l="1"/>
  <c r="ES2" i="21"/>
  <c r="BL48" i="21"/>
  <c r="BL36" i="21"/>
  <c r="BL21" i="21"/>
  <c r="BL11" i="21"/>
  <c r="DV2" i="21"/>
  <c r="DU3" i="21"/>
  <c r="ET2" i="21"/>
  <c r="ET1" i="21" s="1"/>
  <c r="DU1" i="21"/>
  <c r="CZ2" i="21"/>
  <c r="CY3" i="21"/>
  <c r="BL60" i="21"/>
  <c r="BL58" i="21"/>
  <c r="BL56" i="21"/>
  <c r="BL54" i="21"/>
  <c r="BL52" i="21"/>
  <c r="BL50" i="21"/>
  <c r="BL39" i="21"/>
  <c r="ES3" i="21" l="1"/>
  <c r="ES1" i="21"/>
  <c r="BL59" i="21"/>
  <c r="BL22" i="21"/>
  <c r="BL25" i="21" s="1"/>
  <c r="DV1" i="21"/>
  <c r="DV3" i="21"/>
  <c r="DW2" i="21"/>
  <c r="CZ1" i="21"/>
  <c r="CZ3" i="21"/>
  <c r="DA2" i="21"/>
  <c r="EU2" i="21"/>
  <c r="EU1" i="21" s="1"/>
  <c r="ET3" i="21"/>
  <c r="I74" i="107"/>
  <c r="P65" i="107"/>
  <c r="CR17" i="21" s="1"/>
  <c r="M65" i="107"/>
  <c r="J65" i="107"/>
  <c r="AF17" i="21" s="1"/>
  <c r="L56" i="107"/>
  <c r="J55" i="107"/>
  <c r="M55" i="107"/>
  <c r="L55" i="107"/>
  <c r="M54" i="107"/>
  <c r="O54" i="107"/>
  <c r="P53" i="107"/>
  <c r="L53" i="107"/>
  <c r="M52" i="107"/>
  <c r="L52" i="107"/>
  <c r="M51" i="107"/>
  <c r="L51" i="107"/>
  <c r="M50" i="107"/>
  <c r="O50" i="107"/>
  <c r="P49" i="107"/>
  <c r="L48" i="107"/>
  <c r="M47" i="107"/>
  <c r="L47" i="107"/>
  <c r="P46" i="107"/>
  <c r="L46" i="107"/>
  <c r="G40" i="107"/>
  <c r="N26" i="107"/>
  <c r="K26" i="107"/>
  <c r="G26" i="107"/>
  <c r="O17" i="107"/>
  <c r="L17" i="107"/>
  <c r="I17" i="107"/>
  <c r="O16" i="107"/>
  <c r="L16" i="107"/>
  <c r="I16" i="107"/>
  <c r="O15" i="107"/>
  <c r="L15" i="107"/>
  <c r="I15" i="107"/>
  <c r="O14" i="107"/>
  <c r="L14" i="107"/>
  <c r="Z13" i="107"/>
  <c r="Z15" i="107" s="1"/>
  <c r="N31" i="107" s="1"/>
  <c r="Y13" i="107"/>
  <c r="Y16" i="107" s="1"/>
  <c r="K32" i="107" s="1"/>
  <c r="X13" i="107"/>
  <c r="X14" i="107" s="1"/>
  <c r="H30" i="107" s="1"/>
  <c r="O12" i="107"/>
  <c r="M12" i="107"/>
  <c r="I12" i="107"/>
  <c r="N11" i="107"/>
  <c r="N57" i="107" s="1"/>
  <c r="K11" i="107"/>
  <c r="H11" i="107"/>
  <c r="H57" i="107" s="1"/>
  <c r="I57" i="107" s="1"/>
  <c r="L11" i="107"/>
  <c r="O10" i="107"/>
  <c r="L10" i="107"/>
  <c r="I10" i="107"/>
  <c r="N9" i="107"/>
  <c r="CR6" i="21" s="1"/>
  <c r="K9" i="107"/>
  <c r="L9" i="107" s="1"/>
  <c r="H9" i="107"/>
  <c r="AF6" i="21" s="1"/>
  <c r="N3" i="107"/>
  <c r="Q46" i="107"/>
  <c r="K70" i="107" l="1"/>
  <c r="M69" i="107" s="1"/>
  <c r="P67" i="107"/>
  <c r="CR18" i="21" s="1"/>
  <c r="M67" i="107"/>
  <c r="I9" i="107"/>
  <c r="AF8" i="21" s="1"/>
  <c r="AF48" i="21" s="1"/>
  <c r="CR52" i="21"/>
  <c r="CR48" i="21"/>
  <c r="O9" i="107"/>
  <c r="CR8" i="21" s="1"/>
  <c r="M7" i="107"/>
  <c r="M13" i="107"/>
  <c r="M18" i="107"/>
  <c r="Y14" i="107"/>
  <c r="K30" i="107" s="1"/>
  <c r="L30" i="107" s="1"/>
  <c r="J50" i="107"/>
  <c r="I47" i="107"/>
  <c r="I48" i="107"/>
  <c r="P50" i="107"/>
  <c r="I51" i="107"/>
  <c r="I52" i="107"/>
  <c r="DA3" i="21"/>
  <c r="DB2" i="21"/>
  <c r="DA1" i="21"/>
  <c r="EV2" i="21"/>
  <c r="EV1" i="21" s="1"/>
  <c r="EU3" i="21"/>
  <c r="DW3" i="21"/>
  <c r="DX2" i="21"/>
  <c r="DW1" i="21"/>
  <c r="I73" i="107"/>
  <c r="J71" i="107" s="1"/>
  <c r="AF20" i="21" s="1"/>
  <c r="P13" i="107"/>
  <c r="O74" i="107"/>
  <c r="X15" i="107"/>
  <c r="H31" i="107" s="1"/>
  <c r="I31" i="107" s="1"/>
  <c r="I30" i="107"/>
  <c r="Z17" i="107"/>
  <c r="N33" i="107" s="1"/>
  <c r="O33" i="107" s="1"/>
  <c r="G38" i="107"/>
  <c r="L38" i="107" s="1"/>
  <c r="J67" i="107"/>
  <c r="AF18" i="21" s="1"/>
  <c r="O31" i="107"/>
  <c r="G41" i="107"/>
  <c r="I41" i="107" s="1"/>
  <c r="L73" i="107"/>
  <c r="L32" i="107"/>
  <c r="G42" i="107"/>
  <c r="O42" i="107" s="1"/>
  <c r="J57" i="107"/>
  <c r="Y17" i="107"/>
  <c r="K33" i="107" s="1"/>
  <c r="L33" i="107" s="1"/>
  <c r="Z16" i="107"/>
  <c r="N32" i="107" s="1"/>
  <c r="O32" i="107" s="1"/>
  <c r="J18" i="107"/>
  <c r="G25" i="107"/>
  <c r="O25" i="107" s="1"/>
  <c r="G37" i="107"/>
  <c r="O37" i="107" s="1"/>
  <c r="O48" i="107"/>
  <c r="O26" i="107"/>
  <c r="P23" i="107" s="1"/>
  <c r="CR12" i="21" s="1"/>
  <c r="I26" i="107"/>
  <c r="O55" i="107"/>
  <c r="Y15" i="107"/>
  <c r="K31" i="107" s="1"/>
  <c r="L31" i="107" s="1"/>
  <c r="G39" i="107"/>
  <c r="I39" i="107" s="1"/>
  <c r="J47" i="107"/>
  <c r="J51" i="107"/>
  <c r="O52" i="107"/>
  <c r="J54" i="107"/>
  <c r="P55" i="107"/>
  <c r="I56" i="107"/>
  <c r="O73" i="107"/>
  <c r="P47" i="107"/>
  <c r="P51" i="107"/>
  <c r="L26" i="107"/>
  <c r="P18" i="107"/>
  <c r="G36" i="107"/>
  <c r="I36" i="107" s="1"/>
  <c r="O47" i="107"/>
  <c r="O51" i="107"/>
  <c r="P54" i="107"/>
  <c r="I55" i="107"/>
  <c r="O56" i="107"/>
  <c r="P57" i="107"/>
  <c r="G63" i="107"/>
  <c r="I63" i="107" s="1"/>
  <c r="L74" i="107"/>
  <c r="J7" i="107"/>
  <c r="H70" i="107"/>
  <c r="J69" i="107" s="1"/>
  <c r="AF19" i="21" s="1"/>
  <c r="P48" i="107"/>
  <c r="J48" i="107"/>
  <c r="P56" i="107"/>
  <c r="J56" i="107"/>
  <c r="M56" i="107"/>
  <c r="O49" i="107"/>
  <c r="I49" i="107"/>
  <c r="S10" i="107"/>
  <c r="O40" i="107"/>
  <c r="I40" i="107"/>
  <c r="L40" i="107"/>
  <c r="M48" i="107"/>
  <c r="P52" i="107"/>
  <c r="J52" i="107"/>
  <c r="P7" i="107"/>
  <c r="O46" i="107"/>
  <c r="I46" i="107"/>
  <c r="L49" i="107"/>
  <c r="O53" i="107"/>
  <c r="I53" i="107"/>
  <c r="G64" i="107"/>
  <c r="O64" i="107" s="1"/>
  <c r="P60" i="107" s="1"/>
  <c r="CR16" i="21" s="1"/>
  <c r="M49" i="107"/>
  <c r="M53" i="107"/>
  <c r="L54" i="107"/>
  <c r="K57" i="107"/>
  <c r="M57" i="107" s="1"/>
  <c r="O57" i="107"/>
  <c r="I11" i="107"/>
  <c r="R10" i="107" s="1"/>
  <c r="AF9" i="21" s="1"/>
  <c r="AF11" i="21" s="1"/>
  <c r="O11" i="107"/>
  <c r="T10" i="107" s="1"/>
  <c r="CR9" i="21" s="1"/>
  <c r="Z14" i="107"/>
  <c r="N30" i="107" s="1"/>
  <c r="O30" i="107" s="1"/>
  <c r="X16" i="107"/>
  <c r="H32" i="107" s="1"/>
  <c r="I32" i="107" s="1"/>
  <c r="G62" i="107"/>
  <c r="X17" i="107"/>
  <c r="H33" i="107" s="1"/>
  <c r="I33" i="107" s="1"/>
  <c r="M46" i="107"/>
  <c r="L50" i="107"/>
  <c r="J46" i="107"/>
  <c r="J49" i="107"/>
  <c r="I50" i="107"/>
  <c r="J53" i="107"/>
  <c r="I54" i="107"/>
  <c r="CR11" i="21" l="1"/>
  <c r="I38" i="107"/>
  <c r="S19" i="107"/>
  <c r="AF23" i="21" s="1"/>
  <c r="AF51" i="21" s="1"/>
  <c r="AF52" i="21" s="1"/>
  <c r="T19" i="107"/>
  <c r="CR37" i="21" s="1"/>
  <c r="CR55" i="21" s="1"/>
  <c r="CR56" i="21" s="1"/>
  <c r="N70" i="107"/>
  <c r="P69" i="107" s="1"/>
  <c r="CR19" i="21" s="1"/>
  <c r="L36" i="107"/>
  <c r="L57" i="107"/>
  <c r="L58" i="107" s="1"/>
  <c r="L59" i="107" s="1"/>
  <c r="L63" i="107"/>
  <c r="O41" i="107"/>
  <c r="I42" i="107"/>
  <c r="L42" i="107"/>
  <c r="L37" i="107"/>
  <c r="I37" i="107"/>
  <c r="O38" i="107"/>
  <c r="J27" i="107"/>
  <c r="AF13" i="21" s="1"/>
  <c r="I25" i="107"/>
  <c r="J23" i="107" s="1"/>
  <c r="AF12" i="21" s="1"/>
  <c r="L39" i="107"/>
  <c r="L41" i="107"/>
  <c r="DB1" i="21"/>
  <c r="DB3" i="21"/>
  <c r="DC2" i="21"/>
  <c r="DX1" i="21"/>
  <c r="DX3" i="21"/>
  <c r="DY2" i="21"/>
  <c r="EW2" i="21"/>
  <c r="EW1" i="21" s="1"/>
  <c r="EV3" i="21"/>
  <c r="O63" i="107"/>
  <c r="P27" i="107"/>
  <c r="CR13" i="21" s="1"/>
  <c r="O39" i="107"/>
  <c r="P71" i="107"/>
  <c r="CR20" i="21" s="1"/>
  <c r="M27" i="107"/>
  <c r="O36" i="107"/>
  <c r="O58" i="107"/>
  <c r="O59" i="107" s="1"/>
  <c r="CR27" i="21" s="1"/>
  <c r="CR42" i="21" s="1"/>
  <c r="I64" i="107"/>
  <c r="J60" i="107" s="1"/>
  <c r="AF16" i="21" s="1"/>
  <c r="M71" i="107"/>
  <c r="L25" i="107"/>
  <c r="M23" i="107" s="1"/>
  <c r="P43" i="107"/>
  <c r="CR15" i="21" s="1"/>
  <c r="CR60" i="21" s="1"/>
  <c r="L64" i="107"/>
  <c r="M60" i="107" s="1"/>
  <c r="M43" i="107"/>
  <c r="J43" i="107"/>
  <c r="AF15" i="21" s="1"/>
  <c r="I62" i="107"/>
  <c r="O62" i="107"/>
  <c r="L62" i="107"/>
  <c r="I58" i="107"/>
  <c r="I59" i="107" s="1"/>
  <c r="AF27" i="21" s="1"/>
  <c r="AF42" i="21" s="1"/>
  <c r="AF60" i="21" l="1"/>
  <c r="M34" i="107"/>
  <c r="M1" i="107" s="1"/>
  <c r="J34" i="107"/>
  <c r="AF14" i="21" s="1"/>
  <c r="AF21" i="21" s="1"/>
  <c r="EW3" i="21"/>
  <c r="EX2" i="21"/>
  <c r="EX1" i="21" s="1"/>
  <c r="DD2" i="21"/>
  <c r="DC3" i="21"/>
  <c r="DC1" i="21"/>
  <c r="DZ2" i="21"/>
  <c r="DY3" i="21"/>
  <c r="DY1" i="21"/>
  <c r="P34" i="107"/>
  <c r="CR14" i="21" s="1"/>
  <c r="CR21" i="21" s="1"/>
  <c r="CR22" i="21" l="1"/>
  <c r="AF22" i="21"/>
  <c r="P1" i="107"/>
  <c r="N1" i="107" s="1"/>
  <c r="DZ1" i="21"/>
  <c r="DZ3" i="21"/>
  <c r="EA2" i="21"/>
  <c r="EY2" i="21"/>
  <c r="EY1" i="21" s="1"/>
  <c r="EX3" i="21"/>
  <c r="DD1" i="21"/>
  <c r="DD3" i="21"/>
  <c r="DE2" i="21"/>
  <c r="DE3" i="21" l="1"/>
  <c r="DF2" i="21"/>
  <c r="DE1" i="21"/>
  <c r="EZ2" i="21"/>
  <c r="EZ1" i="21" s="1"/>
  <c r="EY3" i="21"/>
  <c r="EA3" i="21"/>
  <c r="EB2" i="21"/>
  <c r="EA1" i="21"/>
  <c r="B6" i="4"/>
  <c r="EZ3" i="21" l="1"/>
  <c r="FA2" i="21"/>
  <c r="EB1" i="21"/>
  <c r="EC2" i="21"/>
  <c r="EB3" i="21"/>
  <c r="DF1" i="21"/>
  <c r="DF3" i="21"/>
  <c r="DG2" i="21"/>
  <c r="DH2" i="21" s="1"/>
  <c r="G30" i="12"/>
  <c r="H30" i="12"/>
  <c r="I30" i="12"/>
  <c r="FA1" i="21" l="1"/>
  <c r="FB2" i="21"/>
  <c r="DI2" i="21"/>
  <c r="DH3" i="21"/>
  <c r="DH1" i="21"/>
  <c r="FA3" i="21"/>
  <c r="DG3" i="21"/>
  <c r="DG1" i="21"/>
  <c r="ED2" i="21"/>
  <c r="EE2" i="21" s="1"/>
  <c r="EC3" i="21"/>
  <c r="EC1" i="21"/>
  <c r="EE1" i="21" l="1"/>
  <c r="EE3" i="21"/>
  <c r="EF2" i="21"/>
  <c r="EG2" i="21" s="1"/>
  <c r="EH2" i="21" s="1"/>
  <c r="EI2" i="21" s="1"/>
  <c r="EJ2" i="21" s="1"/>
  <c r="EK2" i="21" s="1"/>
  <c r="EL2" i="21" s="1"/>
  <c r="EM2" i="21" s="1"/>
  <c r="EN2" i="21" s="1"/>
  <c r="EO2" i="21" s="1"/>
  <c r="EP2" i="21" s="1"/>
  <c r="FC2" i="21"/>
  <c r="FB3" i="21"/>
  <c r="FB1" i="21"/>
  <c r="DI1" i="21"/>
  <c r="DJ2" i="21"/>
  <c r="EF3" i="21"/>
  <c r="DI3" i="21"/>
  <c r="ED1" i="21"/>
  <c r="ED3" i="21"/>
  <c r="FC3" i="21"/>
  <c r="Z12" i="75"/>
  <c r="Z16" i="75" s="1"/>
  <c r="Y12" i="75"/>
  <c r="Y15" i="75" s="1"/>
  <c r="Z12" i="76"/>
  <c r="Z13" i="76" s="1"/>
  <c r="Y12" i="76"/>
  <c r="Y16" i="76" s="1"/>
  <c r="Y12" i="77"/>
  <c r="Y13" i="77" s="1"/>
  <c r="Y12" i="78"/>
  <c r="Y16" i="78" s="1"/>
  <c r="Y12" i="79"/>
  <c r="Y15" i="79" s="1"/>
  <c r="Y12" i="80"/>
  <c r="Y16" i="80" s="1"/>
  <c r="Z12" i="81"/>
  <c r="Z16" i="81" s="1"/>
  <c r="Y12" i="81"/>
  <c r="Y13" i="81" s="1"/>
  <c r="X12" i="81"/>
  <c r="X16" i="81" s="1"/>
  <c r="Z12" i="74"/>
  <c r="Z15" i="74" s="1"/>
  <c r="Y12" i="74"/>
  <c r="Y16" i="74" s="1"/>
  <c r="M56" i="75"/>
  <c r="L56" i="75"/>
  <c r="M55" i="75"/>
  <c r="L55" i="75"/>
  <c r="M52" i="75"/>
  <c r="L52" i="75"/>
  <c r="M56" i="76"/>
  <c r="L56" i="76"/>
  <c r="M55" i="76"/>
  <c r="L55" i="76"/>
  <c r="M52" i="76"/>
  <c r="L52" i="76"/>
  <c r="M56" i="77"/>
  <c r="M54" i="77"/>
  <c r="L54" i="77"/>
  <c r="M52" i="77"/>
  <c r="J56" i="78"/>
  <c r="L56" i="78"/>
  <c r="O53" i="78"/>
  <c r="M56" i="79"/>
  <c r="I56" i="79"/>
  <c r="P53" i="79"/>
  <c r="L53" i="79"/>
  <c r="J56" i="80"/>
  <c r="L56" i="80"/>
  <c r="M55" i="80"/>
  <c r="O55" i="80"/>
  <c r="J52" i="80"/>
  <c r="L52" i="80"/>
  <c r="J56" i="74"/>
  <c r="L56" i="74"/>
  <c r="M55" i="74"/>
  <c r="O55" i="74"/>
  <c r="M54" i="74"/>
  <c r="L54" i="74"/>
  <c r="N30" i="75"/>
  <c r="K30" i="75"/>
  <c r="D27" i="75"/>
  <c r="K30" i="76"/>
  <c r="D27" i="76"/>
  <c r="K30" i="77"/>
  <c r="D27" i="77"/>
  <c r="K30" i="78"/>
  <c r="D27" i="78"/>
  <c r="K30" i="79"/>
  <c r="D27" i="79"/>
  <c r="K30" i="80"/>
  <c r="D27" i="80"/>
  <c r="K30" i="81"/>
  <c r="D27" i="81"/>
  <c r="N30" i="74"/>
  <c r="K30" i="74"/>
  <c r="D27" i="74"/>
  <c r="N26" i="75"/>
  <c r="K26" i="75"/>
  <c r="N25" i="75"/>
  <c r="K25" i="75"/>
  <c r="N26" i="76"/>
  <c r="K26" i="76"/>
  <c r="N25" i="76"/>
  <c r="K25" i="76"/>
  <c r="N26" i="77"/>
  <c r="K26" i="77"/>
  <c r="N25" i="77"/>
  <c r="K25" i="77"/>
  <c r="K26" i="78"/>
  <c r="N25" i="78"/>
  <c r="K25" i="78"/>
  <c r="N26" i="79"/>
  <c r="K26" i="79"/>
  <c r="N25" i="79"/>
  <c r="K25" i="79"/>
  <c r="N26" i="80"/>
  <c r="K26" i="80"/>
  <c r="N25" i="80"/>
  <c r="K25" i="80"/>
  <c r="N26" i="81"/>
  <c r="K26" i="81"/>
  <c r="N25" i="81"/>
  <c r="K25" i="81"/>
  <c r="N26" i="74"/>
  <c r="K26" i="74"/>
  <c r="N25" i="74"/>
  <c r="K25" i="74"/>
  <c r="P57" i="73"/>
  <c r="L57" i="73"/>
  <c r="M56" i="73"/>
  <c r="L56" i="73"/>
  <c r="M55" i="73"/>
  <c r="L55" i="73"/>
  <c r="M54" i="73"/>
  <c r="O54" i="73"/>
  <c r="P53" i="73"/>
  <c r="L53" i="73"/>
  <c r="M52" i="73"/>
  <c r="L52" i="73"/>
  <c r="Z12" i="73"/>
  <c r="Z16" i="73" s="1"/>
  <c r="Y12" i="73"/>
  <c r="Y15" i="73" s="1"/>
  <c r="X12" i="73"/>
  <c r="X14" i="73" s="1"/>
  <c r="H31" i="73" s="1"/>
  <c r="X12" i="72"/>
  <c r="X14" i="72" s="1"/>
  <c r="H31" i="72" s="1"/>
  <c r="Y12" i="72"/>
  <c r="Y15" i="72" s="1"/>
  <c r="Z12" i="72"/>
  <c r="Z13" i="72" s="1"/>
  <c r="Z15" i="72"/>
  <c r="Y16" i="72"/>
  <c r="Z16" i="72"/>
  <c r="D27" i="73"/>
  <c r="S68" i="73"/>
  <c r="T68" i="73"/>
  <c r="S68" i="71"/>
  <c r="T68" i="71"/>
  <c r="S68" i="70"/>
  <c r="T68" i="70"/>
  <c r="Z14" i="73" l="1"/>
  <c r="Z14" i="81"/>
  <c r="Z14" i="72"/>
  <c r="Z13" i="81"/>
  <c r="X15" i="81"/>
  <c r="EF1" i="21"/>
  <c r="FD2" i="21"/>
  <c r="FC1" i="21"/>
  <c r="Z15" i="81"/>
  <c r="Y15" i="80"/>
  <c r="Y13" i="80"/>
  <c r="Z13" i="75"/>
  <c r="DJ1" i="21"/>
  <c r="DK2" i="21"/>
  <c r="X15" i="72"/>
  <c r="H32" i="72" s="1"/>
  <c r="Z15" i="75"/>
  <c r="Y13" i="78"/>
  <c r="Y13" i="76"/>
  <c r="X13" i="73"/>
  <c r="H30" i="73" s="1"/>
  <c r="X13" i="81"/>
  <c r="Y14" i="77"/>
  <c r="Z14" i="76"/>
  <c r="Y13" i="73"/>
  <c r="Y14" i="78"/>
  <c r="Y15" i="76"/>
  <c r="Y14" i="73"/>
  <c r="Y14" i="81"/>
  <c r="Y15" i="78"/>
  <c r="X16" i="72"/>
  <c r="H33" i="72" s="1"/>
  <c r="Z15" i="73"/>
  <c r="I56" i="73"/>
  <c r="I55" i="76"/>
  <c r="I56" i="75"/>
  <c r="O53" i="73"/>
  <c r="J56" i="73"/>
  <c r="O57" i="73"/>
  <c r="L55" i="80"/>
  <c r="P55" i="73"/>
  <c r="L53" i="78"/>
  <c r="I54" i="74"/>
  <c r="P52" i="77"/>
  <c r="O54" i="74"/>
  <c r="I53" i="78"/>
  <c r="Y13" i="74"/>
  <c r="Y14" i="74"/>
  <c r="Y15" i="74"/>
  <c r="P55" i="74"/>
  <c r="I56" i="74"/>
  <c r="I56" i="78"/>
  <c r="P56" i="77"/>
  <c r="O55" i="76"/>
  <c r="I52" i="75"/>
  <c r="I55" i="75"/>
  <c r="O56" i="75"/>
  <c r="O56" i="74"/>
  <c r="O55" i="75"/>
  <c r="P56" i="74"/>
  <c r="O54" i="77"/>
  <c r="J56" i="77"/>
  <c r="P55" i="75"/>
  <c r="O56" i="73"/>
  <c r="I52" i="73"/>
  <c r="I53" i="73"/>
  <c r="J55" i="73"/>
  <c r="P56" i="73"/>
  <c r="I57" i="73"/>
  <c r="M56" i="74"/>
  <c r="O56" i="78"/>
  <c r="J52" i="77"/>
  <c r="I54" i="77"/>
  <c r="O52" i="75"/>
  <c r="J55" i="75"/>
  <c r="DJ3" i="21"/>
  <c r="FD3" i="21"/>
  <c r="Z14" i="74"/>
  <c r="Y16" i="81"/>
  <c r="Y14" i="79"/>
  <c r="Y16" i="77"/>
  <c r="Z16" i="76"/>
  <c r="Y14" i="75"/>
  <c r="Z13" i="74"/>
  <c r="X14" i="81"/>
  <c r="Y15" i="81"/>
  <c r="Y14" i="80"/>
  <c r="Y13" i="79"/>
  <c r="Y15" i="77"/>
  <c r="Y14" i="76"/>
  <c r="Z15" i="76"/>
  <c r="Y13" i="75"/>
  <c r="Z14" i="75"/>
  <c r="Z16" i="74"/>
  <c r="Y16" i="79"/>
  <c r="Y16" i="75"/>
  <c r="L55" i="74"/>
  <c r="J54" i="74"/>
  <c r="P54" i="74"/>
  <c r="I55" i="74"/>
  <c r="M52" i="80"/>
  <c r="M56" i="80"/>
  <c r="P54" i="77"/>
  <c r="J54" i="77"/>
  <c r="P52" i="76"/>
  <c r="J52" i="76"/>
  <c r="J55" i="74"/>
  <c r="P52" i="80"/>
  <c r="I55" i="80"/>
  <c r="P56" i="80"/>
  <c r="P55" i="76"/>
  <c r="J55" i="76"/>
  <c r="L56" i="79"/>
  <c r="O56" i="79"/>
  <c r="P53" i="78"/>
  <c r="J53" i="78"/>
  <c r="M53" i="78"/>
  <c r="O56" i="77"/>
  <c r="I56" i="77"/>
  <c r="L56" i="77"/>
  <c r="J53" i="79"/>
  <c r="M53" i="79"/>
  <c r="M56" i="78"/>
  <c r="P56" i="78"/>
  <c r="O52" i="77"/>
  <c r="I52" i="77"/>
  <c r="L52" i="77"/>
  <c r="J56" i="76"/>
  <c r="I52" i="80"/>
  <c r="O52" i="80"/>
  <c r="J55" i="80"/>
  <c r="P55" i="80"/>
  <c r="I56" i="80"/>
  <c r="O56" i="80"/>
  <c r="O53" i="79"/>
  <c r="I53" i="79"/>
  <c r="P56" i="79"/>
  <c r="J56" i="79"/>
  <c r="O52" i="76"/>
  <c r="I52" i="76"/>
  <c r="I56" i="76"/>
  <c r="P52" i="75"/>
  <c r="J52" i="75"/>
  <c r="P56" i="75"/>
  <c r="J56" i="75"/>
  <c r="P52" i="73"/>
  <c r="J52" i="73"/>
  <c r="O52" i="73"/>
  <c r="M57" i="73"/>
  <c r="J54" i="73"/>
  <c r="P54" i="73"/>
  <c r="I55" i="73"/>
  <c r="O55" i="73"/>
  <c r="L54" i="73"/>
  <c r="M53" i="73"/>
  <c r="J53" i="73"/>
  <c r="I54" i="73"/>
  <c r="J57" i="73"/>
  <c r="X16" i="73"/>
  <c r="H33" i="73" s="1"/>
  <c r="Z13" i="73"/>
  <c r="X15" i="73"/>
  <c r="H32" i="73" s="1"/>
  <c r="Y16" i="73"/>
  <c r="Y13" i="72"/>
  <c r="Y14" i="72"/>
  <c r="X13" i="72"/>
  <c r="H30" i="72" s="1"/>
  <c r="FE2" i="21" l="1"/>
  <c r="FE3" i="21" s="1"/>
  <c r="FD1" i="21"/>
  <c r="DL2" i="21"/>
  <c r="DK1" i="21"/>
  <c r="EG1" i="21"/>
  <c r="EG3" i="21"/>
  <c r="DK3" i="21"/>
  <c r="FF2" i="21" l="1"/>
  <c r="FE1" i="21"/>
  <c r="DL1" i="21"/>
  <c r="DM2" i="21"/>
  <c r="EH3" i="21"/>
  <c r="EH1" i="21"/>
  <c r="DL3" i="21"/>
  <c r="FG2" i="21" l="1"/>
  <c r="FG3" i="21" s="1"/>
  <c r="FF1" i="21"/>
  <c r="FF3" i="21"/>
  <c r="DN2" i="21"/>
  <c r="DM1" i="21"/>
  <c r="DM3" i="21"/>
  <c r="EI1" i="21"/>
  <c r="EI3" i="21"/>
  <c r="D27" i="72"/>
  <c r="D27" i="71"/>
  <c r="N26" i="73"/>
  <c r="K26" i="73"/>
  <c r="N25" i="73"/>
  <c r="K25" i="73"/>
  <c r="N26" i="72"/>
  <c r="K26" i="72"/>
  <c r="N25" i="72"/>
  <c r="K25" i="72"/>
  <c r="F70" i="71"/>
  <c r="P65" i="71"/>
  <c r="ES17" i="21" s="1"/>
  <c r="M65" i="71"/>
  <c r="DV17" i="21" s="1"/>
  <c r="J65" i="71"/>
  <c r="CY17" i="21" s="1"/>
  <c r="F64" i="71"/>
  <c r="F63" i="71"/>
  <c r="M57" i="71"/>
  <c r="L57" i="71"/>
  <c r="M55" i="71"/>
  <c r="L55" i="71"/>
  <c r="M54" i="71"/>
  <c r="L54" i="71"/>
  <c r="M53" i="71"/>
  <c r="L53" i="71"/>
  <c r="L52" i="71"/>
  <c r="N26" i="71"/>
  <c r="K26" i="71"/>
  <c r="N25" i="71"/>
  <c r="K25" i="71"/>
  <c r="O19" i="89"/>
  <c r="P18" i="89" s="1"/>
  <c r="FM63" i="21" s="1"/>
  <c r="O19" i="90"/>
  <c r="P18" i="90" s="1"/>
  <c r="FL63" i="21" s="1"/>
  <c r="M18" i="89"/>
  <c r="EP63" i="21" s="1"/>
  <c r="M18" i="90"/>
  <c r="EO63" i="21" s="1"/>
  <c r="I19" i="89"/>
  <c r="J18" i="89" s="1"/>
  <c r="I19" i="90"/>
  <c r="J18" i="90" s="1"/>
  <c r="DR63" i="21" s="1"/>
  <c r="F70" i="72"/>
  <c r="P65" i="72"/>
  <c r="ET17" i="21" s="1"/>
  <c r="M65" i="72"/>
  <c r="DW17" i="21" s="1"/>
  <c r="J65" i="72"/>
  <c r="CZ17" i="21" s="1"/>
  <c r="F64" i="72"/>
  <c r="F63" i="72"/>
  <c r="F70" i="73"/>
  <c r="P65" i="73"/>
  <c r="EU17" i="21" s="1"/>
  <c r="M65" i="73"/>
  <c r="DX17" i="21" s="1"/>
  <c r="J65" i="73"/>
  <c r="DA17" i="21" s="1"/>
  <c r="F64" i="73"/>
  <c r="F63" i="73"/>
  <c r="F70" i="74"/>
  <c r="P65" i="74"/>
  <c r="EV17" i="21" s="1"/>
  <c r="M65" i="74"/>
  <c r="DY17" i="21" s="1"/>
  <c r="J65" i="74"/>
  <c r="DB17" i="21" s="1"/>
  <c r="F63" i="74"/>
  <c r="P65" i="75"/>
  <c r="EW17" i="21" s="1"/>
  <c r="M65" i="75"/>
  <c r="DZ17" i="21" s="1"/>
  <c r="J65" i="75"/>
  <c r="DC17" i="21" s="1"/>
  <c r="F70" i="76"/>
  <c r="P65" i="76"/>
  <c r="EX17" i="21" s="1"/>
  <c r="M65" i="76"/>
  <c r="EA17" i="21" s="1"/>
  <c r="J65" i="76"/>
  <c r="DD17" i="21" s="1"/>
  <c r="F64" i="76"/>
  <c r="F63" i="76"/>
  <c r="F70" i="77"/>
  <c r="P65" i="77"/>
  <c r="EY17" i="21" s="1"/>
  <c r="M65" i="77"/>
  <c r="EB17" i="21" s="1"/>
  <c r="J65" i="77"/>
  <c r="DE17" i="21" s="1"/>
  <c r="F64" i="77"/>
  <c r="F63" i="77"/>
  <c r="F70" i="78"/>
  <c r="P65" i="78"/>
  <c r="EZ17" i="21" s="1"/>
  <c r="M65" i="78"/>
  <c r="EC17" i="21" s="1"/>
  <c r="J65" i="78"/>
  <c r="DF17" i="21" s="1"/>
  <c r="F64" i="78"/>
  <c r="F63" i="78"/>
  <c r="F70" i="79"/>
  <c r="P65" i="79"/>
  <c r="FA17" i="21" s="1"/>
  <c r="M65" i="79"/>
  <c r="ED17" i="21" s="1"/>
  <c r="J65" i="79"/>
  <c r="DG17" i="21" s="1"/>
  <c r="F64" i="79"/>
  <c r="F63" i="79"/>
  <c r="F70" i="80"/>
  <c r="P65" i="80"/>
  <c r="FC17" i="21" s="1"/>
  <c r="M65" i="80"/>
  <c r="EF17" i="21" s="1"/>
  <c r="J65" i="80"/>
  <c r="DI17" i="21" s="1"/>
  <c r="F64" i="80"/>
  <c r="F63" i="80"/>
  <c r="F70" i="81"/>
  <c r="P65" i="81"/>
  <c r="FD17" i="21" s="1"/>
  <c r="M65" i="81"/>
  <c r="EG17" i="21" s="1"/>
  <c r="J65" i="81"/>
  <c r="DJ17" i="21" s="1"/>
  <c r="F64" i="81"/>
  <c r="F63" i="81"/>
  <c r="F70" i="82"/>
  <c r="P65" i="82"/>
  <c r="FE17" i="21" s="1"/>
  <c r="M65" i="82"/>
  <c r="EH17" i="21" s="1"/>
  <c r="J65" i="82"/>
  <c r="DK17" i="21" s="1"/>
  <c r="F64" i="82"/>
  <c r="F63" i="82"/>
  <c r="F70" i="83"/>
  <c r="P65" i="83"/>
  <c r="FF17" i="21" s="1"/>
  <c r="M65" i="83"/>
  <c r="EI17" i="21" s="1"/>
  <c r="J65" i="83"/>
  <c r="DL17" i="21" s="1"/>
  <c r="F64" i="83"/>
  <c r="F63" i="83"/>
  <c r="F70" i="84"/>
  <c r="P65" i="84"/>
  <c r="FG17" i="21" s="1"/>
  <c r="M65" i="84"/>
  <c r="EJ17" i="21" s="1"/>
  <c r="J65" i="84"/>
  <c r="DM17" i="21" s="1"/>
  <c r="F64" i="84"/>
  <c r="F63" i="84"/>
  <c r="F70" i="85"/>
  <c r="P65" i="85"/>
  <c r="FI17" i="21" s="1"/>
  <c r="M65" i="85"/>
  <c r="EL17" i="21" s="1"/>
  <c r="J65" i="85"/>
  <c r="DO17" i="21" s="1"/>
  <c r="F63" i="85"/>
  <c r="F70" i="86"/>
  <c r="P65" i="86"/>
  <c r="FH17" i="21" s="1"/>
  <c r="M65" i="86"/>
  <c r="EK17" i="21" s="1"/>
  <c r="J65" i="86"/>
  <c r="DN17" i="21" s="1"/>
  <c r="F70" i="87"/>
  <c r="P65" i="87"/>
  <c r="FJ17" i="21" s="1"/>
  <c r="M65" i="87"/>
  <c r="EM17" i="21" s="1"/>
  <c r="J65" i="87"/>
  <c r="DP17" i="21" s="1"/>
  <c r="F64" i="87"/>
  <c r="F63" i="87"/>
  <c r="FK17" i="21"/>
  <c r="EN17" i="21"/>
  <c r="DQ17" i="21"/>
  <c r="F70" i="89"/>
  <c r="P65" i="89"/>
  <c r="FM17" i="21" s="1"/>
  <c r="M65" i="89"/>
  <c r="EP17" i="21" s="1"/>
  <c r="J65" i="89"/>
  <c r="DS17" i="21" s="1"/>
  <c r="F64" i="89"/>
  <c r="F63" i="89"/>
  <c r="F70" i="90"/>
  <c r="P65" i="90"/>
  <c r="FL17" i="21" s="1"/>
  <c r="M65" i="90"/>
  <c r="EO17" i="21" s="1"/>
  <c r="J65" i="90"/>
  <c r="DR17" i="21" s="1"/>
  <c r="F64" i="90"/>
  <c r="F63" i="90"/>
  <c r="F70" i="91"/>
  <c r="P65" i="91"/>
  <c r="M65" i="91"/>
  <c r="J65" i="91"/>
  <c r="F64" i="91"/>
  <c r="F63" i="91"/>
  <c r="F70" i="70"/>
  <c r="P65" i="70"/>
  <c r="ER17" i="21" s="1"/>
  <c r="M65" i="70"/>
  <c r="DU17" i="21" s="1"/>
  <c r="J65" i="70"/>
  <c r="CX17" i="21" s="1"/>
  <c r="F64" i="70"/>
  <c r="P55" i="72"/>
  <c r="P55" i="83"/>
  <c r="P55" i="90"/>
  <c r="P55" i="91"/>
  <c r="P55" i="70"/>
  <c r="L55" i="72"/>
  <c r="O55" i="83"/>
  <c r="O55" i="89"/>
  <c r="O55" i="90"/>
  <c r="O55" i="91"/>
  <c r="L55" i="70"/>
  <c r="DS63" i="21" l="1"/>
  <c r="FH2" i="21"/>
  <c r="FH3" i="21" s="1"/>
  <c r="FG1" i="21"/>
  <c r="DO2" i="21"/>
  <c r="DN1" i="21"/>
  <c r="DN3" i="21"/>
  <c r="EJ3" i="21"/>
  <c r="EJ1" i="21"/>
  <c r="I54" i="71"/>
  <c r="I55" i="71"/>
  <c r="P53" i="71"/>
  <c r="J57" i="71"/>
  <c r="P54" i="71"/>
  <c r="J54" i="71"/>
  <c r="O55" i="71"/>
  <c r="J53" i="71"/>
  <c r="O54" i="71"/>
  <c r="P57" i="71"/>
  <c r="O56" i="71"/>
  <c r="I56" i="71"/>
  <c r="P52" i="71"/>
  <c r="J52" i="71"/>
  <c r="O57" i="71"/>
  <c r="I57" i="71"/>
  <c r="L56" i="71"/>
  <c r="O52" i="71"/>
  <c r="I52" i="71"/>
  <c r="O53" i="71"/>
  <c r="I53" i="71"/>
  <c r="P56" i="71"/>
  <c r="J56" i="71"/>
  <c r="M52" i="71"/>
  <c r="P55" i="71"/>
  <c r="J55" i="71"/>
  <c r="M56" i="71"/>
  <c r="L55" i="83"/>
  <c r="M55" i="90"/>
  <c r="L55" i="91"/>
  <c r="I55" i="70"/>
  <c r="J55" i="90"/>
  <c r="O55" i="70"/>
  <c r="P55" i="89"/>
  <c r="M55" i="89"/>
  <c r="I55" i="91"/>
  <c r="I55" i="83"/>
  <c r="J55" i="89"/>
  <c r="O55" i="72"/>
  <c r="I55" i="72"/>
  <c r="I55" i="90"/>
  <c r="J55" i="70"/>
  <c r="J55" i="72"/>
  <c r="L55" i="90"/>
  <c r="M55" i="70"/>
  <c r="M55" i="72"/>
  <c r="I55" i="89"/>
  <c r="J55" i="91"/>
  <c r="J55" i="83"/>
  <c r="L55" i="89"/>
  <c r="M55" i="91"/>
  <c r="M55" i="83"/>
  <c r="FI2" i="21" l="1"/>
  <c r="FH1" i="21"/>
  <c r="DP2" i="21"/>
  <c r="DO1" i="21"/>
  <c r="FI3" i="21"/>
  <c r="DO3" i="21"/>
  <c r="EK1" i="21"/>
  <c r="EK3" i="21"/>
  <c r="FJ2" i="21" l="1"/>
  <c r="FI1" i="21"/>
  <c r="DQ2" i="21"/>
  <c r="DQ1" i="21" s="1"/>
  <c r="DP1" i="21"/>
  <c r="FJ3" i="21"/>
  <c r="DP3" i="21"/>
  <c r="EL3" i="21"/>
  <c r="EL1" i="21"/>
  <c r="FK2" i="21" l="1"/>
  <c r="FJ1" i="21"/>
  <c r="DQ3" i="21"/>
  <c r="EM1" i="21"/>
  <c r="EM3" i="21"/>
  <c r="FL2" i="21" l="1"/>
  <c r="FL3" i="21" s="1"/>
  <c r="FK1" i="21"/>
  <c r="FK3" i="21"/>
  <c r="DR3" i="21"/>
  <c r="EN3" i="21"/>
  <c r="EN1" i="21"/>
  <c r="D73" i="62"/>
  <c r="D74" i="62"/>
  <c r="D75" i="62"/>
  <c r="D76" i="62"/>
  <c r="D77" i="62"/>
  <c r="D78" i="62"/>
  <c r="D79" i="62"/>
  <c r="D80" i="62"/>
  <c r="D81" i="62"/>
  <c r="D84" i="62"/>
  <c r="D85" i="62"/>
  <c r="D71" i="62"/>
  <c r="D62" i="62"/>
  <c r="D63" i="62"/>
  <c r="D65" i="62"/>
  <c r="D66" i="62"/>
  <c r="D67" i="62"/>
  <c r="D68" i="62"/>
  <c r="D69" i="62"/>
  <c r="D61" i="62"/>
  <c r="D56" i="14"/>
  <c r="D56" i="62" s="1"/>
  <c r="D54" i="62"/>
  <c r="D53" i="62"/>
  <c r="D49" i="62"/>
  <c r="D51" i="62"/>
  <c r="D48" i="62"/>
  <c r="D47" i="62"/>
  <c r="D40" i="62"/>
  <c r="D33" i="62"/>
  <c r="D34" i="62"/>
  <c r="D35" i="62"/>
  <c r="N71" i="62"/>
  <c r="N72" i="62"/>
  <c r="N73" i="62"/>
  <c r="N74" i="62"/>
  <c r="N75" i="62"/>
  <c r="N76" i="62"/>
  <c r="N77" i="62"/>
  <c r="N78" i="62"/>
  <c r="F52" i="87" s="1"/>
  <c r="N79" i="62"/>
  <c r="N80" i="62"/>
  <c r="N81" i="62"/>
  <c r="N82" i="62"/>
  <c r="N83" i="62"/>
  <c r="N84" i="62"/>
  <c r="N85" i="62"/>
  <c r="N86" i="62"/>
  <c r="N56" i="62"/>
  <c r="N57" i="62"/>
  <c r="N58" i="62"/>
  <c r="N59" i="62"/>
  <c r="N61" i="62"/>
  <c r="N62" i="62"/>
  <c r="N63" i="62"/>
  <c r="N65" i="62"/>
  <c r="N66" i="62"/>
  <c r="N67" i="62"/>
  <c r="N68" i="62"/>
  <c r="N69" i="62"/>
  <c r="N54" i="62"/>
  <c r="N53" i="62"/>
  <c r="N48" i="62"/>
  <c r="N49" i="62"/>
  <c r="N51" i="62"/>
  <c r="N47" i="62"/>
  <c r="N46" i="62"/>
  <c r="FM2" i="21" l="1"/>
  <c r="FL1" i="21"/>
  <c r="F50" i="83"/>
  <c r="F54" i="81"/>
  <c r="F54" i="109"/>
  <c r="F54" i="78"/>
  <c r="F53" i="80"/>
  <c r="F55" i="85"/>
  <c r="F55" i="81"/>
  <c r="F54" i="84"/>
  <c r="F54" i="82"/>
  <c r="F53" i="83"/>
  <c r="F54" i="79"/>
  <c r="F54" i="86"/>
  <c r="F52" i="74"/>
  <c r="F53" i="77"/>
  <c r="F53" i="76"/>
  <c r="F53" i="75"/>
  <c r="F50" i="89"/>
  <c r="F51" i="72"/>
  <c r="F51" i="109"/>
  <c r="F52" i="81"/>
  <c r="F52" i="109"/>
  <c r="F53" i="81"/>
  <c r="F54" i="85"/>
  <c r="F50" i="72"/>
  <c r="F51" i="82"/>
  <c r="F52" i="79"/>
  <c r="F51" i="84"/>
  <c r="F52" i="78"/>
  <c r="F50" i="87"/>
  <c r="F57" i="82"/>
  <c r="F57" i="78"/>
  <c r="F57" i="74"/>
  <c r="F57" i="83"/>
  <c r="F57" i="79"/>
  <c r="F57" i="75"/>
  <c r="F57" i="80"/>
  <c r="F57" i="81"/>
  <c r="F57" i="84"/>
  <c r="F57" i="109"/>
  <c r="F57" i="76"/>
  <c r="F57" i="77"/>
  <c r="F55" i="87"/>
  <c r="F51" i="87"/>
  <c r="F51" i="75"/>
  <c r="F51" i="77"/>
  <c r="F51" i="79"/>
  <c r="F51" i="71"/>
  <c r="F51" i="70"/>
  <c r="F51" i="76"/>
  <c r="F51" i="78"/>
  <c r="F51" i="80"/>
  <c r="F51" i="74"/>
  <c r="F51" i="73"/>
  <c r="F48" i="90"/>
  <c r="F49" i="82"/>
  <c r="F51" i="86"/>
  <c r="F49" i="83"/>
  <c r="F50" i="76"/>
  <c r="F50" i="78"/>
  <c r="F50" i="80"/>
  <c r="F50" i="82"/>
  <c r="F50" i="74"/>
  <c r="F50" i="71"/>
  <c r="F50" i="75"/>
  <c r="F50" i="77"/>
  <c r="F50" i="79"/>
  <c r="F50" i="81"/>
  <c r="F50" i="70"/>
  <c r="F51" i="83"/>
  <c r="F52" i="82"/>
  <c r="F52" i="84"/>
  <c r="F52" i="86"/>
  <c r="I52" i="86" s="1"/>
  <c r="F49" i="86"/>
  <c r="F47" i="83"/>
  <c r="F49" i="87"/>
  <c r="EO1" i="21"/>
  <c r="EO3" i="21"/>
  <c r="DS3" i="21"/>
  <c r="N42" i="62"/>
  <c r="F51" i="81" s="1"/>
  <c r="N41" i="62"/>
  <c r="F46" i="109" s="1"/>
  <c r="N40" i="62"/>
  <c r="N34" i="62"/>
  <c r="N35" i="62"/>
  <c r="N32" i="62"/>
  <c r="N33" i="62"/>
  <c r="N31" i="62"/>
  <c r="F49" i="109" s="1"/>
  <c r="N25" i="62"/>
  <c r="F47" i="82" s="1"/>
  <c r="N26" i="62"/>
  <c r="N27" i="62"/>
  <c r="F48" i="84" s="1"/>
  <c r="N28" i="62"/>
  <c r="N29" i="62"/>
  <c r="F49" i="89" s="1"/>
  <c r="N24" i="62"/>
  <c r="F47" i="87" s="1"/>
  <c r="D25" i="62"/>
  <c r="D26" i="62"/>
  <c r="D27" i="62"/>
  <c r="D28" i="62"/>
  <c r="D29" i="62"/>
  <c r="D24" i="62"/>
  <c r="J4" i="62"/>
  <c r="L49" i="83" l="1"/>
  <c r="O49" i="83"/>
  <c r="F50" i="84"/>
  <c r="F48" i="86"/>
  <c r="FM1" i="21"/>
  <c r="FM3" i="21"/>
  <c r="F48" i="83"/>
  <c r="F48" i="72"/>
  <c r="F49" i="72"/>
  <c r="F48" i="89"/>
  <c r="F47" i="85"/>
  <c r="F48" i="85"/>
  <c r="F46" i="87"/>
  <c r="F48" i="109"/>
  <c r="L53" i="76"/>
  <c r="L55" i="81"/>
  <c r="I55" i="81"/>
  <c r="O55" i="81"/>
  <c r="I52" i="79"/>
  <c r="O52" i="79"/>
  <c r="L52" i="79"/>
  <c r="L46" i="109"/>
  <c r="O46" i="109"/>
  <c r="I46" i="109"/>
  <c r="F48" i="82"/>
  <c r="F49" i="85"/>
  <c r="F50" i="73"/>
  <c r="L50" i="73" s="1"/>
  <c r="L53" i="81"/>
  <c r="O53" i="81"/>
  <c r="I53" i="81"/>
  <c r="L53" i="77"/>
  <c r="O55" i="85"/>
  <c r="I55" i="85"/>
  <c r="L55" i="85"/>
  <c r="F55" i="109"/>
  <c r="F55" i="86"/>
  <c r="F55" i="82"/>
  <c r="F53" i="74"/>
  <c r="F55" i="84"/>
  <c r="F54" i="76"/>
  <c r="F54" i="75"/>
  <c r="F54" i="83"/>
  <c r="F56" i="81"/>
  <c r="F55" i="79"/>
  <c r="F55" i="78"/>
  <c r="F55" i="77"/>
  <c r="F54" i="80"/>
  <c r="F52" i="85"/>
  <c r="O55" i="87"/>
  <c r="I55" i="87"/>
  <c r="L55" i="87"/>
  <c r="F48" i="87"/>
  <c r="I52" i="109"/>
  <c r="L52" i="109"/>
  <c r="O52" i="109"/>
  <c r="L52" i="74"/>
  <c r="O52" i="74"/>
  <c r="L53" i="80"/>
  <c r="O53" i="80"/>
  <c r="I53" i="80"/>
  <c r="F50" i="86"/>
  <c r="L52" i="78"/>
  <c r="I52" i="78"/>
  <c r="O52" i="78"/>
  <c r="O52" i="81"/>
  <c r="L52" i="81"/>
  <c r="I52" i="81"/>
  <c r="O54" i="78"/>
  <c r="I54" i="78"/>
  <c r="L54" i="78"/>
  <c r="L49" i="109"/>
  <c r="I49" i="109"/>
  <c r="O49" i="109"/>
  <c r="F46" i="70"/>
  <c r="F47" i="109"/>
  <c r="F47" i="86"/>
  <c r="F53" i="85"/>
  <c r="F49" i="84"/>
  <c r="I51" i="109"/>
  <c r="O51" i="109"/>
  <c r="L51" i="109"/>
  <c r="O54" i="79"/>
  <c r="L54" i="79"/>
  <c r="I54" i="79"/>
  <c r="L54" i="109"/>
  <c r="O54" i="109"/>
  <c r="I54" i="109"/>
  <c r="O54" i="81"/>
  <c r="I54" i="81"/>
  <c r="L54" i="81"/>
  <c r="O57" i="109"/>
  <c r="L57" i="109"/>
  <c r="I57" i="109"/>
  <c r="F46" i="75"/>
  <c r="F46" i="77"/>
  <c r="F46" i="79"/>
  <c r="F46" i="81"/>
  <c r="F46" i="71"/>
  <c r="F47" i="74"/>
  <c r="F46" i="74"/>
  <c r="F47" i="76"/>
  <c r="F47" i="78"/>
  <c r="F47" i="80"/>
  <c r="F46" i="76"/>
  <c r="F46" i="78"/>
  <c r="F46" i="80"/>
  <c r="F50" i="85"/>
  <c r="F47" i="75"/>
  <c r="F47" i="77"/>
  <c r="F47" i="79"/>
  <c r="F47" i="81"/>
  <c r="F47" i="71"/>
  <c r="F47" i="73"/>
  <c r="F47" i="70"/>
  <c r="F46" i="73"/>
  <c r="F46" i="83"/>
  <c r="F46" i="89"/>
  <c r="F46" i="72"/>
  <c r="F47" i="84"/>
  <c r="F48" i="75"/>
  <c r="F48" i="77"/>
  <c r="F48" i="79"/>
  <c r="F48" i="81"/>
  <c r="F48" i="71"/>
  <c r="F46" i="82"/>
  <c r="F48" i="76"/>
  <c r="F48" i="78"/>
  <c r="F48" i="80"/>
  <c r="F48" i="74"/>
  <c r="F48" i="73"/>
  <c r="F46" i="90"/>
  <c r="F48" i="70"/>
  <c r="F49" i="70"/>
  <c r="F49" i="76"/>
  <c r="F49" i="78"/>
  <c r="F49" i="80"/>
  <c r="F49" i="74"/>
  <c r="F49" i="73"/>
  <c r="F47" i="89"/>
  <c r="F47" i="72"/>
  <c r="F49" i="75"/>
  <c r="I49" i="75" s="1"/>
  <c r="F49" i="77"/>
  <c r="F49" i="79"/>
  <c r="F49" i="81"/>
  <c r="F49" i="71"/>
  <c r="F46" i="85"/>
  <c r="F46" i="86"/>
  <c r="F56" i="87"/>
  <c r="F52" i="83"/>
  <c r="F53" i="82"/>
  <c r="F53" i="84"/>
  <c r="F53" i="86"/>
  <c r="F51" i="85"/>
  <c r="L50" i="79"/>
  <c r="I50" i="79"/>
  <c r="O50" i="79"/>
  <c r="L50" i="76"/>
  <c r="I50" i="76"/>
  <c r="O50" i="76"/>
  <c r="L51" i="71"/>
  <c r="I51" i="71"/>
  <c r="O51" i="71"/>
  <c r="L51" i="73"/>
  <c r="I51" i="73"/>
  <c r="O51" i="73"/>
  <c r="O51" i="80"/>
  <c r="L51" i="80"/>
  <c r="I51" i="80"/>
  <c r="L50" i="74"/>
  <c r="O50" i="74"/>
  <c r="I50" i="74"/>
  <c r="L51" i="77"/>
  <c r="I51" i="77"/>
  <c r="O51" i="77"/>
  <c r="L51" i="74"/>
  <c r="I51" i="74"/>
  <c r="O51" i="74"/>
  <c r="L51" i="79"/>
  <c r="I51" i="79"/>
  <c r="O51" i="79"/>
  <c r="L50" i="71"/>
  <c r="I50" i="71"/>
  <c r="O50" i="71"/>
  <c r="L50" i="78"/>
  <c r="O50" i="78"/>
  <c r="I50" i="78"/>
  <c r="L50" i="77"/>
  <c r="O50" i="77"/>
  <c r="I50" i="77"/>
  <c r="L51" i="75"/>
  <c r="I51" i="75"/>
  <c r="O51" i="75"/>
  <c r="L51" i="76"/>
  <c r="O51" i="76"/>
  <c r="I51" i="76"/>
  <c r="O50" i="81"/>
  <c r="I50" i="81"/>
  <c r="L50" i="81"/>
  <c r="L50" i="80"/>
  <c r="I50" i="80"/>
  <c r="O50" i="80"/>
  <c r="L50" i="75"/>
  <c r="O50" i="75"/>
  <c r="I50" i="75"/>
  <c r="L51" i="78"/>
  <c r="I51" i="78"/>
  <c r="O51" i="78"/>
  <c r="L51" i="81"/>
  <c r="I51" i="81"/>
  <c r="O51" i="81"/>
  <c r="EP3" i="21"/>
  <c r="EP1" i="21"/>
  <c r="X175" i="20"/>
  <c r="W175" i="20"/>
  <c r="V175" i="20"/>
  <c r="U175" i="20"/>
  <c r="T175" i="20"/>
  <c r="S175" i="20"/>
  <c r="R175" i="20"/>
  <c r="X174" i="20"/>
  <c r="W174" i="20"/>
  <c r="V174" i="20"/>
  <c r="U174" i="20"/>
  <c r="T174" i="20"/>
  <c r="S174" i="20"/>
  <c r="R174" i="20"/>
  <c r="X144" i="20"/>
  <c r="X143" i="20"/>
  <c r="W144" i="20"/>
  <c r="W143" i="20"/>
  <c r="V144" i="20"/>
  <c r="V143" i="20"/>
  <c r="U144" i="20"/>
  <c r="U143" i="20"/>
  <c r="T144" i="20"/>
  <c r="T143" i="20"/>
  <c r="S144" i="20"/>
  <c r="S143" i="20"/>
  <c r="R144" i="20"/>
  <c r="R143" i="20"/>
  <c r="O50" i="73" l="1"/>
  <c r="I50" i="73"/>
  <c r="L54" i="76"/>
  <c r="I54" i="76"/>
  <c r="O54" i="76"/>
  <c r="O47" i="109"/>
  <c r="L47" i="109"/>
  <c r="I47" i="109"/>
  <c r="L54" i="80"/>
  <c r="O54" i="80"/>
  <c r="I54" i="80"/>
  <c r="O55" i="84"/>
  <c r="I55" i="84"/>
  <c r="L55" i="84"/>
  <c r="L55" i="77"/>
  <c r="O55" i="77"/>
  <c r="I55" i="77"/>
  <c r="L53" i="74"/>
  <c r="I53" i="74"/>
  <c r="O53" i="74"/>
  <c r="I48" i="109"/>
  <c r="L48" i="109"/>
  <c r="O48" i="109"/>
  <c r="L55" i="78"/>
  <c r="I55" i="78"/>
  <c r="O55" i="78"/>
  <c r="O55" i="82"/>
  <c r="L55" i="82"/>
  <c r="I55" i="82"/>
  <c r="L55" i="79"/>
  <c r="O55" i="79"/>
  <c r="I55" i="79"/>
  <c r="O55" i="86"/>
  <c r="L55" i="86"/>
  <c r="I55" i="86"/>
  <c r="L54" i="75"/>
  <c r="O54" i="75"/>
  <c r="I54" i="75"/>
  <c r="O56" i="81"/>
  <c r="L56" i="81"/>
  <c r="I56" i="81"/>
  <c r="O55" i="109"/>
  <c r="L55" i="109"/>
  <c r="I55" i="109"/>
  <c r="L48" i="71"/>
  <c r="O48" i="71"/>
  <c r="I48" i="71"/>
  <c r="L48" i="80"/>
  <c r="I48" i="80"/>
  <c r="O48" i="80"/>
  <c r="I48" i="77"/>
  <c r="O48" i="77"/>
  <c r="L48" i="77"/>
  <c r="O46" i="73"/>
  <c r="L46" i="73"/>
  <c r="I46" i="73"/>
  <c r="L47" i="76"/>
  <c r="O47" i="76"/>
  <c r="I47" i="76"/>
  <c r="O47" i="80"/>
  <c r="L47" i="80"/>
  <c r="I47" i="80"/>
  <c r="L46" i="81"/>
  <c r="I46" i="81"/>
  <c r="O46" i="81"/>
  <c r="L47" i="75"/>
  <c r="O47" i="75"/>
  <c r="I47" i="75"/>
  <c r="L49" i="74"/>
  <c r="O49" i="74"/>
  <c r="I49" i="74"/>
  <c r="L49" i="81"/>
  <c r="I49" i="81"/>
  <c r="O49" i="81"/>
  <c r="L48" i="78"/>
  <c r="O48" i="78"/>
  <c r="I48" i="78"/>
  <c r="L48" i="73"/>
  <c r="I48" i="73"/>
  <c r="O48" i="73"/>
  <c r="L48" i="76"/>
  <c r="O48" i="76"/>
  <c r="I48" i="76"/>
  <c r="L46" i="71"/>
  <c r="I46" i="71"/>
  <c r="O46" i="71"/>
  <c r="L46" i="80"/>
  <c r="I46" i="80"/>
  <c r="O46" i="80"/>
  <c r="L47" i="73"/>
  <c r="I47" i="73"/>
  <c r="O47" i="73"/>
  <c r="L46" i="77"/>
  <c r="I46" i="77"/>
  <c r="O46" i="77"/>
  <c r="L46" i="79"/>
  <c r="O46" i="79"/>
  <c r="I46" i="79"/>
  <c r="L49" i="71"/>
  <c r="O49" i="71"/>
  <c r="I49" i="71"/>
  <c r="L49" i="79"/>
  <c r="I49" i="79"/>
  <c r="O49" i="79"/>
  <c r="L49" i="80"/>
  <c r="O49" i="80"/>
  <c r="I49" i="80"/>
  <c r="L48" i="75"/>
  <c r="O48" i="75"/>
  <c r="I48" i="75"/>
  <c r="L48" i="74"/>
  <c r="O48" i="74"/>
  <c r="I48" i="74"/>
  <c r="L47" i="71"/>
  <c r="I47" i="71"/>
  <c r="O47" i="71"/>
  <c r="L47" i="79"/>
  <c r="O47" i="79"/>
  <c r="I47" i="79"/>
  <c r="O47" i="74"/>
  <c r="L47" i="74"/>
  <c r="I47" i="74"/>
  <c r="L46" i="75"/>
  <c r="I46" i="75"/>
  <c r="O46" i="75"/>
  <c r="O46" i="78"/>
  <c r="I46" i="78"/>
  <c r="L46" i="78"/>
  <c r="I49" i="78"/>
  <c r="O49" i="78"/>
  <c r="L49" i="78"/>
  <c r="L49" i="77"/>
  <c r="O49" i="77"/>
  <c r="I49" i="77"/>
  <c r="L49" i="75"/>
  <c r="O49" i="75"/>
  <c r="O48" i="81"/>
  <c r="L48" i="81"/>
  <c r="I48" i="81"/>
  <c r="O48" i="79"/>
  <c r="I48" i="79"/>
  <c r="L48" i="79"/>
  <c r="L47" i="78"/>
  <c r="O47" i="78"/>
  <c r="I47" i="78"/>
  <c r="L47" i="77"/>
  <c r="O47" i="77"/>
  <c r="I47" i="77"/>
  <c r="L47" i="81"/>
  <c r="O47" i="81"/>
  <c r="I47" i="81"/>
  <c r="L46" i="74"/>
  <c r="I46" i="74"/>
  <c r="O46" i="74"/>
  <c r="L46" i="76"/>
  <c r="O46" i="76"/>
  <c r="I46" i="76"/>
  <c r="L49" i="73"/>
  <c r="O49" i="73"/>
  <c r="I49" i="73"/>
  <c r="O49" i="76"/>
  <c r="I49" i="76"/>
  <c r="L49" i="76"/>
  <c r="F286" i="20"/>
  <c r="F287" i="20"/>
  <c r="F281" i="20"/>
  <c r="F273" i="20"/>
  <c r="F272" i="20"/>
  <c r="F275" i="20"/>
  <c r="F283" i="20"/>
  <c r="I58" i="109" l="1"/>
  <c r="I59" i="109" s="1"/>
  <c r="DH27" i="21" s="1"/>
  <c r="L58" i="109"/>
  <c r="L59" i="109" s="1"/>
  <c r="EE27" i="21" s="1"/>
  <c r="O58" i="109"/>
  <c r="O59" i="109" s="1"/>
  <c r="FB27" i="21" s="1"/>
  <c r="C61" i="6"/>
  <c r="G61" i="6" s="1"/>
  <c r="D69" i="58"/>
  <c r="D69" i="57"/>
  <c r="C59" i="6"/>
  <c r="G59" i="6" s="1"/>
  <c r="D67" i="58"/>
  <c r="D67" i="57"/>
  <c r="C54" i="6"/>
  <c r="D61" i="58"/>
  <c r="D61" i="57"/>
  <c r="C64" i="6"/>
  <c r="J64" i="6" s="1"/>
  <c r="D73" i="58"/>
  <c r="D73" i="57"/>
  <c r="C51" i="6"/>
  <c r="D58" i="58"/>
  <c r="D58" i="57"/>
  <c r="C63" i="6"/>
  <c r="G63" i="6" s="1"/>
  <c r="D72" i="58"/>
  <c r="D72" i="57"/>
  <c r="D71" i="58"/>
  <c r="D71" i="57"/>
  <c r="C52" i="6"/>
  <c r="D59" i="58"/>
  <c r="D59" i="57"/>
  <c r="O58" i="71"/>
  <c r="O59" i="71" s="1"/>
  <c r="ES27" i="21" s="1"/>
  <c r="I58" i="71"/>
  <c r="I59" i="71" s="1"/>
  <c r="CY27" i="21" s="1"/>
  <c r="L58" i="71"/>
  <c r="L59" i="71" s="1"/>
  <c r="DV27" i="21" s="1"/>
  <c r="G267" i="20"/>
  <c r="G268" i="20" s="1"/>
  <c r="G269" i="20" s="1"/>
  <c r="G270" i="20" s="1"/>
  <c r="G271" i="20" s="1"/>
  <c r="G272" i="20" s="1"/>
  <c r="G273" i="20" s="1"/>
  <c r="G274" i="20" s="1"/>
  <c r="G275" i="20" s="1"/>
  <c r="G276" i="20" s="1"/>
  <c r="G277" i="20" s="1"/>
  <c r="G278" i="20" s="1"/>
  <c r="G279" i="20" s="1"/>
  <c r="G280" i="20" s="1"/>
  <c r="G281" i="20" s="1"/>
  <c r="G282" i="20" s="1"/>
  <c r="G283" i="20" s="1"/>
  <c r="G284" i="20" s="1"/>
  <c r="G285" i="20" s="1"/>
  <c r="G286" i="20" s="1"/>
  <c r="G287" i="20" s="1"/>
  <c r="F282" i="20"/>
  <c r="F280" i="20"/>
  <c r="F279" i="20"/>
  <c r="F278" i="20"/>
  <c r="F277" i="20"/>
  <c r="F274" i="20"/>
  <c r="F271" i="20"/>
  <c r="F270" i="20"/>
  <c r="F269" i="20"/>
  <c r="F268" i="20"/>
  <c r="F267" i="20"/>
  <c r="F266" i="20"/>
  <c r="G234" i="20"/>
  <c r="G235" i="20" s="1"/>
  <c r="G236" i="20" s="1"/>
  <c r="G237" i="20" s="1"/>
  <c r="G238" i="20" s="1"/>
  <c r="G239" i="20" s="1"/>
  <c r="G240" i="20" s="1"/>
  <c r="G241" i="20" s="1"/>
  <c r="G242" i="20" s="1"/>
  <c r="G243" i="20" s="1"/>
  <c r="G244" i="20" s="1"/>
  <c r="G245" i="20" s="1"/>
  <c r="G246" i="20" s="1"/>
  <c r="G247" i="20" s="1"/>
  <c r="G248" i="20" s="1"/>
  <c r="G249" i="20" s="1"/>
  <c r="G250" i="20" s="1"/>
  <c r="G251" i="20" s="1"/>
  <c r="G252" i="20" s="1"/>
  <c r="G253" i="20" s="1"/>
  <c r="G254" i="20" s="1"/>
  <c r="G255" i="20" s="1"/>
  <c r="G256" i="20" s="1"/>
  <c r="G257" i="20" s="1"/>
  <c r="G258" i="20" s="1"/>
  <c r="G259" i="20" s="1"/>
  <c r="G260" i="20" s="1"/>
  <c r="G261" i="20" s="1"/>
  <c r="G262" i="20" s="1"/>
  <c r="G263" i="20" s="1"/>
  <c r="G264" i="20" s="1"/>
  <c r="D61" i="6" l="1"/>
  <c r="J61" i="6"/>
  <c r="G51" i="6"/>
  <c r="D64" i="6"/>
  <c r="G54" i="6"/>
  <c r="D63" i="6"/>
  <c r="C47" i="6"/>
  <c r="D47" i="6" s="1"/>
  <c r="D54" i="58"/>
  <c r="D54" i="57"/>
  <c r="C45" i="6"/>
  <c r="J45" i="6" s="1"/>
  <c r="D52" i="58"/>
  <c r="D52" i="57"/>
  <c r="C49" i="6"/>
  <c r="J49" i="6" s="1"/>
  <c r="D56" i="58"/>
  <c r="D56" i="57"/>
  <c r="C56" i="6"/>
  <c r="D64" i="58"/>
  <c r="D64" i="57"/>
  <c r="C62" i="6"/>
  <c r="J62" i="6" s="1"/>
  <c r="D70" i="58"/>
  <c r="D70" i="57"/>
  <c r="G64" i="6"/>
  <c r="C46" i="6"/>
  <c r="J46" i="6" s="1"/>
  <c r="D53" i="58"/>
  <c r="D53" i="57"/>
  <c r="C50" i="6"/>
  <c r="D57" i="58"/>
  <c r="D57" i="57"/>
  <c r="C57" i="6"/>
  <c r="D65" i="58"/>
  <c r="D65" i="57"/>
  <c r="G52" i="6"/>
  <c r="J63" i="6"/>
  <c r="C53" i="6"/>
  <c r="D60" i="58"/>
  <c r="D60" i="57"/>
  <c r="C58" i="6"/>
  <c r="D66" i="58"/>
  <c r="D66" i="57"/>
  <c r="C48" i="6"/>
  <c r="D48" i="6" s="1"/>
  <c r="D55" i="58"/>
  <c r="D55" i="57"/>
  <c r="C55" i="6"/>
  <c r="G55" i="6" s="1"/>
  <c r="D63" i="58"/>
  <c r="D63" i="57"/>
  <c r="C60" i="6"/>
  <c r="G60" i="6" s="1"/>
  <c r="D68" i="58"/>
  <c r="D68" i="57"/>
  <c r="A1" i="73"/>
  <c r="M2" i="57" l="1"/>
  <c r="P2" i="57"/>
  <c r="H2" i="57"/>
  <c r="L2" i="57"/>
  <c r="O2" i="57"/>
  <c r="N2" i="57"/>
  <c r="K2" i="57"/>
  <c r="D62" i="6"/>
  <c r="J60" i="6"/>
  <c r="G50" i="6"/>
  <c r="J47" i="6"/>
  <c r="J48" i="6"/>
  <c r="G49" i="6"/>
  <c r="J50" i="6"/>
  <c r="G53" i="6"/>
  <c r="G62" i="6"/>
  <c r="D60" i="6"/>
  <c r="G48" i="6"/>
  <c r="G47" i="6"/>
  <c r="K2" i="58"/>
  <c r="D46" i="6"/>
  <c r="G46" i="6"/>
  <c r="D45" i="6"/>
  <c r="G57" i="6"/>
  <c r="G56" i="6"/>
  <c r="G45" i="6"/>
  <c r="G58" i="6"/>
  <c r="R2" i="57"/>
  <c r="J2" i="57"/>
  <c r="Q2" i="57"/>
  <c r="E2" i="57"/>
  <c r="D2" i="57"/>
  <c r="G2" i="57"/>
  <c r="I2" i="57"/>
  <c r="F2" i="57"/>
  <c r="J2" i="58"/>
  <c r="E2" i="58"/>
  <c r="D2" i="58"/>
  <c r="F2" i="58"/>
  <c r="I2" i="58"/>
  <c r="G2" i="58"/>
  <c r="H2" i="58"/>
  <c r="F70" i="101" l="1"/>
  <c r="Q18" i="106"/>
  <c r="Q17" i="106"/>
  <c r="Q16" i="106"/>
  <c r="Q15" i="106"/>
  <c r="Q14" i="106"/>
  <c r="L21" i="106"/>
  <c r="I21" i="106"/>
  <c r="L20" i="106"/>
  <c r="I20" i="106"/>
  <c r="O18" i="106"/>
  <c r="L18" i="106"/>
  <c r="I18" i="106"/>
  <c r="G82" i="106"/>
  <c r="G81" i="106"/>
  <c r="G90" i="106"/>
  <c r="G89" i="106"/>
  <c r="G88" i="106"/>
  <c r="G86" i="106"/>
  <c r="C99" i="106"/>
  <c r="C98" i="106"/>
  <c r="C97" i="106"/>
  <c r="C96" i="106"/>
  <c r="C95" i="106"/>
  <c r="C94" i="106"/>
  <c r="C93" i="106"/>
  <c r="C92" i="106"/>
  <c r="C91" i="106"/>
  <c r="C90" i="106"/>
  <c r="C89" i="106"/>
  <c r="C88" i="106"/>
  <c r="C87" i="106"/>
  <c r="C86" i="106"/>
  <c r="C85" i="106"/>
  <c r="C84" i="106"/>
  <c r="C83" i="106"/>
  <c r="C82" i="106"/>
  <c r="C81" i="106"/>
  <c r="Q18" i="105"/>
  <c r="Q17" i="105"/>
  <c r="Q16" i="105"/>
  <c r="Q15" i="105"/>
  <c r="Q14" i="105"/>
  <c r="L21" i="105"/>
  <c r="I21" i="105"/>
  <c r="L20" i="105"/>
  <c r="I20" i="105"/>
  <c r="O18" i="105"/>
  <c r="L18" i="105"/>
  <c r="I18" i="105"/>
  <c r="G82" i="105"/>
  <c r="G81" i="105"/>
  <c r="G90" i="105"/>
  <c r="G89" i="105"/>
  <c r="G88" i="105"/>
  <c r="G86" i="105"/>
  <c r="C99" i="105"/>
  <c r="C98" i="105"/>
  <c r="C97" i="105"/>
  <c r="C96" i="105"/>
  <c r="C95" i="105"/>
  <c r="C94" i="105"/>
  <c r="C93" i="105"/>
  <c r="C92" i="105"/>
  <c r="C91" i="105"/>
  <c r="C90" i="105"/>
  <c r="C89" i="105"/>
  <c r="C88" i="105"/>
  <c r="C87" i="105"/>
  <c r="C86" i="105"/>
  <c r="C85" i="105"/>
  <c r="C84" i="105"/>
  <c r="C83" i="105"/>
  <c r="C82" i="105"/>
  <c r="C81" i="105"/>
  <c r="Q18" i="104"/>
  <c r="Q17" i="104"/>
  <c r="Q16" i="104"/>
  <c r="Q15" i="104"/>
  <c r="Q14" i="104"/>
  <c r="L21" i="104"/>
  <c r="I21" i="104"/>
  <c r="L20" i="104"/>
  <c r="I20" i="104"/>
  <c r="O18" i="104"/>
  <c r="L18" i="104"/>
  <c r="I18" i="104"/>
  <c r="G82" i="104"/>
  <c r="G81" i="104"/>
  <c r="G90" i="104"/>
  <c r="G89" i="104"/>
  <c r="G88" i="104"/>
  <c r="G86" i="104"/>
  <c r="C99" i="104"/>
  <c r="C98" i="104"/>
  <c r="C97" i="104"/>
  <c r="C96" i="104"/>
  <c r="C95" i="104"/>
  <c r="C94" i="104"/>
  <c r="C93" i="104"/>
  <c r="C92" i="104"/>
  <c r="C91" i="104"/>
  <c r="C90" i="104"/>
  <c r="C89" i="104"/>
  <c r="C88" i="104"/>
  <c r="C87" i="104"/>
  <c r="C86" i="104"/>
  <c r="C85" i="104"/>
  <c r="C84" i="104"/>
  <c r="C83" i="104"/>
  <c r="C82" i="104"/>
  <c r="C81" i="104"/>
  <c r="Q18" i="103"/>
  <c r="Q17" i="103"/>
  <c r="Q16" i="103"/>
  <c r="Q15" i="103"/>
  <c r="Q14" i="103"/>
  <c r="L21" i="103"/>
  <c r="I21" i="103"/>
  <c r="L20" i="103"/>
  <c r="I20" i="103"/>
  <c r="O18" i="103"/>
  <c r="L18" i="103"/>
  <c r="I18" i="103"/>
  <c r="G82" i="103"/>
  <c r="G81" i="103"/>
  <c r="G90" i="103"/>
  <c r="G89" i="103"/>
  <c r="G88" i="103"/>
  <c r="G86" i="103"/>
  <c r="C99" i="103"/>
  <c r="C98" i="103"/>
  <c r="C97" i="103"/>
  <c r="C96" i="103"/>
  <c r="C95" i="103"/>
  <c r="C94" i="103"/>
  <c r="C93" i="103"/>
  <c r="C92" i="103"/>
  <c r="C91" i="103"/>
  <c r="C90" i="103"/>
  <c r="C89" i="103"/>
  <c r="C88" i="103"/>
  <c r="C87" i="103"/>
  <c r="C86" i="103"/>
  <c r="C85" i="103"/>
  <c r="C84" i="103"/>
  <c r="C83" i="103"/>
  <c r="C82" i="103"/>
  <c r="C81" i="103"/>
  <c r="Q18" i="102"/>
  <c r="Q17" i="102"/>
  <c r="Q16" i="102"/>
  <c r="Q15" i="102"/>
  <c r="Q14" i="102"/>
  <c r="L21" i="102"/>
  <c r="I21" i="102"/>
  <c r="L20" i="102"/>
  <c r="I20" i="102"/>
  <c r="O18" i="102"/>
  <c r="L18" i="102"/>
  <c r="I18" i="102"/>
  <c r="G82" i="102"/>
  <c r="G81" i="102"/>
  <c r="G90" i="102"/>
  <c r="G89" i="102"/>
  <c r="G88" i="102"/>
  <c r="G86" i="102"/>
  <c r="C99" i="102"/>
  <c r="C98" i="102"/>
  <c r="C97" i="102"/>
  <c r="C96" i="102"/>
  <c r="C95" i="102"/>
  <c r="C94" i="102"/>
  <c r="C93" i="102"/>
  <c r="C92" i="102"/>
  <c r="C91" i="102"/>
  <c r="C90" i="102"/>
  <c r="C89" i="102"/>
  <c r="C88" i="102"/>
  <c r="C87" i="102"/>
  <c r="C86" i="102"/>
  <c r="C85" i="102"/>
  <c r="C84" i="102"/>
  <c r="C83" i="102"/>
  <c r="C82" i="102"/>
  <c r="C81" i="102"/>
  <c r="O19" i="101"/>
  <c r="L19" i="101"/>
  <c r="I19" i="101"/>
  <c r="G81" i="101"/>
  <c r="G80" i="101"/>
  <c r="G89" i="101"/>
  <c r="G88" i="101"/>
  <c r="G87" i="101"/>
  <c r="G85" i="101"/>
  <c r="C98" i="101"/>
  <c r="C97" i="101"/>
  <c r="C96" i="101"/>
  <c r="C95" i="101"/>
  <c r="C94" i="101"/>
  <c r="C93" i="101"/>
  <c r="C92" i="101"/>
  <c r="C91" i="101"/>
  <c r="C90" i="101"/>
  <c r="C89" i="101"/>
  <c r="C88" i="101"/>
  <c r="C87" i="101"/>
  <c r="C86" i="101"/>
  <c r="C85" i="101"/>
  <c r="C84" i="101"/>
  <c r="C83" i="101"/>
  <c r="C82" i="101"/>
  <c r="C81" i="101"/>
  <c r="C80" i="101"/>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F67" i="106"/>
  <c r="F66" i="106"/>
  <c r="F65" i="106"/>
  <c r="G119" i="106"/>
  <c r="G118" i="106"/>
  <c r="G117" i="106"/>
  <c r="G116" i="106"/>
  <c r="G115" i="106"/>
  <c r="G114" i="106"/>
  <c r="G113" i="106"/>
  <c r="G112" i="106"/>
  <c r="G111" i="106"/>
  <c r="G110" i="106"/>
  <c r="G109" i="106"/>
  <c r="G108" i="106"/>
  <c r="G107" i="106"/>
  <c r="G106" i="106"/>
  <c r="G105" i="106"/>
  <c r="G104" i="106"/>
  <c r="G103" i="106"/>
  <c r="G102" i="106"/>
  <c r="G101" i="106"/>
  <c r="G100" i="106"/>
  <c r="G99" i="106"/>
  <c r="G98" i="106"/>
  <c r="G97" i="106"/>
  <c r="G96" i="106"/>
  <c r="G95" i="106"/>
  <c r="G94"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G57" i="105"/>
  <c r="F57" i="105"/>
  <c r="E57" i="105"/>
  <c r="G56" i="105"/>
  <c r="F56" i="105"/>
  <c r="E56" i="105"/>
  <c r="G55" i="105"/>
  <c r="F55" i="105"/>
  <c r="E55" i="105"/>
  <c r="G54" i="105"/>
  <c r="F54" i="105"/>
  <c r="E54" i="105"/>
  <c r="G53" i="105"/>
  <c r="F53" i="105"/>
  <c r="E53" i="105"/>
  <c r="G52" i="105"/>
  <c r="F52" i="105"/>
  <c r="E52" i="105"/>
  <c r="G51" i="105"/>
  <c r="F51" i="105"/>
  <c r="E51" i="105"/>
  <c r="G50" i="105"/>
  <c r="F50" i="105"/>
  <c r="E50" i="105"/>
  <c r="G49" i="105"/>
  <c r="F49" i="105"/>
  <c r="E49" i="105"/>
  <c r="G48" i="105"/>
  <c r="F48" i="105"/>
  <c r="E48" i="105"/>
  <c r="G47" i="105"/>
  <c r="F47" i="105"/>
  <c r="E47" i="105"/>
  <c r="G46" i="105"/>
  <c r="F46" i="105"/>
  <c r="E46" i="105"/>
  <c r="F67" i="105"/>
  <c r="F66" i="105"/>
  <c r="F65" i="105"/>
  <c r="G119" i="105"/>
  <c r="G118" i="105"/>
  <c r="G117" i="105"/>
  <c r="G116" i="105"/>
  <c r="G115" i="105"/>
  <c r="G114" i="105"/>
  <c r="G113" i="105"/>
  <c r="G112" i="105"/>
  <c r="G111" i="105"/>
  <c r="G110" i="105"/>
  <c r="G109" i="105"/>
  <c r="G108" i="105"/>
  <c r="G107" i="105"/>
  <c r="G106" i="105"/>
  <c r="G105" i="105"/>
  <c r="G104" i="105"/>
  <c r="G103" i="105"/>
  <c r="G102" i="105"/>
  <c r="G101" i="105"/>
  <c r="G100" i="105"/>
  <c r="G99" i="105"/>
  <c r="G98" i="105"/>
  <c r="G97" i="105"/>
  <c r="G96" i="105"/>
  <c r="G95" i="105"/>
  <c r="G94" i="105"/>
  <c r="N141" i="105"/>
  <c r="N140" i="105"/>
  <c r="N139" i="105"/>
  <c r="N138" i="105"/>
  <c r="N137" i="105"/>
  <c r="N136" i="105"/>
  <c r="N135" i="105"/>
  <c r="N134" i="105"/>
  <c r="N133" i="105"/>
  <c r="N132" i="105"/>
  <c r="N131" i="105"/>
  <c r="N130" i="105"/>
  <c r="N129" i="105"/>
  <c r="N128" i="105"/>
  <c r="N127" i="105"/>
  <c r="N126" i="105"/>
  <c r="N125" i="105"/>
  <c r="N124" i="105"/>
  <c r="N123" i="105"/>
  <c r="N122" i="105"/>
  <c r="N121" i="105"/>
  <c r="N120" i="105"/>
  <c r="N119" i="105"/>
  <c r="N118" i="105"/>
  <c r="N117" i="105"/>
  <c r="N116" i="105"/>
  <c r="N115" i="105"/>
  <c r="N114" i="105"/>
  <c r="N113" i="105"/>
  <c r="N112" i="105"/>
  <c r="N111" i="105"/>
  <c r="N110" i="105"/>
  <c r="N109" i="105"/>
  <c r="N108" i="105"/>
  <c r="N107" i="105"/>
  <c r="N106" i="105"/>
  <c r="N105" i="105"/>
  <c r="N104" i="105"/>
  <c r="N103" i="105"/>
  <c r="N102" i="105"/>
  <c r="N101" i="105"/>
  <c r="N100" i="105"/>
  <c r="N99" i="105"/>
  <c r="N98" i="105"/>
  <c r="N97" i="105"/>
  <c r="N96" i="105"/>
  <c r="N95" i="105"/>
  <c r="N94" i="105"/>
  <c r="N93" i="105"/>
  <c r="N92" i="105"/>
  <c r="N91" i="105"/>
  <c r="N90" i="105"/>
  <c r="N89" i="105"/>
  <c r="N88" i="105"/>
  <c r="N87" i="105"/>
  <c r="N86" i="105"/>
  <c r="N85" i="105"/>
  <c r="N84" i="105"/>
  <c r="N83" i="105"/>
  <c r="N82" i="105"/>
  <c r="G57" i="104"/>
  <c r="F57" i="104"/>
  <c r="E57" i="104"/>
  <c r="G56" i="104"/>
  <c r="F56" i="104"/>
  <c r="E56" i="104"/>
  <c r="G55" i="104"/>
  <c r="F55" i="104"/>
  <c r="E55" i="104"/>
  <c r="G54" i="104"/>
  <c r="F54" i="104"/>
  <c r="E54" i="104"/>
  <c r="G53" i="104"/>
  <c r="F53" i="104"/>
  <c r="E53" i="104"/>
  <c r="G52" i="104"/>
  <c r="F52" i="104"/>
  <c r="E52" i="104"/>
  <c r="G51" i="104"/>
  <c r="F51" i="104"/>
  <c r="E51" i="104"/>
  <c r="G50" i="104"/>
  <c r="F50" i="104"/>
  <c r="E50" i="104"/>
  <c r="G49" i="104"/>
  <c r="F49" i="104"/>
  <c r="E49" i="104"/>
  <c r="G48" i="104"/>
  <c r="F48" i="104"/>
  <c r="E48" i="104"/>
  <c r="G47" i="104"/>
  <c r="F47" i="104"/>
  <c r="E47" i="104"/>
  <c r="G46" i="104"/>
  <c r="F46" i="104"/>
  <c r="E46" i="104"/>
  <c r="F67" i="104"/>
  <c r="F66" i="104"/>
  <c r="F65" i="104"/>
  <c r="G119" i="104"/>
  <c r="G118" i="104"/>
  <c r="G117" i="104"/>
  <c r="G116" i="104"/>
  <c r="G115" i="104"/>
  <c r="G114" i="104"/>
  <c r="G113" i="104"/>
  <c r="G112" i="104"/>
  <c r="G111" i="104"/>
  <c r="G110" i="104"/>
  <c r="G109" i="104"/>
  <c r="G108" i="104"/>
  <c r="G107" i="104"/>
  <c r="G106" i="104"/>
  <c r="G105" i="104"/>
  <c r="G104" i="104"/>
  <c r="G103" i="104"/>
  <c r="G102" i="104"/>
  <c r="G101" i="104"/>
  <c r="G100" i="104"/>
  <c r="G99" i="104"/>
  <c r="G98" i="104"/>
  <c r="G97" i="104"/>
  <c r="G96" i="104"/>
  <c r="G95" i="104"/>
  <c r="G94" i="104"/>
  <c r="N141" i="104"/>
  <c r="N140" i="104"/>
  <c r="N139" i="104"/>
  <c r="N138" i="104"/>
  <c r="N137" i="104"/>
  <c r="N136" i="104"/>
  <c r="N135" i="104"/>
  <c r="N134" i="104"/>
  <c r="N133" i="104"/>
  <c r="N132" i="104"/>
  <c r="N131" i="104"/>
  <c r="N130" i="104"/>
  <c r="N129" i="104"/>
  <c r="N128" i="104"/>
  <c r="N127" i="104"/>
  <c r="N126" i="104"/>
  <c r="N125" i="104"/>
  <c r="N124" i="104"/>
  <c r="N123" i="104"/>
  <c r="N122" i="104"/>
  <c r="N121" i="104"/>
  <c r="N120" i="104"/>
  <c r="N119" i="104"/>
  <c r="N118" i="104"/>
  <c r="N117" i="104"/>
  <c r="N116" i="104"/>
  <c r="N115" i="104"/>
  <c r="N114" i="104"/>
  <c r="N113" i="104"/>
  <c r="N112" i="104"/>
  <c r="N111" i="104"/>
  <c r="N110" i="104"/>
  <c r="N109" i="104"/>
  <c r="N108" i="104"/>
  <c r="N107" i="104"/>
  <c r="N106" i="104"/>
  <c r="N105" i="104"/>
  <c r="N104" i="104"/>
  <c r="N103" i="104"/>
  <c r="N102" i="104"/>
  <c r="N101" i="104"/>
  <c r="N100" i="104"/>
  <c r="N99" i="104"/>
  <c r="N98" i="104"/>
  <c r="N97" i="104"/>
  <c r="N96" i="104"/>
  <c r="N95" i="104"/>
  <c r="N94" i="104"/>
  <c r="N93" i="104"/>
  <c r="N92" i="104"/>
  <c r="N91" i="104"/>
  <c r="N90" i="104"/>
  <c r="N89" i="104"/>
  <c r="N88" i="104"/>
  <c r="N87" i="104"/>
  <c r="N86" i="104"/>
  <c r="N85" i="104"/>
  <c r="N84" i="104"/>
  <c r="N83" i="104"/>
  <c r="N82" i="104"/>
  <c r="G57" i="103"/>
  <c r="F57" i="103"/>
  <c r="E57" i="103"/>
  <c r="G56" i="103"/>
  <c r="F56" i="103"/>
  <c r="E56" i="103"/>
  <c r="G55" i="103"/>
  <c r="F55" i="103"/>
  <c r="E55" i="103"/>
  <c r="G54" i="103"/>
  <c r="F54" i="103"/>
  <c r="E54" i="103"/>
  <c r="G53" i="103"/>
  <c r="F53" i="103"/>
  <c r="E53" i="103"/>
  <c r="G52" i="103"/>
  <c r="F52" i="103"/>
  <c r="E52" i="103"/>
  <c r="G51" i="103"/>
  <c r="F51" i="103"/>
  <c r="E51" i="103"/>
  <c r="G50" i="103"/>
  <c r="F50" i="103"/>
  <c r="E50" i="103"/>
  <c r="G49" i="103"/>
  <c r="F49" i="103"/>
  <c r="E49" i="103"/>
  <c r="G48" i="103"/>
  <c r="F48" i="103"/>
  <c r="E48" i="103"/>
  <c r="G47" i="103"/>
  <c r="F47" i="103"/>
  <c r="E47" i="103"/>
  <c r="G46" i="103"/>
  <c r="F46" i="103"/>
  <c r="E46" i="103"/>
  <c r="F67" i="103"/>
  <c r="F66" i="103"/>
  <c r="F65" i="103"/>
  <c r="G119" i="103"/>
  <c r="G118" i="103"/>
  <c r="G117" i="103"/>
  <c r="G116" i="103"/>
  <c r="G115" i="103"/>
  <c r="G114" i="103"/>
  <c r="G113" i="103"/>
  <c r="G112" i="103"/>
  <c r="G111" i="103"/>
  <c r="G110" i="103"/>
  <c r="G109" i="103"/>
  <c r="G108" i="103"/>
  <c r="G107" i="103"/>
  <c r="G106" i="103"/>
  <c r="G105" i="103"/>
  <c r="G104" i="103"/>
  <c r="G103" i="103"/>
  <c r="G102" i="103"/>
  <c r="G101" i="103"/>
  <c r="G100" i="103"/>
  <c r="G99" i="103"/>
  <c r="G98" i="103"/>
  <c r="G97" i="103"/>
  <c r="G96" i="103"/>
  <c r="G95" i="103"/>
  <c r="G94" i="103"/>
  <c r="N141" i="103"/>
  <c r="N140" i="103"/>
  <c r="N139" i="103"/>
  <c r="N138" i="103"/>
  <c r="N137" i="103"/>
  <c r="N136" i="103"/>
  <c r="N135" i="103"/>
  <c r="N134" i="103"/>
  <c r="N133" i="103"/>
  <c r="N132" i="103"/>
  <c r="N131" i="103"/>
  <c r="N130" i="103"/>
  <c r="N129" i="103"/>
  <c r="N128" i="103"/>
  <c r="N127" i="103"/>
  <c r="N126" i="103"/>
  <c r="N125" i="103"/>
  <c r="N124" i="103"/>
  <c r="N123" i="103"/>
  <c r="N122" i="103"/>
  <c r="N121" i="103"/>
  <c r="N120" i="103"/>
  <c r="N119" i="103"/>
  <c r="N118" i="103"/>
  <c r="N117" i="103"/>
  <c r="N116" i="103"/>
  <c r="N115" i="103"/>
  <c r="N114" i="103"/>
  <c r="N113" i="103"/>
  <c r="N112" i="103"/>
  <c r="N111" i="103"/>
  <c r="N110" i="103"/>
  <c r="N109" i="103"/>
  <c r="N108" i="103"/>
  <c r="N107" i="103"/>
  <c r="N106" i="103"/>
  <c r="N105" i="103"/>
  <c r="N104" i="103"/>
  <c r="N103" i="103"/>
  <c r="N102" i="103"/>
  <c r="N101" i="103"/>
  <c r="N100" i="103"/>
  <c r="N99" i="103"/>
  <c r="N98" i="103"/>
  <c r="N97" i="103"/>
  <c r="N96" i="103"/>
  <c r="N95" i="103"/>
  <c r="N94" i="103"/>
  <c r="N93" i="103"/>
  <c r="N92" i="103"/>
  <c r="N91" i="103"/>
  <c r="N90" i="103"/>
  <c r="N89" i="103"/>
  <c r="N88" i="103"/>
  <c r="N87" i="103"/>
  <c r="N86" i="103"/>
  <c r="N85" i="103"/>
  <c r="N84" i="103"/>
  <c r="N83" i="103"/>
  <c r="N82" i="103"/>
  <c r="G57" i="102"/>
  <c r="F57" i="102"/>
  <c r="E57" i="102"/>
  <c r="G56" i="102"/>
  <c r="F56" i="102"/>
  <c r="E56" i="102"/>
  <c r="G55" i="102"/>
  <c r="F55" i="102"/>
  <c r="E55" i="102"/>
  <c r="G54" i="102"/>
  <c r="F54" i="102"/>
  <c r="E54" i="102"/>
  <c r="G53" i="102"/>
  <c r="F53" i="102"/>
  <c r="E53" i="102"/>
  <c r="G52" i="102"/>
  <c r="F52" i="102"/>
  <c r="E52" i="102"/>
  <c r="G51" i="102"/>
  <c r="F51" i="102"/>
  <c r="E51" i="102"/>
  <c r="G50" i="102"/>
  <c r="F50" i="102"/>
  <c r="E50" i="102"/>
  <c r="G49" i="102"/>
  <c r="F49" i="102"/>
  <c r="E49" i="102"/>
  <c r="G48" i="102"/>
  <c r="F48" i="102"/>
  <c r="E48" i="102"/>
  <c r="G47" i="102"/>
  <c r="F47" i="102"/>
  <c r="E47" i="102"/>
  <c r="G46" i="102"/>
  <c r="F46" i="102"/>
  <c r="E46" i="102"/>
  <c r="F67" i="102"/>
  <c r="F66" i="102"/>
  <c r="F65" i="102"/>
  <c r="G119" i="102"/>
  <c r="G118" i="102"/>
  <c r="G117" i="102"/>
  <c r="G116" i="102"/>
  <c r="G115" i="102"/>
  <c r="G114" i="102"/>
  <c r="G113" i="102"/>
  <c r="G112" i="102"/>
  <c r="G111" i="102"/>
  <c r="G110" i="102"/>
  <c r="G109" i="102"/>
  <c r="G108" i="102"/>
  <c r="G107" i="102"/>
  <c r="G106" i="102"/>
  <c r="G105" i="102"/>
  <c r="G104" i="102"/>
  <c r="G103" i="102"/>
  <c r="G102" i="102"/>
  <c r="G101" i="102"/>
  <c r="G100" i="102"/>
  <c r="G99" i="102"/>
  <c r="G98" i="102"/>
  <c r="G97" i="102"/>
  <c r="G96" i="102"/>
  <c r="G95" i="102"/>
  <c r="G94" i="102"/>
  <c r="N141" i="102"/>
  <c r="N140" i="102"/>
  <c r="N139" i="102"/>
  <c r="N138" i="102"/>
  <c r="N137" i="102"/>
  <c r="N136" i="102"/>
  <c r="N135" i="102"/>
  <c r="N134" i="102"/>
  <c r="N133" i="102"/>
  <c r="N132" i="102"/>
  <c r="N131" i="102"/>
  <c r="N130" i="102"/>
  <c r="N129" i="102"/>
  <c r="N128" i="102"/>
  <c r="N127" i="102"/>
  <c r="N126" i="102"/>
  <c r="N125" i="102"/>
  <c r="N124" i="102"/>
  <c r="N123" i="102"/>
  <c r="N122" i="102"/>
  <c r="N121" i="102"/>
  <c r="N120" i="102"/>
  <c r="N119" i="102"/>
  <c r="N118" i="102"/>
  <c r="N117" i="102"/>
  <c r="N116" i="102"/>
  <c r="N115" i="102"/>
  <c r="N114" i="102"/>
  <c r="N113" i="102"/>
  <c r="N112" i="102"/>
  <c r="N111" i="102"/>
  <c r="N110" i="102"/>
  <c r="N109" i="102"/>
  <c r="N108" i="102"/>
  <c r="N107" i="102"/>
  <c r="N106" i="102"/>
  <c r="N105" i="102"/>
  <c r="N104" i="102"/>
  <c r="N103" i="102"/>
  <c r="N102" i="102"/>
  <c r="N101" i="102"/>
  <c r="N100" i="102"/>
  <c r="N99" i="102"/>
  <c r="N98" i="102"/>
  <c r="N97" i="102"/>
  <c r="N96" i="102"/>
  <c r="N95" i="102"/>
  <c r="N94" i="102"/>
  <c r="N93" i="102"/>
  <c r="N92" i="102"/>
  <c r="N91" i="102"/>
  <c r="N90" i="102"/>
  <c r="N89" i="102"/>
  <c r="N88" i="102"/>
  <c r="N87" i="102"/>
  <c r="N86" i="102"/>
  <c r="N85" i="102"/>
  <c r="N84" i="102"/>
  <c r="N83" i="102"/>
  <c r="N82" i="102"/>
  <c r="G56" i="101"/>
  <c r="F56" i="101"/>
  <c r="E56" i="101"/>
  <c r="G55" i="101"/>
  <c r="F55" i="101"/>
  <c r="E55" i="101"/>
  <c r="G54" i="101"/>
  <c r="F54" i="101"/>
  <c r="E54" i="101"/>
  <c r="G53" i="101"/>
  <c r="F53" i="101"/>
  <c r="E53" i="101"/>
  <c r="G52" i="101"/>
  <c r="F52" i="101"/>
  <c r="E52" i="101"/>
  <c r="G51" i="101"/>
  <c r="F51" i="101"/>
  <c r="E51" i="101"/>
  <c r="F50" i="101"/>
  <c r="G49" i="101"/>
  <c r="F49" i="101"/>
  <c r="E49" i="101"/>
  <c r="G48" i="101"/>
  <c r="F48" i="101"/>
  <c r="E48" i="101"/>
  <c r="F47" i="101"/>
  <c r="G46" i="101"/>
  <c r="F46" i="101"/>
  <c r="E46" i="101"/>
  <c r="G45" i="101"/>
  <c r="F45" i="101"/>
  <c r="E45" i="101"/>
  <c r="F66" i="101"/>
  <c r="F65" i="101"/>
  <c r="G118" i="101"/>
  <c r="G117" i="101"/>
  <c r="G116" i="101"/>
  <c r="G115" i="101"/>
  <c r="G114" i="101"/>
  <c r="G113" i="101"/>
  <c r="G112" i="101"/>
  <c r="G111" i="101"/>
  <c r="G110" i="101"/>
  <c r="G109" i="101"/>
  <c r="G108" i="101"/>
  <c r="G107" i="101"/>
  <c r="G106" i="101"/>
  <c r="G105" i="101"/>
  <c r="G104" i="101"/>
  <c r="G103" i="101"/>
  <c r="G102" i="101"/>
  <c r="G101" i="101"/>
  <c r="G100" i="101"/>
  <c r="G99" i="101"/>
  <c r="G98" i="101"/>
  <c r="G97" i="101"/>
  <c r="G96" i="101"/>
  <c r="G95" i="101"/>
  <c r="G94" i="101"/>
  <c r="G93" i="101"/>
  <c r="N140" i="101"/>
  <c r="N139" i="101"/>
  <c r="N138" i="101"/>
  <c r="N137" i="101"/>
  <c r="N136" i="101"/>
  <c r="N135" i="101"/>
  <c r="N134" i="101"/>
  <c r="N133" i="101"/>
  <c r="N132" i="101"/>
  <c r="N131" i="101"/>
  <c r="N130" i="101"/>
  <c r="N129" i="101"/>
  <c r="N128" i="101"/>
  <c r="N127" i="101"/>
  <c r="N126" i="101"/>
  <c r="N125" i="101"/>
  <c r="N124" i="101"/>
  <c r="N123" i="101"/>
  <c r="N122" i="101"/>
  <c r="N121" i="101"/>
  <c r="N120" i="101"/>
  <c r="N119" i="101"/>
  <c r="N118" i="101"/>
  <c r="N117" i="101"/>
  <c r="N116" i="101"/>
  <c r="N115" i="101"/>
  <c r="N114" i="101"/>
  <c r="N113" i="101"/>
  <c r="N112" i="101"/>
  <c r="N111" i="101"/>
  <c r="N110" i="101"/>
  <c r="N109" i="101"/>
  <c r="N108" i="101"/>
  <c r="N107" i="101"/>
  <c r="N106" i="101"/>
  <c r="N105" i="101"/>
  <c r="N104" i="101"/>
  <c r="N103" i="101"/>
  <c r="N102" i="101"/>
  <c r="N101" i="101"/>
  <c r="N100" i="101"/>
  <c r="N99" i="101"/>
  <c r="N98" i="101"/>
  <c r="N97" i="101"/>
  <c r="N96" i="101"/>
  <c r="N95" i="101"/>
  <c r="N94" i="101"/>
  <c r="N93" i="101"/>
  <c r="N92" i="101"/>
  <c r="N91" i="101"/>
  <c r="N90" i="101"/>
  <c r="N89" i="101"/>
  <c r="N88" i="101"/>
  <c r="N87" i="101"/>
  <c r="N86" i="101"/>
  <c r="N85" i="101"/>
  <c r="N84" i="101"/>
  <c r="N83" i="101"/>
  <c r="N82" i="101"/>
  <c r="N81" i="101"/>
  <c r="F42" i="106"/>
  <c r="F41" i="106"/>
  <c r="F40" i="106"/>
  <c r="F39" i="106"/>
  <c r="F38" i="106"/>
  <c r="F37" i="106"/>
  <c r="F36" i="106"/>
  <c r="E138" i="106"/>
  <c r="E137" i="106"/>
  <c r="E136" i="106"/>
  <c r="C136" i="106"/>
  <c r="E135" i="106"/>
  <c r="C135" i="106"/>
  <c r="E134" i="106"/>
  <c r="C134" i="106"/>
  <c r="E133" i="106"/>
  <c r="C133" i="106"/>
  <c r="E132" i="106"/>
  <c r="C132" i="106"/>
  <c r="E131" i="106"/>
  <c r="C131" i="106"/>
  <c r="E130" i="106"/>
  <c r="C130" i="106"/>
  <c r="E129" i="106"/>
  <c r="C129" i="106"/>
  <c r="E128" i="106"/>
  <c r="C128" i="106"/>
  <c r="E127" i="106"/>
  <c r="C127" i="106"/>
  <c r="E126" i="106"/>
  <c r="C126" i="106"/>
  <c r="E125" i="106"/>
  <c r="C125" i="106"/>
  <c r="E124" i="106"/>
  <c r="C124" i="106"/>
  <c r="E123" i="106"/>
  <c r="C123" i="106"/>
  <c r="F42" i="105"/>
  <c r="F41" i="105"/>
  <c r="F40" i="105"/>
  <c r="F39" i="105"/>
  <c r="F38" i="105"/>
  <c r="F37" i="105"/>
  <c r="F36" i="105"/>
  <c r="E138" i="105"/>
  <c r="E137" i="105"/>
  <c r="E136" i="105"/>
  <c r="C136" i="105"/>
  <c r="E135" i="105"/>
  <c r="C135" i="105"/>
  <c r="E134" i="105"/>
  <c r="C134" i="105"/>
  <c r="E133" i="105"/>
  <c r="C133" i="105"/>
  <c r="E132" i="105"/>
  <c r="C132" i="105"/>
  <c r="E131" i="105"/>
  <c r="C131" i="105"/>
  <c r="E130" i="105"/>
  <c r="C130" i="105"/>
  <c r="E129" i="105"/>
  <c r="C129" i="105"/>
  <c r="E128" i="105"/>
  <c r="C128" i="105"/>
  <c r="E127" i="105"/>
  <c r="C127" i="105"/>
  <c r="E126" i="105"/>
  <c r="C126" i="105"/>
  <c r="E125" i="105"/>
  <c r="C125" i="105"/>
  <c r="E124" i="105"/>
  <c r="C124" i="105"/>
  <c r="E123" i="105"/>
  <c r="C123" i="105"/>
  <c r="F42" i="104"/>
  <c r="F41" i="104"/>
  <c r="F40" i="104"/>
  <c r="F39" i="104"/>
  <c r="F38" i="104"/>
  <c r="F37" i="104"/>
  <c r="F36" i="104"/>
  <c r="E138" i="104"/>
  <c r="E137" i="104"/>
  <c r="E136" i="104"/>
  <c r="C136" i="104"/>
  <c r="E135" i="104"/>
  <c r="C135" i="104"/>
  <c r="E134" i="104"/>
  <c r="C134" i="104"/>
  <c r="E133" i="104"/>
  <c r="C133" i="104"/>
  <c r="E132" i="104"/>
  <c r="C132" i="104"/>
  <c r="E131" i="104"/>
  <c r="C131" i="104"/>
  <c r="E130" i="104"/>
  <c r="C130" i="104"/>
  <c r="E129" i="104"/>
  <c r="C129" i="104"/>
  <c r="E128" i="104"/>
  <c r="C128" i="104"/>
  <c r="E127" i="104"/>
  <c r="C127" i="104"/>
  <c r="E126" i="104"/>
  <c r="C126" i="104"/>
  <c r="E125" i="104"/>
  <c r="C125" i="104"/>
  <c r="E124" i="104"/>
  <c r="C124" i="104"/>
  <c r="E123" i="104"/>
  <c r="C123" i="104"/>
  <c r="F42" i="103"/>
  <c r="F41" i="103"/>
  <c r="F40" i="103"/>
  <c r="F39" i="103"/>
  <c r="F38" i="103"/>
  <c r="F37" i="103"/>
  <c r="F36" i="103"/>
  <c r="E138" i="103"/>
  <c r="E137" i="103"/>
  <c r="E136" i="103"/>
  <c r="C136" i="103"/>
  <c r="E135" i="103"/>
  <c r="C135" i="103"/>
  <c r="E134" i="103"/>
  <c r="C134" i="103"/>
  <c r="E133" i="103"/>
  <c r="C133" i="103"/>
  <c r="E132" i="103"/>
  <c r="C132" i="103"/>
  <c r="E131" i="103"/>
  <c r="C131" i="103"/>
  <c r="E130" i="103"/>
  <c r="C130" i="103"/>
  <c r="E129" i="103"/>
  <c r="C129" i="103"/>
  <c r="E128" i="103"/>
  <c r="C128" i="103"/>
  <c r="E127" i="103"/>
  <c r="C127" i="103"/>
  <c r="E126" i="103"/>
  <c r="C126" i="103"/>
  <c r="E125" i="103"/>
  <c r="C125" i="103"/>
  <c r="E124" i="103"/>
  <c r="C124" i="103"/>
  <c r="E123" i="103"/>
  <c r="C123" i="103"/>
  <c r="F42" i="102"/>
  <c r="F41" i="102"/>
  <c r="F40" i="102"/>
  <c r="F39" i="102"/>
  <c r="F38" i="102"/>
  <c r="F37" i="102"/>
  <c r="F36" i="102"/>
  <c r="E138" i="102"/>
  <c r="E137" i="102"/>
  <c r="E136" i="102"/>
  <c r="C136" i="102"/>
  <c r="E135" i="102"/>
  <c r="C135" i="102"/>
  <c r="E134" i="102"/>
  <c r="C134" i="102"/>
  <c r="E133" i="102"/>
  <c r="C133" i="102"/>
  <c r="E132" i="102"/>
  <c r="C132" i="102"/>
  <c r="E131" i="102"/>
  <c r="C131" i="102"/>
  <c r="E130" i="102"/>
  <c r="C130" i="102"/>
  <c r="E129" i="102"/>
  <c r="C129" i="102"/>
  <c r="E128" i="102"/>
  <c r="C128" i="102"/>
  <c r="E127" i="102"/>
  <c r="C127" i="102"/>
  <c r="E126" i="102"/>
  <c r="C126" i="102"/>
  <c r="E125" i="102"/>
  <c r="C125" i="102"/>
  <c r="E124" i="102"/>
  <c r="C124" i="102"/>
  <c r="E123" i="102"/>
  <c r="C123" i="102"/>
  <c r="F41" i="101"/>
  <c r="F40" i="101"/>
  <c r="F39" i="101"/>
  <c r="F38" i="101"/>
  <c r="F37" i="101"/>
  <c r="F36" i="101"/>
  <c r="F35" i="101"/>
  <c r="F34" i="101"/>
  <c r="C151" i="101"/>
  <c r="C150" i="101"/>
  <c r="C149" i="101"/>
  <c r="C148" i="101"/>
  <c r="C147" i="101"/>
  <c r="C146" i="101"/>
  <c r="C145" i="101"/>
  <c r="C144" i="101"/>
  <c r="C143" i="101"/>
  <c r="C142" i="101"/>
  <c r="C141" i="101"/>
  <c r="C140" i="101"/>
  <c r="C139" i="101"/>
  <c r="C138" i="101"/>
  <c r="C137" i="101"/>
  <c r="C136" i="101"/>
  <c r="C135" i="101"/>
  <c r="C134" i="101"/>
  <c r="C133" i="101"/>
  <c r="C132" i="101"/>
  <c r="C131" i="101"/>
  <c r="C130" i="101"/>
  <c r="C129" i="101"/>
  <c r="C128" i="101"/>
  <c r="C127" i="101"/>
  <c r="C126" i="101"/>
  <c r="C125" i="101"/>
  <c r="C124" i="101"/>
  <c r="C123" i="101"/>
  <c r="C122" i="101"/>
  <c r="P4" i="106"/>
  <c r="D27" i="106"/>
  <c r="P4" i="105"/>
  <c r="D27" i="105"/>
  <c r="P4" i="104"/>
  <c r="D27" i="104"/>
  <c r="P4" i="103"/>
  <c r="D27" i="103"/>
  <c r="P4" i="102"/>
  <c r="D27" i="102"/>
  <c r="P4" i="101"/>
  <c r="D25" i="101"/>
  <c r="L2" i="100"/>
  <c r="L70" i="99"/>
  <c r="L69" i="99"/>
  <c r="L68" i="99"/>
  <c r="L67" i="99"/>
  <c r="L66" i="99"/>
  <c r="L65" i="99"/>
  <c r="L63" i="99"/>
  <c r="L62" i="99"/>
  <c r="L59" i="99"/>
  <c r="L58" i="99"/>
  <c r="L57" i="99"/>
  <c r="L56" i="99"/>
  <c r="L55" i="99"/>
  <c r="L54" i="99"/>
  <c r="L53" i="99"/>
  <c r="L52" i="99"/>
  <c r="L51" i="99"/>
  <c r="L49" i="99"/>
  <c r="L48" i="99"/>
  <c r="L47" i="99"/>
  <c r="L46" i="99"/>
  <c r="L45" i="99"/>
  <c r="L44" i="99"/>
  <c r="L43" i="99"/>
  <c r="L42" i="99"/>
  <c r="L41" i="99"/>
  <c r="L37" i="99"/>
  <c r="L36" i="99"/>
  <c r="L35" i="99"/>
  <c r="L34" i="99"/>
  <c r="L33" i="99"/>
  <c r="L32" i="99"/>
  <c r="L31" i="99"/>
  <c r="L29" i="99"/>
  <c r="L26" i="99"/>
  <c r="L25" i="99"/>
  <c r="L24" i="99"/>
  <c r="L23" i="99"/>
  <c r="L22" i="99"/>
  <c r="L21" i="99"/>
  <c r="L18" i="99"/>
  <c r="L17" i="99"/>
  <c r="L16" i="99"/>
  <c r="L15" i="99"/>
  <c r="L14" i="99"/>
  <c r="L13" i="99"/>
  <c r="F40" i="96"/>
  <c r="F37" i="96"/>
  <c r="C37" i="96"/>
  <c r="F36" i="96"/>
  <c r="C36" i="96"/>
  <c r="F35" i="96"/>
  <c r="C35" i="96"/>
  <c r="F34" i="96"/>
  <c r="C34" i="96"/>
  <c r="F33" i="96"/>
  <c r="C33" i="96"/>
  <c r="F32" i="96"/>
  <c r="C32" i="96"/>
  <c r="F31" i="96"/>
  <c r="C31" i="96"/>
  <c r="L40" i="96"/>
  <c r="L34" i="96"/>
  <c r="F73" i="96"/>
  <c r="F72" i="96"/>
  <c r="F69" i="96"/>
  <c r="C69" i="96"/>
  <c r="F68" i="96"/>
  <c r="C68" i="96"/>
  <c r="F67" i="96"/>
  <c r="C67" i="96"/>
  <c r="F66" i="96"/>
  <c r="C66" i="96"/>
  <c r="F65" i="96"/>
  <c r="C65" i="96"/>
  <c r="F64" i="96"/>
  <c r="C64" i="96"/>
  <c r="L73" i="96"/>
  <c r="L72" i="96"/>
  <c r="B12" i="13" l="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N3" i="106" l="1"/>
  <c r="P6" i="106"/>
  <c r="H9" i="106"/>
  <c r="I9" i="106" s="1"/>
  <c r="H10" i="106"/>
  <c r="I10" i="106" s="1"/>
  <c r="K10" i="106"/>
  <c r="H11" i="106"/>
  <c r="K11" i="106"/>
  <c r="K57" i="106" s="1"/>
  <c r="M57" i="106" s="1"/>
  <c r="N11" i="106"/>
  <c r="I12" i="106"/>
  <c r="M12" i="106"/>
  <c r="O12" i="106"/>
  <c r="X13" i="106"/>
  <c r="X17" i="106" s="1"/>
  <c r="H33" i="106" s="1"/>
  <c r="Y13" i="106"/>
  <c r="Y14" i="106" s="1"/>
  <c r="K30" i="106" s="1"/>
  <c r="Z13" i="106"/>
  <c r="Z14" i="106" s="1"/>
  <c r="O14" i="106"/>
  <c r="I15" i="106"/>
  <c r="L15" i="106"/>
  <c r="O15" i="106"/>
  <c r="Y15" i="106"/>
  <c r="K31" i="106" s="1"/>
  <c r="I16" i="106"/>
  <c r="L16" i="106"/>
  <c r="O16" i="106"/>
  <c r="Y16" i="106"/>
  <c r="I17" i="106"/>
  <c r="L17" i="106"/>
  <c r="O17" i="106"/>
  <c r="Y17" i="106"/>
  <c r="K33" i="106" s="1"/>
  <c r="Z17" i="106"/>
  <c r="K32" i="106"/>
  <c r="I46" i="106"/>
  <c r="J46" i="106"/>
  <c r="M47" i="106"/>
  <c r="L48" i="106"/>
  <c r="M48" i="106"/>
  <c r="P48" i="106"/>
  <c r="L49" i="106"/>
  <c r="M49" i="106"/>
  <c r="J49" i="106"/>
  <c r="P49" i="106"/>
  <c r="L50" i="106"/>
  <c r="J50" i="106"/>
  <c r="O50" i="106"/>
  <c r="M51" i="106"/>
  <c r="M52" i="106"/>
  <c r="L52" i="106"/>
  <c r="M53" i="106"/>
  <c r="L53" i="106"/>
  <c r="L54" i="106"/>
  <c r="J54" i="106"/>
  <c r="M55" i="106"/>
  <c r="L56" i="106"/>
  <c r="M56" i="106"/>
  <c r="J59" i="106"/>
  <c r="M59" i="106"/>
  <c r="P59" i="106"/>
  <c r="C142" i="106"/>
  <c r="N3" i="105"/>
  <c r="P6" i="105"/>
  <c r="H10" i="105"/>
  <c r="H9" i="105" s="1"/>
  <c r="I9" i="105" s="1"/>
  <c r="K10" i="105"/>
  <c r="H11" i="105"/>
  <c r="H57" i="105" s="1"/>
  <c r="K11" i="105"/>
  <c r="K57" i="105" s="1"/>
  <c r="N11" i="105"/>
  <c r="I12" i="105"/>
  <c r="M12" i="105"/>
  <c r="O12" i="105"/>
  <c r="X13" i="105"/>
  <c r="X16" i="105" s="1"/>
  <c r="H32" i="105" s="1"/>
  <c r="Y13" i="105"/>
  <c r="Z13" i="105"/>
  <c r="Z16" i="105" s="1"/>
  <c r="O14" i="105"/>
  <c r="I15" i="105"/>
  <c r="L15" i="105"/>
  <c r="O15" i="105"/>
  <c r="I16" i="105"/>
  <c r="L16" i="105"/>
  <c r="O16" i="105"/>
  <c r="I17" i="105"/>
  <c r="L17" i="105"/>
  <c r="O17" i="105"/>
  <c r="X17" i="105"/>
  <c r="H33" i="105" s="1"/>
  <c r="L46" i="105"/>
  <c r="J46" i="105"/>
  <c r="O47" i="105"/>
  <c r="J47" i="105"/>
  <c r="L47" i="105"/>
  <c r="M47" i="105"/>
  <c r="I48" i="105"/>
  <c r="M48" i="105"/>
  <c r="J48" i="105"/>
  <c r="O49" i="105"/>
  <c r="M49" i="105"/>
  <c r="J50" i="105"/>
  <c r="I51" i="105"/>
  <c r="J51" i="105"/>
  <c r="P51" i="105"/>
  <c r="L52" i="105"/>
  <c r="J52" i="105"/>
  <c r="M52" i="105"/>
  <c r="O53" i="105"/>
  <c r="M53" i="105"/>
  <c r="J54" i="105"/>
  <c r="J55" i="105"/>
  <c r="P55" i="105"/>
  <c r="I56" i="105"/>
  <c r="L56" i="105"/>
  <c r="O56" i="105"/>
  <c r="J59" i="105"/>
  <c r="M59" i="105"/>
  <c r="P59" i="105"/>
  <c r="C142" i="105"/>
  <c r="N3" i="104"/>
  <c r="P6" i="104"/>
  <c r="H10" i="104"/>
  <c r="H9" i="104" s="1"/>
  <c r="I9" i="104" s="1"/>
  <c r="K10" i="104"/>
  <c r="K9" i="104" s="1"/>
  <c r="L9" i="104" s="1"/>
  <c r="H11" i="104"/>
  <c r="K11" i="104"/>
  <c r="K57" i="104" s="1"/>
  <c r="N11" i="104"/>
  <c r="I12" i="104"/>
  <c r="M12" i="104"/>
  <c r="O12" i="104"/>
  <c r="X13" i="104"/>
  <c r="X15" i="104" s="1"/>
  <c r="H31" i="104" s="1"/>
  <c r="Y13" i="104"/>
  <c r="Y16" i="104" s="1"/>
  <c r="Z13" i="104"/>
  <c r="Z14" i="104" s="1"/>
  <c r="I15" i="104"/>
  <c r="L15" i="104"/>
  <c r="O15" i="104"/>
  <c r="Z15" i="104"/>
  <c r="N31" i="104" s="1"/>
  <c r="I16" i="104"/>
  <c r="L16" i="104"/>
  <c r="O16" i="104"/>
  <c r="Z16" i="104"/>
  <c r="I17" i="104"/>
  <c r="L17" i="104"/>
  <c r="O17" i="104"/>
  <c r="Z17" i="104"/>
  <c r="M19" i="104"/>
  <c r="J19" i="104"/>
  <c r="K32" i="104"/>
  <c r="N33" i="104"/>
  <c r="I46" i="104"/>
  <c r="M46" i="104"/>
  <c r="O46" i="104"/>
  <c r="M47" i="104"/>
  <c r="I49" i="104"/>
  <c r="J49" i="104"/>
  <c r="M49" i="104"/>
  <c r="P49" i="104"/>
  <c r="O50" i="104"/>
  <c r="M50" i="104"/>
  <c r="I50" i="104"/>
  <c r="L50" i="104"/>
  <c r="M51" i="104"/>
  <c r="J53" i="104"/>
  <c r="L53" i="104"/>
  <c r="M53" i="104"/>
  <c r="O54" i="104"/>
  <c r="M54" i="104"/>
  <c r="L54" i="104"/>
  <c r="M55" i="104"/>
  <c r="H57" i="104"/>
  <c r="J57" i="104" s="1"/>
  <c r="N57" i="104"/>
  <c r="J59" i="104"/>
  <c r="M59" i="104"/>
  <c r="P59" i="104"/>
  <c r="C142" i="104"/>
  <c r="N3" i="103"/>
  <c r="P6" i="103"/>
  <c r="H10" i="103"/>
  <c r="H9" i="103" s="1"/>
  <c r="I9" i="103" s="1"/>
  <c r="K10" i="103"/>
  <c r="L10" i="103" s="1"/>
  <c r="H11" i="103"/>
  <c r="H57" i="103" s="1"/>
  <c r="K11" i="103"/>
  <c r="K57" i="103" s="1"/>
  <c r="L57" i="103" s="1"/>
  <c r="N11" i="103"/>
  <c r="I12" i="103"/>
  <c r="M12" i="103"/>
  <c r="O12" i="103"/>
  <c r="X13" i="103"/>
  <c r="X16" i="103" s="1"/>
  <c r="H32" i="103" s="1"/>
  <c r="Y13" i="103"/>
  <c r="Z13" i="103"/>
  <c r="Z14" i="103" s="1"/>
  <c r="N30" i="103" s="1"/>
  <c r="O14" i="103"/>
  <c r="Y14" i="103"/>
  <c r="I15" i="103"/>
  <c r="L15" i="103"/>
  <c r="O15" i="103"/>
  <c r="Y15" i="103"/>
  <c r="K31" i="103" s="1"/>
  <c r="Z15" i="103"/>
  <c r="N31" i="103" s="1"/>
  <c r="I16" i="103"/>
  <c r="L16" i="103"/>
  <c r="O16" i="103"/>
  <c r="Y16" i="103"/>
  <c r="I17" i="103"/>
  <c r="L17" i="103"/>
  <c r="O17" i="103"/>
  <c r="Y17" i="103"/>
  <c r="K30" i="103"/>
  <c r="K32" i="103"/>
  <c r="K33" i="103"/>
  <c r="I46" i="103"/>
  <c r="M46" i="103"/>
  <c r="M47" i="103"/>
  <c r="J47" i="103"/>
  <c r="J48" i="103"/>
  <c r="M48" i="103"/>
  <c r="O49" i="103"/>
  <c r="J49" i="103"/>
  <c r="M50" i="103"/>
  <c r="J51" i="103"/>
  <c r="I52" i="103"/>
  <c r="J53" i="103"/>
  <c r="I54" i="103"/>
  <c r="M54" i="103"/>
  <c r="J55" i="103"/>
  <c r="J56" i="103"/>
  <c r="I56" i="103"/>
  <c r="L56" i="103"/>
  <c r="M56" i="103"/>
  <c r="O56" i="103"/>
  <c r="J59" i="103"/>
  <c r="M59" i="103"/>
  <c r="P59" i="103"/>
  <c r="C142" i="103"/>
  <c r="N3" i="102"/>
  <c r="P6" i="102"/>
  <c r="H10" i="102"/>
  <c r="H9" i="102" s="1"/>
  <c r="I9" i="102" s="1"/>
  <c r="K10" i="102"/>
  <c r="K9" i="102" s="1"/>
  <c r="L9" i="102" s="1"/>
  <c r="H11" i="102"/>
  <c r="H57" i="102" s="1"/>
  <c r="K11" i="102"/>
  <c r="N11" i="102"/>
  <c r="N57" i="102" s="1"/>
  <c r="I12" i="102"/>
  <c r="M12" i="102"/>
  <c r="O12" i="102"/>
  <c r="X13" i="102"/>
  <c r="X15" i="102" s="1"/>
  <c r="H31" i="102" s="1"/>
  <c r="Y13" i="102"/>
  <c r="Y16" i="102" s="1"/>
  <c r="K32" i="102" s="1"/>
  <c r="Z13" i="102"/>
  <c r="Z14" i="102"/>
  <c r="I15" i="102"/>
  <c r="L15" i="102"/>
  <c r="O15" i="102"/>
  <c r="Z15" i="102"/>
  <c r="I16" i="102"/>
  <c r="L16" i="102"/>
  <c r="O16" i="102"/>
  <c r="Z16" i="102"/>
  <c r="I17" i="102"/>
  <c r="L17" i="102"/>
  <c r="O17" i="102"/>
  <c r="Z17" i="102"/>
  <c r="M19" i="102"/>
  <c r="N33" i="102"/>
  <c r="J46" i="102"/>
  <c r="M46" i="102"/>
  <c r="O47" i="102"/>
  <c r="M47" i="102"/>
  <c r="L48" i="102"/>
  <c r="J48" i="102"/>
  <c r="I49" i="102"/>
  <c r="J49" i="102"/>
  <c r="O50" i="102"/>
  <c r="J50" i="102"/>
  <c r="M50" i="102"/>
  <c r="O51" i="102"/>
  <c r="M51" i="102"/>
  <c r="J52" i="102"/>
  <c r="M52" i="102"/>
  <c r="P52" i="102"/>
  <c r="M53" i="102"/>
  <c r="I53" i="102"/>
  <c r="L53" i="102"/>
  <c r="O53" i="102"/>
  <c r="J54" i="102"/>
  <c r="O55" i="102"/>
  <c r="M55" i="102"/>
  <c r="I56" i="102"/>
  <c r="J56" i="102"/>
  <c r="K57" i="102"/>
  <c r="L57" i="102" s="1"/>
  <c r="J59" i="102"/>
  <c r="M59" i="102"/>
  <c r="P59" i="102"/>
  <c r="C142" i="102"/>
  <c r="H9" i="101"/>
  <c r="K9" i="101"/>
  <c r="N9" i="101"/>
  <c r="I10" i="101"/>
  <c r="L10" i="101"/>
  <c r="O10" i="101"/>
  <c r="H11" i="101"/>
  <c r="K11" i="101"/>
  <c r="N11" i="101"/>
  <c r="I12" i="101"/>
  <c r="M12" i="101"/>
  <c r="O12" i="101"/>
  <c r="X12" i="101"/>
  <c r="X16" i="101" s="1"/>
  <c r="H31" i="101" s="1"/>
  <c r="Y12" i="101"/>
  <c r="Y13" i="101" s="1"/>
  <c r="K28" i="101" s="1"/>
  <c r="Z12" i="101"/>
  <c r="X13" i="101"/>
  <c r="H28" i="101" s="1"/>
  <c r="I15" i="101"/>
  <c r="L15" i="101"/>
  <c r="O15" i="101"/>
  <c r="X15" i="101"/>
  <c r="H30" i="101" s="1"/>
  <c r="I16" i="101"/>
  <c r="L16" i="101"/>
  <c r="O16" i="101"/>
  <c r="L45" i="101"/>
  <c r="J45" i="101"/>
  <c r="P45" i="101"/>
  <c r="M46" i="101"/>
  <c r="L46" i="101"/>
  <c r="I47" i="101"/>
  <c r="O47" i="101"/>
  <c r="I48" i="101"/>
  <c r="M48" i="101"/>
  <c r="J49" i="101"/>
  <c r="I50" i="101"/>
  <c r="L51" i="101"/>
  <c r="J51" i="101"/>
  <c r="I52" i="101"/>
  <c r="H53" i="101"/>
  <c r="K53" i="101"/>
  <c r="M53" i="101" s="1"/>
  <c r="N53" i="101"/>
  <c r="P53" i="101" s="1"/>
  <c r="P54" i="101"/>
  <c r="J54" i="101"/>
  <c r="I55" i="101"/>
  <c r="J55" i="101"/>
  <c r="I56" i="101"/>
  <c r="M56" i="101"/>
  <c r="J58" i="101"/>
  <c r="M58" i="101"/>
  <c r="P58" i="101"/>
  <c r="H74" i="101"/>
  <c r="K74" i="101"/>
  <c r="N74" i="101"/>
  <c r="C77" i="101"/>
  <c r="B132" i="101"/>
  <c r="B133" i="101" s="1"/>
  <c r="B134" i="101" s="1"/>
  <c r="B135" i="101" s="1"/>
  <c r="B136" i="101" s="1"/>
  <c r="B137" i="101" s="1"/>
  <c r="B138" i="101" s="1"/>
  <c r="B139" i="101" s="1"/>
  <c r="B140" i="101" s="1"/>
  <c r="B141" i="101" s="1"/>
  <c r="B142" i="101" s="1"/>
  <c r="B143" i="101" s="1"/>
  <c r="B144" i="101" s="1"/>
  <c r="B145" i="101" s="1"/>
  <c r="B146" i="101" s="1"/>
  <c r="B147" i="101" s="1"/>
  <c r="B148" i="101" s="1"/>
  <c r="B149" i="101" s="1"/>
  <c r="B150" i="101" s="1"/>
  <c r="B151" i="101" s="1"/>
  <c r="I10" i="102" l="1"/>
  <c r="J7" i="102" s="1"/>
  <c r="I10" i="103"/>
  <c r="I10" i="104"/>
  <c r="Y15" i="101"/>
  <c r="K30" i="101" s="1"/>
  <c r="O20" i="105"/>
  <c r="O21" i="105"/>
  <c r="K71" i="102"/>
  <c r="M70" i="102" s="1"/>
  <c r="X17" i="103"/>
  <c r="H33" i="103" s="1"/>
  <c r="X14" i="103"/>
  <c r="H30" i="103" s="1"/>
  <c r="O20" i="103"/>
  <c r="O21" i="103"/>
  <c r="X17" i="104"/>
  <c r="H33" i="104" s="1"/>
  <c r="Z14" i="105"/>
  <c r="X16" i="102"/>
  <c r="H32" i="102" s="1"/>
  <c r="X15" i="103"/>
  <c r="H31" i="103" s="1"/>
  <c r="Z15" i="106"/>
  <c r="N31" i="106" s="1"/>
  <c r="Y15" i="104"/>
  <c r="K31" i="104" s="1"/>
  <c r="H71" i="104"/>
  <c r="J70" i="104" s="1"/>
  <c r="Z17" i="105"/>
  <c r="Y14" i="101"/>
  <c r="K29" i="101" s="1"/>
  <c r="X14" i="101"/>
  <c r="H29" i="101" s="1"/>
  <c r="N30" i="102"/>
  <c r="O21" i="102"/>
  <c r="O20" i="102"/>
  <c r="Z16" i="103"/>
  <c r="N32" i="103" s="1"/>
  <c r="Z15" i="105"/>
  <c r="I10" i="105"/>
  <c r="X17" i="102"/>
  <c r="H33" i="102" s="1"/>
  <c r="L10" i="102"/>
  <c r="M7" i="102" s="1"/>
  <c r="X16" i="104"/>
  <c r="H32" i="104" s="1"/>
  <c r="Z17" i="103"/>
  <c r="N33" i="103" s="1"/>
  <c r="Z16" i="106"/>
  <c r="N30" i="106"/>
  <c r="O20" i="106"/>
  <c r="O21" i="106"/>
  <c r="X14" i="104"/>
  <c r="H30" i="104" s="1"/>
  <c r="O20" i="104"/>
  <c r="P19" i="104" s="1"/>
  <c r="O21" i="104"/>
  <c r="J19" i="103"/>
  <c r="L46" i="104"/>
  <c r="O46" i="106"/>
  <c r="O56" i="101"/>
  <c r="M55" i="101"/>
  <c r="J53" i="101"/>
  <c r="L50" i="101"/>
  <c r="P49" i="102"/>
  <c r="L47" i="102"/>
  <c r="O52" i="103"/>
  <c r="L49" i="103"/>
  <c r="P47" i="103"/>
  <c r="M55" i="105"/>
  <c r="L51" i="105"/>
  <c r="I49" i="105"/>
  <c r="P48" i="105"/>
  <c r="P56" i="106"/>
  <c r="O54" i="106"/>
  <c r="L46" i="106"/>
  <c r="M19" i="106"/>
  <c r="L49" i="105"/>
  <c r="L55" i="101"/>
  <c r="M54" i="101"/>
  <c r="L52" i="101"/>
  <c r="L55" i="102"/>
  <c r="M54" i="102"/>
  <c r="L49" i="102"/>
  <c r="P56" i="103"/>
  <c r="L54" i="103"/>
  <c r="L52" i="103"/>
  <c r="M51" i="103"/>
  <c r="M19" i="103"/>
  <c r="I54" i="106"/>
  <c r="P53" i="106"/>
  <c r="I51" i="101"/>
  <c r="I50" i="102"/>
  <c r="L53" i="105"/>
  <c r="M19" i="105"/>
  <c r="L14" i="105"/>
  <c r="M13" i="105" s="1"/>
  <c r="I50" i="106"/>
  <c r="P56" i="101"/>
  <c r="O50" i="101"/>
  <c r="P49" i="101"/>
  <c r="L47" i="101"/>
  <c r="L57" i="101"/>
  <c r="L60" i="101" s="1"/>
  <c r="L61" i="101" s="1"/>
  <c r="M49" i="102"/>
  <c r="J57" i="102"/>
  <c r="P51" i="103"/>
  <c r="M49" i="103"/>
  <c r="L14" i="103"/>
  <c r="P57" i="104"/>
  <c r="L49" i="104"/>
  <c r="M51" i="105"/>
  <c r="L48" i="105"/>
  <c r="J53" i="106"/>
  <c r="P52" i="106"/>
  <c r="O51" i="101"/>
  <c r="M45" i="101"/>
  <c r="M42" i="101" s="1"/>
  <c r="L50" i="102"/>
  <c r="O14" i="102"/>
  <c r="P13" i="102" s="1"/>
  <c r="P55" i="103"/>
  <c r="M53" i="103"/>
  <c r="M46" i="105"/>
  <c r="L56" i="101"/>
  <c r="I48" i="103"/>
  <c r="O48" i="103"/>
  <c r="J56" i="105"/>
  <c r="P56" i="105"/>
  <c r="J46" i="101"/>
  <c r="J42" i="101" s="1"/>
  <c r="P46" i="101"/>
  <c r="P42" i="101" s="1"/>
  <c r="J52" i="103"/>
  <c r="P52" i="103"/>
  <c r="L14" i="104"/>
  <c r="M13" i="104" s="1"/>
  <c r="O14" i="104"/>
  <c r="P13" i="104" s="1"/>
  <c r="M56" i="105"/>
  <c r="I55" i="106"/>
  <c r="L55" i="106"/>
  <c r="I47" i="106"/>
  <c r="L47" i="106"/>
  <c r="O54" i="102"/>
  <c r="I54" i="102"/>
  <c r="L54" i="102"/>
  <c r="O46" i="102"/>
  <c r="I46" i="102"/>
  <c r="L46" i="102"/>
  <c r="P13" i="103"/>
  <c r="I49" i="106"/>
  <c r="O49" i="106"/>
  <c r="P55" i="101"/>
  <c r="M51" i="101"/>
  <c r="M49" i="101"/>
  <c r="O55" i="101"/>
  <c r="I46" i="101"/>
  <c r="O46" i="101"/>
  <c r="J53" i="102"/>
  <c r="P53" i="102"/>
  <c r="M52" i="103"/>
  <c r="I50" i="103"/>
  <c r="L50" i="103"/>
  <c r="L48" i="103"/>
  <c r="I56" i="104"/>
  <c r="O56" i="104"/>
  <c r="I55" i="105"/>
  <c r="L55" i="105"/>
  <c r="I53" i="106"/>
  <c r="O53" i="106"/>
  <c r="O53" i="103"/>
  <c r="I53" i="103"/>
  <c r="L53" i="103"/>
  <c r="I57" i="104"/>
  <c r="O57" i="104"/>
  <c r="I53" i="104"/>
  <c r="O53" i="104"/>
  <c r="I52" i="105"/>
  <c r="O52" i="105"/>
  <c r="I46" i="105"/>
  <c r="O46" i="105"/>
  <c r="I51" i="106"/>
  <c r="L51" i="106"/>
  <c r="P57" i="102"/>
  <c r="L51" i="102"/>
  <c r="O49" i="102"/>
  <c r="P48" i="102"/>
  <c r="L14" i="102"/>
  <c r="M13" i="102" s="1"/>
  <c r="M55" i="103"/>
  <c r="I49" i="103"/>
  <c r="P48" i="103"/>
  <c r="L46" i="103"/>
  <c r="I54" i="104"/>
  <c r="P53" i="104"/>
  <c r="O49" i="104"/>
  <c r="I53" i="105"/>
  <c r="P52" i="105"/>
  <c r="M50" i="105"/>
  <c r="O48" i="105"/>
  <c r="P47" i="105"/>
  <c r="I47" i="105"/>
  <c r="P46" i="105"/>
  <c r="J56" i="106"/>
  <c r="J52" i="106"/>
  <c r="J48" i="106"/>
  <c r="M57" i="102"/>
  <c r="M56" i="102"/>
  <c r="M48" i="102"/>
  <c r="J19" i="102"/>
  <c r="M57" i="103"/>
  <c r="M13" i="103"/>
  <c r="I57" i="105"/>
  <c r="M54" i="105"/>
  <c r="J19" i="105"/>
  <c r="P13" i="105"/>
  <c r="L57" i="106"/>
  <c r="P19" i="103"/>
  <c r="R20" i="103"/>
  <c r="M54" i="106"/>
  <c r="M50" i="106"/>
  <c r="M46" i="106"/>
  <c r="L14" i="106"/>
  <c r="M13" i="106" s="1"/>
  <c r="I52" i="102"/>
  <c r="O52" i="102"/>
  <c r="O57" i="102"/>
  <c r="O56" i="102"/>
  <c r="N31" i="102"/>
  <c r="Y15" i="102"/>
  <c r="K31" i="102" s="1"/>
  <c r="J57" i="103"/>
  <c r="I57" i="103"/>
  <c r="M56" i="104"/>
  <c r="J56" i="104"/>
  <c r="P56" i="104"/>
  <c r="M52" i="104"/>
  <c r="J52" i="104"/>
  <c r="M48" i="104"/>
  <c r="J48" i="104"/>
  <c r="I54" i="105"/>
  <c r="O54" i="105"/>
  <c r="L54" i="105"/>
  <c r="I47" i="104"/>
  <c r="L47" i="104"/>
  <c r="O47" i="104"/>
  <c r="L57" i="105"/>
  <c r="M57" i="105"/>
  <c r="I57" i="102"/>
  <c r="L56" i="102"/>
  <c r="I55" i="102"/>
  <c r="P54" i="102"/>
  <c r="L52" i="102"/>
  <c r="I51" i="102"/>
  <c r="P50" i="102"/>
  <c r="I47" i="102"/>
  <c r="P46" i="102"/>
  <c r="Y14" i="102"/>
  <c r="K30" i="102" s="1"/>
  <c r="I55" i="103"/>
  <c r="O55" i="103"/>
  <c r="J54" i="103"/>
  <c r="P54" i="103"/>
  <c r="I51" i="103"/>
  <c r="O51" i="103"/>
  <c r="J50" i="103"/>
  <c r="P50" i="103"/>
  <c r="I47" i="103"/>
  <c r="O47" i="103"/>
  <c r="J46" i="103"/>
  <c r="P46" i="103"/>
  <c r="M57" i="104"/>
  <c r="N10" i="105"/>
  <c r="O10" i="105" s="1"/>
  <c r="N32" i="105"/>
  <c r="N31" i="105"/>
  <c r="N30" i="105"/>
  <c r="N33" i="105"/>
  <c r="I48" i="102"/>
  <c r="O48" i="102"/>
  <c r="N10" i="102"/>
  <c r="O10" i="102" s="1"/>
  <c r="N32" i="102"/>
  <c r="I55" i="104"/>
  <c r="L55" i="104"/>
  <c r="O55" i="104"/>
  <c r="I51" i="104"/>
  <c r="L51" i="104"/>
  <c r="O51" i="104"/>
  <c r="N33" i="106"/>
  <c r="N10" i="106"/>
  <c r="O10" i="106" s="1"/>
  <c r="N32" i="106"/>
  <c r="P56" i="102"/>
  <c r="J55" i="102"/>
  <c r="P55" i="102"/>
  <c r="J51" i="102"/>
  <c r="P51" i="102"/>
  <c r="J47" i="102"/>
  <c r="P47" i="102"/>
  <c r="Y17" i="102"/>
  <c r="K33" i="102" s="1"/>
  <c r="X14" i="102"/>
  <c r="H30" i="102" s="1"/>
  <c r="N9" i="102"/>
  <c r="O9" i="102" s="1"/>
  <c r="L55" i="103"/>
  <c r="L51" i="103"/>
  <c r="L47" i="103"/>
  <c r="J7" i="103"/>
  <c r="H71" i="103"/>
  <c r="J70" i="103" s="1"/>
  <c r="J54" i="104"/>
  <c r="P54" i="104"/>
  <c r="P52" i="104"/>
  <c r="J50" i="104"/>
  <c r="P50" i="104"/>
  <c r="P48" i="104"/>
  <c r="J46" i="104"/>
  <c r="P46" i="104"/>
  <c r="J7" i="104"/>
  <c r="I50" i="105"/>
  <c r="O50" i="105"/>
  <c r="L50" i="105"/>
  <c r="O54" i="103"/>
  <c r="P53" i="103"/>
  <c r="O50" i="103"/>
  <c r="P49" i="103"/>
  <c r="O46" i="103"/>
  <c r="L57" i="104"/>
  <c r="J55" i="104"/>
  <c r="P55" i="104"/>
  <c r="J51" i="104"/>
  <c r="P51" i="104"/>
  <c r="J47" i="104"/>
  <c r="P47" i="104"/>
  <c r="Y17" i="104"/>
  <c r="K33" i="104" s="1"/>
  <c r="K9" i="105"/>
  <c r="L9" i="105" s="1"/>
  <c r="L10" i="105"/>
  <c r="J7" i="105"/>
  <c r="H71" i="105"/>
  <c r="J70" i="105" s="1"/>
  <c r="N10" i="103"/>
  <c r="K9" i="103"/>
  <c r="L9" i="103" s="1"/>
  <c r="I52" i="104"/>
  <c r="O52" i="104"/>
  <c r="I48" i="104"/>
  <c r="O48" i="104"/>
  <c r="N10" i="104"/>
  <c r="O10" i="104" s="1"/>
  <c r="N32" i="104"/>
  <c r="Y16" i="105"/>
  <c r="K32" i="105" s="1"/>
  <c r="Y15" i="105"/>
  <c r="K31" i="105" s="1"/>
  <c r="Y14" i="105"/>
  <c r="K30" i="105" s="1"/>
  <c r="L10" i="106"/>
  <c r="K9" i="106"/>
  <c r="L9" i="106" s="1"/>
  <c r="N57" i="103"/>
  <c r="L56" i="104"/>
  <c r="L52" i="104"/>
  <c r="L48" i="104"/>
  <c r="N30" i="104"/>
  <c r="Y14" i="104"/>
  <c r="K30" i="104" s="1"/>
  <c r="L10" i="104"/>
  <c r="J53" i="105"/>
  <c r="P53" i="105"/>
  <c r="J49" i="105"/>
  <c r="P49" i="105"/>
  <c r="Y17" i="105"/>
  <c r="K33" i="105" s="1"/>
  <c r="N57" i="105"/>
  <c r="J57" i="105"/>
  <c r="O55" i="105"/>
  <c r="P54" i="105"/>
  <c r="O51" i="105"/>
  <c r="P50" i="105"/>
  <c r="X15" i="105"/>
  <c r="H31" i="105" s="1"/>
  <c r="X14" i="105"/>
  <c r="H30" i="105" s="1"/>
  <c r="I56" i="106"/>
  <c r="O56" i="106"/>
  <c r="J55" i="106"/>
  <c r="P55" i="106"/>
  <c r="I52" i="106"/>
  <c r="O52" i="106"/>
  <c r="J51" i="106"/>
  <c r="P51" i="106"/>
  <c r="I48" i="106"/>
  <c r="O48" i="106"/>
  <c r="J47" i="106"/>
  <c r="P47" i="106"/>
  <c r="J19" i="106"/>
  <c r="H57" i="106"/>
  <c r="P13" i="106"/>
  <c r="X16" i="106"/>
  <c r="H32" i="106" s="1"/>
  <c r="X15" i="106"/>
  <c r="H31" i="106" s="1"/>
  <c r="X14" i="106"/>
  <c r="H30" i="106" s="1"/>
  <c r="N57" i="106"/>
  <c r="J7" i="106"/>
  <c r="H71" i="106"/>
  <c r="J70" i="106" s="1"/>
  <c r="O55" i="106"/>
  <c r="P54" i="106"/>
  <c r="O51" i="106"/>
  <c r="P50" i="106"/>
  <c r="O47" i="106"/>
  <c r="P46" i="106"/>
  <c r="I54" i="101"/>
  <c r="O54" i="101"/>
  <c r="O53" i="101"/>
  <c r="I53" i="101"/>
  <c r="L53" i="101"/>
  <c r="J52" i="101"/>
  <c r="P52" i="101"/>
  <c r="Z14" i="101"/>
  <c r="N29" i="101" s="1"/>
  <c r="Z13" i="101"/>
  <c r="N28" i="101" s="1"/>
  <c r="Z16" i="101"/>
  <c r="N31" i="101" s="1"/>
  <c r="M52" i="101"/>
  <c r="I49" i="101"/>
  <c r="O49" i="101"/>
  <c r="L54" i="101"/>
  <c r="L49" i="101"/>
  <c r="J48" i="101"/>
  <c r="P48" i="101"/>
  <c r="I45" i="101"/>
  <c r="O45" i="101"/>
  <c r="Z15" i="101"/>
  <c r="N30" i="101" s="1"/>
  <c r="Y16" i="101"/>
  <c r="K31" i="101" s="1"/>
  <c r="L48" i="101"/>
  <c r="O52" i="101"/>
  <c r="P51" i="101"/>
  <c r="O48" i="101"/>
  <c r="H71" i="102" l="1"/>
  <c r="J70" i="102" s="1"/>
  <c r="I58" i="103"/>
  <c r="I61" i="103" s="1"/>
  <c r="I62" i="103" s="1"/>
  <c r="S20" i="103"/>
  <c r="S20" i="105"/>
  <c r="R20" i="104"/>
  <c r="R20" i="102"/>
  <c r="S20" i="102"/>
  <c r="S20" i="106"/>
  <c r="R20" i="105"/>
  <c r="S20" i="104"/>
  <c r="M43" i="105"/>
  <c r="I57" i="101"/>
  <c r="I60" i="101" s="1"/>
  <c r="I61" i="101" s="1"/>
  <c r="R20" i="106"/>
  <c r="M43" i="102"/>
  <c r="M43" i="103"/>
  <c r="J43" i="104"/>
  <c r="L58" i="106"/>
  <c r="L61" i="106" s="1"/>
  <c r="L62" i="106" s="1"/>
  <c r="L58" i="105"/>
  <c r="L61" i="105" s="1"/>
  <c r="L62" i="105" s="1"/>
  <c r="J43" i="103"/>
  <c r="M43" i="106"/>
  <c r="I58" i="105"/>
  <c r="I61" i="105" s="1"/>
  <c r="I62" i="105" s="1"/>
  <c r="I58" i="104"/>
  <c r="I61" i="104" s="1"/>
  <c r="I62" i="104" s="1"/>
  <c r="P19" i="106"/>
  <c r="M43" i="104"/>
  <c r="O57" i="101"/>
  <c r="O60" i="101" s="1"/>
  <c r="O61" i="101" s="1"/>
  <c r="J43" i="105"/>
  <c r="L58" i="103"/>
  <c r="L61" i="103" s="1"/>
  <c r="L62" i="103" s="1"/>
  <c r="L58" i="102"/>
  <c r="L61" i="102" s="1"/>
  <c r="L62" i="102" s="1"/>
  <c r="T20" i="103"/>
  <c r="J43" i="102"/>
  <c r="O58" i="102"/>
  <c r="O61" i="102" s="1"/>
  <c r="O62" i="102" s="1"/>
  <c r="M7" i="103"/>
  <c r="K71" i="103"/>
  <c r="M70" i="103" s="1"/>
  <c r="M7" i="105"/>
  <c r="K71" i="105"/>
  <c r="M70" i="105" s="1"/>
  <c r="P43" i="104"/>
  <c r="P7" i="102"/>
  <c r="N71" i="102"/>
  <c r="P70" i="102" s="1"/>
  <c r="K71" i="104"/>
  <c r="M70" i="104" s="1"/>
  <c r="I58" i="102"/>
  <c r="I61" i="102" s="1"/>
  <c r="I62" i="102" s="1"/>
  <c r="L58" i="104"/>
  <c r="L61" i="104" s="1"/>
  <c r="L62" i="104" s="1"/>
  <c r="M7" i="104"/>
  <c r="N9" i="103"/>
  <c r="O10" i="103"/>
  <c r="P57" i="105"/>
  <c r="P43" i="105" s="1"/>
  <c r="O57" i="105"/>
  <c r="O58" i="105" s="1"/>
  <c r="O61" i="105" s="1"/>
  <c r="O62" i="105" s="1"/>
  <c r="N9" i="105"/>
  <c r="P19" i="102"/>
  <c r="J57" i="106"/>
  <c r="J43" i="106" s="1"/>
  <c r="I57" i="106"/>
  <c r="I58" i="106" s="1"/>
  <c r="I61" i="106" s="1"/>
  <c r="I62" i="106" s="1"/>
  <c r="O57" i="103"/>
  <c r="O58" i="103" s="1"/>
  <c r="O61" i="103" s="1"/>
  <c r="O62" i="103" s="1"/>
  <c r="P57" i="103"/>
  <c r="P43" i="103" s="1"/>
  <c r="T20" i="104"/>
  <c r="O57" i="106"/>
  <c r="O58" i="106" s="1"/>
  <c r="O61" i="106" s="1"/>
  <c r="O62" i="106" s="1"/>
  <c r="P57" i="106"/>
  <c r="P43" i="106" s="1"/>
  <c r="M7" i="106"/>
  <c r="K71" i="106"/>
  <c r="M70" i="106" s="1"/>
  <c r="N9" i="106"/>
  <c r="P19" i="105"/>
  <c r="P43" i="102"/>
  <c r="O58" i="104"/>
  <c r="O61" i="104" s="1"/>
  <c r="O62" i="104" s="1"/>
  <c r="N9" i="104"/>
  <c r="T20" i="102" l="1"/>
  <c r="T20" i="105"/>
  <c r="T20" i="106"/>
  <c r="O9" i="103"/>
  <c r="O9" i="104"/>
  <c r="O9" i="105"/>
  <c r="O9" i="106"/>
  <c r="P7" i="106" l="1"/>
  <c r="N71" i="106"/>
  <c r="P70" i="106" s="1"/>
  <c r="P7" i="104"/>
  <c r="N71" i="104"/>
  <c r="P70" i="104" s="1"/>
  <c r="P7" i="103"/>
  <c r="N71" i="103"/>
  <c r="P70" i="103" s="1"/>
  <c r="P7" i="105"/>
  <c r="N71" i="105"/>
  <c r="P70" i="105" s="1"/>
  <c r="A28" i="99" l="1"/>
  <c r="A29" i="99"/>
  <c r="A30" i="99"/>
  <c r="A31" i="99"/>
  <c r="A32" i="99"/>
  <c r="A33" i="99"/>
  <c r="A34" i="99"/>
  <c r="A35" i="99"/>
  <c r="A36" i="99"/>
  <c r="A27" i="99"/>
  <c r="A22" i="99"/>
  <c r="A23" i="99"/>
  <c r="A24" i="99"/>
  <c r="A25" i="99"/>
  <c r="A26" i="99"/>
  <c r="A13" i="99"/>
  <c r="A14" i="99"/>
  <c r="A15" i="99"/>
  <c r="A16" i="99"/>
  <c r="A17" i="99"/>
  <c r="A18" i="99"/>
  <c r="A19" i="99"/>
  <c r="A20" i="99"/>
  <c r="A21" i="99"/>
  <c r="A7" i="99"/>
  <c r="A8" i="99"/>
  <c r="A9" i="99"/>
  <c r="A10" i="99"/>
  <c r="A11" i="99"/>
  <c r="A12" i="99"/>
  <c r="A6" i="99"/>
  <c r="B5" i="99"/>
  <c r="I6" i="99"/>
  <c r="K6" i="99" s="1"/>
  <c r="I7" i="99"/>
  <c r="I8" i="99"/>
  <c r="I9" i="99"/>
  <c r="I10" i="99"/>
  <c r="I11"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3" i="99"/>
  <c r="I74" i="99"/>
  <c r="I75" i="99"/>
  <c r="I76" i="99"/>
  <c r="I77" i="99"/>
  <c r="I78" i="99"/>
  <c r="I79" i="99"/>
  <c r="I80" i="99"/>
  <c r="I81" i="99"/>
  <c r="I82" i="99"/>
  <c r="I83" i="99"/>
  <c r="I84" i="99"/>
  <c r="I85" i="99"/>
  <c r="I86" i="99"/>
  <c r="M6" i="96" l="1"/>
  <c r="M8" i="96"/>
  <c r="W8" i="96"/>
  <c r="C99" i="96" s="1"/>
  <c r="M9" i="96"/>
  <c r="F10" i="96"/>
  <c r="M10" i="96"/>
  <c r="W10" i="96"/>
  <c r="F11" i="96"/>
  <c r="T12" i="96"/>
  <c r="T23" i="96"/>
  <c r="P25" i="96"/>
  <c r="T26" i="96"/>
  <c r="W26" i="96"/>
  <c r="Q27" i="96"/>
  <c r="T27" i="96"/>
  <c r="T28" i="96"/>
  <c r="B31" i="96"/>
  <c r="E31" i="96"/>
  <c r="B32" i="96"/>
  <c r="E32" i="96"/>
  <c r="B33" i="96"/>
  <c r="E33" i="96"/>
  <c r="B34" i="96"/>
  <c r="E34" i="96"/>
  <c r="M34" i="96"/>
  <c r="B35" i="96"/>
  <c r="E35" i="96"/>
  <c r="B36" i="96"/>
  <c r="E36" i="96"/>
  <c r="B37" i="96"/>
  <c r="E37" i="96"/>
  <c r="B39" i="96"/>
  <c r="E39" i="96"/>
  <c r="B40" i="96"/>
  <c r="E40" i="96"/>
  <c r="B41" i="96"/>
  <c r="E41" i="96"/>
  <c r="J41" i="96"/>
  <c r="Q42" i="96"/>
  <c r="T42" i="96"/>
  <c r="T45" i="96"/>
  <c r="Q46" i="96"/>
  <c r="T46" i="96"/>
  <c r="T49" i="96"/>
  <c r="T50" i="96"/>
  <c r="Q51" i="96"/>
  <c r="T51" i="96"/>
  <c r="T52" i="96"/>
  <c r="P53" i="96"/>
  <c r="T53" i="96" s="1"/>
  <c r="T54" i="96"/>
  <c r="D57" i="96"/>
  <c r="B64" i="96"/>
  <c r="E64" i="96"/>
  <c r="B65" i="96"/>
  <c r="E65" i="96"/>
  <c r="B66" i="96"/>
  <c r="E66" i="96"/>
  <c r="B67" i="96"/>
  <c r="E67" i="96"/>
  <c r="B68" i="96"/>
  <c r="E68" i="96"/>
  <c r="B69" i="96"/>
  <c r="E69" i="96"/>
  <c r="B71" i="96"/>
  <c r="E71" i="96"/>
  <c r="B72" i="96"/>
  <c r="E72" i="96"/>
  <c r="B73" i="96"/>
  <c r="E73" i="96"/>
  <c r="D77" i="96"/>
  <c r="O77" i="96"/>
  <c r="D82" i="96"/>
  <c r="O82" i="96"/>
  <c r="B86" i="96"/>
  <c r="B87" i="96"/>
  <c r="B89" i="96" s="1"/>
  <c r="B88" i="96"/>
  <c r="D92" i="96"/>
  <c r="O92" i="96"/>
  <c r="T97" i="96"/>
  <c r="K99" i="96"/>
  <c r="D109" i="96" s="1"/>
  <c r="K100" i="96"/>
  <c r="C106" i="96"/>
  <c r="C107" i="96"/>
  <c r="C108" i="96"/>
  <c r="C109" i="96"/>
  <c r="I5" i="95"/>
  <c r="P5" i="95"/>
  <c r="I6" i="95"/>
  <c r="P6" i="95"/>
  <c r="I7" i="95"/>
  <c r="I8" i="95"/>
  <c r="P8" i="95"/>
  <c r="I9" i="95"/>
  <c r="P9" i="95"/>
  <c r="I10" i="95"/>
  <c r="P10" i="95"/>
  <c r="I11" i="95"/>
  <c r="P11" i="95"/>
  <c r="I12" i="95"/>
  <c r="P12" i="95"/>
  <c r="I13" i="95"/>
  <c r="I14" i="95"/>
  <c r="P14" i="95"/>
  <c r="I15" i="95"/>
  <c r="P15" i="95"/>
  <c r="I16" i="95"/>
  <c r="P16" i="95"/>
  <c r="I17" i="95"/>
  <c r="P17" i="95"/>
  <c r="I18" i="95"/>
  <c r="P18" i="95"/>
  <c r="I19" i="95"/>
  <c r="P19" i="95"/>
  <c r="I20" i="95"/>
  <c r="P20" i="95"/>
  <c r="I21" i="95"/>
  <c r="P21" i="95"/>
  <c r="I22" i="95"/>
  <c r="P22" i="95"/>
  <c r="I23" i="95"/>
  <c r="P23" i="95"/>
  <c r="I24" i="95"/>
  <c r="P24" i="95"/>
  <c r="I25" i="95"/>
  <c r="P25" i="95"/>
  <c r="I26" i="95"/>
  <c r="P26" i="95"/>
  <c r="D27" i="95"/>
  <c r="E27" i="95"/>
  <c r="F27" i="95"/>
  <c r="G27" i="95"/>
  <c r="H27" i="95"/>
  <c r="P27" i="95"/>
  <c r="I28" i="95"/>
  <c r="P28" i="95"/>
  <c r="I29" i="95"/>
  <c r="P29" i="95"/>
  <c r="I30" i="95"/>
  <c r="I31" i="95"/>
  <c r="P31" i="95"/>
  <c r="I32" i="95"/>
  <c r="P32" i="95"/>
  <c r="I33" i="95"/>
  <c r="P33" i="95"/>
  <c r="I34" i="95"/>
  <c r="P34" i="95"/>
  <c r="I35" i="95"/>
  <c r="P35" i="95"/>
  <c r="I36" i="95"/>
  <c r="P36" i="95"/>
  <c r="I37" i="95"/>
  <c r="P37" i="95"/>
  <c r="I38" i="95"/>
  <c r="P38" i="95"/>
  <c r="I39" i="95"/>
  <c r="P39" i="95"/>
  <c r="I97" i="95"/>
  <c r="O7" i="95" s="1"/>
  <c r="P7" i="95" s="1"/>
  <c r="I101" i="95"/>
  <c r="O13" i="95" s="1"/>
  <c r="P13" i="95" s="1"/>
  <c r="I104" i="95"/>
  <c r="I109" i="95"/>
  <c r="O30" i="95" s="1"/>
  <c r="P30" i="95" s="1"/>
  <c r="H5" i="94"/>
  <c r="N5" i="94"/>
  <c r="H6" i="94"/>
  <c r="N6" i="94"/>
  <c r="H7" i="94"/>
  <c r="H8" i="94"/>
  <c r="N8" i="94"/>
  <c r="H9" i="94"/>
  <c r="N9" i="94"/>
  <c r="H10" i="94"/>
  <c r="N10" i="94"/>
  <c r="H11" i="94"/>
  <c r="N11" i="94"/>
  <c r="H12" i="94"/>
  <c r="N12" i="94"/>
  <c r="H13" i="94"/>
  <c r="H14" i="94"/>
  <c r="N14" i="94"/>
  <c r="H15" i="94"/>
  <c r="N15" i="94"/>
  <c r="H16" i="94"/>
  <c r="N16" i="94"/>
  <c r="H17" i="94"/>
  <c r="N17" i="94"/>
  <c r="H18" i="94"/>
  <c r="N18" i="94"/>
  <c r="H19" i="94"/>
  <c r="N19" i="94"/>
  <c r="H20" i="94"/>
  <c r="N20" i="94"/>
  <c r="H21" i="94"/>
  <c r="N21" i="94"/>
  <c r="H22" i="94"/>
  <c r="N22" i="94"/>
  <c r="H23" i="94"/>
  <c r="N23" i="94"/>
  <c r="H24" i="94"/>
  <c r="N24" i="94"/>
  <c r="H25" i="94"/>
  <c r="N25" i="94"/>
  <c r="H26" i="94"/>
  <c r="N26" i="94"/>
  <c r="H27" i="94"/>
  <c r="N27" i="94"/>
  <c r="H28" i="94"/>
  <c r="N28" i="94"/>
  <c r="H29" i="94"/>
  <c r="N29" i="94"/>
  <c r="H30" i="94"/>
  <c r="H31" i="94"/>
  <c r="N31" i="94"/>
  <c r="H32" i="94"/>
  <c r="N32" i="94"/>
  <c r="H33" i="94"/>
  <c r="N33" i="94"/>
  <c r="H34" i="94"/>
  <c r="N34" i="94"/>
  <c r="H35" i="94"/>
  <c r="N35" i="94"/>
  <c r="H36" i="94"/>
  <c r="N36" i="94"/>
  <c r="H37" i="94"/>
  <c r="N37" i="94"/>
  <c r="I38" i="94"/>
  <c r="P38" i="94"/>
  <c r="I39" i="94"/>
  <c r="P39" i="94"/>
  <c r="I97" i="94"/>
  <c r="M7" i="94" s="1"/>
  <c r="N7" i="94" s="1"/>
  <c r="I101" i="94"/>
  <c r="M13" i="94" s="1"/>
  <c r="N13" i="94" s="1"/>
  <c r="I109" i="94"/>
  <c r="M30" i="94" s="1"/>
  <c r="N30" i="94" s="1"/>
  <c r="G5" i="93"/>
  <c r="L5" i="93"/>
  <c r="G6" i="93"/>
  <c r="L6" i="93"/>
  <c r="G7" i="93"/>
  <c r="G8" i="93"/>
  <c r="L8" i="93"/>
  <c r="G9" i="93"/>
  <c r="L9" i="93"/>
  <c r="G10" i="93"/>
  <c r="L10" i="93"/>
  <c r="G11" i="93"/>
  <c r="L11" i="93"/>
  <c r="G12" i="93"/>
  <c r="L12" i="93"/>
  <c r="G13" i="93"/>
  <c r="G14" i="93"/>
  <c r="L14" i="93"/>
  <c r="G15" i="93"/>
  <c r="L15" i="93"/>
  <c r="G16" i="93"/>
  <c r="L16" i="93"/>
  <c r="G17" i="93"/>
  <c r="L17" i="93"/>
  <c r="G18" i="93"/>
  <c r="L18" i="93"/>
  <c r="G19" i="93"/>
  <c r="L19" i="93"/>
  <c r="G20" i="93"/>
  <c r="L20" i="93"/>
  <c r="G21" i="93"/>
  <c r="L21" i="93"/>
  <c r="G22" i="93"/>
  <c r="L22" i="93"/>
  <c r="G23" i="93"/>
  <c r="L23" i="93"/>
  <c r="G24" i="93"/>
  <c r="L24" i="93"/>
  <c r="G25" i="93"/>
  <c r="L25" i="93"/>
  <c r="G26" i="93"/>
  <c r="L26" i="93"/>
  <c r="G27" i="93"/>
  <c r="L27" i="93"/>
  <c r="G28" i="93"/>
  <c r="L28" i="93"/>
  <c r="G29" i="93"/>
  <c r="L29" i="93"/>
  <c r="G30" i="93"/>
  <c r="G31" i="93"/>
  <c r="L31" i="93"/>
  <c r="G32" i="93"/>
  <c r="L32" i="93"/>
  <c r="G33" i="93"/>
  <c r="L33" i="93"/>
  <c r="G34" i="93"/>
  <c r="L34" i="93"/>
  <c r="G35" i="93"/>
  <c r="L35" i="93"/>
  <c r="G36" i="93"/>
  <c r="L36" i="93"/>
  <c r="G37" i="93"/>
  <c r="L37" i="93"/>
  <c r="I38" i="93"/>
  <c r="P38" i="93"/>
  <c r="I39" i="93"/>
  <c r="P39" i="93"/>
  <c r="I97" i="93"/>
  <c r="K7" i="93" s="1"/>
  <c r="L7" i="93" s="1"/>
  <c r="I101" i="93"/>
  <c r="K13" i="93" s="1"/>
  <c r="L13" i="93" s="1"/>
  <c r="I109" i="93"/>
  <c r="K30" i="93" s="1"/>
  <c r="L30" i="93" s="1"/>
  <c r="F5" i="92"/>
  <c r="J5" i="92"/>
  <c r="F6" i="92"/>
  <c r="J6" i="92"/>
  <c r="F7" i="92"/>
  <c r="F8" i="92"/>
  <c r="J8" i="92"/>
  <c r="F9" i="92"/>
  <c r="J9" i="92"/>
  <c r="F10" i="92"/>
  <c r="J10" i="92"/>
  <c r="F11" i="92"/>
  <c r="J11" i="92"/>
  <c r="F12" i="92"/>
  <c r="J12" i="92"/>
  <c r="F13" i="92"/>
  <c r="F14" i="92"/>
  <c r="J14" i="92"/>
  <c r="F15" i="92"/>
  <c r="J15" i="92"/>
  <c r="F16" i="92"/>
  <c r="J16" i="92"/>
  <c r="F17" i="92"/>
  <c r="J17" i="92"/>
  <c r="F18" i="92"/>
  <c r="J18" i="92"/>
  <c r="F19" i="92"/>
  <c r="J19" i="92"/>
  <c r="F20" i="92"/>
  <c r="J20" i="92"/>
  <c r="F21" i="92"/>
  <c r="J21" i="92"/>
  <c r="F22" i="92"/>
  <c r="J22" i="92"/>
  <c r="F23" i="92"/>
  <c r="J23" i="92"/>
  <c r="F24" i="92"/>
  <c r="J24" i="92"/>
  <c r="F25" i="92"/>
  <c r="J25" i="92"/>
  <c r="F26" i="92"/>
  <c r="J26" i="92"/>
  <c r="F27" i="92"/>
  <c r="J27" i="92"/>
  <c r="F28" i="92"/>
  <c r="J28" i="92"/>
  <c r="F29" i="92"/>
  <c r="J29" i="92"/>
  <c r="F30" i="92"/>
  <c r="F31" i="92"/>
  <c r="J31" i="92"/>
  <c r="F32" i="92"/>
  <c r="J32" i="92"/>
  <c r="F33" i="92"/>
  <c r="J33" i="92"/>
  <c r="F34" i="92"/>
  <c r="J34" i="92"/>
  <c r="F35" i="92"/>
  <c r="J35" i="92"/>
  <c r="F36" i="92"/>
  <c r="J36" i="92"/>
  <c r="F37" i="92"/>
  <c r="J37" i="92"/>
  <c r="I38" i="92"/>
  <c r="J38" i="92" s="1"/>
  <c r="P38" i="92"/>
  <c r="I39" i="92"/>
  <c r="J39" i="92" s="1"/>
  <c r="P39" i="92"/>
  <c r="I97" i="92"/>
  <c r="I7" i="92" s="1"/>
  <c r="J7" i="92" s="1"/>
  <c r="I101" i="92"/>
  <c r="I13" i="92" s="1"/>
  <c r="J13" i="92" s="1"/>
  <c r="I109" i="92"/>
  <c r="I30" i="92" s="1"/>
  <c r="J30" i="92" s="1"/>
  <c r="I27" i="95" l="1"/>
  <c r="R24" i="95"/>
  <c r="S13" i="95"/>
  <c r="S30" i="95"/>
  <c r="S24" i="95"/>
  <c r="R13" i="95"/>
  <c r="D107" i="96"/>
  <c r="D108" i="96"/>
  <c r="S7" i="95"/>
  <c r="D106" i="96"/>
  <c r="T25" i="96"/>
  <c r="B44" i="96"/>
  <c r="R30" i="95"/>
  <c r="I106" i="96"/>
  <c r="B74" i="96"/>
  <c r="R7" i="95"/>
  <c r="W9" i="96"/>
  <c r="I109" i="96"/>
  <c r="I108" i="96"/>
  <c r="I107" i="96"/>
  <c r="C100" i="96" l="1"/>
  <c r="X10" i="96"/>
  <c r="B91" i="96"/>
  <c r="D13" i="96" l="1"/>
  <c r="P79" i="96" l="1"/>
  <c r="M86" i="96"/>
  <c r="M87" i="96"/>
  <c r="J86" i="96"/>
  <c r="P84" i="96" l="1"/>
  <c r="T84" i="96" s="1"/>
  <c r="T79" i="96"/>
  <c r="N3" i="91" l="1"/>
  <c r="P4" i="91"/>
  <c r="N30" i="91"/>
  <c r="I10" i="91"/>
  <c r="H11" i="91"/>
  <c r="K11" i="91"/>
  <c r="N11" i="91"/>
  <c r="I12" i="91"/>
  <c r="M12" i="91"/>
  <c r="O12" i="91"/>
  <c r="X12" i="91"/>
  <c r="Y12" i="91"/>
  <c r="Z12" i="91"/>
  <c r="L46" i="91"/>
  <c r="M46" i="91"/>
  <c r="M48" i="91"/>
  <c r="I49" i="91"/>
  <c r="M49" i="91"/>
  <c r="I50" i="91"/>
  <c r="M50" i="91"/>
  <c r="L52" i="91"/>
  <c r="M52" i="91"/>
  <c r="I53" i="91"/>
  <c r="J53" i="91"/>
  <c r="I54" i="91"/>
  <c r="M54" i="91"/>
  <c r="N3" i="90"/>
  <c r="P4" i="90"/>
  <c r="H9" i="90"/>
  <c r="DR6" i="21" s="1"/>
  <c r="K9" i="90"/>
  <c r="EO6" i="21" s="1"/>
  <c r="N9" i="90"/>
  <c r="FL6" i="21" s="1"/>
  <c r="I10" i="90"/>
  <c r="L10" i="90"/>
  <c r="O10" i="90"/>
  <c r="H11" i="90"/>
  <c r="K11" i="90"/>
  <c r="N11" i="90"/>
  <c r="M12" i="90"/>
  <c r="X12" i="90"/>
  <c r="Y12" i="90"/>
  <c r="Z12" i="90"/>
  <c r="L46" i="90"/>
  <c r="I47" i="90"/>
  <c r="J47" i="90"/>
  <c r="O48" i="90"/>
  <c r="L49" i="90"/>
  <c r="I51" i="90"/>
  <c r="M51" i="90"/>
  <c r="L52" i="90"/>
  <c r="L53" i="90"/>
  <c r="P54" i="90"/>
  <c r="I56" i="90"/>
  <c r="J56" i="90"/>
  <c r="R68" i="90"/>
  <c r="S68" i="90"/>
  <c r="T68" i="90"/>
  <c r="N3" i="89"/>
  <c r="P4" i="89"/>
  <c r="H9" i="89"/>
  <c r="DS6" i="21" s="1"/>
  <c r="K9" i="89"/>
  <c r="EP6" i="21" s="1"/>
  <c r="N9" i="89"/>
  <c r="FM6" i="21" s="1"/>
  <c r="I10" i="89"/>
  <c r="L10" i="89"/>
  <c r="O10" i="89"/>
  <c r="H11" i="89"/>
  <c r="K11" i="89"/>
  <c r="N11" i="89"/>
  <c r="I12" i="89"/>
  <c r="M12" i="89"/>
  <c r="O12" i="89"/>
  <c r="X12" i="89"/>
  <c r="Y12" i="89"/>
  <c r="Z12" i="89"/>
  <c r="O46" i="89"/>
  <c r="I48" i="89"/>
  <c r="O49" i="89"/>
  <c r="L51" i="89"/>
  <c r="M51" i="89"/>
  <c r="I52" i="89"/>
  <c r="P52" i="89"/>
  <c r="I53" i="89"/>
  <c r="M54" i="89"/>
  <c r="R68" i="89"/>
  <c r="S68" i="89"/>
  <c r="M67" i="89" s="1"/>
  <c r="EP18" i="21" s="1"/>
  <c r="T68" i="89"/>
  <c r="P4" i="87"/>
  <c r="H10" i="87"/>
  <c r="H9" i="87" s="1"/>
  <c r="DP6" i="21" s="1"/>
  <c r="K10" i="87"/>
  <c r="K9" i="87" s="1"/>
  <c r="EM6" i="21" s="1"/>
  <c r="N10" i="87"/>
  <c r="N9" i="87" s="1"/>
  <c r="FJ6" i="21" s="1"/>
  <c r="H11" i="87"/>
  <c r="K11" i="87"/>
  <c r="N11" i="87"/>
  <c r="I12" i="87"/>
  <c r="M12" i="87"/>
  <c r="O12" i="87"/>
  <c r="X12" i="87"/>
  <c r="Y12" i="87"/>
  <c r="Z12" i="87"/>
  <c r="O48" i="87"/>
  <c r="O49" i="87"/>
  <c r="L50" i="87"/>
  <c r="O52" i="87"/>
  <c r="L56" i="87"/>
  <c r="R68" i="87"/>
  <c r="S68" i="87"/>
  <c r="T68" i="87"/>
  <c r="P67" i="87" s="1"/>
  <c r="FJ18" i="21" s="1"/>
  <c r="P4" i="86"/>
  <c r="H9" i="86"/>
  <c r="DN6" i="21" s="1"/>
  <c r="K9" i="86"/>
  <c r="EK6" i="21" s="1"/>
  <c r="N9" i="86"/>
  <c r="FH6" i="21" s="1"/>
  <c r="I10" i="86"/>
  <c r="L10" i="86"/>
  <c r="O10" i="86"/>
  <c r="H11" i="86"/>
  <c r="I64" i="86" s="1"/>
  <c r="J60" i="86" s="1"/>
  <c r="K11" i="86"/>
  <c r="L64" i="86" s="1"/>
  <c r="M60" i="86" s="1"/>
  <c r="N11" i="86"/>
  <c r="O64" i="86" s="1"/>
  <c r="P60" i="86" s="1"/>
  <c r="I12" i="86"/>
  <c r="M12" i="86"/>
  <c r="O12" i="86"/>
  <c r="X12" i="86"/>
  <c r="Y12" i="86"/>
  <c r="Z12" i="86"/>
  <c r="I46" i="86"/>
  <c r="O47" i="86"/>
  <c r="L50" i="86"/>
  <c r="L51" i="86"/>
  <c r="I53" i="86"/>
  <c r="L54" i="86"/>
  <c r="L56" i="86"/>
  <c r="P4" i="85"/>
  <c r="H9" i="85"/>
  <c r="DO6" i="21" s="1"/>
  <c r="K9" i="85"/>
  <c r="EL6" i="21" s="1"/>
  <c r="N9" i="85"/>
  <c r="FI6" i="21" s="1"/>
  <c r="I10" i="85"/>
  <c r="L10" i="85"/>
  <c r="O10" i="85"/>
  <c r="H11" i="85"/>
  <c r="K11" i="85"/>
  <c r="N11" i="85"/>
  <c r="I12" i="85"/>
  <c r="M12" i="85"/>
  <c r="O12" i="85"/>
  <c r="X12" i="85"/>
  <c r="Y12" i="85"/>
  <c r="Z12" i="85"/>
  <c r="I46" i="85"/>
  <c r="L47" i="85"/>
  <c r="I50" i="85"/>
  <c r="I51" i="85"/>
  <c r="O52" i="85"/>
  <c r="L54" i="85"/>
  <c r="I56" i="85"/>
  <c r="J56" i="85"/>
  <c r="P4" i="84"/>
  <c r="J6" i="84"/>
  <c r="P6" i="84"/>
  <c r="K9" i="84"/>
  <c r="EJ6" i="21" s="1"/>
  <c r="I10" i="84"/>
  <c r="L10" i="84"/>
  <c r="O10" i="84"/>
  <c r="H11" i="84"/>
  <c r="H57" i="84" s="1"/>
  <c r="I57" i="84" s="1"/>
  <c r="K11" i="84"/>
  <c r="K57" i="84" s="1"/>
  <c r="L57" i="84" s="1"/>
  <c r="N11" i="84"/>
  <c r="N57" i="84" s="1"/>
  <c r="O57" i="84" s="1"/>
  <c r="I12" i="84"/>
  <c r="M12" i="84"/>
  <c r="O12" i="84"/>
  <c r="X12" i="84"/>
  <c r="Y12" i="84"/>
  <c r="Z12" i="84"/>
  <c r="L46" i="84"/>
  <c r="M46" i="84"/>
  <c r="L47" i="84"/>
  <c r="L48" i="84"/>
  <c r="L49" i="84"/>
  <c r="O53" i="84"/>
  <c r="I54" i="84"/>
  <c r="O56" i="84"/>
  <c r="P56" i="84"/>
  <c r="P4" i="83"/>
  <c r="J6" i="83"/>
  <c r="P6" i="83"/>
  <c r="K9" i="83"/>
  <c r="EI6" i="21" s="1"/>
  <c r="I10" i="83"/>
  <c r="L10" i="83"/>
  <c r="O10" i="83"/>
  <c r="H11" i="83"/>
  <c r="H57" i="83" s="1"/>
  <c r="I57" i="83" s="1"/>
  <c r="K11" i="83"/>
  <c r="K57" i="83" s="1"/>
  <c r="L57" i="83" s="1"/>
  <c r="N11" i="83"/>
  <c r="N57" i="83" s="1"/>
  <c r="O57" i="83" s="1"/>
  <c r="I12" i="83"/>
  <c r="M12" i="83"/>
  <c r="O12" i="83"/>
  <c r="X12" i="83"/>
  <c r="Y12" i="83"/>
  <c r="Z12" i="83"/>
  <c r="L47" i="83"/>
  <c r="L48" i="83"/>
  <c r="I49" i="83"/>
  <c r="L52" i="83"/>
  <c r="L53" i="83"/>
  <c r="L54" i="83"/>
  <c r="J56" i="83"/>
  <c r="P4" i="82"/>
  <c r="J6" i="82"/>
  <c r="P6" i="82"/>
  <c r="K9" i="82"/>
  <c r="EH6" i="21" s="1"/>
  <c r="I10" i="82"/>
  <c r="L10" i="82"/>
  <c r="O10" i="82"/>
  <c r="H11" i="82"/>
  <c r="H57" i="82" s="1"/>
  <c r="I57" i="82" s="1"/>
  <c r="K11" i="82"/>
  <c r="K57" i="82" s="1"/>
  <c r="L57" i="82" s="1"/>
  <c r="N11" i="82"/>
  <c r="N57" i="82" s="1"/>
  <c r="O57" i="82" s="1"/>
  <c r="I12" i="82"/>
  <c r="M12" i="82"/>
  <c r="O12" i="82"/>
  <c r="X12" i="82"/>
  <c r="Y12" i="82"/>
  <c r="Z12" i="82"/>
  <c r="I46" i="82"/>
  <c r="L47" i="82"/>
  <c r="L48" i="82"/>
  <c r="O51" i="82"/>
  <c r="O53" i="82"/>
  <c r="L56" i="82"/>
  <c r="J56" i="82"/>
  <c r="P4" i="81"/>
  <c r="J6" i="81"/>
  <c r="P6" i="81"/>
  <c r="K9" i="81"/>
  <c r="EG6" i="21" s="1"/>
  <c r="I10" i="81"/>
  <c r="L10" i="81"/>
  <c r="O10" i="81"/>
  <c r="H11" i="81"/>
  <c r="H57" i="81" s="1"/>
  <c r="I57" i="81" s="1"/>
  <c r="K11" i="81"/>
  <c r="K57" i="81" s="1"/>
  <c r="L57" i="81" s="1"/>
  <c r="N11" i="81"/>
  <c r="N57" i="81" s="1"/>
  <c r="O57" i="81" s="1"/>
  <c r="I12" i="81"/>
  <c r="M12" i="81"/>
  <c r="O12" i="81"/>
  <c r="S59" i="81"/>
  <c r="T59" i="81"/>
  <c r="U59" i="81"/>
  <c r="V59" i="81"/>
  <c r="N3" i="80"/>
  <c r="P4" i="80"/>
  <c r="J6" i="80"/>
  <c r="P6" i="80"/>
  <c r="K10" i="80"/>
  <c r="K9" i="80" s="1"/>
  <c r="EF6" i="21" s="1"/>
  <c r="K11" i="80"/>
  <c r="K57" i="80" s="1"/>
  <c r="L57" i="80" s="1"/>
  <c r="N11" i="80"/>
  <c r="N57" i="80" s="1"/>
  <c r="O57" i="80" s="1"/>
  <c r="I12" i="80"/>
  <c r="M12" i="80"/>
  <c r="O12" i="80"/>
  <c r="K31" i="80"/>
  <c r="N3" i="79"/>
  <c r="P4" i="79"/>
  <c r="J6" i="79"/>
  <c r="P6" i="79"/>
  <c r="K9" i="79"/>
  <c r="ED6" i="21" s="1"/>
  <c r="I10" i="79"/>
  <c r="L10" i="79"/>
  <c r="O10" i="79"/>
  <c r="H11" i="79"/>
  <c r="H57" i="79" s="1"/>
  <c r="I57" i="79" s="1"/>
  <c r="K11" i="79"/>
  <c r="K57" i="79" s="1"/>
  <c r="L57" i="79" s="1"/>
  <c r="I12" i="79"/>
  <c r="M12" i="79"/>
  <c r="O12" i="79"/>
  <c r="K32" i="79"/>
  <c r="N3" i="78"/>
  <c r="P4" i="78"/>
  <c r="J6" i="78"/>
  <c r="P6" i="78"/>
  <c r="K9" i="78"/>
  <c r="EC6" i="21" s="1"/>
  <c r="I10" i="78"/>
  <c r="L10" i="78"/>
  <c r="O10" i="78"/>
  <c r="H11" i="78"/>
  <c r="H57" i="78" s="1"/>
  <c r="I57" i="78" s="1"/>
  <c r="K11" i="78"/>
  <c r="K57" i="78" s="1"/>
  <c r="L57" i="78" s="1"/>
  <c r="N11" i="78"/>
  <c r="N57" i="78" s="1"/>
  <c r="O57" i="78" s="1"/>
  <c r="M12" i="78"/>
  <c r="K33" i="78"/>
  <c r="N3" i="77"/>
  <c r="P4" i="77"/>
  <c r="J6" i="77"/>
  <c r="P6" i="77"/>
  <c r="N11" i="77" s="1"/>
  <c r="N57" i="77" s="1"/>
  <c r="O57" i="77" s="1"/>
  <c r="EB6" i="21"/>
  <c r="L10" i="77"/>
  <c r="K11" i="77"/>
  <c r="K57" i="77" s="1"/>
  <c r="L57" i="77" s="1"/>
  <c r="Q11" i="77"/>
  <c r="I12" i="77"/>
  <c r="M12" i="77"/>
  <c r="O12" i="77"/>
  <c r="K31" i="77"/>
  <c r="N3" i="76"/>
  <c r="P4" i="76"/>
  <c r="J6" i="76"/>
  <c r="N53" i="76"/>
  <c r="O53" i="76" s="1"/>
  <c r="K9" i="76"/>
  <c r="EA6" i="21" s="1"/>
  <c r="I10" i="76"/>
  <c r="L10" i="76"/>
  <c r="O10" i="76"/>
  <c r="K11" i="76"/>
  <c r="K57" i="76" s="1"/>
  <c r="L57" i="76" s="1"/>
  <c r="N11" i="76"/>
  <c r="I12" i="76"/>
  <c r="O12" i="76"/>
  <c r="N3" i="75"/>
  <c r="P4" i="75"/>
  <c r="J6" i="75"/>
  <c r="K9" i="75"/>
  <c r="DZ6" i="21" s="1"/>
  <c r="N9" i="75"/>
  <c r="EW6" i="21" s="1"/>
  <c r="I10" i="75"/>
  <c r="L10" i="75"/>
  <c r="O10" i="75"/>
  <c r="H11" i="75"/>
  <c r="K11" i="75"/>
  <c r="N11" i="75"/>
  <c r="I12" i="75"/>
  <c r="M12" i="75"/>
  <c r="O12" i="75"/>
  <c r="N3" i="74"/>
  <c r="P4" i="74"/>
  <c r="H52" i="74"/>
  <c r="I52" i="74" s="1"/>
  <c r="K9" i="74"/>
  <c r="DY6" i="21" s="1"/>
  <c r="N9" i="74"/>
  <c r="EV6" i="21" s="1"/>
  <c r="I10" i="74"/>
  <c r="L10" i="74"/>
  <c r="O10" i="74"/>
  <c r="K11" i="74"/>
  <c r="K57" i="74" s="1"/>
  <c r="L57" i="74" s="1"/>
  <c r="N11" i="74"/>
  <c r="N57" i="74" s="1"/>
  <c r="O57" i="74" s="1"/>
  <c r="U11" i="74"/>
  <c r="I12" i="74"/>
  <c r="M12" i="74"/>
  <c r="O12" i="74"/>
  <c r="K31" i="74"/>
  <c r="N33" i="74"/>
  <c r="C210" i="74"/>
  <c r="C211" i="74"/>
  <c r="N3" i="73"/>
  <c r="P4" i="73"/>
  <c r="H9" i="73"/>
  <c r="DA6" i="21" s="1"/>
  <c r="K9" i="73"/>
  <c r="DX6" i="21" s="1"/>
  <c r="N9" i="73"/>
  <c r="EU6" i="21" s="1"/>
  <c r="I10" i="73"/>
  <c r="L10" i="73"/>
  <c r="O10" i="73"/>
  <c r="H11" i="73"/>
  <c r="K11" i="73"/>
  <c r="N11" i="73"/>
  <c r="I12" i="73"/>
  <c r="M12" i="73"/>
  <c r="O12" i="73"/>
  <c r="P4" i="72"/>
  <c r="H9" i="72"/>
  <c r="CZ6" i="21" s="1"/>
  <c r="K9" i="72"/>
  <c r="DW6" i="21" s="1"/>
  <c r="N9" i="72"/>
  <c r="ET6" i="21" s="1"/>
  <c r="I10" i="72"/>
  <c r="L10" i="72"/>
  <c r="O10" i="72"/>
  <c r="H11" i="72"/>
  <c r="K11" i="72"/>
  <c r="N11" i="72"/>
  <c r="I12" i="72"/>
  <c r="M12" i="72"/>
  <c r="O12" i="72"/>
  <c r="L46" i="72"/>
  <c r="O47" i="72"/>
  <c r="O48" i="72"/>
  <c r="L50" i="72"/>
  <c r="I51" i="72"/>
  <c r="O52" i="72"/>
  <c r="M52" i="72"/>
  <c r="L54" i="72"/>
  <c r="M54" i="72"/>
  <c r="I56" i="72"/>
  <c r="J56" i="72"/>
  <c r="S68" i="72"/>
  <c r="T68" i="72"/>
  <c r="P67" i="72" s="1"/>
  <c r="ET18" i="21" s="1"/>
  <c r="N3" i="71"/>
  <c r="P4" i="71"/>
  <c r="H9" i="71"/>
  <c r="CY6" i="21" s="1"/>
  <c r="K9" i="71"/>
  <c r="DV6" i="21" s="1"/>
  <c r="N9" i="71"/>
  <c r="ES6" i="21" s="1"/>
  <c r="I10" i="71"/>
  <c r="L10" i="71"/>
  <c r="O10" i="71"/>
  <c r="H11" i="71"/>
  <c r="K11" i="71"/>
  <c r="N11" i="71"/>
  <c r="I12" i="71"/>
  <c r="M12" i="71"/>
  <c r="O12" i="71"/>
  <c r="X12" i="71"/>
  <c r="Y12" i="71"/>
  <c r="Z12" i="71"/>
  <c r="P4" i="70"/>
  <c r="H9" i="70"/>
  <c r="CX6" i="21" s="1"/>
  <c r="K9" i="70"/>
  <c r="DU6" i="21" s="1"/>
  <c r="N9" i="70"/>
  <c r="ER6" i="21" s="1"/>
  <c r="I10" i="70"/>
  <c r="L10" i="70"/>
  <c r="O10" i="70"/>
  <c r="H11" i="70"/>
  <c r="K11" i="70"/>
  <c r="N11" i="70"/>
  <c r="I12" i="70"/>
  <c r="M12" i="70"/>
  <c r="O12" i="70"/>
  <c r="X12" i="70"/>
  <c r="X16" i="70" s="1"/>
  <c r="H33" i="70" s="1"/>
  <c r="Y12" i="70"/>
  <c r="Z12" i="70"/>
  <c r="Z16" i="70" s="1"/>
  <c r="K25" i="70"/>
  <c r="N25" i="70"/>
  <c r="K26" i="70"/>
  <c r="N26" i="70"/>
  <c r="D27" i="70"/>
  <c r="L46" i="70"/>
  <c r="L47" i="70"/>
  <c r="I48" i="70"/>
  <c r="I49" i="70"/>
  <c r="I52" i="70"/>
  <c r="J52" i="70"/>
  <c r="L53" i="70"/>
  <c r="L54" i="70"/>
  <c r="M54" i="70"/>
  <c r="L56" i="70"/>
  <c r="J56" i="70"/>
  <c r="I57" i="70"/>
  <c r="J57" i="70"/>
  <c r="O3" i="67"/>
  <c r="N13" i="67"/>
  <c r="O13" i="67" s="1"/>
  <c r="O14" i="67"/>
  <c r="O22" i="67"/>
  <c r="O25" i="67"/>
  <c r="C52" i="67"/>
  <c r="C53" i="67" s="1"/>
  <c r="D53" i="67" s="1"/>
  <c r="H55" i="67" s="1"/>
  <c r="D52" i="67"/>
  <c r="F52" i="67"/>
  <c r="B60" i="67"/>
  <c r="B61" i="67"/>
  <c r="B62" i="67"/>
  <c r="B63" i="67"/>
  <c r="B64" i="67"/>
  <c r="B65" i="67"/>
  <c r="B66" i="67"/>
  <c r="B67" i="67"/>
  <c r="B68" i="67"/>
  <c r="B69" i="67"/>
  <c r="B70" i="67"/>
  <c r="B71" i="67"/>
  <c r="B72" i="67"/>
  <c r="B73" i="67"/>
  <c r="B74" i="67"/>
  <c r="F90" i="67"/>
  <c r="F92" i="67" s="1"/>
  <c r="G90" i="67"/>
  <c r="G92" i="67" s="1"/>
  <c r="H90" i="67"/>
  <c r="H92" i="67" s="1"/>
  <c r="J90" i="67"/>
  <c r="J92" i="67" s="1"/>
  <c r="F104" i="67"/>
  <c r="G104" i="67"/>
  <c r="H104" i="67"/>
  <c r="J104" i="67"/>
  <c r="F107" i="67"/>
  <c r="G107" i="67"/>
  <c r="G108" i="67" s="1"/>
  <c r="H107" i="67"/>
  <c r="J107" i="67"/>
  <c r="F121" i="67"/>
  <c r="G121" i="67"/>
  <c r="H121" i="67"/>
  <c r="F122" i="67"/>
  <c r="G122" i="67"/>
  <c r="H122" i="67"/>
  <c r="D123" i="67"/>
  <c r="J127" i="67"/>
  <c r="J128" i="67"/>
  <c r="J131" i="67"/>
  <c r="J132" i="67"/>
  <c r="N4"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K23" i="63"/>
  <c r="M23" i="63"/>
  <c r="K24" i="63"/>
  <c r="M24" i="63"/>
  <c r="K30" i="63"/>
  <c r="M30" i="63"/>
  <c r="K35" i="63"/>
  <c r="K36" i="63"/>
  <c r="M36" i="63"/>
  <c r="U4" i="62"/>
  <c r="F24" i="62"/>
  <c r="F25" i="62"/>
  <c r="E47" i="82" s="1"/>
  <c r="F26" i="62"/>
  <c r="F27" i="62"/>
  <c r="E48" i="109" s="1"/>
  <c r="F28" i="62"/>
  <c r="F29" i="62"/>
  <c r="E49" i="89" s="1"/>
  <c r="F31" i="62"/>
  <c r="E49" i="109" s="1"/>
  <c r="F32" i="62"/>
  <c r="F33" i="62"/>
  <c r="E47" i="85" s="1"/>
  <c r="F34" i="62"/>
  <c r="E48" i="86" s="1"/>
  <c r="F35" i="62"/>
  <c r="F37" i="62"/>
  <c r="F38" i="62"/>
  <c r="F40" i="62"/>
  <c r="F41" i="62"/>
  <c r="E46" i="109" s="1"/>
  <c r="F42" i="62"/>
  <c r="F44" i="62"/>
  <c r="F45" i="62"/>
  <c r="F46" i="62"/>
  <c r="F47" i="62"/>
  <c r="F48" i="62"/>
  <c r="F49" i="62"/>
  <c r="F51" i="62"/>
  <c r="F53" i="62"/>
  <c r="F54" i="62"/>
  <c r="F56" i="62"/>
  <c r="F57" i="62"/>
  <c r="F58" i="62"/>
  <c r="F59" i="62"/>
  <c r="F61" i="62"/>
  <c r="F62" i="62"/>
  <c r="F63" i="62"/>
  <c r="F65" i="62"/>
  <c r="F66" i="62"/>
  <c r="F67" i="62"/>
  <c r="F68" i="62"/>
  <c r="F69" i="62"/>
  <c r="F71" i="62"/>
  <c r="F72" i="62"/>
  <c r="F73" i="62"/>
  <c r="F74" i="62"/>
  <c r="E47" i="87" s="1"/>
  <c r="F75" i="62"/>
  <c r="E50" i="87" s="1"/>
  <c r="F76" i="62"/>
  <c r="F77" i="62"/>
  <c r="F91" i="62"/>
  <c r="F92" i="62"/>
  <c r="J94" i="62"/>
  <c r="J96" i="62"/>
  <c r="J99" i="62"/>
  <c r="F100" i="62"/>
  <c r="J100" i="62"/>
  <c r="F101" i="62"/>
  <c r="J101" i="62"/>
  <c r="D116" i="62"/>
  <c r="G118" i="62" s="1"/>
  <c r="N96" i="62" s="1"/>
  <c r="E130" i="62"/>
  <c r="N97" i="62" s="1"/>
  <c r="F130" i="62"/>
  <c r="N98" i="62" s="1"/>
  <c r="G130" i="62"/>
  <c r="N99" i="62" s="1"/>
  <c r="B139" i="62"/>
  <c r="B140" i="62" s="1"/>
  <c r="B141" i="62" s="1"/>
  <c r="B142" i="62" s="1"/>
  <c r="B143" i="62" s="1"/>
  <c r="B144" i="62" s="1"/>
  <c r="B145" i="62" s="1"/>
  <c r="B146" i="62" s="1"/>
  <c r="B147" i="62" s="1"/>
  <c r="B148" i="62" s="1"/>
  <c r="B149" i="62" s="1"/>
  <c r="B150" i="62" s="1"/>
  <c r="B151" i="62" s="1"/>
  <c r="B152" i="62" s="1"/>
  <c r="B153" i="62" s="1"/>
  <c r="B154" i="62" s="1"/>
  <c r="B155" i="62" s="1"/>
  <c r="B156" i="62" s="1"/>
  <c r="B157" i="62" s="1"/>
  <c r="B158" i="62" s="1"/>
  <c r="D159" i="62"/>
  <c r="D161" i="62"/>
  <c r="AM5" i="60"/>
  <c r="A6" i="60"/>
  <c r="O8" i="60"/>
  <c r="O53" i="60"/>
  <c r="O14" i="60"/>
  <c r="G1" i="58"/>
  <c r="H1" i="58"/>
  <c r="I1" i="58"/>
  <c r="J1" i="58"/>
  <c r="K1" i="58"/>
  <c r="L1" i="58"/>
  <c r="D5" i="58" s="1"/>
  <c r="M1" i="58"/>
  <c r="N1" i="58"/>
  <c r="L4" i="58"/>
  <c r="L8" i="58"/>
  <c r="A2" i="58" s="1"/>
  <c r="M26" i="58"/>
  <c r="N26" i="58"/>
  <c r="N39" i="58"/>
  <c r="N43" i="58"/>
  <c r="N44" i="58"/>
  <c r="N45" i="58"/>
  <c r="N46" i="58"/>
  <c r="N47" i="58"/>
  <c r="G1" i="57"/>
  <c r="I1" i="57"/>
  <c r="J1" i="57"/>
  <c r="Q1" i="57"/>
  <c r="R1" i="57"/>
  <c r="S1" i="57"/>
  <c r="D5" i="57" s="1"/>
  <c r="T1" i="57"/>
  <c r="U1" i="57"/>
  <c r="S4" i="57"/>
  <c r="S8" i="57"/>
  <c r="A2" i="57" s="1"/>
  <c r="U10" i="57"/>
  <c r="T26" i="57"/>
  <c r="U26" i="57"/>
  <c r="U44" i="57"/>
  <c r="U45" i="57"/>
  <c r="U46" i="57"/>
  <c r="U47" i="57"/>
  <c r="U48" i="57"/>
  <c r="N3" i="51"/>
  <c r="P4" i="51"/>
  <c r="H9" i="51"/>
  <c r="AH6" i="21" s="1"/>
  <c r="D43" i="6" s="1"/>
  <c r="K9" i="51"/>
  <c r="N9" i="51"/>
  <c r="CT6" i="21" s="1"/>
  <c r="J43" i="6" s="1"/>
  <c r="I10" i="51"/>
  <c r="L10" i="51"/>
  <c r="O10" i="51"/>
  <c r="H11" i="51"/>
  <c r="K11" i="51"/>
  <c r="N11" i="51"/>
  <c r="I12" i="51"/>
  <c r="M12" i="51"/>
  <c r="O12" i="51"/>
  <c r="X13" i="51"/>
  <c r="Y13" i="51"/>
  <c r="Z13" i="51"/>
  <c r="I15" i="51"/>
  <c r="L15" i="51"/>
  <c r="O15" i="51"/>
  <c r="I16" i="51"/>
  <c r="L16" i="51"/>
  <c r="O16" i="51"/>
  <c r="I17" i="51"/>
  <c r="L17" i="51"/>
  <c r="O17" i="51"/>
  <c r="N25" i="51"/>
  <c r="E30" i="51"/>
  <c r="F30" i="51"/>
  <c r="Z14" i="51" s="1"/>
  <c r="E31" i="51"/>
  <c r="F31" i="51"/>
  <c r="Y15" i="51" s="1"/>
  <c r="E32" i="51"/>
  <c r="F32" i="51"/>
  <c r="Y16" i="51" s="1"/>
  <c r="E33" i="51"/>
  <c r="F33" i="51"/>
  <c r="F46" i="51"/>
  <c r="L46" i="51" s="1"/>
  <c r="F47" i="51"/>
  <c r="L47" i="51" s="1"/>
  <c r="F48" i="51"/>
  <c r="L48" i="51" s="1"/>
  <c r="F49" i="51"/>
  <c r="L49" i="51" s="1"/>
  <c r="E50" i="51"/>
  <c r="F50" i="51"/>
  <c r="G50" i="51"/>
  <c r="E51" i="51"/>
  <c r="F51" i="51"/>
  <c r="L51" i="51" s="1"/>
  <c r="G51" i="51"/>
  <c r="E52" i="51"/>
  <c r="F52" i="51"/>
  <c r="L52" i="51" s="1"/>
  <c r="G52" i="51"/>
  <c r="P52" i="51" s="1"/>
  <c r="E53" i="51"/>
  <c r="F53" i="51"/>
  <c r="L53" i="51" s="1"/>
  <c r="G53" i="51"/>
  <c r="M53" i="51" s="1"/>
  <c r="E54" i="51"/>
  <c r="F54" i="51"/>
  <c r="G54" i="51"/>
  <c r="E55" i="51"/>
  <c r="F55" i="51"/>
  <c r="G55" i="51"/>
  <c r="E56" i="51"/>
  <c r="F56" i="51"/>
  <c r="I56" i="51" s="1"/>
  <c r="G56" i="51"/>
  <c r="J56" i="51" s="1"/>
  <c r="E57" i="51"/>
  <c r="F57" i="51"/>
  <c r="G57" i="51"/>
  <c r="K57" i="51"/>
  <c r="F62" i="51"/>
  <c r="F63" i="51"/>
  <c r="F64" i="51"/>
  <c r="J65" i="51"/>
  <c r="AH17" i="21" s="1"/>
  <c r="M65" i="51"/>
  <c r="BN17" i="21" s="1"/>
  <c r="P65" i="51"/>
  <c r="CT17" i="21" s="1"/>
  <c r="N3" i="50"/>
  <c r="P4" i="50"/>
  <c r="H9" i="50"/>
  <c r="AG6" i="21" s="1"/>
  <c r="K9" i="50"/>
  <c r="N9" i="50"/>
  <c r="CS6" i="21" s="1"/>
  <c r="I10" i="50"/>
  <c r="L10" i="50"/>
  <c r="O10" i="50"/>
  <c r="H11" i="50"/>
  <c r="H57" i="50" s="1"/>
  <c r="K11" i="50"/>
  <c r="K57" i="50" s="1"/>
  <c r="N11" i="50"/>
  <c r="I12" i="50"/>
  <c r="M12" i="50"/>
  <c r="O12" i="50"/>
  <c r="X13" i="50"/>
  <c r="Y13" i="50"/>
  <c r="Z13" i="50"/>
  <c r="L15" i="50"/>
  <c r="O15" i="50"/>
  <c r="I16" i="50"/>
  <c r="L16" i="50"/>
  <c r="O16" i="50"/>
  <c r="I17" i="50"/>
  <c r="L17" i="50"/>
  <c r="O17" i="50"/>
  <c r="K26" i="50"/>
  <c r="N26" i="50"/>
  <c r="E30" i="50"/>
  <c r="F30" i="50"/>
  <c r="E31" i="50"/>
  <c r="F31" i="50"/>
  <c r="E32" i="50"/>
  <c r="F32" i="50"/>
  <c r="Z16" i="50" s="1"/>
  <c r="E33" i="50"/>
  <c r="F33" i="50"/>
  <c r="F46" i="50"/>
  <c r="F47" i="50"/>
  <c r="F48" i="50"/>
  <c r="L48" i="50" s="1"/>
  <c r="E49" i="50"/>
  <c r="F49" i="50"/>
  <c r="L49" i="50" s="1"/>
  <c r="G49" i="50"/>
  <c r="J49" i="50" s="1"/>
  <c r="E50" i="50"/>
  <c r="F50" i="50"/>
  <c r="I50" i="50" s="1"/>
  <c r="G50" i="50"/>
  <c r="M50" i="50" s="1"/>
  <c r="E51" i="50"/>
  <c r="F51" i="50"/>
  <c r="L51" i="50" s="1"/>
  <c r="G51" i="50"/>
  <c r="M51" i="50" s="1"/>
  <c r="E52" i="50"/>
  <c r="F52" i="50"/>
  <c r="G52" i="50"/>
  <c r="P52" i="50" s="1"/>
  <c r="E53" i="50"/>
  <c r="F53" i="50"/>
  <c r="L53" i="50" s="1"/>
  <c r="G53" i="50"/>
  <c r="M53" i="50" s="1"/>
  <c r="E54" i="50"/>
  <c r="F54" i="50"/>
  <c r="G54" i="50"/>
  <c r="M54" i="50" s="1"/>
  <c r="E55" i="50"/>
  <c r="F55" i="50"/>
  <c r="L55" i="50" s="1"/>
  <c r="G55" i="50"/>
  <c r="E56" i="50"/>
  <c r="F56" i="50"/>
  <c r="G56" i="50"/>
  <c r="E57" i="50"/>
  <c r="F57" i="50"/>
  <c r="G57" i="50"/>
  <c r="F62" i="50"/>
  <c r="F63" i="50"/>
  <c r="F64" i="50"/>
  <c r="J65" i="50"/>
  <c r="AG17" i="21" s="1"/>
  <c r="M65" i="50"/>
  <c r="BM17" i="21" s="1"/>
  <c r="P65" i="50"/>
  <c r="CS17" i="21" s="1"/>
  <c r="N3" i="49"/>
  <c r="P4" i="49"/>
  <c r="H9" i="49"/>
  <c r="AE6" i="21" s="1"/>
  <c r="K9" i="49"/>
  <c r="N9" i="49"/>
  <c r="CQ6" i="21" s="1"/>
  <c r="I10" i="49"/>
  <c r="L10" i="49"/>
  <c r="O10" i="49"/>
  <c r="H11" i="49"/>
  <c r="K11" i="49"/>
  <c r="N11" i="49"/>
  <c r="N57" i="49" s="1"/>
  <c r="I12" i="49"/>
  <c r="M12" i="49"/>
  <c r="O12" i="49"/>
  <c r="X13" i="49"/>
  <c r="Y13" i="49"/>
  <c r="Z13" i="49"/>
  <c r="I15" i="49"/>
  <c r="L15" i="49"/>
  <c r="O15" i="49"/>
  <c r="I16" i="49"/>
  <c r="L16" i="49"/>
  <c r="O16" i="49"/>
  <c r="I17" i="49"/>
  <c r="L17" i="49"/>
  <c r="O17" i="49"/>
  <c r="K25" i="49"/>
  <c r="N25" i="49"/>
  <c r="K26" i="49"/>
  <c r="N26" i="49"/>
  <c r="E30" i="49"/>
  <c r="F30" i="49"/>
  <c r="E31" i="49"/>
  <c r="F31" i="49"/>
  <c r="E32" i="49"/>
  <c r="F32" i="49"/>
  <c r="X16" i="49" s="1"/>
  <c r="E33" i="49"/>
  <c r="F33" i="49"/>
  <c r="F46" i="49"/>
  <c r="O46" i="49" s="1"/>
  <c r="F47" i="49"/>
  <c r="F48" i="49"/>
  <c r="F49" i="49"/>
  <c r="O49" i="49" s="1"/>
  <c r="E50" i="49"/>
  <c r="F51" i="49"/>
  <c r="F52" i="49"/>
  <c r="L52" i="49" s="1"/>
  <c r="F53" i="49"/>
  <c r="N53" i="49"/>
  <c r="E54" i="49"/>
  <c r="F54" i="49"/>
  <c r="O54" i="49" s="1"/>
  <c r="G54" i="49"/>
  <c r="M54" i="49" s="1"/>
  <c r="E55" i="49"/>
  <c r="F55" i="49"/>
  <c r="G55" i="49"/>
  <c r="J55" i="49" s="1"/>
  <c r="E56" i="49"/>
  <c r="F56" i="49"/>
  <c r="I56" i="49" s="1"/>
  <c r="G56" i="49"/>
  <c r="E57" i="49"/>
  <c r="F57" i="49"/>
  <c r="G57" i="49"/>
  <c r="K57" i="49"/>
  <c r="F62" i="49"/>
  <c r="F63" i="49"/>
  <c r="F64" i="49"/>
  <c r="J65" i="49"/>
  <c r="AE17" i="21" s="1"/>
  <c r="M65" i="49"/>
  <c r="BK17" i="21" s="1"/>
  <c r="P65" i="49"/>
  <c r="CQ17" i="21" s="1"/>
  <c r="F70" i="49"/>
  <c r="N3" i="48"/>
  <c r="P4" i="48"/>
  <c r="H9" i="48"/>
  <c r="AD6" i="21" s="1"/>
  <c r="K9" i="48"/>
  <c r="BJ6" i="21" s="1"/>
  <c r="G40" i="6" s="1"/>
  <c r="N9" i="48"/>
  <c r="CP6" i="21" s="1"/>
  <c r="J40" i="6" s="1"/>
  <c r="I10" i="48"/>
  <c r="L10" i="48"/>
  <c r="O10" i="48"/>
  <c r="H11" i="48"/>
  <c r="H57" i="48" s="1"/>
  <c r="K11" i="48"/>
  <c r="K57" i="48" s="1"/>
  <c r="N11" i="48"/>
  <c r="N57" i="48" s="1"/>
  <c r="I12" i="48"/>
  <c r="M12" i="48"/>
  <c r="O12" i="48"/>
  <c r="X13" i="48"/>
  <c r="Y13" i="48"/>
  <c r="Z13" i="48"/>
  <c r="I15" i="48"/>
  <c r="L15" i="48"/>
  <c r="O15" i="48"/>
  <c r="I16" i="48"/>
  <c r="L16" i="48"/>
  <c r="O16" i="48"/>
  <c r="I17" i="48"/>
  <c r="L17" i="48"/>
  <c r="O17" i="48"/>
  <c r="K25" i="48"/>
  <c r="N25" i="48"/>
  <c r="K26" i="48"/>
  <c r="N26" i="48"/>
  <c r="E30" i="48"/>
  <c r="F30" i="48"/>
  <c r="E31" i="48"/>
  <c r="F31" i="48"/>
  <c r="E32" i="48"/>
  <c r="F32" i="48"/>
  <c r="E33" i="48"/>
  <c r="F33" i="48"/>
  <c r="F46" i="48"/>
  <c r="I46" i="48" s="1"/>
  <c r="F47" i="48"/>
  <c r="F48" i="48"/>
  <c r="F49" i="48"/>
  <c r="L49" i="48" s="1"/>
  <c r="F50" i="48"/>
  <c r="F51" i="48"/>
  <c r="L51" i="48" s="1"/>
  <c r="F52" i="48"/>
  <c r="H52" i="48"/>
  <c r="K52" i="48"/>
  <c r="N52" i="48"/>
  <c r="E53" i="48"/>
  <c r="F53" i="48"/>
  <c r="I53" i="48" s="1"/>
  <c r="G53" i="48"/>
  <c r="M53" i="48" s="1"/>
  <c r="E54" i="48"/>
  <c r="F54" i="48"/>
  <c r="I54" i="48" s="1"/>
  <c r="G54" i="48"/>
  <c r="M54" i="48" s="1"/>
  <c r="E55" i="48"/>
  <c r="F55" i="48"/>
  <c r="O55" i="48" s="1"/>
  <c r="G55" i="48"/>
  <c r="M55" i="48" s="1"/>
  <c r="E56" i="48"/>
  <c r="F56" i="48"/>
  <c r="G56" i="48"/>
  <c r="M56" i="48" s="1"/>
  <c r="E57" i="48"/>
  <c r="F57" i="48"/>
  <c r="G57" i="48"/>
  <c r="F62" i="48"/>
  <c r="F63" i="48"/>
  <c r="F64" i="48"/>
  <c r="J65" i="48"/>
  <c r="AD17" i="21" s="1"/>
  <c r="M65" i="48"/>
  <c r="BJ17" i="21" s="1"/>
  <c r="P65" i="48"/>
  <c r="CP17" i="21" s="1"/>
  <c r="F70" i="48"/>
  <c r="N3" i="47"/>
  <c r="P4" i="47"/>
  <c r="H9" i="47"/>
  <c r="AC6" i="21" s="1"/>
  <c r="K9" i="47"/>
  <c r="BI6" i="21" s="1"/>
  <c r="N9" i="47"/>
  <c r="CO6" i="21" s="1"/>
  <c r="J39" i="6" s="1"/>
  <c r="I10" i="47"/>
  <c r="L10" i="47"/>
  <c r="O10" i="47"/>
  <c r="H11" i="47"/>
  <c r="K11" i="47"/>
  <c r="N11" i="47"/>
  <c r="I12" i="47"/>
  <c r="M12" i="47"/>
  <c r="O12" i="47"/>
  <c r="X13" i="47"/>
  <c r="Y13" i="47"/>
  <c r="Z13" i="47"/>
  <c r="I15" i="47"/>
  <c r="L15" i="47"/>
  <c r="O15" i="47"/>
  <c r="I16" i="47"/>
  <c r="L16" i="47"/>
  <c r="O16" i="47"/>
  <c r="I17" i="47"/>
  <c r="L17" i="47"/>
  <c r="O17" i="47"/>
  <c r="K25" i="47"/>
  <c r="N25" i="47"/>
  <c r="K26" i="47"/>
  <c r="N26" i="47"/>
  <c r="E30" i="47"/>
  <c r="F30" i="47"/>
  <c r="E31" i="47"/>
  <c r="F31" i="47"/>
  <c r="E32" i="47"/>
  <c r="F32" i="47"/>
  <c r="E33" i="47"/>
  <c r="F33" i="47"/>
  <c r="X17" i="47" s="1"/>
  <c r="F46" i="47"/>
  <c r="O46" i="47" s="1"/>
  <c r="F47" i="47"/>
  <c r="L47" i="47" s="1"/>
  <c r="F48" i="47"/>
  <c r="F49" i="47"/>
  <c r="L49" i="47" s="1"/>
  <c r="E50" i="47"/>
  <c r="E51" i="47"/>
  <c r="F51" i="47"/>
  <c r="L51" i="47" s="1"/>
  <c r="F52" i="47"/>
  <c r="F53" i="47"/>
  <c r="I53" i="47" s="1"/>
  <c r="F54" i="47"/>
  <c r="H54" i="47"/>
  <c r="N54" i="47"/>
  <c r="E55" i="47"/>
  <c r="F55" i="47"/>
  <c r="G55" i="47"/>
  <c r="M55" i="47" s="1"/>
  <c r="E56" i="47"/>
  <c r="F56" i="47"/>
  <c r="G56" i="47"/>
  <c r="E57" i="47"/>
  <c r="F57" i="47"/>
  <c r="G57" i="47"/>
  <c r="H57" i="47"/>
  <c r="N57" i="47"/>
  <c r="F62" i="47"/>
  <c r="F63" i="47"/>
  <c r="F64" i="47"/>
  <c r="J65" i="47"/>
  <c r="AC17" i="21" s="1"/>
  <c r="M65" i="47"/>
  <c r="BI17" i="21" s="1"/>
  <c r="P65" i="47"/>
  <c r="CO17" i="21" s="1"/>
  <c r="F70" i="47"/>
  <c r="N3" i="46"/>
  <c r="P4" i="46"/>
  <c r="H9" i="46"/>
  <c r="AB6" i="21" s="1"/>
  <c r="D38" i="6" s="1"/>
  <c r="K9" i="46"/>
  <c r="BH6" i="21" s="1"/>
  <c r="N9" i="46"/>
  <c r="CN6" i="21" s="1"/>
  <c r="J38" i="6" s="1"/>
  <c r="I10" i="46"/>
  <c r="L10" i="46"/>
  <c r="O10" i="46"/>
  <c r="H11" i="46"/>
  <c r="H57" i="46" s="1"/>
  <c r="K11" i="46"/>
  <c r="N11" i="46"/>
  <c r="I12" i="46"/>
  <c r="M12" i="46"/>
  <c r="O12" i="46"/>
  <c r="X13" i="46"/>
  <c r="Y13" i="46"/>
  <c r="Z13" i="46"/>
  <c r="I15" i="46"/>
  <c r="L15" i="46"/>
  <c r="O15" i="46"/>
  <c r="I16" i="46"/>
  <c r="L16" i="46"/>
  <c r="O16" i="46"/>
  <c r="I17" i="46"/>
  <c r="L17" i="46"/>
  <c r="O17" i="46"/>
  <c r="K25" i="46"/>
  <c r="N25" i="46"/>
  <c r="K26" i="46"/>
  <c r="N26" i="46"/>
  <c r="E30" i="46"/>
  <c r="F30" i="46"/>
  <c r="E31" i="46"/>
  <c r="F31" i="46"/>
  <c r="X15" i="46" s="1"/>
  <c r="E32" i="46"/>
  <c r="F32" i="46"/>
  <c r="X16" i="46" s="1"/>
  <c r="E33" i="46"/>
  <c r="F33" i="46"/>
  <c r="X17" i="46" s="1"/>
  <c r="F46" i="46"/>
  <c r="O46" i="46" s="1"/>
  <c r="F47" i="46"/>
  <c r="L47" i="46" s="1"/>
  <c r="F48" i="46"/>
  <c r="F49" i="46"/>
  <c r="F50" i="46"/>
  <c r="L50" i="46" s="1"/>
  <c r="F51" i="46"/>
  <c r="F52" i="46"/>
  <c r="E53" i="46"/>
  <c r="F53" i="46"/>
  <c r="I53" i="46" s="1"/>
  <c r="G53" i="46"/>
  <c r="E54" i="46"/>
  <c r="F54" i="46"/>
  <c r="G54" i="46"/>
  <c r="M54" i="46" s="1"/>
  <c r="E55" i="46"/>
  <c r="F55" i="46"/>
  <c r="G55" i="46"/>
  <c r="M55" i="46" s="1"/>
  <c r="E56" i="46"/>
  <c r="F56" i="46"/>
  <c r="L56" i="46" s="1"/>
  <c r="G56" i="46"/>
  <c r="E57" i="46"/>
  <c r="F57" i="46"/>
  <c r="G57" i="46"/>
  <c r="N57" i="46"/>
  <c r="F62" i="46"/>
  <c r="F63" i="46"/>
  <c r="F64" i="46"/>
  <c r="J65" i="46"/>
  <c r="AB17" i="21" s="1"/>
  <c r="M65" i="46"/>
  <c r="BH17" i="21" s="1"/>
  <c r="P65" i="46"/>
  <c r="CN17" i="21" s="1"/>
  <c r="F70" i="46"/>
  <c r="N3" i="45"/>
  <c r="P4" i="45"/>
  <c r="H9" i="45"/>
  <c r="AA6" i="21" s="1"/>
  <c r="AA31" i="21" s="1"/>
  <c r="AA43" i="21" s="1"/>
  <c r="K9" i="45"/>
  <c r="BG6" i="21" s="1"/>
  <c r="BG31" i="21" s="1"/>
  <c r="BG43" i="21" s="1"/>
  <c r="N9" i="45"/>
  <c r="CM6" i="21" s="1"/>
  <c r="CM31" i="21" s="1"/>
  <c r="CM43" i="21" s="1"/>
  <c r="H11" i="45"/>
  <c r="K11" i="45"/>
  <c r="K57" i="45" s="1"/>
  <c r="N11" i="45"/>
  <c r="I12" i="45"/>
  <c r="M12" i="45"/>
  <c r="O12" i="45"/>
  <c r="X13" i="45"/>
  <c r="Y13" i="45"/>
  <c r="Z13" i="45"/>
  <c r="I15" i="45"/>
  <c r="L15" i="45"/>
  <c r="O15" i="45"/>
  <c r="I16" i="45"/>
  <c r="L16" i="45"/>
  <c r="O16" i="45"/>
  <c r="I17" i="45"/>
  <c r="L17" i="45"/>
  <c r="O17" i="45"/>
  <c r="K25" i="45"/>
  <c r="N25" i="45"/>
  <c r="K26" i="45"/>
  <c r="N26" i="45"/>
  <c r="E30" i="45"/>
  <c r="F30" i="45"/>
  <c r="E31" i="45"/>
  <c r="F31" i="45"/>
  <c r="E32" i="45"/>
  <c r="F32" i="45"/>
  <c r="X16" i="45" s="1"/>
  <c r="E33" i="45"/>
  <c r="F33" i="45"/>
  <c r="F46" i="45"/>
  <c r="F47" i="45"/>
  <c r="L47" i="45" s="1"/>
  <c r="F48" i="45"/>
  <c r="F49" i="45"/>
  <c r="L49" i="45" s="1"/>
  <c r="F50" i="45"/>
  <c r="L50" i="45" s="1"/>
  <c r="E51" i="45"/>
  <c r="F51" i="45"/>
  <c r="I51" i="45" s="1"/>
  <c r="G51" i="45"/>
  <c r="E52" i="45"/>
  <c r="F52" i="45"/>
  <c r="L52" i="45" s="1"/>
  <c r="G52" i="45"/>
  <c r="M52" i="45" s="1"/>
  <c r="E53" i="45"/>
  <c r="F53" i="45"/>
  <c r="G53" i="45"/>
  <c r="J53" i="45" s="1"/>
  <c r="E54" i="45"/>
  <c r="F54" i="45"/>
  <c r="I54" i="45" s="1"/>
  <c r="G54" i="45"/>
  <c r="J54" i="45" s="1"/>
  <c r="E55" i="45"/>
  <c r="F55" i="45"/>
  <c r="I55" i="45" s="1"/>
  <c r="G55" i="45"/>
  <c r="E56" i="45"/>
  <c r="F56" i="45"/>
  <c r="L56" i="45" s="1"/>
  <c r="G56" i="45"/>
  <c r="E57" i="45"/>
  <c r="F57" i="45"/>
  <c r="G57" i="45"/>
  <c r="N57" i="45"/>
  <c r="F62" i="45"/>
  <c r="F63" i="45"/>
  <c r="F64" i="45"/>
  <c r="J65" i="45"/>
  <c r="AA17" i="21" s="1"/>
  <c r="M65" i="45"/>
  <c r="BG17" i="21" s="1"/>
  <c r="P65" i="45"/>
  <c r="CM17" i="21" s="1"/>
  <c r="F70" i="45"/>
  <c r="H73" i="45"/>
  <c r="K73" i="45"/>
  <c r="N73" i="45"/>
  <c r="P4" i="44"/>
  <c r="H9" i="44"/>
  <c r="Z6" i="21" s="1"/>
  <c r="K9" i="44"/>
  <c r="BF6" i="21" s="1"/>
  <c r="G36" i="6" s="1"/>
  <c r="N9" i="44"/>
  <c r="CL6" i="21" s="1"/>
  <c r="J36" i="6" s="1"/>
  <c r="I10" i="44"/>
  <c r="L10" i="44"/>
  <c r="O10" i="44"/>
  <c r="H11" i="44"/>
  <c r="H57" i="44" s="1"/>
  <c r="K11" i="44"/>
  <c r="N11" i="44"/>
  <c r="I12" i="44"/>
  <c r="M12" i="44"/>
  <c r="O12" i="44"/>
  <c r="X13" i="44"/>
  <c r="Y13" i="44"/>
  <c r="Z13" i="44"/>
  <c r="I15" i="44"/>
  <c r="L15" i="44"/>
  <c r="O15" i="44"/>
  <c r="I16" i="44"/>
  <c r="L16" i="44"/>
  <c r="O16" i="44"/>
  <c r="I17" i="44"/>
  <c r="L17" i="44"/>
  <c r="O17" i="44"/>
  <c r="K26" i="44"/>
  <c r="N26" i="44"/>
  <c r="E30" i="44"/>
  <c r="F30" i="44"/>
  <c r="X14" i="44" s="1"/>
  <c r="E31" i="44"/>
  <c r="F31" i="44"/>
  <c r="X15" i="44" s="1"/>
  <c r="E32" i="44"/>
  <c r="F32" i="44"/>
  <c r="Y16" i="44" s="1"/>
  <c r="E33" i="44"/>
  <c r="F33" i="44"/>
  <c r="F46" i="44"/>
  <c r="F47" i="44"/>
  <c r="F48" i="44"/>
  <c r="F49" i="44"/>
  <c r="L49" i="44" s="1"/>
  <c r="F50" i="44"/>
  <c r="L50" i="44" s="1"/>
  <c r="F51" i="44"/>
  <c r="O51" i="44" s="1"/>
  <c r="E52" i="44"/>
  <c r="F52" i="44"/>
  <c r="I52" i="44" s="1"/>
  <c r="G52" i="44"/>
  <c r="J52" i="44" s="1"/>
  <c r="E53" i="44"/>
  <c r="F53" i="44"/>
  <c r="I53" i="44" s="1"/>
  <c r="G53" i="44"/>
  <c r="M53" i="44" s="1"/>
  <c r="E54" i="44"/>
  <c r="F54" i="44"/>
  <c r="G54" i="44"/>
  <c r="M54" i="44" s="1"/>
  <c r="E55" i="44"/>
  <c r="F55" i="44"/>
  <c r="L55" i="44" s="1"/>
  <c r="G55" i="44"/>
  <c r="E56" i="44"/>
  <c r="F56" i="44"/>
  <c r="G56" i="44"/>
  <c r="M56" i="44" s="1"/>
  <c r="F57" i="44"/>
  <c r="K57" i="44"/>
  <c r="F63" i="44"/>
  <c r="F64" i="44"/>
  <c r="J65" i="44"/>
  <c r="Z17" i="21" s="1"/>
  <c r="M65" i="44"/>
  <c r="BF17" i="21" s="1"/>
  <c r="P65" i="44"/>
  <c r="CL17" i="21" s="1"/>
  <c r="F70" i="44"/>
  <c r="N3" i="43"/>
  <c r="P4" i="43"/>
  <c r="H9" i="43"/>
  <c r="Y6" i="21" s="1"/>
  <c r="K9" i="43"/>
  <c r="BE6" i="21" s="1"/>
  <c r="G35" i="6" s="1"/>
  <c r="N9" i="43"/>
  <c r="CK6" i="21" s="1"/>
  <c r="I10" i="43"/>
  <c r="L10" i="43"/>
  <c r="O10" i="43"/>
  <c r="H11" i="43"/>
  <c r="K11" i="43"/>
  <c r="K57" i="43" s="1"/>
  <c r="N11" i="43"/>
  <c r="I12" i="43"/>
  <c r="M12" i="43"/>
  <c r="O12" i="43"/>
  <c r="X13" i="43"/>
  <c r="Y13" i="43"/>
  <c r="Z13" i="43"/>
  <c r="I15" i="43"/>
  <c r="L15" i="43"/>
  <c r="O15" i="43"/>
  <c r="I16" i="43"/>
  <c r="L16" i="43"/>
  <c r="O16" i="43"/>
  <c r="I17" i="43"/>
  <c r="L17" i="43"/>
  <c r="O17" i="43"/>
  <c r="K26" i="43"/>
  <c r="N26" i="43"/>
  <c r="E30" i="43"/>
  <c r="F30" i="43"/>
  <c r="E31" i="43"/>
  <c r="F31" i="43"/>
  <c r="Y15" i="43" s="1"/>
  <c r="E32" i="43"/>
  <c r="F32" i="43"/>
  <c r="E33" i="43"/>
  <c r="F33" i="43"/>
  <c r="F46" i="43"/>
  <c r="L46" i="43" s="1"/>
  <c r="F47" i="43"/>
  <c r="L47" i="43" s="1"/>
  <c r="F48" i="43"/>
  <c r="L48" i="43" s="1"/>
  <c r="F49" i="43"/>
  <c r="O49" i="43" s="1"/>
  <c r="F50" i="43"/>
  <c r="I50" i="43" s="1"/>
  <c r="F51" i="43"/>
  <c r="E52" i="43"/>
  <c r="F52" i="43"/>
  <c r="L52" i="43" s="1"/>
  <c r="G52" i="43"/>
  <c r="P52" i="43" s="1"/>
  <c r="E53" i="43"/>
  <c r="F53" i="43"/>
  <c r="I53" i="43" s="1"/>
  <c r="G53" i="43"/>
  <c r="J53" i="43" s="1"/>
  <c r="E54" i="43"/>
  <c r="F54" i="43"/>
  <c r="I54" i="43" s="1"/>
  <c r="G54" i="43"/>
  <c r="M54" i="43" s="1"/>
  <c r="E55" i="43"/>
  <c r="F55" i="43"/>
  <c r="G55" i="43"/>
  <c r="E56" i="43"/>
  <c r="F56" i="43"/>
  <c r="L56" i="43" s="1"/>
  <c r="G56" i="43"/>
  <c r="J56" i="43" s="1"/>
  <c r="F57" i="43"/>
  <c r="F63" i="43"/>
  <c r="F64" i="43"/>
  <c r="J65" i="43"/>
  <c r="Y17" i="21" s="1"/>
  <c r="M65" i="43"/>
  <c r="BE17" i="21" s="1"/>
  <c r="P65" i="43"/>
  <c r="CK17" i="21" s="1"/>
  <c r="F70" i="43"/>
  <c r="N3" i="42"/>
  <c r="P4" i="42"/>
  <c r="H9" i="42"/>
  <c r="X6" i="21" s="1"/>
  <c r="D34" i="6" s="1"/>
  <c r="K9" i="42"/>
  <c r="BD6" i="21" s="1"/>
  <c r="N9" i="42"/>
  <c r="CJ6" i="21" s="1"/>
  <c r="I10" i="42"/>
  <c r="L10" i="42"/>
  <c r="O10" i="42"/>
  <c r="H11" i="42"/>
  <c r="H57" i="42" s="1"/>
  <c r="K11" i="42"/>
  <c r="N11" i="42"/>
  <c r="N57" i="42" s="1"/>
  <c r="I12" i="42"/>
  <c r="M12" i="42"/>
  <c r="O12" i="42"/>
  <c r="X13" i="42"/>
  <c r="Y13" i="42"/>
  <c r="Z13" i="42"/>
  <c r="L16" i="42"/>
  <c r="O16" i="42"/>
  <c r="I17" i="42"/>
  <c r="L17" i="42"/>
  <c r="O17" i="42"/>
  <c r="K26" i="42"/>
  <c r="N26" i="42"/>
  <c r="E30" i="42"/>
  <c r="F30" i="42"/>
  <c r="E31" i="42"/>
  <c r="F31" i="42"/>
  <c r="Z15" i="42" s="1"/>
  <c r="E32" i="42"/>
  <c r="F32" i="42"/>
  <c r="E33" i="42"/>
  <c r="F33" i="42"/>
  <c r="X17" i="42" s="1"/>
  <c r="F46" i="42"/>
  <c r="F47" i="42"/>
  <c r="L47" i="42" s="1"/>
  <c r="F48" i="42"/>
  <c r="F49" i="42"/>
  <c r="F50" i="42"/>
  <c r="F51" i="42"/>
  <c r="E52" i="42"/>
  <c r="F52" i="42"/>
  <c r="L52" i="42" s="1"/>
  <c r="G52" i="42"/>
  <c r="E53" i="42"/>
  <c r="F53" i="42"/>
  <c r="G53" i="42"/>
  <c r="M53" i="42" s="1"/>
  <c r="E54" i="42"/>
  <c r="F54" i="42"/>
  <c r="I54" i="42" s="1"/>
  <c r="G54" i="42"/>
  <c r="M54" i="42" s="1"/>
  <c r="E55" i="42"/>
  <c r="F55" i="42"/>
  <c r="G55" i="42"/>
  <c r="M55" i="42" s="1"/>
  <c r="E56" i="42"/>
  <c r="F56" i="42"/>
  <c r="L56" i="42" s="1"/>
  <c r="G56" i="42"/>
  <c r="F57" i="42"/>
  <c r="I57" i="42" s="1"/>
  <c r="K57" i="42"/>
  <c r="F63" i="42"/>
  <c r="F64" i="42"/>
  <c r="J65" i="42"/>
  <c r="X17" i="21" s="1"/>
  <c r="M65" i="42"/>
  <c r="BD17" i="21" s="1"/>
  <c r="P65" i="42"/>
  <c r="CJ17" i="21" s="1"/>
  <c r="F70" i="42"/>
  <c r="P4" i="41"/>
  <c r="H9" i="41"/>
  <c r="W6" i="21" s="1"/>
  <c r="D33" i="6" s="1"/>
  <c r="K9" i="41"/>
  <c r="BC6" i="21" s="1"/>
  <c r="G33" i="6" s="1"/>
  <c r="N9" i="41"/>
  <c r="CI6" i="21" s="1"/>
  <c r="I10" i="41"/>
  <c r="L10" i="41"/>
  <c r="O10" i="41"/>
  <c r="H11" i="41"/>
  <c r="K11" i="41"/>
  <c r="K57" i="41" s="1"/>
  <c r="N11" i="41"/>
  <c r="I12" i="41"/>
  <c r="M12" i="41"/>
  <c r="O12" i="41"/>
  <c r="X13" i="41"/>
  <c r="Y13" i="41"/>
  <c r="Z13" i="41"/>
  <c r="L15" i="41"/>
  <c r="O15" i="41"/>
  <c r="I16" i="41"/>
  <c r="L16" i="41"/>
  <c r="O16" i="41"/>
  <c r="I17" i="41"/>
  <c r="L17" i="41"/>
  <c r="O17" i="41"/>
  <c r="K26" i="41"/>
  <c r="N26" i="41"/>
  <c r="E30" i="41"/>
  <c r="F30" i="41"/>
  <c r="X14" i="41" s="1"/>
  <c r="E31" i="41"/>
  <c r="F31" i="41"/>
  <c r="E32" i="41"/>
  <c r="F32" i="41"/>
  <c r="E33" i="41"/>
  <c r="F33" i="41"/>
  <c r="F46" i="41"/>
  <c r="F47" i="41"/>
  <c r="F48" i="41"/>
  <c r="L48" i="41" s="1"/>
  <c r="F49" i="41"/>
  <c r="I49" i="41" s="1"/>
  <c r="F50" i="41"/>
  <c r="I50" i="41" s="1"/>
  <c r="F51" i="41"/>
  <c r="F52" i="41"/>
  <c r="F53" i="41"/>
  <c r="F54" i="41"/>
  <c r="E55" i="41"/>
  <c r="F55" i="41"/>
  <c r="I55" i="41" s="1"/>
  <c r="G55" i="41"/>
  <c r="M55" i="41" s="1"/>
  <c r="E56" i="41"/>
  <c r="F56" i="41"/>
  <c r="G56" i="41"/>
  <c r="M56" i="41" s="1"/>
  <c r="F57" i="41"/>
  <c r="N57" i="41"/>
  <c r="F63" i="41"/>
  <c r="F64" i="41"/>
  <c r="J65" i="41"/>
  <c r="W17" i="21" s="1"/>
  <c r="M65" i="41"/>
  <c r="BC17" i="21" s="1"/>
  <c r="P65" i="41"/>
  <c r="CI17" i="21" s="1"/>
  <c r="F70" i="41"/>
  <c r="P4" i="40"/>
  <c r="H9" i="40"/>
  <c r="V6" i="21" s="1"/>
  <c r="K9" i="40"/>
  <c r="BB6" i="21" s="1"/>
  <c r="G32" i="6" s="1"/>
  <c r="N9" i="40"/>
  <c r="CH6" i="21" s="1"/>
  <c r="J32" i="6" s="1"/>
  <c r="I10" i="40"/>
  <c r="L10" i="40"/>
  <c r="O10" i="40"/>
  <c r="H11" i="40"/>
  <c r="K11" i="40"/>
  <c r="N11" i="40"/>
  <c r="I12" i="40"/>
  <c r="M12" i="40"/>
  <c r="O12" i="40"/>
  <c r="X13" i="40"/>
  <c r="Y13" i="40"/>
  <c r="Z13" i="40"/>
  <c r="L15" i="40"/>
  <c r="O15" i="40"/>
  <c r="I16" i="40"/>
  <c r="L16" i="40"/>
  <c r="O16" i="40"/>
  <c r="I17" i="40"/>
  <c r="L17" i="40"/>
  <c r="O17" i="40"/>
  <c r="K26" i="40"/>
  <c r="N26" i="40"/>
  <c r="F30" i="40"/>
  <c r="E31" i="40"/>
  <c r="F31" i="40"/>
  <c r="E32" i="40"/>
  <c r="F32" i="40"/>
  <c r="E33" i="40"/>
  <c r="F33" i="40"/>
  <c r="F46" i="40"/>
  <c r="L46" i="40" s="1"/>
  <c r="F47" i="40"/>
  <c r="L47" i="40" s="1"/>
  <c r="F48" i="40"/>
  <c r="F49" i="40"/>
  <c r="F50" i="40"/>
  <c r="F51" i="40"/>
  <c r="E52" i="40"/>
  <c r="F52" i="40"/>
  <c r="L52" i="40" s="1"/>
  <c r="G52" i="40"/>
  <c r="M52" i="40" s="1"/>
  <c r="E53" i="40"/>
  <c r="F53" i="40"/>
  <c r="I53" i="40" s="1"/>
  <c r="G53" i="40"/>
  <c r="J53" i="40" s="1"/>
  <c r="E54" i="40"/>
  <c r="F54" i="40"/>
  <c r="I54" i="40" s="1"/>
  <c r="G54" i="40"/>
  <c r="M54" i="40" s="1"/>
  <c r="E55" i="40"/>
  <c r="F55" i="40"/>
  <c r="G55" i="40"/>
  <c r="M55" i="40" s="1"/>
  <c r="E56" i="40"/>
  <c r="F56" i="40"/>
  <c r="L56" i="40" s="1"/>
  <c r="G56" i="40"/>
  <c r="F57" i="40"/>
  <c r="H57" i="40"/>
  <c r="K57" i="40"/>
  <c r="F63" i="40"/>
  <c r="F64" i="40"/>
  <c r="J65" i="40"/>
  <c r="V17" i="21" s="1"/>
  <c r="M65" i="40"/>
  <c r="BB17" i="21" s="1"/>
  <c r="P65" i="40"/>
  <c r="CH17" i="21" s="1"/>
  <c r="F70" i="40"/>
  <c r="N3" i="39"/>
  <c r="P4" i="39"/>
  <c r="H9" i="39"/>
  <c r="U6" i="21" s="1"/>
  <c r="D31" i="6" s="1"/>
  <c r="K9" i="39"/>
  <c r="BA6" i="21" s="1"/>
  <c r="N9" i="39"/>
  <c r="CG6" i="21" s="1"/>
  <c r="J31" i="6" s="1"/>
  <c r="I10" i="39"/>
  <c r="L10" i="39"/>
  <c r="O10" i="39"/>
  <c r="H11" i="39"/>
  <c r="K11" i="39"/>
  <c r="K57" i="39" s="1"/>
  <c r="N11" i="39"/>
  <c r="I12" i="39"/>
  <c r="M12" i="39"/>
  <c r="O12" i="39"/>
  <c r="X13" i="39"/>
  <c r="Y13" i="39"/>
  <c r="Z13" i="39"/>
  <c r="I15" i="39"/>
  <c r="L15" i="39"/>
  <c r="O15" i="39"/>
  <c r="I16" i="39"/>
  <c r="L16" i="39"/>
  <c r="O16" i="39"/>
  <c r="I17" i="39"/>
  <c r="L17" i="39"/>
  <c r="O17" i="39"/>
  <c r="K25" i="39"/>
  <c r="N25" i="39"/>
  <c r="K26" i="39"/>
  <c r="N26" i="39"/>
  <c r="E30" i="39"/>
  <c r="F30" i="39"/>
  <c r="Y14" i="39" s="1"/>
  <c r="E31" i="39"/>
  <c r="F31" i="39"/>
  <c r="Z15" i="39" s="1"/>
  <c r="E32" i="39"/>
  <c r="F32" i="39"/>
  <c r="E33" i="39"/>
  <c r="F33" i="39"/>
  <c r="F46" i="39"/>
  <c r="F47" i="39"/>
  <c r="L47" i="39" s="1"/>
  <c r="F48" i="39"/>
  <c r="L48" i="39" s="1"/>
  <c r="F49" i="39"/>
  <c r="O49" i="39" s="1"/>
  <c r="F50" i="39"/>
  <c r="F51" i="39"/>
  <c r="F52" i="39"/>
  <c r="E53" i="39"/>
  <c r="F53" i="39"/>
  <c r="L53" i="39" s="1"/>
  <c r="G53" i="39"/>
  <c r="M53" i="39" s="1"/>
  <c r="E54" i="39"/>
  <c r="F54" i="39"/>
  <c r="G54" i="39"/>
  <c r="E55" i="39"/>
  <c r="F55" i="39"/>
  <c r="L55" i="39" s="1"/>
  <c r="G55" i="39"/>
  <c r="E56" i="39"/>
  <c r="F56" i="39"/>
  <c r="O56" i="39" s="1"/>
  <c r="G56" i="39"/>
  <c r="M56" i="39" s="1"/>
  <c r="F57" i="39"/>
  <c r="F63" i="39"/>
  <c r="F64" i="39"/>
  <c r="J65" i="39"/>
  <c r="U17" i="21" s="1"/>
  <c r="M65" i="39"/>
  <c r="BA17" i="21" s="1"/>
  <c r="P65" i="39"/>
  <c r="CG17" i="21" s="1"/>
  <c r="F70" i="39"/>
  <c r="N3" i="38"/>
  <c r="P4" i="38"/>
  <c r="H9" i="38"/>
  <c r="T6" i="21" s="1"/>
  <c r="K9" i="38"/>
  <c r="AZ6" i="21" s="1"/>
  <c r="N9" i="38"/>
  <c r="CF6" i="21" s="1"/>
  <c r="J30" i="6" s="1"/>
  <c r="I10" i="38"/>
  <c r="L10" i="38"/>
  <c r="O10" i="38"/>
  <c r="H11" i="38"/>
  <c r="K11" i="38"/>
  <c r="N11" i="38"/>
  <c r="I12" i="38"/>
  <c r="M12" i="38"/>
  <c r="O12" i="38"/>
  <c r="X13" i="38"/>
  <c r="Y13" i="38"/>
  <c r="Z13" i="38"/>
  <c r="I15" i="38"/>
  <c r="L15" i="38"/>
  <c r="O15" i="38"/>
  <c r="I16" i="38"/>
  <c r="L16" i="38"/>
  <c r="O16" i="38"/>
  <c r="I17" i="38"/>
  <c r="L17" i="38"/>
  <c r="O17" i="38"/>
  <c r="K25" i="38"/>
  <c r="N25" i="38"/>
  <c r="K26" i="38"/>
  <c r="N26" i="38"/>
  <c r="E30" i="38"/>
  <c r="F30" i="38"/>
  <c r="Z14" i="38" s="1"/>
  <c r="E31" i="38"/>
  <c r="F31" i="38"/>
  <c r="Z15" i="38" s="1"/>
  <c r="E32" i="38"/>
  <c r="F32" i="38"/>
  <c r="Z16" i="38" s="1"/>
  <c r="E33" i="38"/>
  <c r="F33" i="38"/>
  <c r="Z17" i="38" s="1"/>
  <c r="F46" i="38"/>
  <c r="F47" i="38"/>
  <c r="L47" i="38" s="1"/>
  <c r="F48" i="38"/>
  <c r="O48" i="38" s="1"/>
  <c r="F49" i="38"/>
  <c r="O49" i="38" s="1"/>
  <c r="F50" i="38"/>
  <c r="L50" i="38" s="1"/>
  <c r="F51" i="38"/>
  <c r="E52" i="38"/>
  <c r="F52" i="38"/>
  <c r="I52" i="38" s="1"/>
  <c r="G52" i="38"/>
  <c r="J52" i="38" s="1"/>
  <c r="E53" i="38"/>
  <c r="F53" i="38"/>
  <c r="I53" i="38" s="1"/>
  <c r="G53" i="38"/>
  <c r="E54" i="38"/>
  <c r="F54" i="38"/>
  <c r="O54" i="38" s="1"/>
  <c r="G54" i="38"/>
  <c r="M54" i="38" s="1"/>
  <c r="E55" i="38"/>
  <c r="F55" i="38"/>
  <c r="L55" i="38" s="1"/>
  <c r="G55" i="38"/>
  <c r="J55" i="38" s="1"/>
  <c r="E56" i="38"/>
  <c r="F56" i="38"/>
  <c r="L56" i="38" s="1"/>
  <c r="G56" i="38"/>
  <c r="F57" i="38"/>
  <c r="H57" i="38"/>
  <c r="K57" i="38"/>
  <c r="F63" i="38"/>
  <c r="F64" i="38"/>
  <c r="J65" i="38"/>
  <c r="T17" i="21" s="1"/>
  <c r="M65" i="38"/>
  <c r="AZ17" i="21" s="1"/>
  <c r="P65" i="38"/>
  <c r="CF17" i="21" s="1"/>
  <c r="F70" i="38"/>
  <c r="N3" i="37"/>
  <c r="P4" i="37"/>
  <c r="H9" i="37"/>
  <c r="S6" i="21" s="1"/>
  <c r="D29" i="6" s="1"/>
  <c r="K9" i="37"/>
  <c r="AY6" i="21" s="1"/>
  <c r="N9" i="37"/>
  <c r="CE6" i="21" s="1"/>
  <c r="I10" i="37"/>
  <c r="L10" i="37"/>
  <c r="O10" i="37"/>
  <c r="H11" i="37"/>
  <c r="H57" i="37" s="1"/>
  <c r="K11" i="37"/>
  <c r="N11" i="37"/>
  <c r="N57" i="37" s="1"/>
  <c r="I12" i="37"/>
  <c r="M12" i="37"/>
  <c r="O12" i="37"/>
  <c r="Z13" i="37"/>
  <c r="I15" i="37"/>
  <c r="L15" i="37"/>
  <c r="O15" i="37"/>
  <c r="I16" i="37"/>
  <c r="L16" i="37"/>
  <c r="O16" i="37"/>
  <c r="I17" i="37"/>
  <c r="L17" i="37"/>
  <c r="O17" i="37"/>
  <c r="K25" i="37"/>
  <c r="N25" i="37"/>
  <c r="K26" i="37"/>
  <c r="N26" i="37"/>
  <c r="E30" i="37"/>
  <c r="F30" i="37"/>
  <c r="E31" i="37"/>
  <c r="F31" i="37"/>
  <c r="E32" i="37"/>
  <c r="F32" i="37"/>
  <c r="X16" i="37" s="1"/>
  <c r="E33" i="37"/>
  <c r="F33" i="37"/>
  <c r="F46" i="37"/>
  <c r="F47" i="37"/>
  <c r="I47" i="37" s="1"/>
  <c r="F48" i="37"/>
  <c r="I48" i="37" s="1"/>
  <c r="F49" i="37"/>
  <c r="L49" i="37" s="1"/>
  <c r="F50" i="37"/>
  <c r="F51" i="37"/>
  <c r="E52" i="37"/>
  <c r="F52" i="37"/>
  <c r="I52" i="37" s="1"/>
  <c r="G52" i="37"/>
  <c r="E53" i="37"/>
  <c r="F53" i="37"/>
  <c r="L53" i="37" s="1"/>
  <c r="G53" i="37"/>
  <c r="E54" i="37"/>
  <c r="F54" i="37"/>
  <c r="L54" i="37" s="1"/>
  <c r="G54" i="37"/>
  <c r="M54" i="37" s="1"/>
  <c r="E55" i="37"/>
  <c r="F55" i="37"/>
  <c r="L55" i="37" s="1"/>
  <c r="G55" i="37"/>
  <c r="M55" i="37" s="1"/>
  <c r="E56" i="37"/>
  <c r="F56" i="37"/>
  <c r="O56" i="37" s="1"/>
  <c r="G56" i="37"/>
  <c r="J56" i="37" s="1"/>
  <c r="E57" i="37"/>
  <c r="F57" i="37"/>
  <c r="G57" i="37"/>
  <c r="K57" i="37"/>
  <c r="F63" i="37"/>
  <c r="F64" i="37"/>
  <c r="J65" i="37"/>
  <c r="S17" i="21" s="1"/>
  <c r="M65" i="37"/>
  <c r="AY17" i="21" s="1"/>
  <c r="P65" i="37"/>
  <c r="CE17" i="21" s="1"/>
  <c r="F70" i="37"/>
  <c r="P4" i="36"/>
  <c r="H9" i="36"/>
  <c r="R6" i="21" s="1"/>
  <c r="D28" i="6" s="1"/>
  <c r="K9" i="36"/>
  <c r="AX6" i="21" s="1"/>
  <c r="G28" i="6" s="1"/>
  <c r="N9" i="36"/>
  <c r="CD6" i="21" s="1"/>
  <c r="J29" i="6" s="1"/>
  <c r="I10" i="36"/>
  <c r="L10" i="36"/>
  <c r="O10" i="36"/>
  <c r="H11" i="36"/>
  <c r="H57" i="36" s="1"/>
  <c r="K11" i="36"/>
  <c r="N11" i="36"/>
  <c r="I12" i="36"/>
  <c r="M12" i="36"/>
  <c r="O12" i="36"/>
  <c r="X13" i="36"/>
  <c r="Y13" i="36"/>
  <c r="Z13" i="36"/>
  <c r="I15" i="36"/>
  <c r="L15" i="36"/>
  <c r="O15" i="36"/>
  <c r="I16" i="36"/>
  <c r="L16" i="36"/>
  <c r="O16" i="36"/>
  <c r="I17" i="36"/>
  <c r="L17" i="36"/>
  <c r="O17" i="36"/>
  <c r="K25" i="36"/>
  <c r="N25" i="36"/>
  <c r="K26" i="36"/>
  <c r="N26" i="36"/>
  <c r="E30" i="36"/>
  <c r="F30" i="36"/>
  <c r="E31" i="36"/>
  <c r="F31" i="36"/>
  <c r="Z15" i="36" s="1"/>
  <c r="E32" i="36"/>
  <c r="F32" i="36"/>
  <c r="X16" i="36" s="1"/>
  <c r="E33" i="36"/>
  <c r="F33" i="36"/>
  <c r="F46" i="36"/>
  <c r="L46" i="36" s="1"/>
  <c r="F47" i="36"/>
  <c r="L47" i="36" s="1"/>
  <c r="F48" i="36"/>
  <c r="L48" i="36" s="1"/>
  <c r="F49" i="36"/>
  <c r="I49" i="36" s="1"/>
  <c r="F50" i="36"/>
  <c r="F51" i="36"/>
  <c r="E52" i="36"/>
  <c r="F52" i="36"/>
  <c r="G52" i="36"/>
  <c r="E53" i="36"/>
  <c r="F53" i="36"/>
  <c r="L53" i="36" s="1"/>
  <c r="G53" i="36"/>
  <c r="M53" i="36" s="1"/>
  <c r="E54" i="36"/>
  <c r="F54" i="36"/>
  <c r="I54" i="36" s="1"/>
  <c r="G54" i="36"/>
  <c r="J54" i="36" s="1"/>
  <c r="E55" i="36"/>
  <c r="F55" i="36"/>
  <c r="O55" i="36" s="1"/>
  <c r="G55" i="36"/>
  <c r="M55" i="36" s="1"/>
  <c r="E56" i="36"/>
  <c r="F56" i="36"/>
  <c r="G56" i="36"/>
  <c r="P56" i="36" s="1"/>
  <c r="E57" i="36"/>
  <c r="F57" i="36"/>
  <c r="G57" i="36"/>
  <c r="F63" i="36"/>
  <c r="F64" i="36"/>
  <c r="J65" i="36"/>
  <c r="R17" i="21" s="1"/>
  <c r="M65" i="36"/>
  <c r="AX17" i="21" s="1"/>
  <c r="P65" i="36"/>
  <c r="CD17" i="21" s="1"/>
  <c r="S68" i="36"/>
  <c r="M67" i="36" s="1"/>
  <c r="AX18" i="21" s="1"/>
  <c r="T68" i="36"/>
  <c r="P67" i="36" s="1"/>
  <c r="CD18" i="21" s="1"/>
  <c r="F70" i="36"/>
  <c r="N3" i="35"/>
  <c r="P4" i="35"/>
  <c r="H9" i="35"/>
  <c r="Q6" i="21" s="1"/>
  <c r="D27" i="6" s="1"/>
  <c r="K9" i="35"/>
  <c r="N9" i="35"/>
  <c r="CC6" i="21" s="1"/>
  <c r="J27" i="6" s="1"/>
  <c r="I10" i="35"/>
  <c r="L10" i="35"/>
  <c r="O10" i="35"/>
  <c r="H11" i="35"/>
  <c r="H57" i="35" s="1"/>
  <c r="K11" i="35"/>
  <c r="N11" i="35"/>
  <c r="I12" i="35"/>
  <c r="M12" i="35"/>
  <c r="O12" i="35"/>
  <c r="X13" i="35"/>
  <c r="Y13" i="35"/>
  <c r="Z13" i="35"/>
  <c r="I15" i="35"/>
  <c r="L15" i="35"/>
  <c r="O15" i="35"/>
  <c r="I16" i="35"/>
  <c r="L16" i="35"/>
  <c r="O16" i="35"/>
  <c r="I17" i="35"/>
  <c r="L17" i="35"/>
  <c r="O17" i="35"/>
  <c r="K26" i="35"/>
  <c r="N26" i="35"/>
  <c r="E30" i="35"/>
  <c r="F30" i="35"/>
  <c r="E31" i="35"/>
  <c r="F31" i="35"/>
  <c r="Z15" i="35" s="1"/>
  <c r="E32" i="35"/>
  <c r="F32" i="35"/>
  <c r="E33" i="35"/>
  <c r="F33" i="35"/>
  <c r="F46" i="35"/>
  <c r="I46" i="35" s="1"/>
  <c r="F47" i="35"/>
  <c r="L47" i="35" s="1"/>
  <c r="F48" i="35"/>
  <c r="F49" i="35"/>
  <c r="L49" i="35" s="1"/>
  <c r="F50" i="35"/>
  <c r="F51" i="35"/>
  <c r="L51" i="35" s="1"/>
  <c r="F52" i="35"/>
  <c r="E53" i="35"/>
  <c r="F53" i="35"/>
  <c r="O53" i="35" s="1"/>
  <c r="G53" i="35"/>
  <c r="M53" i="35" s="1"/>
  <c r="E54" i="35"/>
  <c r="F54" i="35"/>
  <c r="G54" i="35"/>
  <c r="E55" i="35"/>
  <c r="F55" i="35"/>
  <c r="L55" i="35" s="1"/>
  <c r="G55" i="35"/>
  <c r="M55" i="35" s="1"/>
  <c r="E56" i="35"/>
  <c r="F56" i="35"/>
  <c r="I56" i="35" s="1"/>
  <c r="G56" i="35"/>
  <c r="J56" i="35" s="1"/>
  <c r="E57" i="35"/>
  <c r="F57" i="35"/>
  <c r="G57" i="35"/>
  <c r="K57" i="35"/>
  <c r="F62" i="35"/>
  <c r="F63" i="35"/>
  <c r="F64" i="35"/>
  <c r="J65" i="35"/>
  <c r="Q17" i="21" s="1"/>
  <c r="M65" i="35"/>
  <c r="AW17" i="21" s="1"/>
  <c r="P65" i="35"/>
  <c r="CC17" i="21" s="1"/>
  <c r="F70" i="35"/>
  <c r="N3" i="34"/>
  <c r="P4" i="34"/>
  <c r="H9" i="34"/>
  <c r="P6" i="21" s="1"/>
  <c r="K9" i="34"/>
  <c r="AV6" i="21" s="1"/>
  <c r="N9" i="34"/>
  <c r="CB6" i="21" s="1"/>
  <c r="J26" i="6" s="1"/>
  <c r="I10" i="34"/>
  <c r="L10" i="34"/>
  <c r="O10" i="34"/>
  <c r="H11" i="34"/>
  <c r="K11" i="34"/>
  <c r="K57" i="34" s="1"/>
  <c r="N11" i="34"/>
  <c r="I12" i="34"/>
  <c r="M12" i="34"/>
  <c r="O12" i="34"/>
  <c r="X13" i="34"/>
  <c r="Y13" i="34"/>
  <c r="Z13" i="34"/>
  <c r="I15" i="34"/>
  <c r="L15" i="34"/>
  <c r="O15" i="34"/>
  <c r="I16" i="34"/>
  <c r="L16" i="34"/>
  <c r="O16" i="34"/>
  <c r="I17" i="34"/>
  <c r="L17" i="34"/>
  <c r="O17" i="34"/>
  <c r="K25" i="34"/>
  <c r="N25" i="34"/>
  <c r="K26" i="34"/>
  <c r="N26" i="34"/>
  <c r="E30" i="34"/>
  <c r="F30" i="34"/>
  <c r="Y14" i="34" s="1"/>
  <c r="E31" i="34"/>
  <c r="F31" i="34"/>
  <c r="Z15" i="34" s="1"/>
  <c r="E32" i="34"/>
  <c r="F32" i="34"/>
  <c r="Z16" i="34" s="1"/>
  <c r="E33" i="34"/>
  <c r="F33" i="34"/>
  <c r="F46" i="34"/>
  <c r="L46" i="34" s="1"/>
  <c r="F47" i="34"/>
  <c r="F48" i="34"/>
  <c r="F49" i="34"/>
  <c r="L49" i="34" s="1"/>
  <c r="F50" i="34"/>
  <c r="L50" i="34" s="1"/>
  <c r="F51" i="34"/>
  <c r="L51" i="34" s="1"/>
  <c r="E52" i="34"/>
  <c r="F52" i="34"/>
  <c r="E53" i="34"/>
  <c r="F53" i="34"/>
  <c r="G53" i="34"/>
  <c r="J53" i="34" s="1"/>
  <c r="E54" i="34"/>
  <c r="F54" i="34"/>
  <c r="I54" i="34" s="1"/>
  <c r="G54" i="34"/>
  <c r="M54" i="34" s="1"/>
  <c r="E55" i="34"/>
  <c r="F55" i="34"/>
  <c r="L55" i="34" s="1"/>
  <c r="G55" i="34"/>
  <c r="M55" i="34" s="1"/>
  <c r="E56" i="34"/>
  <c r="F56" i="34"/>
  <c r="G56" i="34"/>
  <c r="F57" i="34"/>
  <c r="N57" i="34"/>
  <c r="F63" i="34"/>
  <c r="F64" i="34"/>
  <c r="J65" i="34"/>
  <c r="P17" i="21" s="1"/>
  <c r="M65" i="34"/>
  <c r="AV17" i="21" s="1"/>
  <c r="P65" i="34"/>
  <c r="CB17" i="21" s="1"/>
  <c r="F70" i="34"/>
  <c r="N3" i="33"/>
  <c r="P4" i="33"/>
  <c r="H9" i="33"/>
  <c r="O6" i="21" s="1"/>
  <c r="K9" i="33"/>
  <c r="AU6" i="21" s="1"/>
  <c r="N9" i="33"/>
  <c r="CA6" i="21" s="1"/>
  <c r="I10" i="33"/>
  <c r="L10" i="33"/>
  <c r="O10" i="33"/>
  <c r="H11" i="33"/>
  <c r="H57" i="33" s="1"/>
  <c r="K11" i="33"/>
  <c r="K57" i="33" s="1"/>
  <c r="N11" i="33"/>
  <c r="I12" i="33"/>
  <c r="M12" i="33"/>
  <c r="O12" i="33"/>
  <c r="X13" i="33"/>
  <c r="Y13" i="33"/>
  <c r="Z13" i="33"/>
  <c r="I15" i="33"/>
  <c r="L15" i="33"/>
  <c r="O15" i="33"/>
  <c r="I16" i="33"/>
  <c r="L16" i="33"/>
  <c r="O16" i="33"/>
  <c r="I17" i="33"/>
  <c r="L17" i="33"/>
  <c r="O17" i="33"/>
  <c r="K25" i="33"/>
  <c r="N25" i="33"/>
  <c r="K26" i="33"/>
  <c r="N26" i="33"/>
  <c r="E30" i="33"/>
  <c r="F30" i="33"/>
  <c r="E31" i="33"/>
  <c r="F31" i="33"/>
  <c r="E32" i="33"/>
  <c r="F32" i="33"/>
  <c r="E33" i="33"/>
  <c r="F33" i="33"/>
  <c r="F46" i="33"/>
  <c r="L46" i="33" s="1"/>
  <c r="F47" i="33"/>
  <c r="F48" i="33"/>
  <c r="I48" i="33" s="1"/>
  <c r="F49" i="33"/>
  <c r="I49" i="33" s="1"/>
  <c r="F50" i="33"/>
  <c r="F51" i="33"/>
  <c r="L51" i="33" s="1"/>
  <c r="E52" i="33"/>
  <c r="F52" i="33"/>
  <c r="I52" i="33" s="1"/>
  <c r="G52" i="33"/>
  <c r="E53" i="33"/>
  <c r="F53" i="33"/>
  <c r="L53" i="33" s="1"/>
  <c r="G53" i="33"/>
  <c r="M53" i="33" s="1"/>
  <c r="E54" i="33"/>
  <c r="F54" i="33"/>
  <c r="L54" i="33" s="1"/>
  <c r="G54" i="33"/>
  <c r="E55" i="33"/>
  <c r="F55" i="33"/>
  <c r="G55" i="33"/>
  <c r="E56" i="33"/>
  <c r="F56" i="33"/>
  <c r="I56" i="33" s="1"/>
  <c r="G56" i="33"/>
  <c r="M56" i="33" s="1"/>
  <c r="F57" i="33"/>
  <c r="N57" i="33"/>
  <c r="F63" i="33"/>
  <c r="F64" i="33"/>
  <c r="J65" i="33"/>
  <c r="O17" i="21" s="1"/>
  <c r="M65" i="33"/>
  <c r="AU17" i="21" s="1"/>
  <c r="P65" i="33"/>
  <c r="CA17" i="21" s="1"/>
  <c r="F70" i="33"/>
  <c r="N3" i="32"/>
  <c r="P4" i="32"/>
  <c r="H9" i="32"/>
  <c r="N6" i="21" s="1"/>
  <c r="D24" i="6" s="1"/>
  <c r="K9" i="32"/>
  <c r="AT6" i="21" s="1"/>
  <c r="G24" i="6" s="1"/>
  <c r="N9" i="32"/>
  <c r="BZ6" i="21" s="1"/>
  <c r="J24" i="6" s="1"/>
  <c r="H11" i="32"/>
  <c r="K11" i="32"/>
  <c r="N11" i="32"/>
  <c r="N57" i="32" s="1"/>
  <c r="I12" i="32"/>
  <c r="M12" i="32"/>
  <c r="O12" i="32"/>
  <c r="X13" i="32"/>
  <c r="Y13" i="32"/>
  <c r="Z13" i="32"/>
  <c r="I15" i="32"/>
  <c r="L15" i="32"/>
  <c r="O15" i="32"/>
  <c r="I16" i="32"/>
  <c r="L16" i="32"/>
  <c r="O16" i="32"/>
  <c r="I17" i="32"/>
  <c r="L17" i="32"/>
  <c r="O17" i="32"/>
  <c r="K25" i="32"/>
  <c r="N25" i="32"/>
  <c r="K26" i="32"/>
  <c r="N26" i="32"/>
  <c r="E30" i="32"/>
  <c r="F30" i="32"/>
  <c r="E31" i="32"/>
  <c r="F31" i="32"/>
  <c r="E32" i="32"/>
  <c r="F32" i="32"/>
  <c r="E33" i="32"/>
  <c r="F33" i="32"/>
  <c r="F46" i="32"/>
  <c r="F47" i="32"/>
  <c r="O47" i="32" s="1"/>
  <c r="F48" i="32"/>
  <c r="O48" i="32" s="1"/>
  <c r="F49" i="32"/>
  <c r="L49" i="32" s="1"/>
  <c r="F50" i="32"/>
  <c r="F51" i="32"/>
  <c r="O51" i="32" s="1"/>
  <c r="E52" i="32"/>
  <c r="F52" i="32"/>
  <c r="L52" i="32" s="1"/>
  <c r="G52" i="32"/>
  <c r="M52" i="32" s="1"/>
  <c r="E53" i="32"/>
  <c r="F53" i="32"/>
  <c r="L53" i="32" s="1"/>
  <c r="G53" i="32"/>
  <c r="E54" i="32"/>
  <c r="F54" i="32"/>
  <c r="G54" i="32"/>
  <c r="P54" i="32" s="1"/>
  <c r="E55" i="32"/>
  <c r="F55" i="32"/>
  <c r="I55" i="32" s="1"/>
  <c r="G55" i="32"/>
  <c r="M55" i="32" s="1"/>
  <c r="E56" i="32"/>
  <c r="F56" i="32"/>
  <c r="O56" i="32" s="1"/>
  <c r="G56" i="32"/>
  <c r="M56" i="32" s="1"/>
  <c r="F57" i="32"/>
  <c r="H57" i="32"/>
  <c r="K57" i="32"/>
  <c r="F63" i="32"/>
  <c r="F64" i="32"/>
  <c r="J65" i="32"/>
  <c r="N17" i="21" s="1"/>
  <c r="M65" i="32"/>
  <c r="AT17" i="21" s="1"/>
  <c r="P65" i="32"/>
  <c r="BZ17" i="21" s="1"/>
  <c r="F70" i="32"/>
  <c r="N3" i="31"/>
  <c r="P4" i="31"/>
  <c r="H9" i="31"/>
  <c r="M6" i="21" s="1"/>
  <c r="D23" i="6" s="1"/>
  <c r="K9" i="31"/>
  <c r="AS6" i="21" s="1"/>
  <c r="G23" i="6" s="1"/>
  <c r="N9" i="31"/>
  <c r="BY6" i="21" s="1"/>
  <c r="I10" i="31"/>
  <c r="L10" i="31"/>
  <c r="O10" i="31"/>
  <c r="H11" i="31"/>
  <c r="K11" i="31"/>
  <c r="K57" i="31" s="1"/>
  <c r="N11" i="31"/>
  <c r="N57" i="31" s="1"/>
  <c r="I12" i="31"/>
  <c r="M12" i="31"/>
  <c r="O12" i="31"/>
  <c r="X13" i="31"/>
  <c r="Y13" i="31"/>
  <c r="Z13" i="31"/>
  <c r="I15" i="31"/>
  <c r="L15" i="31"/>
  <c r="O15" i="31"/>
  <c r="I16" i="31"/>
  <c r="L16" i="31"/>
  <c r="O16" i="31"/>
  <c r="I17" i="31"/>
  <c r="L17" i="31"/>
  <c r="O17" i="31"/>
  <c r="K25" i="31"/>
  <c r="N25" i="31"/>
  <c r="K26" i="31"/>
  <c r="N26" i="31"/>
  <c r="E30" i="31"/>
  <c r="F30" i="31"/>
  <c r="E31" i="31"/>
  <c r="F31" i="31"/>
  <c r="Y15" i="31" s="1"/>
  <c r="E32" i="31"/>
  <c r="F32" i="31"/>
  <c r="Y16" i="31" s="1"/>
  <c r="E33" i="31"/>
  <c r="F33" i="31"/>
  <c r="F46" i="31"/>
  <c r="O46" i="31" s="1"/>
  <c r="F47" i="31"/>
  <c r="F48" i="31"/>
  <c r="F49" i="31"/>
  <c r="O49" i="31" s="1"/>
  <c r="F50" i="31"/>
  <c r="L50" i="31" s="1"/>
  <c r="F51" i="31"/>
  <c r="L51" i="31" s="1"/>
  <c r="E52" i="31"/>
  <c r="F52" i="31"/>
  <c r="L52" i="31" s="1"/>
  <c r="G52" i="31"/>
  <c r="M52" i="31" s="1"/>
  <c r="E53" i="31"/>
  <c r="F53" i="31"/>
  <c r="I53" i="31" s="1"/>
  <c r="G53" i="31"/>
  <c r="M53" i="31" s="1"/>
  <c r="E54" i="31"/>
  <c r="F54" i="31"/>
  <c r="I54" i="31" s="1"/>
  <c r="G54" i="31"/>
  <c r="E55" i="31"/>
  <c r="F55" i="31"/>
  <c r="L55" i="31" s="1"/>
  <c r="G55" i="31"/>
  <c r="M55" i="31" s="1"/>
  <c r="E56" i="31"/>
  <c r="F56" i="31"/>
  <c r="L56" i="31" s="1"/>
  <c r="G56" i="31"/>
  <c r="J56" i="31" s="1"/>
  <c r="F57" i="31"/>
  <c r="H57" i="31"/>
  <c r="F63" i="31"/>
  <c r="F64" i="31"/>
  <c r="J65" i="31"/>
  <c r="M17" i="21" s="1"/>
  <c r="M65" i="31"/>
  <c r="AS17" i="21" s="1"/>
  <c r="P65" i="31"/>
  <c r="BY17" i="21" s="1"/>
  <c r="F70" i="31"/>
  <c r="N3" i="30"/>
  <c r="P4" i="30"/>
  <c r="H9" i="30"/>
  <c r="L6" i="21" s="1"/>
  <c r="K9" i="30"/>
  <c r="AR6" i="21" s="1"/>
  <c r="N9" i="30"/>
  <c r="BX6" i="21" s="1"/>
  <c r="J22" i="6" s="1"/>
  <c r="I10" i="30"/>
  <c r="L10" i="30"/>
  <c r="O10" i="30"/>
  <c r="H11" i="30"/>
  <c r="K11" i="30"/>
  <c r="K57" i="30" s="1"/>
  <c r="N11" i="30"/>
  <c r="I12" i="30"/>
  <c r="M12" i="30"/>
  <c r="O12" i="30"/>
  <c r="X13" i="30"/>
  <c r="Y13" i="30"/>
  <c r="Z13" i="30"/>
  <c r="I15" i="30"/>
  <c r="L15" i="30"/>
  <c r="O15" i="30"/>
  <c r="I16" i="30"/>
  <c r="L16" i="30"/>
  <c r="O16" i="30"/>
  <c r="I17" i="30"/>
  <c r="L17" i="30"/>
  <c r="O17" i="30"/>
  <c r="N25" i="30"/>
  <c r="N26" i="30"/>
  <c r="E30" i="30"/>
  <c r="F30" i="30"/>
  <c r="E31" i="30"/>
  <c r="F31" i="30"/>
  <c r="Z15" i="30" s="1"/>
  <c r="E32" i="30"/>
  <c r="F32" i="30"/>
  <c r="X16" i="30" s="1"/>
  <c r="E33" i="30"/>
  <c r="F33" i="30"/>
  <c r="F46" i="30"/>
  <c r="L46" i="30" s="1"/>
  <c r="F47" i="30"/>
  <c r="O47" i="30" s="1"/>
  <c r="F48" i="30"/>
  <c r="L48" i="30" s="1"/>
  <c r="F49" i="30"/>
  <c r="L49" i="30" s="1"/>
  <c r="F50" i="30"/>
  <c r="O50" i="30" s="1"/>
  <c r="F51" i="30"/>
  <c r="O51" i="30" s="1"/>
  <c r="E52" i="30"/>
  <c r="F52" i="30"/>
  <c r="G52" i="30"/>
  <c r="M52" i="30" s="1"/>
  <c r="E53" i="30"/>
  <c r="F53" i="30"/>
  <c r="L53" i="30" s="1"/>
  <c r="G53" i="30"/>
  <c r="J53" i="30" s="1"/>
  <c r="E54" i="30"/>
  <c r="F54" i="30"/>
  <c r="G54" i="30"/>
  <c r="M54" i="30" s="1"/>
  <c r="E55" i="30"/>
  <c r="F55" i="30"/>
  <c r="L55" i="30" s="1"/>
  <c r="G55" i="30"/>
  <c r="M55" i="30" s="1"/>
  <c r="E56" i="30"/>
  <c r="F56" i="30"/>
  <c r="G56" i="30"/>
  <c r="M56" i="30" s="1"/>
  <c r="F57" i="30"/>
  <c r="F63" i="30"/>
  <c r="F64" i="30"/>
  <c r="J65" i="30"/>
  <c r="L17" i="21" s="1"/>
  <c r="M65" i="30"/>
  <c r="AR17" i="21" s="1"/>
  <c r="P65" i="30"/>
  <c r="BX17" i="21" s="1"/>
  <c r="F70" i="30"/>
  <c r="N3" i="29"/>
  <c r="P4" i="29"/>
  <c r="H9" i="29"/>
  <c r="K6" i="21" s="1"/>
  <c r="K9" i="29"/>
  <c r="AQ6" i="21" s="1"/>
  <c r="N9" i="29"/>
  <c r="BW6" i="21" s="1"/>
  <c r="J21" i="6" s="1"/>
  <c r="I10" i="29"/>
  <c r="L10" i="29"/>
  <c r="O10" i="29"/>
  <c r="H11" i="29"/>
  <c r="H57" i="29" s="1"/>
  <c r="K11" i="29"/>
  <c r="K57" i="29" s="1"/>
  <c r="N11" i="29"/>
  <c r="N57" i="29" s="1"/>
  <c r="I12" i="29"/>
  <c r="M12" i="29"/>
  <c r="O12" i="29"/>
  <c r="X13" i="29"/>
  <c r="Y13" i="29"/>
  <c r="Z13" i="29"/>
  <c r="L14" i="29"/>
  <c r="O14" i="29"/>
  <c r="I15" i="29"/>
  <c r="L15" i="29"/>
  <c r="O15" i="29"/>
  <c r="I16" i="29"/>
  <c r="L16" i="29"/>
  <c r="O16" i="29"/>
  <c r="I17" i="29"/>
  <c r="L17" i="29"/>
  <c r="O17" i="29"/>
  <c r="K25" i="29"/>
  <c r="N25" i="29"/>
  <c r="K26" i="29"/>
  <c r="N26" i="29"/>
  <c r="E30" i="29"/>
  <c r="F30" i="29"/>
  <c r="X14" i="29" s="1"/>
  <c r="E31" i="29"/>
  <c r="F31" i="29"/>
  <c r="X15" i="29" s="1"/>
  <c r="E32" i="29"/>
  <c r="F32" i="29"/>
  <c r="E33" i="29"/>
  <c r="F33" i="29"/>
  <c r="F46" i="29"/>
  <c r="L46" i="29" s="1"/>
  <c r="F47" i="29"/>
  <c r="L47" i="29" s="1"/>
  <c r="F48" i="29"/>
  <c r="L48" i="29" s="1"/>
  <c r="F49" i="29"/>
  <c r="F50" i="29"/>
  <c r="H50" i="29"/>
  <c r="K50" i="29"/>
  <c r="N50" i="29"/>
  <c r="E51" i="29"/>
  <c r="F51" i="29"/>
  <c r="L51" i="29" s="1"/>
  <c r="E52" i="29"/>
  <c r="F52" i="29"/>
  <c r="I52" i="29" s="1"/>
  <c r="G52" i="29"/>
  <c r="J52" i="29" s="1"/>
  <c r="E53" i="29"/>
  <c r="F53" i="29"/>
  <c r="L53" i="29" s="1"/>
  <c r="G53" i="29"/>
  <c r="M53" i="29" s="1"/>
  <c r="E54" i="29"/>
  <c r="F54" i="29"/>
  <c r="G54" i="29"/>
  <c r="M54" i="29" s="1"/>
  <c r="E55" i="29"/>
  <c r="F55" i="29"/>
  <c r="L55" i="29" s="1"/>
  <c r="G55" i="29"/>
  <c r="M55" i="29" s="1"/>
  <c r="E56" i="29"/>
  <c r="F56" i="29"/>
  <c r="I56" i="29" s="1"/>
  <c r="G56" i="29"/>
  <c r="J56" i="29" s="1"/>
  <c r="F57" i="29"/>
  <c r="F63" i="29"/>
  <c r="F64" i="29"/>
  <c r="J65" i="29"/>
  <c r="K17" i="21" s="1"/>
  <c r="M65" i="29"/>
  <c r="AQ17" i="21" s="1"/>
  <c r="P65" i="29"/>
  <c r="BW17" i="21" s="1"/>
  <c r="F70" i="29"/>
  <c r="N3" i="28"/>
  <c r="P4" i="28"/>
  <c r="H9" i="28"/>
  <c r="J6" i="21" s="1"/>
  <c r="D20" i="6" s="1"/>
  <c r="K9" i="28"/>
  <c r="AP6" i="21" s="1"/>
  <c r="G20" i="6" s="1"/>
  <c r="N9" i="28"/>
  <c r="BV6" i="21" s="1"/>
  <c r="J20" i="6" s="1"/>
  <c r="I10" i="28"/>
  <c r="L10" i="28"/>
  <c r="O10" i="28"/>
  <c r="H11" i="28"/>
  <c r="K11" i="28"/>
  <c r="K57" i="28" s="1"/>
  <c r="N11" i="28"/>
  <c r="I12" i="28"/>
  <c r="M12" i="28"/>
  <c r="O12" i="28"/>
  <c r="X13" i="28"/>
  <c r="Y13" i="28"/>
  <c r="Z13" i="28"/>
  <c r="I15" i="28"/>
  <c r="L15" i="28"/>
  <c r="O15" i="28"/>
  <c r="I16" i="28"/>
  <c r="L16" i="28"/>
  <c r="O16" i="28"/>
  <c r="I17" i="28"/>
  <c r="L17" i="28"/>
  <c r="O17" i="28"/>
  <c r="K25" i="28"/>
  <c r="K26" i="28"/>
  <c r="N26" i="28"/>
  <c r="E30" i="28"/>
  <c r="F30" i="28"/>
  <c r="E31" i="28"/>
  <c r="F31" i="28"/>
  <c r="E32" i="28"/>
  <c r="F32" i="28"/>
  <c r="Z16" i="28" s="1"/>
  <c r="E33" i="28"/>
  <c r="F33" i="28"/>
  <c r="F46" i="28"/>
  <c r="O46" i="28" s="1"/>
  <c r="F47" i="28"/>
  <c r="F48" i="28"/>
  <c r="F49" i="28"/>
  <c r="I49" i="28" s="1"/>
  <c r="F50" i="28"/>
  <c r="I50" i="28" s="1"/>
  <c r="F51" i="28"/>
  <c r="E52" i="28"/>
  <c r="F52" i="28"/>
  <c r="L52" i="28" s="1"/>
  <c r="G52" i="28"/>
  <c r="M52" i="28" s="1"/>
  <c r="E53" i="28"/>
  <c r="F53" i="28"/>
  <c r="L53" i="28" s="1"/>
  <c r="G53" i="28"/>
  <c r="J53" i="28" s="1"/>
  <c r="E54" i="28"/>
  <c r="F54" i="28"/>
  <c r="G54" i="28"/>
  <c r="J54" i="28" s="1"/>
  <c r="E55" i="28"/>
  <c r="F55" i="28"/>
  <c r="I55" i="28" s="1"/>
  <c r="G55" i="28"/>
  <c r="E56" i="28"/>
  <c r="F56" i="28"/>
  <c r="L56" i="28" s="1"/>
  <c r="G56" i="28"/>
  <c r="M56" i="28" s="1"/>
  <c r="F57" i="28"/>
  <c r="N57" i="28"/>
  <c r="F63" i="28"/>
  <c r="F64" i="28"/>
  <c r="J65" i="28"/>
  <c r="J17" i="21" s="1"/>
  <c r="M65" i="28"/>
  <c r="AP17" i="21" s="1"/>
  <c r="P65" i="28"/>
  <c r="BV17" i="21" s="1"/>
  <c r="F70" i="28"/>
  <c r="N3" i="27"/>
  <c r="P4" i="27"/>
  <c r="H9" i="27"/>
  <c r="I6" i="21" s="1"/>
  <c r="D19" i="6" s="1"/>
  <c r="K9" i="27"/>
  <c r="AO6" i="21" s="1"/>
  <c r="G19" i="6" s="1"/>
  <c r="N9" i="27"/>
  <c r="I10" i="27"/>
  <c r="L10" i="27"/>
  <c r="O10" i="27"/>
  <c r="H11" i="27"/>
  <c r="H57" i="27" s="1"/>
  <c r="K11" i="27"/>
  <c r="N11" i="27"/>
  <c r="N57" i="27" s="1"/>
  <c r="I12" i="27"/>
  <c r="M12" i="27"/>
  <c r="O12" i="27"/>
  <c r="X13" i="27"/>
  <c r="Y13" i="27"/>
  <c r="Z13" i="27"/>
  <c r="K25" i="27"/>
  <c r="N25" i="27"/>
  <c r="K26" i="27"/>
  <c r="N26" i="27"/>
  <c r="E30" i="27"/>
  <c r="F30" i="27"/>
  <c r="E31" i="27"/>
  <c r="F31" i="27"/>
  <c r="X15" i="27" s="1"/>
  <c r="E32" i="27"/>
  <c r="F32" i="27"/>
  <c r="X16" i="27" s="1"/>
  <c r="E33" i="27"/>
  <c r="F33" i="27"/>
  <c r="X17" i="27" s="1"/>
  <c r="F46" i="27"/>
  <c r="F47" i="27"/>
  <c r="F48" i="27"/>
  <c r="F49" i="27"/>
  <c r="L49" i="27" s="1"/>
  <c r="F50" i="27"/>
  <c r="L50" i="27" s="1"/>
  <c r="F51" i="27"/>
  <c r="L51" i="27" s="1"/>
  <c r="F52" i="27"/>
  <c r="L52" i="27" s="1"/>
  <c r="E53" i="27"/>
  <c r="F53" i="27"/>
  <c r="I53" i="27" s="1"/>
  <c r="G53" i="27"/>
  <c r="J53" i="27" s="1"/>
  <c r="E54" i="27"/>
  <c r="F54" i="27"/>
  <c r="I54" i="27" s="1"/>
  <c r="G54" i="27"/>
  <c r="M54" i="27" s="1"/>
  <c r="E55" i="27"/>
  <c r="F55" i="27"/>
  <c r="G55" i="27"/>
  <c r="E56" i="27"/>
  <c r="F56" i="27"/>
  <c r="G56" i="27"/>
  <c r="F57" i="27"/>
  <c r="F63" i="27"/>
  <c r="F64" i="27"/>
  <c r="J65" i="27"/>
  <c r="I17" i="21" s="1"/>
  <c r="M65" i="27"/>
  <c r="AO17" i="21" s="1"/>
  <c r="P65" i="27"/>
  <c r="BU17" i="21" s="1"/>
  <c r="F70" i="27"/>
  <c r="N3" i="26"/>
  <c r="P4" i="26"/>
  <c r="H9" i="26"/>
  <c r="H6" i="21" s="1"/>
  <c r="D18" i="6" s="1"/>
  <c r="K9" i="26"/>
  <c r="N9" i="26"/>
  <c r="BT6" i="21" s="1"/>
  <c r="J18" i="6" s="1"/>
  <c r="I10" i="26"/>
  <c r="L10" i="26"/>
  <c r="O10" i="26"/>
  <c r="H11" i="26"/>
  <c r="K11" i="26"/>
  <c r="K57" i="26" s="1"/>
  <c r="N11" i="26"/>
  <c r="N57" i="26" s="1"/>
  <c r="I12" i="26"/>
  <c r="M12" i="26"/>
  <c r="O12" i="26"/>
  <c r="X13" i="26"/>
  <c r="Y13" i="26"/>
  <c r="Z13" i="26"/>
  <c r="K25" i="26"/>
  <c r="K26" i="26"/>
  <c r="E30" i="26"/>
  <c r="F30" i="26"/>
  <c r="E31" i="26"/>
  <c r="F31" i="26"/>
  <c r="E32" i="26"/>
  <c r="F32" i="26"/>
  <c r="E33" i="26"/>
  <c r="F33" i="26"/>
  <c r="F46" i="26"/>
  <c r="L46" i="26" s="1"/>
  <c r="F47" i="26"/>
  <c r="L47" i="26" s="1"/>
  <c r="F48" i="26"/>
  <c r="L48" i="26" s="1"/>
  <c r="F49" i="26"/>
  <c r="L49" i="26" s="1"/>
  <c r="F50" i="26"/>
  <c r="F51" i="26"/>
  <c r="L51" i="26" s="1"/>
  <c r="F52" i="26"/>
  <c r="E53" i="26"/>
  <c r="F53" i="26"/>
  <c r="G53" i="26"/>
  <c r="E54" i="26"/>
  <c r="F54" i="26"/>
  <c r="G54" i="26"/>
  <c r="P54" i="26" s="1"/>
  <c r="E55" i="26"/>
  <c r="F55" i="26"/>
  <c r="L55" i="26" s="1"/>
  <c r="G55" i="26"/>
  <c r="J55" i="26" s="1"/>
  <c r="E56" i="26"/>
  <c r="F56" i="26"/>
  <c r="I56" i="26" s="1"/>
  <c r="G56" i="26"/>
  <c r="M56" i="26" s="1"/>
  <c r="F57" i="26"/>
  <c r="F63" i="26"/>
  <c r="F64" i="26"/>
  <c r="J65" i="26"/>
  <c r="H17" i="21" s="1"/>
  <c r="M65" i="26"/>
  <c r="AN17" i="21" s="1"/>
  <c r="P65" i="26"/>
  <c r="BT17" i="21" s="1"/>
  <c r="F70" i="26"/>
  <c r="N3" i="25"/>
  <c r="P4" i="25"/>
  <c r="H9" i="25"/>
  <c r="K9" i="25"/>
  <c r="AM6" i="21" s="1"/>
  <c r="G17" i="6" s="1"/>
  <c r="N9" i="25"/>
  <c r="BS6" i="21" s="1"/>
  <c r="J17" i="6" s="1"/>
  <c r="I10" i="25"/>
  <c r="L10" i="25"/>
  <c r="O10" i="25"/>
  <c r="H11" i="25"/>
  <c r="K11" i="25"/>
  <c r="N11" i="25"/>
  <c r="I12" i="25"/>
  <c r="M12" i="25"/>
  <c r="O12" i="25"/>
  <c r="X13" i="25"/>
  <c r="Y13" i="25"/>
  <c r="Z13" i="25"/>
  <c r="I15" i="25"/>
  <c r="L15" i="25"/>
  <c r="O15" i="25"/>
  <c r="I16" i="25"/>
  <c r="L16" i="25"/>
  <c r="O16" i="25"/>
  <c r="I17" i="25"/>
  <c r="L17" i="25"/>
  <c r="O17" i="25"/>
  <c r="K25" i="25"/>
  <c r="N25" i="25"/>
  <c r="K26" i="25"/>
  <c r="N26" i="25"/>
  <c r="E30" i="25"/>
  <c r="F30" i="25"/>
  <c r="E31" i="25"/>
  <c r="F31" i="25"/>
  <c r="E32" i="25"/>
  <c r="F32" i="25"/>
  <c r="E33" i="25"/>
  <c r="F33" i="25"/>
  <c r="F46" i="25"/>
  <c r="F47" i="25"/>
  <c r="F48" i="25"/>
  <c r="F49" i="25"/>
  <c r="F50" i="25"/>
  <c r="H50" i="25"/>
  <c r="K50" i="25"/>
  <c r="N50" i="25"/>
  <c r="E51" i="25"/>
  <c r="F51" i="25"/>
  <c r="L51" i="25" s="1"/>
  <c r="E52" i="25"/>
  <c r="F52" i="25"/>
  <c r="G52" i="25"/>
  <c r="E53" i="25"/>
  <c r="F53" i="25"/>
  <c r="G53" i="25"/>
  <c r="M53" i="25" s="1"/>
  <c r="E54" i="25"/>
  <c r="F54" i="25"/>
  <c r="G54" i="25"/>
  <c r="P54" i="25" s="1"/>
  <c r="E55" i="25"/>
  <c r="F55" i="25"/>
  <c r="L55" i="25" s="1"/>
  <c r="G55" i="25"/>
  <c r="M55" i="25" s="1"/>
  <c r="E56" i="25"/>
  <c r="F56" i="25"/>
  <c r="G56" i="25"/>
  <c r="F57" i="25"/>
  <c r="N57" i="25"/>
  <c r="F63" i="25"/>
  <c r="F64" i="25"/>
  <c r="J65" i="25"/>
  <c r="G17" i="21" s="1"/>
  <c r="M65" i="25"/>
  <c r="AM17" i="21" s="1"/>
  <c r="P65" i="25"/>
  <c r="BS17" i="21" s="1"/>
  <c r="F70" i="25"/>
  <c r="N3" i="24"/>
  <c r="P4" i="24"/>
  <c r="H9" i="24"/>
  <c r="F6" i="21" s="1"/>
  <c r="K9" i="24"/>
  <c r="AL6" i="21" s="1"/>
  <c r="N9" i="24"/>
  <c r="BR6" i="21" s="1"/>
  <c r="I10" i="24"/>
  <c r="L10" i="24"/>
  <c r="O10" i="24"/>
  <c r="H11" i="24"/>
  <c r="H57" i="24" s="1"/>
  <c r="K11" i="24"/>
  <c r="N11" i="24"/>
  <c r="N57" i="24" s="1"/>
  <c r="I12" i="24"/>
  <c r="M12" i="24"/>
  <c r="O12" i="24"/>
  <c r="X13" i="24"/>
  <c r="Y13" i="24"/>
  <c r="Z13" i="24"/>
  <c r="I15" i="24"/>
  <c r="L15" i="24"/>
  <c r="O15" i="24"/>
  <c r="I16" i="24"/>
  <c r="L16" i="24"/>
  <c r="O16" i="24"/>
  <c r="I17" i="24"/>
  <c r="L17" i="24"/>
  <c r="O17" i="24"/>
  <c r="K25" i="24"/>
  <c r="N25" i="24"/>
  <c r="K26" i="24"/>
  <c r="N26" i="24"/>
  <c r="E30" i="24"/>
  <c r="F30" i="24"/>
  <c r="E31" i="24"/>
  <c r="F31" i="24"/>
  <c r="E32" i="24"/>
  <c r="F32" i="24"/>
  <c r="E33" i="24"/>
  <c r="F33" i="24"/>
  <c r="F46" i="24"/>
  <c r="F47" i="24"/>
  <c r="L47" i="24" s="1"/>
  <c r="F48" i="24"/>
  <c r="L48" i="24" s="1"/>
  <c r="F49" i="24"/>
  <c r="I49" i="24" s="1"/>
  <c r="F50" i="24"/>
  <c r="H50" i="24"/>
  <c r="K50" i="24"/>
  <c r="N50" i="24"/>
  <c r="E51" i="24"/>
  <c r="F51" i="24"/>
  <c r="E52" i="24"/>
  <c r="F52" i="24"/>
  <c r="G52" i="24"/>
  <c r="P52" i="24" s="1"/>
  <c r="E53" i="24"/>
  <c r="F53" i="24"/>
  <c r="I53" i="24" s="1"/>
  <c r="G53" i="24"/>
  <c r="J53" i="24" s="1"/>
  <c r="E54" i="24"/>
  <c r="F54" i="24"/>
  <c r="L54" i="24" s="1"/>
  <c r="G54" i="24"/>
  <c r="M54" i="24" s="1"/>
  <c r="E55" i="24"/>
  <c r="F55" i="24"/>
  <c r="G55" i="24"/>
  <c r="E56" i="24"/>
  <c r="F56" i="24"/>
  <c r="L56" i="24" s="1"/>
  <c r="G56" i="24"/>
  <c r="M56" i="24" s="1"/>
  <c r="F57" i="24"/>
  <c r="F63" i="24"/>
  <c r="F64" i="24"/>
  <c r="J65" i="24"/>
  <c r="F17" i="21" s="1"/>
  <c r="M65" i="24"/>
  <c r="AL17" i="21" s="1"/>
  <c r="P65" i="24"/>
  <c r="BR17" i="21" s="1"/>
  <c r="F70" i="24"/>
  <c r="N3" i="23"/>
  <c r="P4" i="23"/>
  <c r="H9" i="23"/>
  <c r="E6" i="21" s="1"/>
  <c r="D15" i="6" s="1"/>
  <c r="N9" i="23"/>
  <c r="BQ6" i="21" s="1"/>
  <c r="J15" i="6" s="1"/>
  <c r="I10" i="23"/>
  <c r="L10" i="23"/>
  <c r="O10" i="23"/>
  <c r="H11" i="23"/>
  <c r="K11" i="23"/>
  <c r="K57" i="23" s="1"/>
  <c r="N11" i="23"/>
  <c r="N57" i="23" s="1"/>
  <c r="I12" i="23"/>
  <c r="M12" i="23"/>
  <c r="O12" i="23"/>
  <c r="X13" i="23"/>
  <c r="Y13" i="23"/>
  <c r="Z13" i="23"/>
  <c r="I16" i="23"/>
  <c r="L16" i="23"/>
  <c r="O16" i="23"/>
  <c r="I17" i="23"/>
  <c r="L17" i="23"/>
  <c r="O17" i="23"/>
  <c r="K25" i="23"/>
  <c r="N25" i="23"/>
  <c r="K26" i="23"/>
  <c r="N26" i="23"/>
  <c r="E30" i="23"/>
  <c r="F30" i="23"/>
  <c r="E31" i="23"/>
  <c r="F31" i="23"/>
  <c r="E32" i="23"/>
  <c r="F32" i="23"/>
  <c r="E33" i="23"/>
  <c r="F33" i="23"/>
  <c r="F46" i="23"/>
  <c r="F47" i="23"/>
  <c r="L47" i="23" s="1"/>
  <c r="F48" i="23"/>
  <c r="F49" i="23"/>
  <c r="O49" i="23" s="1"/>
  <c r="F50" i="23"/>
  <c r="H50" i="23"/>
  <c r="K50" i="23"/>
  <c r="N50" i="23"/>
  <c r="E51" i="23"/>
  <c r="F51" i="23"/>
  <c r="E52" i="23"/>
  <c r="F52" i="23"/>
  <c r="I52" i="23" s="1"/>
  <c r="G52" i="23"/>
  <c r="M52" i="23" s="1"/>
  <c r="E53" i="23"/>
  <c r="F53" i="23"/>
  <c r="L53" i="23" s="1"/>
  <c r="G53" i="23"/>
  <c r="M53" i="23" s="1"/>
  <c r="E54" i="23"/>
  <c r="F54" i="23"/>
  <c r="I54" i="23" s="1"/>
  <c r="G54" i="23"/>
  <c r="E55" i="23"/>
  <c r="F55" i="23"/>
  <c r="L55" i="23" s="1"/>
  <c r="G55" i="23"/>
  <c r="M55" i="23" s="1"/>
  <c r="E56" i="23"/>
  <c r="F56" i="23"/>
  <c r="L56" i="23" s="1"/>
  <c r="G56" i="23"/>
  <c r="M56" i="23" s="1"/>
  <c r="F57" i="23"/>
  <c r="F63" i="23"/>
  <c r="F64" i="23"/>
  <c r="J65" i="23"/>
  <c r="E17" i="21" s="1"/>
  <c r="M65" i="23"/>
  <c r="AK17" i="21" s="1"/>
  <c r="P65" i="23"/>
  <c r="BQ17" i="21" s="1"/>
  <c r="F70" i="23"/>
  <c r="G114" i="23"/>
  <c r="G116" i="23"/>
  <c r="N3" i="22"/>
  <c r="P4" i="22"/>
  <c r="G4" i="20" s="1"/>
  <c r="H9" i="22"/>
  <c r="K9" i="22"/>
  <c r="N9" i="22"/>
  <c r="BP6" i="21" s="1"/>
  <c r="J14" i="6" s="1"/>
  <c r="I10" i="22"/>
  <c r="L10" i="22"/>
  <c r="O10" i="22"/>
  <c r="H11" i="22"/>
  <c r="H57" i="22" s="1"/>
  <c r="Q57" i="22" s="1"/>
  <c r="K11" i="22"/>
  <c r="K57" i="22" s="1"/>
  <c r="N11" i="22"/>
  <c r="N57" i="22" s="1"/>
  <c r="U11" i="22"/>
  <c r="I12" i="22"/>
  <c r="M12" i="22"/>
  <c r="O12" i="22"/>
  <c r="X13" i="22"/>
  <c r="Y13" i="22"/>
  <c r="Z13" i="22"/>
  <c r="L15" i="22"/>
  <c r="O15" i="22"/>
  <c r="I16" i="22"/>
  <c r="L16" i="22"/>
  <c r="O16" i="22"/>
  <c r="K25" i="22"/>
  <c r="N25" i="22"/>
  <c r="K26" i="22"/>
  <c r="N26" i="22"/>
  <c r="E31" i="22"/>
  <c r="F31" i="22"/>
  <c r="E32" i="22"/>
  <c r="F32" i="22"/>
  <c r="E33" i="22"/>
  <c r="F33" i="22"/>
  <c r="F46" i="22"/>
  <c r="L46" i="22" s="1"/>
  <c r="F47" i="22"/>
  <c r="F48" i="22"/>
  <c r="O48" i="22" s="1"/>
  <c r="F49" i="22"/>
  <c r="O49" i="22" s="1"/>
  <c r="F50" i="22"/>
  <c r="E51" i="22"/>
  <c r="F51" i="22"/>
  <c r="L51" i="22" s="1"/>
  <c r="E52" i="22"/>
  <c r="F52" i="22"/>
  <c r="I52" i="22" s="1"/>
  <c r="G52" i="22"/>
  <c r="J52" i="22" s="1"/>
  <c r="E53" i="22"/>
  <c r="F53" i="22"/>
  <c r="L53" i="22" s="1"/>
  <c r="G53" i="22"/>
  <c r="M53" i="22" s="1"/>
  <c r="E54" i="22"/>
  <c r="F54" i="22"/>
  <c r="G54" i="22"/>
  <c r="M54" i="22" s="1"/>
  <c r="E55" i="22"/>
  <c r="F55" i="22"/>
  <c r="I55" i="22" s="1"/>
  <c r="G55" i="22"/>
  <c r="J55" i="22" s="1"/>
  <c r="E56" i="22"/>
  <c r="F56" i="22"/>
  <c r="G56" i="22"/>
  <c r="F57" i="22"/>
  <c r="F63" i="22"/>
  <c r="J65" i="22"/>
  <c r="D17" i="21" s="1"/>
  <c r="M65" i="22"/>
  <c r="AJ17" i="21" s="1"/>
  <c r="P65" i="22"/>
  <c r="BP17" i="21" s="1"/>
  <c r="F70" i="22"/>
  <c r="N146" i="22"/>
  <c r="D22" i="6"/>
  <c r="D25" i="6"/>
  <c r="D26" i="6"/>
  <c r="D30" i="6"/>
  <c r="D32" i="6"/>
  <c r="D35" i="6"/>
  <c r="D36" i="6"/>
  <c r="D39" i="6"/>
  <c r="D40" i="6"/>
  <c r="D41" i="6"/>
  <c r="G21" i="6"/>
  <c r="G25" i="6"/>
  <c r="G29" i="6"/>
  <c r="G30" i="6"/>
  <c r="G31" i="6"/>
  <c r="G38" i="6"/>
  <c r="G39" i="6"/>
  <c r="J23" i="6"/>
  <c r="J25" i="6"/>
  <c r="J33" i="6"/>
  <c r="J34" i="6"/>
  <c r="J35" i="6"/>
  <c r="J41" i="6"/>
  <c r="E2" i="20"/>
  <c r="O69" i="20" s="1"/>
  <c r="D10" i="20"/>
  <c r="D11" i="20" s="1"/>
  <c r="D12" i="20" s="1"/>
  <c r="D13" i="20" s="1"/>
  <c r="D14" i="20" s="1"/>
  <c r="D15" i="20" s="1"/>
  <c r="D16" i="20" s="1"/>
  <c r="D17" i="20" s="1"/>
  <c r="D18" i="20" s="1"/>
  <c r="D19" i="20" s="1"/>
  <c r="D21" i="20" s="1"/>
  <c r="D22" i="20" s="1"/>
  <c r="D23" i="20" s="1"/>
  <c r="D24" i="20" s="1"/>
  <c r="D25" i="20" s="1"/>
  <c r="D26" i="20" s="1"/>
  <c r="D27" i="20" s="1"/>
  <c r="D28" i="20" s="1"/>
  <c r="D29" i="20" s="1"/>
  <c r="D30" i="20" s="1"/>
  <c r="D32" i="20" s="1"/>
  <c r="D34" i="20" s="1"/>
  <c r="D35" i="20" s="1"/>
  <c r="D36" i="20" s="1"/>
  <c r="D37" i="20" s="1"/>
  <c r="D39" i="20" s="1"/>
  <c r="D40" i="20" s="1"/>
  <c r="D41" i="20" s="1"/>
  <c r="D42" i="20" s="1"/>
  <c r="D43" i="20" s="1"/>
  <c r="D44" i="20" s="1"/>
  <c r="D45" i="20" s="1"/>
  <c r="D46" i="20" s="1"/>
  <c r="D48" i="20" s="1"/>
  <c r="D49" i="20" s="1"/>
  <c r="D50" i="20" s="1"/>
  <c r="D51" i="20" s="1"/>
  <c r="D52" i="20" s="1"/>
  <c r="D53" i="20" s="1"/>
  <c r="D54" i="20" s="1"/>
  <c r="D57" i="20" s="1"/>
  <c r="D59" i="20" s="1"/>
  <c r="D62" i="20" s="1"/>
  <c r="D66" i="20" s="1"/>
  <c r="D67" i="20" s="1"/>
  <c r="D68" i="20" s="1"/>
  <c r="D69" i="20" s="1"/>
  <c r="D70" i="20" s="1"/>
  <c r="D71" i="20" s="1"/>
  <c r="D72" i="20" s="1"/>
  <c r="D74" i="20" s="1"/>
  <c r="D75" i="20" s="1"/>
  <c r="D77" i="20" s="1"/>
  <c r="D78" i="20" s="1"/>
  <c r="D83" i="20" s="1"/>
  <c r="D84" i="20" s="1"/>
  <c r="D85" i="20" s="1"/>
  <c r="D86" i="20" s="1"/>
  <c r="D87" i="20" s="1"/>
  <c r="D88" i="20" s="1"/>
  <c r="D89" i="20" s="1"/>
  <c r="E11" i="20"/>
  <c r="F98" i="20"/>
  <c r="F102" i="20"/>
  <c r="I114" i="20"/>
  <c r="K114" i="20"/>
  <c r="M114" i="20"/>
  <c r="O114" i="20"/>
  <c r="Q114" i="20"/>
  <c r="S114" i="20"/>
  <c r="U114" i="20"/>
  <c r="J127" i="20"/>
  <c r="L127" i="20"/>
  <c r="L137" i="20" s="1"/>
  <c r="N127" i="20"/>
  <c r="N137" i="20" s="1"/>
  <c r="P127" i="20"/>
  <c r="P137" i="20" s="1"/>
  <c r="R127" i="20"/>
  <c r="R137" i="20" s="1"/>
  <c r="T127" i="20"/>
  <c r="T137" i="20" s="1"/>
  <c r="V127" i="20"/>
  <c r="V137" i="20" s="1"/>
  <c r="X127" i="20"/>
  <c r="X137" i="20" s="1"/>
  <c r="J128" i="20"/>
  <c r="L128" i="20"/>
  <c r="N128" i="20"/>
  <c r="P128" i="20"/>
  <c r="R128" i="20"/>
  <c r="T128" i="20"/>
  <c r="V128" i="20"/>
  <c r="X128" i="20"/>
  <c r="J129" i="20"/>
  <c r="L129" i="20"/>
  <c r="N129" i="20"/>
  <c r="P129" i="20"/>
  <c r="R129" i="20"/>
  <c r="T129" i="20"/>
  <c r="V129" i="20"/>
  <c r="X129" i="20"/>
  <c r="J130" i="20"/>
  <c r="L130" i="20"/>
  <c r="N130" i="20"/>
  <c r="P130" i="20"/>
  <c r="R130" i="20"/>
  <c r="T130" i="20"/>
  <c r="V130" i="20"/>
  <c r="X130" i="20"/>
  <c r="J131" i="20"/>
  <c r="L131" i="20"/>
  <c r="N131" i="20"/>
  <c r="P131" i="20"/>
  <c r="R131" i="20"/>
  <c r="T131" i="20"/>
  <c r="V131" i="20"/>
  <c r="X131" i="20"/>
  <c r="J132" i="20"/>
  <c r="L132" i="20"/>
  <c r="N132" i="20"/>
  <c r="P132" i="20"/>
  <c r="R132" i="20"/>
  <c r="T132" i="20"/>
  <c r="V132" i="20"/>
  <c r="X132" i="20"/>
  <c r="J133" i="20"/>
  <c r="L133" i="20"/>
  <c r="N133" i="20"/>
  <c r="P133" i="20"/>
  <c r="R133" i="20"/>
  <c r="T133" i="20"/>
  <c r="V133" i="20"/>
  <c r="X133" i="20"/>
  <c r="J134" i="20"/>
  <c r="L134" i="20"/>
  <c r="N134" i="20"/>
  <c r="P134" i="20"/>
  <c r="R134" i="20"/>
  <c r="T134" i="20"/>
  <c r="V134" i="20"/>
  <c r="X134" i="20"/>
  <c r="J135" i="20"/>
  <c r="L135" i="20"/>
  <c r="N135" i="20"/>
  <c r="P135" i="20"/>
  <c r="R135" i="20"/>
  <c r="T135" i="20"/>
  <c r="V135" i="20"/>
  <c r="X135" i="20"/>
  <c r="J136" i="20"/>
  <c r="L136" i="20"/>
  <c r="N136" i="20"/>
  <c r="P136" i="20"/>
  <c r="R136" i="20"/>
  <c r="T136" i="20"/>
  <c r="V136" i="20"/>
  <c r="X136" i="20"/>
  <c r="J137" i="20"/>
  <c r="F234" i="20"/>
  <c r="C14" i="6" s="1"/>
  <c r="F235" i="20"/>
  <c r="C15" i="6" s="1"/>
  <c r="F236" i="20"/>
  <c r="C16" i="6" s="1"/>
  <c r="F237" i="20"/>
  <c r="C17" i="6" s="1"/>
  <c r="F238" i="20"/>
  <c r="C18" i="6" s="1"/>
  <c r="F239" i="20"/>
  <c r="C19" i="6" s="1"/>
  <c r="F240" i="20"/>
  <c r="C20" i="6" s="1"/>
  <c r="F241" i="20"/>
  <c r="C21" i="6" s="1"/>
  <c r="F242" i="20"/>
  <c r="C22" i="6" s="1"/>
  <c r="F243" i="20"/>
  <c r="C23" i="6" s="1"/>
  <c r="F244" i="20"/>
  <c r="C24" i="6" s="1"/>
  <c r="F245" i="20"/>
  <c r="C25" i="6" s="1"/>
  <c r="F246" i="20"/>
  <c r="C26" i="6" s="1"/>
  <c r="F247" i="20"/>
  <c r="C27" i="6" s="1"/>
  <c r="F248" i="20"/>
  <c r="C28" i="6" s="1"/>
  <c r="F249" i="20"/>
  <c r="C29" i="6" s="1"/>
  <c r="F250" i="20"/>
  <c r="C30" i="6" s="1"/>
  <c r="F251" i="20"/>
  <c r="C31" i="6" s="1"/>
  <c r="F252" i="20"/>
  <c r="C32" i="6" s="1"/>
  <c r="F253" i="20"/>
  <c r="C33" i="6" s="1"/>
  <c r="F254" i="20"/>
  <c r="C34" i="6" s="1"/>
  <c r="F255" i="20"/>
  <c r="C35" i="6" s="1"/>
  <c r="F256" i="20"/>
  <c r="C36" i="6" s="1"/>
  <c r="F257" i="20"/>
  <c r="C37" i="6" s="1"/>
  <c r="F258" i="20"/>
  <c r="C38" i="6" s="1"/>
  <c r="F259" i="20"/>
  <c r="C39" i="6" s="1"/>
  <c r="F260" i="20"/>
  <c r="C40" i="6" s="1"/>
  <c r="F261" i="20"/>
  <c r="C41" i="6" s="1"/>
  <c r="F263" i="20"/>
  <c r="C43" i="6" s="1"/>
  <c r="F264" i="20"/>
  <c r="C35" i="18"/>
  <c r="C36" i="18" s="1"/>
  <c r="D36" i="18" s="1"/>
  <c r="D35" i="18"/>
  <c r="F35" i="18"/>
  <c r="H85" i="18"/>
  <c r="J85" i="18" s="1"/>
  <c r="H86" i="18"/>
  <c r="J86" i="18" s="1"/>
  <c r="H87" i="18"/>
  <c r="J87" i="18" s="1"/>
  <c r="J90" i="18"/>
  <c r="B99" i="18"/>
  <c r="B100" i="18"/>
  <c r="B102" i="18"/>
  <c r="I102" i="18"/>
  <c r="B103" i="18"/>
  <c r="I103" i="18"/>
  <c r="B104" i="18"/>
  <c r="I104" i="18"/>
  <c r="B105" i="18"/>
  <c r="I105" i="18"/>
  <c r="B106" i="18"/>
  <c r="I106" i="18"/>
  <c r="B107" i="18"/>
  <c r="I107" i="18"/>
  <c r="B108" i="18"/>
  <c r="I108" i="18"/>
  <c r="B109" i="18"/>
  <c r="I109" i="18"/>
  <c r="B110" i="18"/>
  <c r="I110" i="18"/>
  <c r="B111" i="18"/>
  <c r="I111" i="18"/>
  <c r="B112" i="18"/>
  <c r="I112" i="18"/>
  <c r="B113" i="18"/>
  <c r="I113" i="18"/>
  <c r="B114" i="18"/>
  <c r="I114" i="18"/>
  <c r="B117" i="18"/>
  <c r="F123" i="18"/>
  <c r="F125" i="18" s="1"/>
  <c r="F126" i="18" s="1"/>
  <c r="G123" i="18"/>
  <c r="H123" i="18"/>
  <c r="H125" i="18" s="1"/>
  <c r="H126" i="18" s="1"/>
  <c r="J123" i="18"/>
  <c r="J125" i="18" s="1"/>
  <c r="J126" i="18" s="1"/>
  <c r="G125" i="18"/>
  <c r="G126" i="18" s="1"/>
  <c r="F137" i="18"/>
  <c r="G137" i="18"/>
  <c r="G141" i="18" s="1"/>
  <c r="H137" i="18"/>
  <c r="J137" i="18"/>
  <c r="F140" i="18"/>
  <c r="F141" i="18" s="1"/>
  <c r="G140" i="18"/>
  <c r="H140" i="18"/>
  <c r="H141" i="18" s="1"/>
  <c r="J140" i="18"/>
  <c r="J141" i="18" s="1"/>
  <c r="F154" i="18"/>
  <c r="H154" i="18"/>
  <c r="F155" i="18"/>
  <c r="H155" i="18"/>
  <c r="D156" i="18"/>
  <c r="J160" i="18"/>
  <c r="J161" i="18"/>
  <c r="J162" i="18" s="1"/>
  <c r="K162" i="18" s="1"/>
  <c r="J165" i="18"/>
  <c r="J167" i="18" s="1"/>
  <c r="K167" i="18" s="1"/>
  <c r="J166" i="18"/>
  <c r="F180" i="18"/>
  <c r="F181" i="18"/>
  <c r="F182" i="18"/>
  <c r="T185" i="18"/>
  <c r="T186" i="18"/>
  <c r="F187" i="18"/>
  <c r="H187" i="18" s="1"/>
  <c r="F188" i="18"/>
  <c r="H188" i="18" s="1"/>
  <c r="B1" i="17"/>
  <c r="C1" i="17"/>
  <c r="D1" i="17"/>
  <c r="E1" i="17"/>
  <c r="F1" i="17"/>
  <c r="G1" i="17"/>
  <c r="H1" i="17"/>
  <c r="I1" i="17"/>
  <c r="J1" i="17"/>
  <c r="K1" i="17"/>
  <c r="L1" i="17"/>
  <c r="M1" i="17"/>
  <c r="N1" i="17"/>
  <c r="O1" i="17"/>
  <c r="P1" i="17"/>
  <c r="Q1" i="17"/>
  <c r="F2" i="17"/>
  <c r="N3" i="15"/>
  <c r="K17" i="15"/>
  <c r="M17" i="15"/>
  <c r="K18" i="15"/>
  <c r="M18" i="15"/>
  <c r="K25" i="15"/>
  <c r="M25" i="15"/>
  <c r="K31" i="15"/>
  <c r="M31" i="15"/>
  <c r="K32" i="15"/>
  <c r="M32" i="15"/>
  <c r="K37" i="15"/>
  <c r="M37" i="15"/>
  <c r="K38" i="15"/>
  <c r="M38" i="15"/>
  <c r="O3" i="14"/>
  <c r="S5" i="14"/>
  <c r="N5" i="14" s="1"/>
  <c r="F24" i="14"/>
  <c r="F25" i="14"/>
  <c r="F26" i="14"/>
  <c r="F27" i="14"/>
  <c r="E47" i="45" s="1"/>
  <c r="F28" i="14"/>
  <c r="F29" i="14"/>
  <c r="F30" i="14"/>
  <c r="D32" i="14"/>
  <c r="F32" i="14"/>
  <c r="D33" i="14"/>
  <c r="F33" i="14"/>
  <c r="F34" i="14"/>
  <c r="F35" i="14"/>
  <c r="E49" i="39" s="1"/>
  <c r="F36" i="14"/>
  <c r="E48" i="45" s="1"/>
  <c r="F37" i="14"/>
  <c r="E49" i="35" s="1"/>
  <c r="F38" i="14"/>
  <c r="F39" i="14"/>
  <c r="J39" i="14"/>
  <c r="F40" i="14"/>
  <c r="E49" i="31" s="1"/>
  <c r="F41" i="14"/>
  <c r="D42" i="14"/>
  <c r="F42" i="14"/>
  <c r="F43" i="14"/>
  <c r="D44" i="14"/>
  <c r="D44" i="62" s="1"/>
  <c r="F44" i="14"/>
  <c r="N44" i="14"/>
  <c r="N44" i="62" s="1"/>
  <c r="D46" i="14"/>
  <c r="F46" i="14"/>
  <c r="D47" i="14"/>
  <c r="F47" i="14"/>
  <c r="F48" i="14"/>
  <c r="F49" i="14"/>
  <c r="F50" i="14"/>
  <c r="E50" i="41" s="1"/>
  <c r="F51" i="14"/>
  <c r="F53" i="14"/>
  <c r="F54" i="14"/>
  <c r="F56" i="14"/>
  <c r="D57" i="14"/>
  <c r="F57" i="14"/>
  <c r="D58" i="14"/>
  <c r="F58" i="14"/>
  <c r="D59" i="14"/>
  <c r="F59" i="14"/>
  <c r="F61" i="14"/>
  <c r="F62" i="14"/>
  <c r="F63" i="14"/>
  <c r="F64" i="14"/>
  <c r="F65" i="14"/>
  <c r="F66" i="14"/>
  <c r="F67" i="14"/>
  <c r="F68" i="14"/>
  <c r="F69" i="14"/>
  <c r="J69" i="14"/>
  <c r="F70" i="14"/>
  <c r="J70" i="14"/>
  <c r="D71" i="14"/>
  <c r="F71" i="14"/>
  <c r="F72" i="14"/>
  <c r="F73" i="14"/>
  <c r="F74" i="14"/>
  <c r="F75" i="14"/>
  <c r="F76" i="14"/>
  <c r="F77" i="14"/>
  <c r="F78" i="14"/>
  <c r="F79" i="14"/>
  <c r="F80" i="14"/>
  <c r="D81" i="14"/>
  <c r="F81" i="14"/>
  <c r="D82" i="14"/>
  <c r="F82" i="14"/>
  <c r="F83" i="14"/>
  <c r="J83" i="14"/>
  <c r="F84" i="14"/>
  <c r="J84" i="14"/>
  <c r="D85" i="14"/>
  <c r="D86" i="14"/>
  <c r="D87" i="62" s="1"/>
  <c r="N86" i="14"/>
  <c r="N87" i="62" s="1"/>
  <c r="B99" i="14"/>
  <c r="D145" i="62"/>
  <c r="D147" i="62"/>
  <c r="N3" i="13"/>
  <c r="Q14" i="51"/>
  <c r="I14" i="51" s="1"/>
  <c r="N57" i="13"/>
  <c r="A6" i="12"/>
  <c r="A7" i="12"/>
  <c r="X7" i="12"/>
  <c r="A8" i="12"/>
  <c r="O8" i="12"/>
  <c r="O14" i="12" s="1"/>
  <c r="A9" i="12"/>
  <c r="A10" i="12"/>
  <c r="A11" i="12"/>
  <c r="A12" i="12"/>
  <c r="A13" i="12"/>
  <c r="A14" i="12"/>
  <c r="A15" i="12"/>
  <c r="A16" i="12"/>
  <c r="O16" i="12" s="1"/>
  <c r="A17" i="12"/>
  <c r="O17" i="12" s="1"/>
  <c r="A18" i="12"/>
  <c r="A19" i="12"/>
  <c r="A20" i="12"/>
  <c r="A21" i="12"/>
  <c r="A22" i="12"/>
  <c r="A23" i="12"/>
  <c r="A24" i="12"/>
  <c r="A25" i="12"/>
  <c r="A26" i="12"/>
  <c r="A27" i="12"/>
  <c r="A28" i="12"/>
  <c r="A29" i="12"/>
  <c r="A30" i="12"/>
  <c r="A31" i="12"/>
  <c r="A32" i="12"/>
  <c r="A33" i="12"/>
  <c r="A34" i="12"/>
  <c r="A35" i="12"/>
  <c r="A36" i="12"/>
  <c r="A37" i="12"/>
  <c r="A38" i="12"/>
  <c r="A39" i="12"/>
  <c r="A40" i="12"/>
  <c r="A41" i="12"/>
  <c r="O41" i="12" s="1"/>
  <c r="A42" i="12"/>
  <c r="A43" i="12"/>
  <c r="A44" i="12"/>
  <c r="A45" i="12"/>
  <c r="A46" i="12"/>
  <c r="A47" i="12"/>
  <c r="A48" i="12"/>
  <c r="A49" i="12"/>
  <c r="A50" i="12"/>
  <c r="A51" i="12"/>
  <c r="A52" i="12"/>
  <c r="O52" i="12" s="1"/>
  <c r="A53" i="12"/>
  <c r="O53" i="12" s="1"/>
  <c r="A54" i="12"/>
  <c r="O54" i="12" s="1"/>
  <c r="A55" i="12"/>
  <c r="O55" i="12" s="1"/>
  <c r="A56" i="12"/>
  <c r="A57" i="12"/>
  <c r="A58" i="12"/>
  <c r="A59" i="12"/>
  <c r="O59" i="12" s="1"/>
  <c r="A60" i="12"/>
  <c r="A61" i="12"/>
  <c r="O61" i="12" s="1"/>
  <c r="D1" i="10"/>
  <c r="E1" i="10"/>
  <c r="F1" i="10"/>
  <c r="G1" i="10"/>
  <c r="H1" i="10"/>
  <c r="I1" i="10"/>
  <c r="D4" i="10"/>
  <c r="J4" i="10"/>
  <c r="L6" i="10"/>
  <c r="J7" i="10"/>
  <c r="A1" i="10" s="1"/>
  <c r="I9" i="10"/>
  <c r="I10" i="10"/>
  <c r="I11" i="10"/>
  <c r="I12" i="10"/>
  <c r="I13" i="10"/>
  <c r="I14" i="10"/>
  <c r="I15" i="10"/>
  <c r="I16" i="10"/>
  <c r="I17" i="10"/>
  <c r="I18" i="10"/>
  <c r="I19" i="10"/>
  <c r="I20" i="10"/>
  <c r="I21" i="10"/>
  <c r="I22" i="10"/>
  <c r="D1" i="8"/>
  <c r="E1" i="8"/>
  <c r="F1" i="8"/>
  <c r="G1" i="8"/>
  <c r="H1" i="8"/>
  <c r="I1" i="8"/>
  <c r="D4" i="8"/>
  <c r="E5" i="8" s="1"/>
  <c r="J4" i="8"/>
  <c r="L6" i="8"/>
  <c r="J7" i="8"/>
  <c r="A1" i="8" s="1"/>
  <c r="O1" i="7"/>
  <c r="L3" i="7"/>
  <c r="K3" i="6"/>
  <c r="D16" i="6"/>
  <c r="G16" i="6"/>
  <c r="G26" i="6"/>
  <c r="G34" i="6"/>
  <c r="J28" i="6"/>
  <c r="F73" i="4"/>
  <c r="F78" i="4" s="1"/>
  <c r="F79" i="4" s="1"/>
  <c r="F80" i="4" s="1"/>
  <c r="F81" i="4" s="1"/>
  <c r="O20" i="84" l="1"/>
  <c r="O21" i="84"/>
  <c r="DM5" i="21"/>
  <c r="D59" i="6" s="1"/>
  <c r="I20" i="84"/>
  <c r="I21" i="84"/>
  <c r="DL5" i="21"/>
  <c r="D58" i="6" s="1"/>
  <c r="I20" i="83"/>
  <c r="I21" i="83"/>
  <c r="O20" i="83"/>
  <c r="O21" i="83"/>
  <c r="O20" i="82"/>
  <c r="O21" i="82"/>
  <c r="DK5" i="21"/>
  <c r="D57" i="6" s="1"/>
  <c r="I20" i="82"/>
  <c r="I21" i="82"/>
  <c r="O21" i="81"/>
  <c r="O20" i="81"/>
  <c r="DJ5" i="21"/>
  <c r="D56" i="6" s="1"/>
  <c r="I20" i="81"/>
  <c r="I21" i="81"/>
  <c r="DI5" i="21"/>
  <c r="D55" i="6" s="1"/>
  <c r="I20" i="80"/>
  <c r="I21" i="80"/>
  <c r="X12" i="80"/>
  <c r="H11" i="80"/>
  <c r="H57" i="80" s="1"/>
  <c r="I57" i="80" s="1"/>
  <c r="O20" i="80"/>
  <c r="O21" i="80"/>
  <c r="Z12" i="80"/>
  <c r="Z12" i="79"/>
  <c r="O20" i="79"/>
  <c r="O21" i="79"/>
  <c r="I20" i="79"/>
  <c r="I21" i="79"/>
  <c r="O21" i="78"/>
  <c r="O20" i="78"/>
  <c r="I20" i="78"/>
  <c r="I21" i="78"/>
  <c r="I20" i="77"/>
  <c r="I21" i="77"/>
  <c r="H9" i="77"/>
  <c r="X12" i="77"/>
  <c r="H11" i="77"/>
  <c r="H57" i="77" s="1"/>
  <c r="I57" i="77" s="1"/>
  <c r="O20" i="77"/>
  <c r="O21" i="77"/>
  <c r="N9" i="77"/>
  <c r="EY6" i="21" s="1"/>
  <c r="Z12" i="77"/>
  <c r="X12" i="76"/>
  <c r="I20" i="76"/>
  <c r="I21" i="76"/>
  <c r="I20" i="75"/>
  <c r="I21" i="75"/>
  <c r="P67" i="70"/>
  <c r="ER18" i="21" s="1"/>
  <c r="O14" i="51"/>
  <c r="L14" i="51"/>
  <c r="Z14" i="50"/>
  <c r="Y14" i="25"/>
  <c r="Y16" i="25"/>
  <c r="Y15" i="25"/>
  <c r="Z14" i="49"/>
  <c r="Z17" i="49"/>
  <c r="Z15" i="49"/>
  <c r="X17" i="48"/>
  <c r="X16" i="48"/>
  <c r="X15" i="48"/>
  <c r="X15" i="45"/>
  <c r="X14" i="45"/>
  <c r="X17" i="45"/>
  <c r="AW6" i="21"/>
  <c r="G27" i="6" s="1"/>
  <c r="M67" i="35"/>
  <c r="Z17" i="22"/>
  <c r="Y17" i="22"/>
  <c r="X17" i="22"/>
  <c r="Z17" i="26"/>
  <c r="N33" i="26" s="1"/>
  <c r="N57" i="75"/>
  <c r="O57" i="75" s="1"/>
  <c r="O64" i="75"/>
  <c r="P60" i="75" s="1"/>
  <c r="K57" i="75"/>
  <c r="L57" i="75" s="1"/>
  <c r="L64" i="75"/>
  <c r="M60" i="75" s="1"/>
  <c r="H57" i="75"/>
  <c r="I57" i="75" s="1"/>
  <c r="I64" i="75"/>
  <c r="J60" i="75" s="1"/>
  <c r="X15" i="76"/>
  <c r="X16" i="76"/>
  <c r="X13" i="76"/>
  <c r="X14" i="76"/>
  <c r="H31" i="76" s="1"/>
  <c r="H11" i="76"/>
  <c r="H57" i="76" s="1"/>
  <c r="I57" i="76" s="1"/>
  <c r="O60" i="12"/>
  <c r="F9" i="15" s="1"/>
  <c r="M6" i="57"/>
  <c r="M13" i="57" s="1"/>
  <c r="P6" i="57"/>
  <c r="H6" i="57"/>
  <c r="K6" i="57"/>
  <c r="N6" i="57"/>
  <c r="O6" i="57"/>
  <c r="L6" i="57"/>
  <c r="Z16" i="79"/>
  <c r="Z14" i="79"/>
  <c r="N31" i="79" s="1"/>
  <c r="Z15" i="79"/>
  <c r="Z13" i="79"/>
  <c r="N11" i="79"/>
  <c r="N57" i="79" s="1"/>
  <c r="O57" i="79" s="1"/>
  <c r="DG5" i="21"/>
  <c r="D54" i="6" s="1"/>
  <c r="X12" i="79"/>
  <c r="Y16" i="40"/>
  <c r="K32" i="40" s="1"/>
  <c r="N16" i="13"/>
  <c r="N24" i="13"/>
  <c r="N17" i="13"/>
  <c r="N47" i="13"/>
  <c r="N18" i="13"/>
  <c r="N48" i="13"/>
  <c r="N19" i="13"/>
  <c r="N30" i="13"/>
  <c r="N31" i="13"/>
  <c r="N32" i="13"/>
  <c r="N25" i="13"/>
  <c r="N29" i="13"/>
  <c r="N49" i="13"/>
  <c r="N20" i="13"/>
  <c r="Q16" i="42" s="1"/>
  <c r="I16" i="42" s="1"/>
  <c r="N14" i="13"/>
  <c r="N22" i="13"/>
  <c r="N33" i="13"/>
  <c r="N15" i="13"/>
  <c r="Q15" i="50"/>
  <c r="I15" i="50" s="1"/>
  <c r="N34" i="13"/>
  <c r="M42" i="15"/>
  <c r="Y17" i="40"/>
  <c r="K33" i="40" s="1"/>
  <c r="Y15" i="40"/>
  <c r="K31" i="40" s="1"/>
  <c r="Y16" i="32"/>
  <c r="K32" i="32" s="1"/>
  <c r="Y15" i="32"/>
  <c r="K31" i="32" s="1"/>
  <c r="Y14" i="28"/>
  <c r="K30" i="28" s="1"/>
  <c r="Y17" i="28"/>
  <c r="K33" i="28" s="1"/>
  <c r="J13" i="51"/>
  <c r="H38" i="18"/>
  <c r="H37" i="18"/>
  <c r="E75" i="109"/>
  <c r="CR24" i="21"/>
  <c r="AF24" i="21"/>
  <c r="H35" i="18"/>
  <c r="O51" i="37"/>
  <c r="L57" i="38"/>
  <c r="Y15" i="47"/>
  <c r="K31" i="47" s="1"/>
  <c r="I52" i="48"/>
  <c r="O9" i="50"/>
  <c r="CS8" i="21" s="1"/>
  <c r="L57" i="51"/>
  <c r="O9" i="51"/>
  <c r="CT8" i="21" s="1"/>
  <c r="E57" i="81"/>
  <c r="E57" i="77"/>
  <c r="E57" i="75"/>
  <c r="E57" i="74"/>
  <c r="E57" i="84"/>
  <c r="E57" i="83"/>
  <c r="E57" i="82"/>
  <c r="E57" i="109"/>
  <c r="E57" i="79"/>
  <c r="E57" i="78"/>
  <c r="E57" i="76"/>
  <c r="E57" i="80"/>
  <c r="N53" i="75"/>
  <c r="O53" i="75" s="1"/>
  <c r="H53" i="75"/>
  <c r="I53" i="75" s="1"/>
  <c r="K53" i="75"/>
  <c r="L53" i="75" s="1"/>
  <c r="DE5" i="21"/>
  <c r="D52" i="6" s="1"/>
  <c r="H53" i="77"/>
  <c r="I53" i="77" s="1"/>
  <c r="M67" i="87"/>
  <c r="EM18" i="21" s="1"/>
  <c r="F156" i="18"/>
  <c r="O57" i="33"/>
  <c r="H108" i="67"/>
  <c r="N57" i="76"/>
  <c r="O57" i="76" s="1"/>
  <c r="N56" i="76"/>
  <c r="DD5" i="21"/>
  <c r="D51" i="6" s="1"/>
  <c r="H53" i="76"/>
  <c r="I53" i="76" s="1"/>
  <c r="N53" i="77"/>
  <c r="O53" i="77" s="1"/>
  <c r="E48" i="87"/>
  <c r="E46" i="70"/>
  <c r="E47" i="109"/>
  <c r="E47" i="86"/>
  <c r="E55" i="109"/>
  <c r="E55" i="86"/>
  <c r="E55" i="78"/>
  <c r="E55" i="79"/>
  <c r="E54" i="75"/>
  <c r="E56" i="81"/>
  <c r="E55" i="82"/>
  <c r="E55" i="84"/>
  <c r="E54" i="83"/>
  <c r="E54" i="76"/>
  <c r="E55" i="77"/>
  <c r="E54" i="80"/>
  <c r="E53" i="74"/>
  <c r="E50" i="83"/>
  <c r="E54" i="81"/>
  <c r="E51" i="87"/>
  <c r="E52" i="87"/>
  <c r="E51" i="109"/>
  <c r="E52" i="81"/>
  <c r="E52" i="109"/>
  <c r="E52" i="79"/>
  <c r="E54" i="85"/>
  <c r="E51" i="82"/>
  <c r="E50" i="72"/>
  <c r="E51" i="84"/>
  <c r="E52" i="78"/>
  <c r="E53" i="81"/>
  <c r="E48" i="85"/>
  <c r="E54" i="109"/>
  <c r="E53" i="76"/>
  <c r="E53" i="80"/>
  <c r="E55" i="85"/>
  <c r="E54" i="84"/>
  <c r="E54" i="86"/>
  <c r="E53" i="75"/>
  <c r="E53" i="77"/>
  <c r="E54" i="78"/>
  <c r="E54" i="82"/>
  <c r="E54" i="79"/>
  <c r="E55" i="81"/>
  <c r="E53" i="83"/>
  <c r="E52" i="74"/>
  <c r="E50" i="89"/>
  <c r="E51" i="72"/>
  <c r="F64" i="101"/>
  <c r="F62" i="109"/>
  <c r="R4" i="62"/>
  <c r="H33" i="22"/>
  <c r="H32" i="27"/>
  <c r="K32" i="25"/>
  <c r="K32" i="51"/>
  <c r="J108" i="67"/>
  <c r="F108" i="67"/>
  <c r="H93" i="67"/>
  <c r="H94" i="67"/>
  <c r="H123" i="67"/>
  <c r="H32" i="46"/>
  <c r="N33" i="38"/>
  <c r="H31" i="46"/>
  <c r="N31" i="39"/>
  <c r="K30" i="39"/>
  <c r="N30" i="38"/>
  <c r="H33" i="45"/>
  <c r="X15" i="40"/>
  <c r="H31" i="40" s="1"/>
  <c r="Z14" i="24"/>
  <c r="N30" i="24" s="1"/>
  <c r="Y16" i="34"/>
  <c r="K32" i="34" s="1"/>
  <c r="Y15" i="38"/>
  <c r="K31" i="38" s="1"/>
  <c r="X16" i="39"/>
  <c r="H32" i="39" s="1"/>
  <c r="Z17" i="45"/>
  <c r="N33" i="45" s="1"/>
  <c r="H32" i="48"/>
  <c r="K32" i="31"/>
  <c r="Z15" i="43"/>
  <c r="N31" i="43" s="1"/>
  <c r="N31" i="49"/>
  <c r="Z15" i="50"/>
  <c r="N31" i="50" s="1"/>
  <c r="Z15" i="27"/>
  <c r="N31" i="27" s="1"/>
  <c r="X16" i="32"/>
  <c r="H32" i="32" s="1"/>
  <c r="X15" i="33"/>
  <c r="H31" i="33" s="1"/>
  <c r="Z17" i="36"/>
  <c r="N33" i="36" s="1"/>
  <c r="Y14" i="41"/>
  <c r="K30" i="41" s="1"/>
  <c r="N30" i="49"/>
  <c r="Z17" i="46"/>
  <c r="N33" i="46" s="1"/>
  <c r="Y17" i="23"/>
  <c r="K33" i="23" s="1"/>
  <c r="X15" i="35"/>
  <c r="X17" i="36"/>
  <c r="H33" i="36" s="1"/>
  <c r="Z16" i="39"/>
  <c r="N32" i="39" s="1"/>
  <c r="X17" i="23"/>
  <c r="H33" i="23" s="1"/>
  <c r="X16" i="25"/>
  <c r="H32" i="25" s="1"/>
  <c r="Y17" i="39"/>
  <c r="K33" i="39" s="1"/>
  <c r="Y14" i="23"/>
  <c r="K30" i="23" s="1"/>
  <c r="Z17" i="23"/>
  <c r="N33" i="23" s="1"/>
  <c r="B2" i="101"/>
  <c r="B2" i="109"/>
  <c r="J37" i="6"/>
  <c r="G93" i="67"/>
  <c r="G94" i="67"/>
  <c r="G6" i="21"/>
  <c r="D17" i="6" s="1"/>
  <c r="X14" i="27"/>
  <c r="H30" i="27" s="1"/>
  <c r="BU6" i="21"/>
  <c r="J19" i="6" s="1"/>
  <c r="O51" i="28"/>
  <c r="Z17" i="30"/>
  <c r="N33" i="30" s="1"/>
  <c r="O57" i="32"/>
  <c r="X15" i="32"/>
  <c r="H31" i="32" s="1"/>
  <c r="I51" i="36"/>
  <c r="Y17" i="36"/>
  <c r="K33" i="36" s="1"/>
  <c r="Z16" i="37"/>
  <c r="N32" i="37" s="1"/>
  <c r="L57" i="39"/>
  <c r="Z16" i="43"/>
  <c r="N32" i="43" s="1"/>
  <c r="X14" i="46"/>
  <c r="H30" i="46" s="1"/>
  <c r="X14" i="48"/>
  <c r="H30" i="48" s="1"/>
  <c r="E49" i="72"/>
  <c r="E51" i="75"/>
  <c r="E51" i="77"/>
  <c r="E51" i="79"/>
  <c r="E51" i="81"/>
  <c r="E51" i="71"/>
  <c r="E48" i="89"/>
  <c r="E51" i="76"/>
  <c r="E51" i="78"/>
  <c r="E51" i="80"/>
  <c r="E51" i="74"/>
  <c r="E51" i="73"/>
  <c r="E51" i="70"/>
  <c r="E48" i="90"/>
  <c r="E47" i="101"/>
  <c r="E46" i="87"/>
  <c r="DC5" i="21"/>
  <c r="D50" i="6" s="1"/>
  <c r="X12" i="75"/>
  <c r="FD5" i="21"/>
  <c r="J56" i="6" s="1"/>
  <c r="N30" i="81"/>
  <c r="Z16" i="82"/>
  <c r="N33" i="82" s="1"/>
  <c r="Z15" i="82"/>
  <c r="Z17" i="82"/>
  <c r="Z14" i="82"/>
  <c r="N31" i="82" s="1"/>
  <c r="J67" i="89"/>
  <c r="DS18" i="21" s="1"/>
  <c r="AJ6" i="21"/>
  <c r="G14" i="6" s="1"/>
  <c r="Y17" i="26"/>
  <c r="K33" i="26" s="1"/>
  <c r="K54" i="47"/>
  <c r="L54" i="47" s="1"/>
  <c r="M57" i="50"/>
  <c r="E49" i="87"/>
  <c r="E53" i="82"/>
  <c r="E53" i="84"/>
  <c r="E53" i="86"/>
  <c r="E51" i="85"/>
  <c r="E56" i="87"/>
  <c r="E52" i="83"/>
  <c r="EX5" i="21"/>
  <c r="J51" i="6" s="1"/>
  <c r="N30" i="76"/>
  <c r="FA5" i="21"/>
  <c r="J54" i="6" s="1"/>
  <c r="N30" i="79"/>
  <c r="Y14" i="82"/>
  <c r="Y16" i="82"/>
  <c r="K33" i="82" s="1"/>
  <c r="Y15" i="82"/>
  <c r="K32" i="82" s="1"/>
  <c r="Y17" i="82"/>
  <c r="Y16" i="22"/>
  <c r="K32" i="22" s="1"/>
  <c r="D6" i="21"/>
  <c r="G8" i="8" s="1"/>
  <c r="O57" i="27"/>
  <c r="Z16" i="30"/>
  <c r="N32" i="30" s="1"/>
  <c r="H30" i="45"/>
  <c r="X14" i="47"/>
  <c r="H30" i="47" s="1"/>
  <c r="H53" i="49"/>
  <c r="L57" i="50"/>
  <c r="N32" i="50"/>
  <c r="E51" i="83"/>
  <c r="E52" i="82"/>
  <c r="E52" i="84"/>
  <c r="E52" i="86"/>
  <c r="E53" i="85"/>
  <c r="E46" i="75"/>
  <c r="E46" i="77"/>
  <c r="E46" i="79"/>
  <c r="E46" i="81"/>
  <c r="E47" i="76"/>
  <c r="E47" i="78"/>
  <c r="E47" i="80"/>
  <c r="E47" i="74"/>
  <c r="E47" i="73"/>
  <c r="E47" i="70"/>
  <c r="E46" i="76"/>
  <c r="E46" i="78"/>
  <c r="E46" i="80"/>
  <c r="E50" i="85"/>
  <c r="E46" i="74"/>
  <c r="E46" i="73"/>
  <c r="E47" i="75"/>
  <c r="E47" i="77"/>
  <c r="E47" i="79"/>
  <c r="E47" i="81"/>
  <c r="E47" i="71"/>
  <c r="E46" i="71"/>
  <c r="FC5" i="21"/>
  <c r="J55" i="6" s="1"/>
  <c r="N30" i="80"/>
  <c r="X17" i="82"/>
  <c r="X14" i="82"/>
  <c r="H31" i="82" s="1"/>
  <c r="X16" i="82"/>
  <c r="X15" i="82"/>
  <c r="H156" i="18"/>
  <c r="AK6" i="21"/>
  <c r="G15" i="6" s="1"/>
  <c r="X16" i="24"/>
  <c r="H32" i="24" s="1"/>
  <c r="X15" i="25"/>
  <c r="H31" i="25" s="1"/>
  <c r="O57" i="26"/>
  <c r="H31" i="29"/>
  <c r="O57" i="31"/>
  <c r="Z14" i="34"/>
  <c r="N30" i="34" s="1"/>
  <c r="J57" i="36"/>
  <c r="L57" i="40"/>
  <c r="L57" i="44"/>
  <c r="K52" i="46"/>
  <c r="L52" i="46" s="1"/>
  <c r="L57" i="48"/>
  <c r="K53" i="49"/>
  <c r="BK6" i="21"/>
  <c r="G41" i="6" s="1"/>
  <c r="X16" i="50"/>
  <c r="H32" i="50" s="1"/>
  <c r="CS48" i="21"/>
  <c r="CT48" i="21"/>
  <c r="I122" i="67"/>
  <c r="P67" i="73"/>
  <c r="EU18" i="21" s="1"/>
  <c r="L9" i="50"/>
  <c r="BM8" i="21" s="1"/>
  <c r="BM6" i="21"/>
  <c r="L9" i="51"/>
  <c r="BN6" i="21"/>
  <c r="X15" i="22"/>
  <c r="H31" i="22" s="1"/>
  <c r="X14" i="22"/>
  <c r="H30" i="22" s="1"/>
  <c r="Z15" i="23"/>
  <c r="N31" i="23" s="1"/>
  <c r="X15" i="24"/>
  <c r="H31" i="24" s="1"/>
  <c r="Z15" i="26"/>
  <c r="N31" i="26" s="1"/>
  <c r="I50" i="29"/>
  <c r="X14" i="33"/>
  <c r="H30" i="33" s="1"/>
  <c r="Z17" i="34"/>
  <c r="N33" i="34" s="1"/>
  <c r="K30" i="34"/>
  <c r="P57" i="37"/>
  <c r="Z14" i="41"/>
  <c r="N30" i="41" s="1"/>
  <c r="Z14" i="43"/>
  <c r="N30" i="43" s="1"/>
  <c r="Y14" i="43"/>
  <c r="K30" i="43" s="1"/>
  <c r="Y14" i="44"/>
  <c r="K30" i="44" s="1"/>
  <c r="M57" i="45"/>
  <c r="M57" i="49"/>
  <c r="I9" i="50"/>
  <c r="AG8" i="21" s="1"/>
  <c r="AG48" i="21" s="1"/>
  <c r="I9" i="51"/>
  <c r="E49" i="85"/>
  <c r="E50" i="84"/>
  <c r="E50" i="86"/>
  <c r="E50" i="76"/>
  <c r="E50" i="78"/>
  <c r="E50" i="80"/>
  <c r="E50" i="82"/>
  <c r="E48" i="83"/>
  <c r="E50" i="75"/>
  <c r="E50" i="77"/>
  <c r="E50" i="79"/>
  <c r="E50" i="81"/>
  <c r="E50" i="71"/>
  <c r="E50" i="70"/>
  <c r="E50" i="73"/>
  <c r="E50" i="74"/>
  <c r="E46" i="83"/>
  <c r="E46" i="72"/>
  <c r="E47" i="84"/>
  <c r="E48" i="75"/>
  <c r="E48" i="77"/>
  <c r="E48" i="79"/>
  <c r="E48" i="81"/>
  <c r="E48" i="71"/>
  <c r="E48" i="70"/>
  <c r="E46" i="82"/>
  <c r="E46" i="90"/>
  <c r="E48" i="76"/>
  <c r="E48" i="78"/>
  <c r="E48" i="80"/>
  <c r="E48" i="74"/>
  <c r="E48" i="73"/>
  <c r="E46" i="89"/>
  <c r="G123" i="67"/>
  <c r="H31" i="81"/>
  <c r="N30" i="82"/>
  <c r="FE5" i="21"/>
  <c r="J57" i="6" s="1"/>
  <c r="AN6" i="21"/>
  <c r="G18" i="6" s="1"/>
  <c r="X17" i="29"/>
  <c r="H33" i="29" s="1"/>
  <c r="Z14" i="30"/>
  <c r="N30" i="30" s="1"/>
  <c r="E49" i="34"/>
  <c r="Z14" i="35"/>
  <c r="N30" i="35" s="1"/>
  <c r="Z14" i="36"/>
  <c r="N30" i="36" s="1"/>
  <c r="X14" i="36"/>
  <c r="H30" i="36" s="1"/>
  <c r="O57" i="37"/>
  <c r="Z17" i="37"/>
  <c r="N33" i="37" s="1"/>
  <c r="Z17" i="39"/>
  <c r="N33" i="39" s="1"/>
  <c r="L57" i="43"/>
  <c r="X17" i="43"/>
  <c r="H33" i="43" s="1"/>
  <c r="H30" i="44"/>
  <c r="Z17" i="47"/>
  <c r="N33" i="47" s="1"/>
  <c r="L57" i="49"/>
  <c r="E49" i="86"/>
  <c r="E47" i="83"/>
  <c r="E48" i="82"/>
  <c r="E48" i="84"/>
  <c r="E49" i="75"/>
  <c r="E49" i="77"/>
  <c r="E49" i="79"/>
  <c r="E49" i="81"/>
  <c r="E49" i="71"/>
  <c r="E49" i="70"/>
  <c r="E49" i="74"/>
  <c r="E49" i="76"/>
  <c r="E49" i="78"/>
  <c r="E49" i="80"/>
  <c r="E49" i="73"/>
  <c r="E47" i="89"/>
  <c r="E47" i="72"/>
  <c r="H11" i="74"/>
  <c r="H57" i="74" s="1"/>
  <c r="I57" i="74" s="1"/>
  <c r="DB5" i="21"/>
  <c r="D49" i="6" s="1"/>
  <c r="X12" i="74"/>
  <c r="EY5" i="21"/>
  <c r="J52" i="6" s="1"/>
  <c r="N30" i="77"/>
  <c r="EZ5" i="21"/>
  <c r="J53" i="6" s="1"/>
  <c r="Z12" i="78"/>
  <c r="N30" i="78"/>
  <c r="P67" i="89"/>
  <c r="FM18" i="21" s="1"/>
  <c r="F5" i="8"/>
  <c r="Z14" i="23"/>
  <c r="N30" i="23" s="1"/>
  <c r="O57" i="24"/>
  <c r="X14" i="24"/>
  <c r="H30" i="24" s="1"/>
  <c r="Z14" i="26"/>
  <c r="N30" i="26" s="1"/>
  <c r="O57" i="29"/>
  <c r="X17" i="33"/>
  <c r="H33" i="33" s="1"/>
  <c r="Y17" i="34"/>
  <c r="K33" i="34" s="1"/>
  <c r="O57" i="41"/>
  <c r="Y15" i="41"/>
  <c r="K31" i="41" s="1"/>
  <c r="Y17" i="44"/>
  <c r="K33" i="44" s="1"/>
  <c r="X17" i="44"/>
  <c r="H33" i="44" s="1"/>
  <c r="H31" i="48"/>
  <c r="N70" i="50"/>
  <c r="P69" i="50" s="1"/>
  <c r="CS19" i="21" s="1"/>
  <c r="Z17" i="50"/>
  <c r="N33" i="50" s="1"/>
  <c r="P7" i="50"/>
  <c r="P7" i="51"/>
  <c r="E50" i="101"/>
  <c r="E49" i="83"/>
  <c r="E48" i="72"/>
  <c r="E49" i="82"/>
  <c r="E49" i="84"/>
  <c r="E51" i="86"/>
  <c r="E52" i="85"/>
  <c r="E46" i="85"/>
  <c r="E46" i="86"/>
  <c r="DF5" i="21"/>
  <c r="D53" i="6" s="1"/>
  <c r="X12" i="78"/>
  <c r="D59" i="62"/>
  <c r="L40" i="99"/>
  <c r="D57" i="62"/>
  <c r="L38" i="99"/>
  <c r="D42" i="62"/>
  <c r="L28" i="99"/>
  <c r="F64" i="22"/>
  <c r="F64" i="85"/>
  <c r="D72" i="62"/>
  <c r="L50" i="99"/>
  <c r="D58" i="62"/>
  <c r="L39" i="99"/>
  <c r="D41" i="62"/>
  <c r="L27" i="99"/>
  <c r="E48" i="22"/>
  <c r="D86" i="62"/>
  <c r="L64" i="99"/>
  <c r="D82" i="62"/>
  <c r="L60" i="99"/>
  <c r="D46" i="62"/>
  <c r="L30" i="99"/>
  <c r="D31" i="62"/>
  <c r="L19" i="99"/>
  <c r="F62" i="73"/>
  <c r="F62" i="77"/>
  <c r="F62" i="81"/>
  <c r="F62" i="85"/>
  <c r="F62" i="89"/>
  <c r="F62" i="91"/>
  <c r="F62" i="71"/>
  <c r="F62" i="72"/>
  <c r="F62" i="76"/>
  <c r="F62" i="80"/>
  <c r="F62" i="84"/>
  <c r="F62" i="79"/>
  <c r="F62" i="83"/>
  <c r="F62" i="87"/>
  <c r="F62" i="90"/>
  <c r="F62" i="74"/>
  <c r="F62" i="78"/>
  <c r="F62" i="82"/>
  <c r="D83" i="62"/>
  <c r="L61" i="99"/>
  <c r="D32" i="62"/>
  <c r="L20" i="99"/>
  <c r="P53" i="40"/>
  <c r="M54" i="25"/>
  <c r="I55" i="25"/>
  <c r="J55" i="32"/>
  <c r="P56" i="33"/>
  <c r="O55" i="25"/>
  <c r="P52" i="22"/>
  <c r="I48" i="51"/>
  <c r="M53" i="34"/>
  <c r="I55" i="26"/>
  <c r="L49" i="33"/>
  <c r="I56" i="37"/>
  <c r="P55" i="37"/>
  <c r="J52" i="45"/>
  <c r="J52" i="50"/>
  <c r="O55" i="26"/>
  <c r="I50" i="27"/>
  <c r="J54" i="30"/>
  <c r="M56" i="37"/>
  <c r="P52" i="45"/>
  <c r="L46" i="46"/>
  <c r="L56" i="51"/>
  <c r="L57" i="29"/>
  <c r="L57" i="31"/>
  <c r="L53" i="31"/>
  <c r="I50" i="31"/>
  <c r="L55" i="32"/>
  <c r="I49" i="38"/>
  <c r="M52" i="44"/>
  <c r="L53" i="47"/>
  <c r="M52" i="50"/>
  <c r="M56" i="51"/>
  <c r="I46" i="51"/>
  <c r="M53" i="24"/>
  <c r="M55" i="26"/>
  <c r="L49" i="28"/>
  <c r="P56" i="31"/>
  <c r="P53" i="31"/>
  <c r="I56" i="32"/>
  <c r="P55" i="32"/>
  <c r="P54" i="36"/>
  <c r="I53" i="39"/>
  <c r="P52" i="44"/>
  <c r="O49" i="51"/>
  <c r="P54" i="28"/>
  <c r="L53" i="24"/>
  <c r="M52" i="24"/>
  <c r="O54" i="27"/>
  <c r="M53" i="27"/>
  <c r="O49" i="27"/>
  <c r="M54" i="28"/>
  <c r="L50" i="28"/>
  <c r="O55" i="30"/>
  <c r="I49" i="35"/>
  <c r="O46" i="35"/>
  <c r="L54" i="36"/>
  <c r="L48" i="38"/>
  <c r="L53" i="40"/>
  <c r="J52" i="40"/>
  <c r="L53" i="46"/>
  <c r="I49" i="47"/>
  <c r="L46" i="47"/>
  <c r="O52" i="48"/>
  <c r="O55" i="22"/>
  <c r="J53" i="23"/>
  <c r="I47" i="26"/>
  <c r="I55" i="30"/>
  <c r="P54" i="30"/>
  <c r="O52" i="33"/>
  <c r="L48" i="33"/>
  <c r="L56" i="35"/>
  <c r="L57" i="37"/>
  <c r="O53" i="38"/>
  <c r="L50" i="43"/>
  <c r="I53" i="51"/>
  <c r="O48" i="51"/>
  <c r="H32" i="8"/>
  <c r="O50" i="12"/>
  <c r="C2" i="6"/>
  <c r="H2" i="10"/>
  <c r="B2" i="8"/>
  <c r="J6" i="15"/>
  <c r="I2" i="7"/>
  <c r="H32" i="10"/>
  <c r="B2" i="10"/>
  <c r="H2" i="8"/>
  <c r="B3" i="58"/>
  <c r="B3" i="57"/>
  <c r="F5" i="10"/>
  <c r="I5" i="10"/>
  <c r="I5" i="8"/>
  <c r="G5" i="8"/>
  <c r="H5" i="8"/>
  <c r="D5" i="8"/>
  <c r="N40" i="58"/>
  <c r="H31" i="44"/>
  <c r="Z14" i="28"/>
  <c r="N30" i="28" s="1"/>
  <c r="O52" i="37"/>
  <c r="Y16" i="38"/>
  <c r="K32" i="38" s="1"/>
  <c r="O54" i="23"/>
  <c r="J52" i="24"/>
  <c r="J54" i="25"/>
  <c r="J53" i="25"/>
  <c r="K30" i="25"/>
  <c r="I51" i="26"/>
  <c r="Y14" i="26"/>
  <c r="K30" i="26" s="1"/>
  <c r="O50" i="27"/>
  <c r="I49" i="27"/>
  <c r="Y16" i="27"/>
  <c r="K32" i="27" s="1"/>
  <c r="O55" i="28"/>
  <c r="X17" i="30"/>
  <c r="H33" i="30" s="1"/>
  <c r="O55" i="32"/>
  <c r="J56" i="33"/>
  <c r="L52" i="33"/>
  <c r="Z14" i="33"/>
  <c r="N30" i="33" s="1"/>
  <c r="I51" i="35"/>
  <c r="M54" i="36"/>
  <c r="H32" i="36"/>
  <c r="L52" i="37"/>
  <c r="I51" i="37"/>
  <c r="L48" i="37"/>
  <c r="L53" i="38"/>
  <c r="M52" i="38"/>
  <c r="I56" i="39"/>
  <c r="Z14" i="39"/>
  <c r="N30" i="39" s="1"/>
  <c r="X17" i="40"/>
  <c r="H33" i="40" s="1"/>
  <c r="L50" i="41"/>
  <c r="P56" i="43"/>
  <c r="M53" i="43"/>
  <c r="Y15" i="44"/>
  <c r="K31" i="44" s="1"/>
  <c r="O55" i="45"/>
  <c r="M54" i="45"/>
  <c r="P53" i="45"/>
  <c r="I46" i="46"/>
  <c r="I46" i="47"/>
  <c r="X15" i="47"/>
  <c r="H31" i="47" s="1"/>
  <c r="L46" i="48"/>
  <c r="M55" i="49"/>
  <c r="X17" i="49"/>
  <c r="H33" i="49" s="1"/>
  <c r="Z16" i="49"/>
  <c r="N32" i="49" s="1"/>
  <c r="X17" i="50"/>
  <c r="H33" i="50" s="1"/>
  <c r="P56" i="51"/>
  <c r="I49" i="51"/>
  <c r="Z16" i="51"/>
  <c r="N32" i="51" s="1"/>
  <c r="Z16" i="26"/>
  <c r="N32" i="26" s="1"/>
  <c r="Z16" i="27"/>
  <c r="N32" i="27" s="1"/>
  <c r="X15" i="31"/>
  <c r="H31" i="31" s="1"/>
  <c r="Y14" i="51"/>
  <c r="K30" i="51" s="1"/>
  <c r="I53" i="22"/>
  <c r="L54" i="23"/>
  <c r="O52" i="23"/>
  <c r="Y16" i="24"/>
  <c r="K32" i="24" s="1"/>
  <c r="P55" i="26"/>
  <c r="L55" i="28"/>
  <c r="M56" i="29"/>
  <c r="P53" i="30"/>
  <c r="H32" i="30"/>
  <c r="Y17" i="37"/>
  <c r="K33" i="37" s="1"/>
  <c r="L52" i="38"/>
  <c r="Y17" i="38"/>
  <c r="K33" i="38" s="1"/>
  <c r="O46" i="40"/>
  <c r="L55" i="41"/>
  <c r="L54" i="42"/>
  <c r="H33" i="42"/>
  <c r="M56" i="43"/>
  <c r="M53" i="45"/>
  <c r="H33" i="47"/>
  <c r="O56" i="51"/>
  <c r="Z15" i="51"/>
  <c r="N31" i="51" s="1"/>
  <c r="Z16" i="42"/>
  <c r="N32" i="42" s="1"/>
  <c r="Z14" i="27"/>
  <c r="N30" i="27" s="1"/>
  <c r="P55" i="29"/>
  <c r="X16" i="31"/>
  <c r="H32" i="31" s="1"/>
  <c r="Z16" i="35"/>
  <c r="N32" i="35" s="1"/>
  <c r="L49" i="36"/>
  <c r="I46" i="36"/>
  <c r="N31" i="36"/>
  <c r="L51" i="37"/>
  <c r="L47" i="37"/>
  <c r="X17" i="37"/>
  <c r="H33" i="37" s="1"/>
  <c r="X17" i="38"/>
  <c r="H33" i="38" s="1"/>
  <c r="O53" i="39"/>
  <c r="I49" i="39"/>
  <c r="X17" i="39"/>
  <c r="H33" i="39" s="1"/>
  <c r="I46" i="40"/>
  <c r="L49" i="41"/>
  <c r="Z15" i="41"/>
  <c r="N31" i="41" s="1"/>
  <c r="K31" i="43"/>
  <c r="L52" i="44"/>
  <c r="K32" i="44"/>
  <c r="Z14" i="45"/>
  <c r="N30" i="45" s="1"/>
  <c r="Z14" i="46"/>
  <c r="N30" i="46" s="1"/>
  <c r="Y17" i="47"/>
  <c r="K33" i="47" s="1"/>
  <c r="P49" i="50"/>
  <c r="B100" i="14"/>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Z16" i="90"/>
  <c r="N33" i="90" s="1"/>
  <c r="Z17" i="90"/>
  <c r="Z14" i="90"/>
  <c r="N31" i="90" s="1"/>
  <c r="Z15" i="90"/>
  <c r="N32" i="90" s="1"/>
  <c r="Y14" i="85"/>
  <c r="K31" i="85" s="1"/>
  <c r="Y16" i="85"/>
  <c r="K33" i="85" s="1"/>
  <c r="Y15" i="85"/>
  <c r="K32" i="85" s="1"/>
  <c r="Y17" i="85"/>
  <c r="Z17" i="87"/>
  <c r="Z15" i="87"/>
  <c r="Z14" i="87"/>
  <c r="N31" i="87" s="1"/>
  <c r="Z16" i="87"/>
  <c r="N33" i="87" s="1"/>
  <c r="Y15" i="90"/>
  <c r="K32" i="90" s="1"/>
  <c r="Y16" i="90"/>
  <c r="K33" i="90" s="1"/>
  <c r="Y17" i="90"/>
  <c r="Y14" i="90"/>
  <c r="K31" i="90" s="1"/>
  <c r="Y15" i="86"/>
  <c r="Y16" i="86"/>
  <c r="Y17" i="86"/>
  <c r="Y14" i="86"/>
  <c r="X15" i="87"/>
  <c r="H32" i="87" s="1"/>
  <c r="X17" i="87"/>
  <c r="X16" i="87"/>
  <c r="X14" i="87"/>
  <c r="H31" i="87" s="1"/>
  <c r="X17" i="89"/>
  <c r="X14" i="89"/>
  <c r="H31" i="89" s="1"/>
  <c r="X15" i="89"/>
  <c r="H32" i="89" s="1"/>
  <c r="X16" i="89"/>
  <c r="H33" i="89" s="1"/>
  <c r="H9" i="91"/>
  <c r="I9" i="91" s="1"/>
  <c r="H70" i="91" s="1"/>
  <c r="J69" i="91" s="1"/>
  <c r="Z15" i="85"/>
  <c r="N32" i="85" s="1"/>
  <c r="Z17" i="85"/>
  <c r="Z16" i="85"/>
  <c r="N33" i="85" s="1"/>
  <c r="Z14" i="85"/>
  <c r="N31" i="85" s="1"/>
  <c r="X14" i="86"/>
  <c r="X15" i="86"/>
  <c r="X16" i="86"/>
  <c r="H33" i="86" s="1"/>
  <c r="X17" i="86"/>
  <c r="Z17" i="91"/>
  <c r="Z14" i="91"/>
  <c r="N31" i="91" s="1"/>
  <c r="Z15" i="91"/>
  <c r="N32" i="91" s="1"/>
  <c r="Z16" i="91"/>
  <c r="N33" i="91" s="1"/>
  <c r="Z15" i="89"/>
  <c r="N32" i="89" s="1"/>
  <c r="Z16" i="89"/>
  <c r="N33" i="89" s="1"/>
  <c r="Z17" i="89"/>
  <c r="Z14" i="89"/>
  <c r="N31" i="89" s="1"/>
  <c r="Y16" i="91"/>
  <c r="K33" i="91" s="1"/>
  <c r="Y14" i="91"/>
  <c r="Y17" i="91"/>
  <c r="Y15" i="91"/>
  <c r="K32" i="91" s="1"/>
  <c r="X17" i="85"/>
  <c r="X15" i="85"/>
  <c r="X14" i="85"/>
  <c r="H31" i="85" s="1"/>
  <c r="X16" i="85"/>
  <c r="Z16" i="86"/>
  <c r="N33" i="86" s="1"/>
  <c r="Z14" i="86"/>
  <c r="N31" i="86" s="1"/>
  <c r="Z17" i="86"/>
  <c r="Z15" i="86"/>
  <c r="Y16" i="87"/>
  <c r="Y14" i="87"/>
  <c r="Y17" i="87"/>
  <c r="Y15" i="87"/>
  <c r="K32" i="87" s="1"/>
  <c r="Y14" i="89"/>
  <c r="K31" i="89" s="1"/>
  <c r="Y16" i="89"/>
  <c r="K33" i="89" s="1"/>
  <c r="Y15" i="89"/>
  <c r="K32" i="89" s="1"/>
  <c r="Y17" i="89"/>
  <c r="X14" i="90"/>
  <c r="H31" i="90" s="1"/>
  <c r="X15" i="90"/>
  <c r="H32" i="90" s="1"/>
  <c r="X16" i="90"/>
  <c r="H33" i="90" s="1"/>
  <c r="X17" i="90"/>
  <c r="FL48" i="21"/>
  <c r="H30" i="91"/>
  <c r="X15" i="91"/>
  <c r="H32" i="91" s="1"/>
  <c r="X17" i="91"/>
  <c r="X16" i="91"/>
  <c r="H33" i="91" s="1"/>
  <c r="X14" i="91"/>
  <c r="H31" i="91" s="1"/>
  <c r="Z17" i="83"/>
  <c r="Z15" i="83"/>
  <c r="Z16" i="83"/>
  <c r="Z14" i="83"/>
  <c r="N31" i="83" s="1"/>
  <c r="H30" i="84"/>
  <c r="X16" i="84"/>
  <c r="X14" i="84"/>
  <c r="H31" i="84" s="1"/>
  <c r="X17" i="84"/>
  <c r="X15" i="84"/>
  <c r="H32" i="84" s="1"/>
  <c r="X15" i="83"/>
  <c r="X14" i="83"/>
  <c r="H31" i="83" s="1"/>
  <c r="X16" i="83"/>
  <c r="H33" i="83" s="1"/>
  <c r="X17" i="83"/>
  <c r="Y17" i="84"/>
  <c r="Y15" i="84"/>
  <c r="Y16" i="84"/>
  <c r="Y14" i="84"/>
  <c r="K31" i="84" s="1"/>
  <c r="N30" i="84"/>
  <c r="FG5" i="21"/>
  <c r="J59" i="6" s="1"/>
  <c r="Y16" i="83"/>
  <c r="K33" i="83" s="1"/>
  <c r="Y17" i="83"/>
  <c r="Y14" i="83"/>
  <c r="K31" i="83" s="1"/>
  <c r="Y15" i="83"/>
  <c r="N30" i="83"/>
  <c r="FF5" i="21"/>
  <c r="J58" i="6" s="1"/>
  <c r="Z14" i="84"/>
  <c r="Z16" i="84"/>
  <c r="N33" i="84" s="1"/>
  <c r="Z15" i="84"/>
  <c r="Z17" i="84"/>
  <c r="D42" i="6"/>
  <c r="E75" i="72"/>
  <c r="E75" i="74"/>
  <c r="E75" i="76"/>
  <c r="E75" i="78"/>
  <c r="E75" i="80"/>
  <c r="E75" i="90"/>
  <c r="E75" i="82"/>
  <c r="E75" i="84"/>
  <c r="E75" i="86"/>
  <c r="E75" i="91"/>
  <c r="E75" i="73"/>
  <c r="E75" i="75"/>
  <c r="E75" i="77"/>
  <c r="E75" i="79"/>
  <c r="E75" i="81"/>
  <c r="E75" i="70"/>
  <c r="E75" i="71"/>
  <c r="E75" i="83"/>
  <c r="E75" i="85"/>
  <c r="E75" i="87"/>
  <c r="E75" i="89"/>
  <c r="M67" i="90"/>
  <c r="EO18" i="21" s="1"/>
  <c r="X15" i="71"/>
  <c r="H32" i="71" s="1"/>
  <c r="X16" i="71"/>
  <c r="H33" i="71" s="1"/>
  <c r="X13" i="71"/>
  <c r="H30" i="71" s="1"/>
  <c r="X14" i="71"/>
  <c r="H31" i="71" s="1"/>
  <c r="Z15" i="71"/>
  <c r="Z16" i="71"/>
  <c r="Z13" i="71"/>
  <c r="Z14" i="71"/>
  <c r="Y15" i="71"/>
  <c r="Y16" i="71"/>
  <c r="Y13" i="71"/>
  <c r="Y14" i="71"/>
  <c r="P67" i="71"/>
  <c r="ES18" i="21" s="1"/>
  <c r="M67" i="71"/>
  <c r="DV18" i="21" s="1"/>
  <c r="O52" i="82"/>
  <c r="I52" i="84"/>
  <c r="M67" i="70"/>
  <c r="DU18" i="21" s="1"/>
  <c r="M67" i="72"/>
  <c r="DW18" i="21" s="1"/>
  <c r="DE6" i="21"/>
  <c r="J67" i="90"/>
  <c r="DR18" i="21" s="1"/>
  <c r="N10" i="80"/>
  <c r="N9" i="80" s="1"/>
  <c r="FC6" i="21" s="1"/>
  <c r="O51" i="83"/>
  <c r="M67" i="73"/>
  <c r="DX18" i="21" s="1"/>
  <c r="N9" i="76"/>
  <c r="EX6" i="21" s="1"/>
  <c r="I51" i="83"/>
  <c r="N9" i="84"/>
  <c r="FG6" i="21" s="1"/>
  <c r="P67" i="90"/>
  <c r="FL18" i="21" s="1"/>
  <c r="J67" i="87"/>
  <c r="DP18" i="21" s="1"/>
  <c r="N32" i="81"/>
  <c r="X14" i="70"/>
  <c r="H31" i="70" s="1"/>
  <c r="N33" i="83"/>
  <c r="Z13" i="70"/>
  <c r="N32" i="87"/>
  <c r="H31" i="86"/>
  <c r="K32" i="83"/>
  <c r="H9" i="83"/>
  <c r="DL6" i="21" s="1"/>
  <c r="L52" i="86"/>
  <c r="N33" i="75"/>
  <c r="N32" i="76"/>
  <c r="K33" i="80"/>
  <c r="N31" i="81"/>
  <c r="N9" i="83"/>
  <c r="FF6" i="21" s="1"/>
  <c r="L52" i="84"/>
  <c r="N31" i="76"/>
  <c r="N32" i="86"/>
  <c r="L9" i="70"/>
  <c r="DU8" i="21" s="1"/>
  <c r="DU48" i="21" s="1"/>
  <c r="N32" i="74"/>
  <c r="N33" i="81"/>
  <c r="H9" i="84"/>
  <c r="DM6" i="21" s="1"/>
  <c r="K31" i="91"/>
  <c r="N33" i="76"/>
  <c r="O57" i="22"/>
  <c r="L55" i="22"/>
  <c r="L52" i="22"/>
  <c r="M55" i="22"/>
  <c r="M52" i="22"/>
  <c r="O53" i="22"/>
  <c r="N31" i="75"/>
  <c r="DQ6" i="21"/>
  <c r="K33" i="77"/>
  <c r="K31" i="78"/>
  <c r="K31" i="82"/>
  <c r="O9" i="90"/>
  <c r="FL8" i="21" s="1"/>
  <c r="N32" i="75"/>
  <c r="N33" i="79"/>
  <c r="H33" i="82"/>
  <c r="H32" i="83"/>
  <c r="FK6" i="21"/>
  <c r="L9" i="71"/>
  <c r="H10" i="80"/>
  <c r="H9" i="80" s="1"/>
  <c r="DI6" i="21" s="1"/>
  <c r="I52" i="82"/>
  <c r="I9" i="71"/>
  <c r="O9" i="73"/>
  <c r="EU8" i="21" s="1"/>
  <c r="EU48" i="21" s="1"/>
  <c r="N31" i="74"/>
  <c r="K32" i="76"/>
  <c r="K31" i="76"/>
  <c r="K33" i="76"/>
  <c r="N32" i="79"/>
  <c r="K31" i="81"/>
  <c r="K33" i="81"/>
  <c r="K32" i="81"/>
  <c r="N9" i="81"/>
  <c r="FD6" i="21" s="1"/>
  <c r="L9" i="73"/>
  <c r="K31" i="75"/>
  <c r="K33" i="75"/>
  <c r="K32" i="75"/>
  <c r="N32" i="82"/>
  <c r="O9" i="71"/>
  <c r="L9" i="72"/>
  <c r="DW8" i="21" s="1"/>
  <c r="DW48" i="21" s="1"/>
  <c r="I12" i="78"/>
  <c r="H33" i="84"/>
  <c r="O9" i="89"/>
  <c r="FM8" i="21" s="1"/>
  <c r="FM48" i="21" s="1"/>
  <c r="L9" i="90"/>
  <c r="EO8" i="21" s="1"/>
  <c r="EO48" i="21" s="1"/>
  <c r="O9" i="72"/>
  <c r="ET8" i="21" s="1"/>
  <c r="ET48" i="21" s="1"/>
  <c r="H9" i="75"/>
  <c r="DC6" i="21" s="1"/>
  <c r="N9" i="82"/>
  <c r="FE6" i="21" s="1"/>
  <c r="H30" i="83"/>
  <c r="K33" i="87"/>
  <c r="K31" i="87"/>
  <c r="L9" i="89"/>
  <c r="EP8" i="21" s="1"/>
  <c r="EP48" i="21" s="1"/>
  <c r="I9" i="90"/>
  <c r="DR8" i="21" s="1"/>
  <c r="DR48" i="21" s="1"/>
  <c r="I9" i="72"/>
  <c r="CZ8" i="21" s="1"/>
  <c r="CZ48" i="21" s="1"/>
  <c r="I9" i="89"/>
  <c r="DS8" i="21" s="1"/>
  <c r="DS48" i="21" s="1"/>
  <c r="I9" i="70"/>
  <c r="CX8" i="21" s="1"/>
  <c r="CX48" i="21" s="1"/>
  <c r="O9" i="70"/>
  <c r="ER8" i="21" s="1"/>
  <c r="ER48" i="21" s="1"/>
  <c r="Z14" i="70"/>
  <c r="Z15" i="70"/>
  <c r="P56" i="24"/>
  <c r="L46" i="24"/>
  <c r="I46" i="24"/>
  <c r="I49" i="25"/>
  <c r="O49" i="25"/>
  <c r="L56" i="26"/>
  <c r="O56" i="26"/>
  <c r="L50" i="26"/>
  <c r="I50" i="26"/>
  <c r="L56" i="29"/>
  <c r="O56" i="29"/>
  <c r="I54" i="30"/>
  <c r="L54" i="30"/>
  <c r="L54" i="31"/>
  <c r="O54" i="31"/>
  <c r="M55" i="33"/>
  <c r="J55" i="33"/>
  <c r="O47" i="34"/>
  <c r="I47" i="34"/>
  <c r="O52" i="35"/>
  <c r="L52" i="35"/>
  <c r="L50" i="35"/>
  <c r="I50" i="35"/>
  <c r="J52" i="36"/>
  <c r="P52" i="36"/>
  <c r="O53" i="37"/>
  <c r="J55" i="39"/>
  <c r="P55" i="39"/>
  <c r="I52" i="39"/>
  <c r="L52" i="39"/>
  <c r="O51" i="45"/>
  <c r="P57" i="46"/>
  <c r="L52" i="47"/>
  <c r="I52" i="47"/>
  <c r="I53" i="50"/>
  <c r="O53" i="50"/>
  <c r="L50" i="50"/>
  <c r="J52" i="51"/>
  <c r="M52" i="51"/>
  <c r="M51" i="51"/>
  <c r="P51" i="51"/>
  <c r="J51" i="51"/>
  <c r="O56" i="23"/>
  <c r="J56" i="24"/>
  <c r="O49" i="24"/>
  <c r="I54" i="28"/>
  <c r="L54" i="28"/>
  <c r="M52" i="29"/>
  <c r="I47" i="29"/>
  <c r="O47" i="29"/>
  <c r="J53" i="31"/>
  <c r="L49" i="31"/>
  <c r="I49" i="31"/>
  <c r="I53" i="33"/>
  <c r="O53" i="33"/>
  <c r="I46" i="33"/>
  <c r="O46" i="33"/>
  <c r="L54" i="34"/>
  <c r="O51" i="34"/>
  <c r="I51" i="34"/>
  <c r="M57" i="35"/>
  <c r="J56" i="36"/>
  <c r="M56" i="36"/>
  <c r="I55" i="36"/>
  <c r="P53" i="36"/>
  <c r="J53" i="36"/>
  <c r="L56" i="37"/>
  <c r="I46" i="38"/>
  <c r="O46" i="38"/>
  <c r="M53" i="40"/>
  <c r="I47" i="42"/>
  <c r="O47" i="42"/>
  <c r="I49" i="43"/>
  <c r="L49" i="43"/>
  <c r="O46" i="43"/>
  <c r="I46" i="43"/>
  <c r="M56" i="45"/>
  <c r="J56" i="45"/>
  <c r="P56" i="45"/>
  <c r="O50" i="45"/>
  <c r="I50" i="45"/>
  <c r="M56" i="46"/>
  <c r="J56" i="46"/>
  <c r="P56" i="48"/>
  <c r="J56" i="48"/>
  <c r="O53" i="48"/>
  <c r="L53" i="48"/>
  <c r="L56" i="49"/>
  <c r="O52" i="49"/>
  <c r="I52" i="49"/>
  <c r="L48" i="49"/>
  <c r="O48" i="49"/>
  <c r="O53" i="51"/>
  <c r="O52" i="22"/>
  <c r="I56" i="23"/>
  <c r="L49" i="24"/>
  <c r="O48" i="24"/>
  <c r="I48" i="24"/>
  <c r="O50" i="25"/>
  <c r="L50" i="25"/>
  <c r="J56" i="27"/>
  <c r="M56" i="27"/>
  <c r="P52" i="31"/>
  <c r="J52" i="31"/>
  <c r="L51" i="32"/>
  <c r="I51" i="32"/>
  <c r="J52" i="33"/>
  <c r="M52" i="33"/>
  <c r="J56" i="38"/>
  <c r="M56" i="38"/>
  <c r="O48" i="39"/>
  <c r="I48" i="39"/>
  <c r="M56" i="40"/>
  <c r="P56" i="40"/>
  <c r="J56" i="40"/>
  <c r="L54" i="40"/>
  <c r="O54" i="40"/>
  <c r="P53" i="42"/>
  <c r="J53" i="42"/>
  <c r="L48" i="44"/>
  <c r="I48" i="44"/>
  <c r="I46" i="45"/>
  <c r="O46" i="45"/>
  <c r="I47" i="49"/>
  <c r="L47" i="49"/>
  <c r="P55" i="22"/>
  <c r="P53" i="23"/>
  <c r="I47" i="23"/>
  <c r="I54" i="25"/>
  <c r="L54" i="25"/>
  <c r="L49" i="25"/>
  <c r="L46" i="25"/>
  <c r="I46" i="25"/>
  <c r="O50" i="26"/>
  <c r="L53" i="27"/>
  <c r="O53" i="27"/>
  <c r="P53" i="28"/>
  <c r="I48" i="29"/>
  <c r="O48" i="29"/>
  <c r="P55" i="33"/>
  <c r="O50" i="34"/>
  <c r="I50" i="34"/>
  <c r="L47" i="34"/>
  <c r="J55" i="35"/>
  <c r="P55" i="35"/>
  <c r="O50" i="35"/>
  <c r="J52" i="37"/>
  <c r="M52" i="37"/>
  <c r="O52" i="39"/>
  <c r="L53" i="43"/>
  <c r="O53" i="43"/>
  <c r="P56" i="44"/>
  <c r="J56" i="44"/>
  <c r="M55" i="44"/>
  <c r="J55" i="44"/>
  <c r="P55" i="44"/>
  <c r="L53" i="44"/>
  <c r="O53" i="44"/>
  <c r="L47" i="44"/>
  <c r="I47" i="44"/>
  <c r="O54" i="45"/>
  <c r="L54" i="45"/>
  <c r="I49" i="45"/>
  <c r="O49" i="45"/>
  <c r="O52" i="47"/>
  <c r="L48" i="48"/>
  <c r="I48" i="48"/>
  <c r="O47" i="26"/>
  <c r="L54" i="27"/>
  <c r="L52" i="29"/>
  <c r="O51" i="35"/>
  <c r="O51" i="36"/>
  <c r="I57" i="40"/>
  <c r="O54" i="43"/>
  <c r="O50" i="43"/>
  <c r="O52" i="44"/>
  <c r="O53" i="47"/>
  <c r="L54" i="48"/>
  <c r="M49" i="50"/>
  <c r="O51" i="26"/>
  <c r="O53" i="31"/>
  <c r="O50" i="31"/>
  <c r="I53" i="35"/>
  <c r="O49" i="35"/>
  <c r="O54" i="36"/>
  <c r="O46" i="36"/>
  <c r="P56" i="37"/>
  <c r="L49" i="39"/>
  <c r="O53" i="40"/>
  <c r="P52" i="40"/>
  <c r="P57" i="45"/>
  <c r="J57" i="46"/>
  <c r="J57" i="48"/>
  <c r="I54" i="49"/>
  <c r="M57" i="51"/>
  <c r="L56" i="33"/>
  <c r="M56" i="35"/>
  <c r="I48" i="47"/>
  <c r="L48" i="47"/>
  <c r="O48" i="47"/>
  <c r="J56" i="49"/>
  <c r="P56" i="49"/>
  <c r="I57" i="22"/>
  <c r="L49" i="22"/>
  <c r="L48" i="22"/>
  <c r="L52" i="23"/>
  <c r="L49" i="23"/>
  <c r="O47" i="23"/>
  <c r="I54" i="24"/>
  <c r="P53" i="24"/>
  <c r="O46" i="24"/>
  <c r="O54" i="25"/>
  <c r="P53" i="25"/>
  <c r="I51" i="25"/>
  <c r="O46" i="25"/>
  <c r="M54" i="26"/>
  <c r="O54" i="28"/>
  <c r="L46" i="28"/>
  <c r="I53" i="29"/>
  <c r="P52" i="29"/>
  <c r="O54" i="30"/>
  <c r="L51" i="30"/>
  <c r="L50" i="30"/>
  <c r="L47" i="30"/>
  <c r="L46" i="31"/>
  <c r="M54" i="32"/>
  <c r="I52" i="32"/>
  <c r="L48" i="32"/>
  <c r="L47" i="32"/>
  <c r="L57" i="33"/>
  <c r="O56" i="33"/>
  <c r="I55" i="34"/>
  <c r="P54" i="34"/>
  <c r="J54" i="34"/>
  <c r="P56" i="35"/>
  <c r="I53" i="37"/>
  <c r="P52" i="37"/>
  <c r="O56" i="38"/>
  <c r="I56" i="38"/>
  <c r="O52" i="38"/>
  <c r="O56" i="41"/>
  <c r="L56" i="41"/>
  <c r="I56" i="41"/>
  <c r="J55" i="41"/>
  <c r="P55" i="41"/>
  <c r="L55" i="42"/>
  <c r="O55" i="42"/>
  <c r="I55" i="42"/>
  <c r="J54" i="42"/>
  <c r="P54" i="42"/>
  <c r="I56" i="44"/>
  <c r="O56" i="44"/>
  <c r="O49" i="46"/>
  <c r="I49" i="46"/>
  <c r="L49" i="46"/>
  <c r="J56" i="47"/>
  <c r="P56" i="47"/>
  <c r="J54" i="48"/>
  <c r="P54" i="48"/>
  <c r="M56" i="49"/>
  <c r="L51" i="49"/>
  <c r="O51" i="49"/>
  <c r="I49" i="50"/>
  <c r="O49" i="50"/>
  <c r="O46" i="50"/>
  <c r="I46" i="50"/>
  <c r="L46" i="50"/>
  <c r="P55" i="51"/>
  <c r="J55" i="51"/>
  <c r="M55" i="51"/>
  <c r="P55" i="23"/>
  <c r="I46" i="39"/>
  <c r="L46" i="39"/>
  <c r="O54" i="41"/>
  <c r="I54" i="41"/>
  <c r="L54" i="50"/>
  <c r="O54" i="50"/>
  <c r="I54" i="50"/>
  <c r="I49" i="22"/>
  <c r="I48" i="22"/>
  <c r="J55" i="23"/>
  <c r="I49" i="23"/>
  <c r="O54" i="24"/>
  <c r="O53" i="24"/>
  <c r="O51" i="25"/>
  <c r="J54" i="26"/>
  <c r="P56" i="27"/>
  <c r="P53" i="27"/>
  <c r="M53" i="28"/>
  <c r="O50" i="28"/>
  <c r="O49" i="28"/>
  <c r="I46" i="28"/>
  <c r="P56" i="29"/>
  <c r="J55" i="29"/>
  <c r="O53" i="29"/>
  <c r="O52" i="29"/>
  <c r="M53" i="30"/>
  <c r="I51" i="30"/>
  <c r="I50" i="30"/>
  <c r="I47" i="30"/>
  <c r="I57" i="31"/>
  <c r="M56" i="31"/>
  <c r="I46" i="31"/>
  <c r="L56" i="32"/>
  <c r="J54" i="32"/>
  <c r="O52" i="32"/>
  <c r="I48" i="32"/>
  <c r="I47" i="32"/>
  <c r="P52" i="33"/>
  <c r="O49" i="33"/>
  <c r="O48" i="33"/>
  <c r="O55" i="34"/>
  <c r="O54" i="34"/>
  <c r="P53" i="34"/>
  <c r="O56" i="35"/>
  <c r="L53" i="35"/>
  <c r="L55" i="36"/>
  <c r="O49" i="36"/>
  <c r="J55" i="37"/>
  <c r="O48" i="37"/>
  <c r="O47" i="37"/>
  <c r="L56" i="39"/>
  <c r="O46" i="39"/>
  <c r="O50" i="40"/>
  <c r="I50" i="40"/>
  <c r="L50" i="40"/>
  <c r="O51" i="42"/>
  <c r="I51" i="42"/>
  <c r="L51" i="42"/>
  <c r="M52" i="43"/>
  <c r="J52" i="43"/>
  <c r="L56" i="44"/>
  <c r="L54" i="46"/>
  <c r="O54" i="46"/>
  <c r="I54" i="46"/>
  <c r="J53" i="46"/>
  <c r="P53" i="46"/>
  <c r="O48" i="46"/>
  <c r="I48" i="46"/>
  <c r="L48" i="46"/>
  <c r="I52" i="51"/>
  <c r="O52" i="51"/>
  <c r="O49" i="40"/>
  <c r="I49" i="40"/>
  <c r="L49" i="40"/>
  <c r="O50" i="42"/>
  <c r="I50" i="42"/>
  <c r="L50" i="42"/>
  <c r="P56" i="50"/>
  <c r="J56" i="50"/>
  <c r="M56" i="50"/>
  <c r="L57" i="22"/>
  <c r="L46" i="35"/>
  <c r="M52" i="36"/>
  <c r="P56" i="38"/>
  <c r="P52" i="38"/>
  <c r="L49" i="38"/>
  <c r="I48" i="38"/>
  <c r="L46" i="38"/>
  <c r="J56" i="39"/>
  <c r="P56" i="39"/>
  <c r="M55" i="39"/>
  <c r="O53" i="41"/>
  <c r="I53" i="41"/>
  <c r="L53" i="41"/>
  <c r="M53" i="46"/>
  <c r="O50" i="48"/>
  <c r="I50" i="48"/>
  <c r="L50" i="48"/>
  <c r="J53" i="50"/>
  <c r="P53" i="50"/>
  <c r="L54" i="43"/>
  <c r="L51" i="44"/>
  <c r="O48" i="44"/>
  <c r="O47" i="44"/>
  <c r="L55" i="45"/>
  <c r="L51" i="45"/>
  <c r="L46" i="45"/>
  <c r="P56" i="46"/>
  <c r="P57" i="47"/>
  <c r="O49" i="47"/>
  <c r="O48" i="48"/>
  <c r="L53" i="49"/>
  <c r="O50" i="50"/>
  <c r="O46" i="51"/>
  <c r="O55" i="41"/>
  <c r="O50" i="41"/>
  <c r="O49" i="41"/>
  <c r="O54" i="42"/>
  <c r="P53" i="43"/>
  <c r="P54" i="45"/>
  <c r="O53" i="46"/>
  <c r="M57" i="48"/>
  <c r="O54" i="48"/>
  <c r="L52" i="48"/>
  <c r="O46" i="48"/>
  <c r="O56" i="49"/>
  <c r="P55" i="49"/>
  <c r="L54" i="49"/>
  <c r="O47" i="49"/>
  <c r="L54" i="41"/>
  <c r="I48" i="49"/>
  <c r="P49" i="91"/>
  <c r="L53" i="91"/>
  <c r="J54" i="72"/>
  <c r="J54" i="90"/>
  <c r="M56" i="82"/>
  <c r="M54" i="90"/>
  <c r="I52" i="90"/>
  <c r="P51" i="90"/>
  <c r="I47" i="83"/>
  <c r="L52" i="87"/>
  <c r="I52" i="87"/>
  <c r="O47" i="83"/>
  <c r="O53" i="70"/>
  <c r="L51" i="72"/>
  <c r="O56" i="86"/>
  <c r="O54" i="86"/>
  <c r="L46" i="89"/>
  <c r="L51" i="90"/>
  <c r="L47" i="90"/>
  <c r="O54" i="91"/>
  <c r="L49" i="91"/>
  <c r="O47" i="90"/>
  <c r="P54" i="72"/>
  <c r="L52" i="82"/>
  <c r="I54" i="86"/>
  <c r="L54" i="91"/>
  <c r="O53" i="91"/>
  <c r="L56" i="72"/>
  <c r="O48" i="83"/>
  <c r="O48" i="84"/>
  <c r="M52" i="89"/>
  <c r="I53" i="70"/>
  <c r="P52" i="70"/>
  <c r="P56" i="82"/>
  <c r="M56" i="83"/>
  <c r="I48" i="83"/>
  <c r="I48" i="84"/>
  <c r="L51" i="85"/>
  <c r="I47" i="85"/>
  <c r="I51" i="86"/>
  <c r="J52" i="89"/>
  <c r="O56" i="90"/>
  <c r="O52" i="90"/>
  <c r="J51" i="90"/>
  <c r="J49" i="91"/>
  <c r="P48" i="91"/>
  <c r="L49" i="70"/>
  <c r="L52" i="85"/>
  <c r="L50" i="85"/>
  <c r="O46" i="85"/>
  <c r="L53" i="86"/>
  <c r="I46" i="89"/>
  <c r="L48" i="90"/>
  <c r="P52" i="91"/>
  <c r="O50" i="91"/>
  <c r="O46" i="82"/>
  <c r="L47" i="86"/>
  <c r="O53" i="89"/>
  <c r="L52" i="89"/>
  <c r="M56" i="90"/>
  <c r="L50" i="91"/>
  <c r="B10" i="58"/>
  <c r="M57" i="70"/>
  <c r="L52" i="70"/>
  <c r="I52" i="72"/>
  <c r="I51" i="82"/>
  <c r="L46" i="82"/>
  <c r="I53" i="83"/>
  <c r="O52" i="83"/>
  <c r="L54" i="84"/>
  <c r="O49" i="84"/>
  <c r="M56" i="85"/>
  <c r="O50" i="86"/>
  <c r="I47" i="86"/>
  <c r="O46" i="86"/>
  <c r="L53" i="89"/>
  <c r="P51" i="89"/>
  <c r="L56" i="90"/>
  <c r="O51" i="90"/>
  <c r="M53" i="91"/>
  <c r="J48" i="91"/>
  <c r="M52" i="70"/>
  <c r="L51" i="82"/>
  <c r="O53" i="83"/>
  <c r="O54" i="84"/>
  <c r="L57" i="70"/>
  <c r="P56" i="70"/>
  <c r="L48" i="70"/>
  <c r="M56" i="72"/>
  <c r="O51" i="72"/>
  <c r="I52" i="83"/>
  <c r="I49" i="84"/>
  <c r="L56" i="85"/>
  <c r="O47" i="85"/>
  <c r="O51" i="86"/>
  <c r="I50" i="86"/>
  <c r="L46" i="86"/>
  <c r="J51" i="89"/>
  <c r="M47" i="90"/>
  <c r="O57" i="70"/>
  <c r="P56" i="72"/>
  <c r="L48" i="72"/>
  <c r="L47" i="72"/>
  <c r="L53" i="82"/>
  <c r="I47" i="82"/>
  <c r="L53" i="84"/>
  <c r="O56" i="85"/>
  <c r="I56" i="86"/>
  <c r="L49" i="87"/>
  <c r="L48" i="87"/>
  <c r="O49" i="91"/>
  <c r="I46" i="91"/>
  <c r="M56" i="70"/>
  <c r="O49" i="70"/>
  <c r="O48" i="70"/>
  <c r="O56" i="72"/>
  <c r="L52" i="72"/>
  <c r="I48" i="72"/>
  <c r="I47" i="72"/>
  <c r="B2" i="77"/>
  <c r="I53" i="82"/>
  <c r="O47" i="82"/>
  <c r="P56" i="83"/>
  <c r="M56" i="84"/>
  <c r="I53" i="84"/>
  <c r="O51" i="85"/>
  <c r="O50" i="85"/>
  <c r="O53" i="86"/>
  <c r="I49" i="87"/>
  <c r="I48" i="87"/>
  <c r="L49" i="89"/>
  <c r="I48" i="90"/>
  <c r="P53" i="91"/>
  <c r="J52" i="91"/>
  <c r="O46" i="91"/>
  <c r="O52" i="89"/>
  <c r="I49" i="89"/>
  <c r="B10" i="57"/>
  <c r="J6" i="63"/>
  <c r="P57" i="70"/>
  <c r="O52" i="70"/>
  <c r="L51" i="83"/>
  <c r="P56" i="85"/>
  <c r="I52" i="85"/>
  <c r="L46" i="85"/>
  <c r="P56" i="90"/>
  <c r="P47" i="90"/>
  <c r="Q6" i="20"/>
  <c r="R6" i="20" s="1"/>
  <c r="O6" i="20"/>
  <c r="P6" i="20" s="1"/>
  <c r="M6" i="20"/>
  <c r="N6" i="20" s="1"/>
  <c r="S6" i="20"/>
  <c r="T6" i="20" s="1"/>
  <c r="K6" i="20"/>
  <c r="L6" i="20" s="1"/>
  <c r="U6" i="20"/>
  <c r="V6" i="20" s="1"/>
  <c r="I6" i="20"/>
  <c r="G37" i="6"/>
  <c r="R6" i="57"/>
  <c r="D37" i="6"/>
  <c r="J42" i="6"/>
  <c r="N72" i="20"/>
  <c r="V69" i="20"/>
  <c r="W72" i="20"/>
  <c r="R69" i="20"/>
  <c r="R72" i="20"/>
  <c r="K69" i="20"/>
  <c r="O72" i="20"/>
  <c r="S69" i="20"/>
  <c r="J69" i="20"/>
  <c r="V72" i="20"/>
  <c r="J72" i="20"/>
  <c r="N69" i="20"/>
  <c r="M13" i="51"/>
  <c r="P13" i="51"/>
  <c r="M13" i="29"/>
  <c r="AQ64" i="21" s="1"/>
  <c r="G42" i="6"/>
  <c r="C42" i="6"/>
  <c r="F94" i="67"/>
  <c r="F93" i="67"/>
  <c r="J129" i="67"/>
  <c r="K129" i="67" s="1"/>
  <c r="J94" i="67"/>
  <c r="J93" i="67"/>
  <c r="E118" i="62"/>
  <c r="N95" i="62" s="1"/>
  <c r="F118" i="62"/>
  <c r="N94" i="62" s="1"/>
  <c r="F123" i="67"/>
  <c r="I121" i="67"/>
  <c r="H52" i="67"/>
  <c r="J6" i="57"/>
  <c r="J133" i="67"/>
  <c r="K133" i="67" s="1"/>
  <c r="I50" i="70"/>
  <c r="O50" i="70"/>
  <c r="L50" i="70"/>
  <c r="H9" i="76"/>
  <c r="DD6" i="21" s="1"/>
  <c r="I47" i="91"/>
  <c r="O47" i="91"/>
  <c r="L47" i="91"/>
  <c r="H54" i="67"/>
  <c r="J53" i="70"/>
  <c r="P53" i="70"/>
  <c r="M53" i="70"/>
  <c r="J53" i="72"/>
  <c r="P53" i="72"/>
  <c r="M53" i="72"/>
  <c r="I50" i="72"/>
  <c r="O50" i="72"/>
  <c r="K32" i="74"/>
  <c r="K33" i="74"/>
  <c r="H30" i="76"/>
  <c r="H32" i="76"/>
  <c r="H33" i="76"/>
  <c r="F6" i="58"/>
  <c r="B2" i="91"/>
  <c r="B2" i="90"/>
  <c r="B2" i="89"/>
  <c r="B2" i="87"/>
  <c r="B2" i="86"/>
  <c r="B2" i="85"/>
  <c r="B2" i="82"/>
  <c r="B2" i="81"/>
  <c r="B2" i="83"/>
  <c r="B2" i="79"/>
  <c r="B2" i="80"/>
  <c r="B2" i="84"/>
  <c r="B2" i="76"/>
  <c r="B2" i="74"/>
  <c r="B2" i="73"/>
  <c r="B2" i="71"/>
  <c r="B2" i="75"/>
  <c r="B2" i="78"/>
  <c r="B2" i="70"/>
  <c r="I53" i="72"/>
  <c r="O53" i="72"/>
  <c r="L53" i="72"/>
  <c r="B2" i="72"/>
  <c r="I51" i="70"/>
  <c r="O51" i="70"/>
  <c r="L51" i="70"/>
  <c r="I54" i="72"/>
  <c r="O54" i="72"/>
  <c r="I9" i="73"/>
  <c r="DA8" i="21" s="1"/>
  <c r="DA48" i="21" s="1"/>
  <c r="Y16" i="70"/>
  <c r="Y13" i="70"/>
  <c r="Y15" i="70"/>
  <c r="Y14" i="70"/>
  <c r="I49" i="72"/>
  <c r="O49" i="72"/>
  <c r="L49" i="72"/>
  <c r="H9" i="78"/>
  <c r="DF6" i="21" s="1"/>
  <c r="L53" i="85"/>
  <c r="I53" i="85"/>
  <c r="O53" i="85"/>
  <c r="I56" i="70"/>
  <c r="O56" i="70"/>
  <c r="J54" i="70"/>
  <c r="P54" i="70"/>
  <c r="I47" i="70"/>
  <c r="O47" i="70"/>
  <c r="X13" i="70"/>
  <c r="H30" i="70" s="1"/>
  <c r="X15" i="70"/>
  <c r="H32" i="70" s="1"/>
  <c r="I46" i="72"/>
  <c r="O46" i="72"/>
  <c r="N32" i="83"/>
  <c r="I54" i="70"/>
  <c r="O54" i="70"/>
  <c r="I46" i="70"/>
  <c r="O46" i="70"/>
  <c r="J52" i="72"/>
  <c r="P52" i="72"/>
  <c r="H9" i="74"/>
  <c r="DB6" i="21" s="1"/>
  <c r="N9" i="78"/>
  <c r="EZ6" i="21" s="1"/>
  <c r="O12" i="78"/>
  <c r="I50" i="84"/>
  <c r="O50" i="84"/>
  <c r="L50" i="84"/>
  <c r="O48" i="86"/>
  <c r="I48" i="86"/>
  <c r="L48" i="86"/>
  <c r="K32" i="78"/>
  <c r="N32" i="84"/>
  <c r="N31" i="84"/>
  <c r="K32" i="77"/>
  <c r="K33" i="79"/>
  <c r="K31" i="79"/>
  <c r="H9" i="79"/>
  <c r="DG6" i="21" s="1"/>
  <c r="K32" i="80"/>
  <c r="O49" i="82"/>
  <c r="I49" i="82"/>
  <c r="I50" i="83"/>
  <c r="O50" i="83"/>
  <c r="L50" i="83"/>
  <c r="I51" i="84"/>
  <c r="O51" i="84"/>
  <c r="L51" i="84"/>
  <c r="O48" i="85"/>
  <c r="I48" i="85"/>
  <c r="L48" i="85"/>
  <c r="H30" i="81"/>
  <c r="H32" i="81"/>
  <c r="H33" i="81"/>
  <c r="H9" i="81"/>
  <c r="DJ6" i="21" s="1"/>
  <c r="I54" i="82"/>
  <c r="O54" i="82"/>
  <c r="L54" i="82"/>
  <c r="I50" i="82"/>
  <c r="O50" i="82"/>
  <c r="L50" i="82"/>
  <c r="I49" i="85"/>
  <c r="O49" i="85"/>
  <c r="L49" i="85"/>
  <c r="I47" i="87"/>
  <c r="O47" i="87"/>
  <c r="L47" i="87"/>
  <c r="N9" i="79"/>
  <c r="FA6" i="21" s="1"/>
  <c r="I56" i="82"/>
  <c r="O56" i="82"/>
  <c r="I46" i="83"/>
  <c r="O46" i="83"/>
  <c r="L46" i="83"/>
  <c r="J53" i="89"/>
  <c r="P53" i="89"/>
  <c r="M53" i="89"/>
  <c r="I48" i="82"/>
  <c r="O48" i="82"/>
  <c r="H30" i="82"/>
  <c r="H32" i="82"/>
  <c r="H9" i="82"/>
  <c r="DK6" i="21" s="1"/>
  <c r="I56" i="83"/>
  <c r="O56" i="83"/>
  <c r="I47" i="84"/>
  <c r="O47" i="84"/>
  <c r="J46" i="84"/>
  <c r="P46" i="84"/>
  <c r="K32" i="84"/>
  <c r="O52" i="84"/>
  <c r="K31" i="86"/>
  <c r="K32" i="86"/>
  <c r="K33" i="86"/>
  <c r="L56" i="83"/>
  <c r="I54" i="83"/>
  <c r="O54" i="83"/>
  <c r="I56" i="84"/>
  <c r="L56" i="84"/>
  <c r="I46" i="84"/>
  <c r="O46" i="84"/>
  <c r="K33" i="84"/>
  <c r="H32" i="85"/>
  <c r="H33" i="85"/>
  <c r="I54" i="85"/>
  <c r="O54" i="85"/>
  <c r="J56" i="86"/>
  <c r="P56" i="86"/>
  <c r="M56" i="86"/>
  <c r="I49" i="86"/>
  <c r="O49" i="86"/>
  <c r="L49" i="86"/>
  <c r="I51" i="87"/>
  <c r="O51" i="87"/>
  <c r="L51" i="87"/>
  <c r="EN6" i="21"/>
  <c r="J56" i="89"/>
  <c r="P56" i="89"/>
  <c r="M56" i="89"/>
  <c r="J54" i="89"/>
  <c r="P54" i="89"/>
  <c r="L48" i="89"/>
  <c r="O48" i="89"/>
  <c r="I46" i="87"/>
  <c r="O46" i="87"/>
  <c r="L46" i="87"/>
  <c r="H32" i="86"/>
  <c r="I50" i="87"/>
  <c r="O50" i="87"/>
  <c r="H30" i="87"/>
  <c r="H33" i="87"/>
  <c r="I56" i="89"/>
  <c r="O56" i="89"/>
  <c r="L56" i="89"/>
  <c r="I47" i="89"/>
  <c r="O47" i="89"/>
  <c r="L47" i="89"/>
  <c r="O52" i="86"/>
  <c r="I56" i="87"/>
  <c r="O56" i="87"/>
  <c r="I50" i="89"/>
  <c r="L50" i="89"/>
  <c r="O50" i="89"/>
  <c r="I54" i="89"/>
  <c r="L54" i="89"/>
  <c r="J52" i="90"/>
  <c r="P52" i="90"/>
  <c r="I50" i="90"/>
  <c r="O50" i="90"/>
  <c r="L50" i="90"/>
  <c r="O54" i="89"/>
  <c r="J53" i="90"/>
  <c r="P53" i="90"/>
  <c r="M53" i="90"/>
  <c r="M52" i="90"/>
  <c r="I51" i="89"/>
  <c r="O51" i="89"/>
  <c r="I54" i="90"/>
  <c r="O54" i="90"/>
  <c r="L54" i="90"/>
  <c r="I56" i="91"/>
  <c r="O56" i="91"/>
  <c r="L56" i="91"/>
  <c r="I48" i="91"/>
  <c r="O48" i="91"/>
  <c r="L48" i="91"/>
  <c r="J49" i="90"/>
  <c r="P49" i="90"/>
  <c r="M49" i="90"/>
  <c r="J51" i="91"/>
  <c r="P51" i="91"/>
  <c r="M51" i="91"/>
  <c r="I53" i="90"/>
  <c r="O53" i="90"/>
  <c r="I49" i="90"/>
  <c r="O49" i="90"/>
  <c r="I46" i="90"/>
  <c r="O46" i="90"/>
  <c r="I51" i="91"/>
  <c r="O51" i="91"/>
  <c r="L51" i="91"/>
  <c r="J56" i="91"/>
  <c r="P56" i="91"/>
  <c r="M56" i="91"/>
  <c r="I52" i="91"/>
  <c r="O52" i="91"/>
  <c r="J47" i="91"/>
  <c r="P47" i="91"/>
  <c r="M47" i="91"/>
  <c r="J7" i="91"/>
  <c r="J54" i="91"/>
  <c r="P54" i="91"/>
  <c r="J50" i="91"/>
  <c r="P50" i="91"/>
  <c r="J46" i="91"/>
  <c r="P46" i="91"/>
  <c r="L10" i="91"/>
  <c r="K9" i="91"/>
  <c r="F8" i="10"/>
  <c r="F12" i="10"/>
  <c r="E75" i="51"/>
  <c r="E75" i="49"/>
  <c r="E75" i="48"/>
  <c r="E75" i="50"/>
  <c r="E75" i="47"/>
  <c r="E75" i="46"/>
  <c r="E75" i="45"/>
  <c r="E75" i="42"/>
  <c r="E75" i="41"/>
  <c r="E75" i="43"/>
  <c r="E75" i="44"/>
  <c r="E75" i="39"/>
  <c r="E75" i="38"/>
  <c r="E75" i="32"/>
  <c r="E75" i="37"/>
  <c r="E75" i="34"/>
  <c r="E75" i="30"/>
  <c r="E75" i="28"/>
  <c r="E75" i="40"/>
  <c r="E75" i="26"/>
  <c r="E75" i="33"/>
  <c r="E75" i="25"/>
  <c r="E75" i="36"/>
  <c r="E75" i="35"/>
  <c r="E75" i="31"/>
  <c r="E75" i="27"/>
  <c r="E75" i="24"/>
  <c r="E75" i="23"/>
  <c r="E75" i="22"/>
  <c r="E75" i="29"/>
  <c r="G12" i="8"/>
  <c r="G152" i="18"/>
  <c r="D127" i="18"/>
  <c r="H127" i="18" s="1"/>
  <c r="H128" i="18" s="1"/>
  <c r="H129" i="18" s="1"/>
  <c r="H143" i="18" s="1"/>
  <c r="F27" i="15"/>
  <c r="F34" i="15"/>
  <c r="F20" i="15"/>
  <c r="H12" i="8"/>
  <c r="E48" i="41"/>
  <c r="E48" i="39"/>
  <c r="E48" i="35"/>
  <c r="E48" i="26"/>
  <c r="E48" i="27"/>
  <c r="E8" i="8"/>
  <c r="G5" i="10"/>
  <c r="B2" i="50"/>
  <c r="B2" i="51"/>
  <c r="B2" i="48"/>
  <c r="B2" i="47"/>
  <c r="B2" i="49"/>
  <c r="B2" i="46"/>
  <c r="B2" i="45"/>
  <c r="B2" i="43"/>
  <c r="B2" i="44"/>
  <c r="B2" i="41"/>
  <c r="B2" i="38"/>
  <c r="B2" i="42"/>
  <c r="B2" i="36"/>
  <c r="B2" i="37"/>
  <c r="B2" i="34"/>
  <c r="B2" i="32"/>
  <c r="B2" i="28"/>
  <c r="B2" i="39"/>
  <c r="B2" i="35"/>
  <c r="B2" i="31"/>
  <c r="B2" i="30"/>
  <c r="B2" i="40"/>
  <c r="B2" i="25"/>
  <c r="B2" i="22"/>
  <c r="B2" i="33"/>
  <c r="B2" i="27"/>
  <c r="B2" i="24"/>
  <c r="B2" i="23"/>
  <c r="B2" i="29"/>
  <c r="B2" i="26"/>
  <c r="E49" i="26"/>
  <c r="E49" i="27"/>
  <c r="I47" i="33"/>
  <c r="O47" i="33"/>
  <c r="L47" i="33"/>
  <c r="F8" i="8"/>
  <c r="F12" i="8"/>
  <c r="E47" i="50"/>
  <c r="E47" i="51"/>
  <c r="E48" i="44"/>
  <c r="E47" i="46"/>
  <c r="E48" i="42"/>
  <c r="E48" i="43"/>
  <c r="E48" i="38"/>
  <c r="E48" i="37"/>
  <c r="E48" i="40"/>
  <c r="E48" i="32"/>
  <c r="E48" i="34"/>
  <c r="E48" i="30"/>
  <c r="E48" i="36"/>
  <c r="E47" i="25"/>
  <c r="E49" i="41"/>
  <c r="E47" i="29"/>
  <c r="E47" i="24"/>
  <c r="E48" i="33"/>
  <c r="E48" i="28"/>
  <c r="E47" i="22"/>
  <c r="E48" i="31"/>
  <c r="E47" i="23"/>
  <c r="Y16" i="29"/>
  <c r="K32" i="29" s="1"/>
  <c r="X16" i="29"/>
  <c r="H32" i="29" s="1"/>
  <c r="Y14" i="31"/>
  <c r="K30" i="31" s="1"/>
  <c r="X14" i="31"/>
  <c r="H30" i="31" s="1"/>
  <c r="E46" i="51"/>
  <c r="E46" i="49"/>
  <c r="E46" i="50"/>
  <c r="E46" i="48"/>
  <c r="E46" i="46"/>
  <c r="E47" i="42"/>
  <c r="E47" i="43"/>
  <c r="E47" i="41"/>
  <c r="E46" i="47"/>
  <c r="E47" i="40"/>
  <c r="E47" i="35"/>
  <c r="E47" i="37"/>
  <c r="E47" i="34"/>
  <c r="E47" i="30"/>
  <c r="E46" i="45"/>
  <c r="E47" i="31"/>
  <c r="E47" i="28"/>
  <c r="E47" i="44"/>
  <c r="E47" i="32"/>
  <c r="E47" i="26"/>
  <c r="E47" i="36"/>
  <c r="E47" i="33"/>
  <c r="E46" i="22"/>
  <c r="E47" i="27"/>
  <c r="E47" i="38"/>
  <c r="H10" i="14"/>
  <c r="H12" i="14" s="1"/>
  <c r="O13" i="14"/>
  <c r="J24" i="14" s="1"/>
  <c r="O15" i="14"/>
  <c r="O17" i="14"/>
  <c r="N14" i="14"/>
  <c r="D5" i="10"/>
  <c r="H5" i="10"/>
  <c r="F50" i="47"/>
  <c r="F50" i="49"/>
  <c r="M16" i="14"/>
  <c r="I52" i="25"/>
  <c r="O52" i="25"/>
  <c r="L52" i="25"/>
  <c r="I9" i="8"/>
  <c r="F62" i="41"/>
  <c r="F62" i="39"/>
  <c r="F62" i="38"/>
  <c r="F62" i="37"/>
  <c r="E51" i="42"/>
  <c r="E51" i="43"/>
  <c r="E51" i="44"/>
  <c r="E51" i="40"/>
  <c r="E54" i="41"/>
  <c r="E51" i="38"/>
  <c r="E51" i="36"/>
  <c r="E52" i="35"/>
  <c r="E51" i="34"/>
  <c r="E51" i="30"/>
  <c r="E51" i="31"/>
  <c r="E51" i="28"/>
  <c r="E52" i="39"/>
  <c r="E50" i="25"/>
  <c r="E51" i="37"/>
  <c r="E52" i="26"/>
  <c r="E50" i="24"/>
  <c r="E50" i="23"/>
  <c r="E50" i="22"/>
  <c r="E50" i="29"/>
  <c r="E52" i="27"/>
  <c r="E51" i="33"/>
  <c r="E51" i="32"/>
  <c r="E49" i="51"/>
  <c r="E48" i="50"/>
  <c r="E47" i="39"/>
  <c r="E48" i="51"/>
  <c r="E51" i="41"/>
  <c r="N17" i="14"/>
  <c r="M12" i="14"/>
  <c r="E12" i="8"/>
  <c r="E5" i="10"/>
  <c r="E49" i="49"/>
  <c r="E49" i="46"/>
  <c r="E49" i="48"/>
  <c r="E49" i="47"/>
  <c r="E48" i="46"/>
  <c r="E48" i="47"/>
  <c r="E46" i="44"/>
  <c r="E46" i="39"/>
  <c r="E46" i="38"/>
  <c r="E46" i="43"/>
  <c r="E46" i="37"/>
  <c r="E46" i="33"/>
  <c r="E46" i="42"/>
  <c r="E46" i="32"/>
  <c r="E46" i="29"/>
  <c r="E46" i="27"/>
  <c r="E46" i="30"/>
  <c r="E46" i="24"/>
  <c r="E46" i="41"/>
  <c r="E46" i="40"/>
  <c r="E46" i="23"/>
  <c r="E46" i="36"/>
  <c r="E46" i="35"/>
  <c r="E46" i="34"/>
  <c r="E46" i="26"/>
  <c r="E46" i="28"/>
  <c r="E46" i="31"/>
  <c r="E46" i="25"/>
  <c r="N13" i="14"/>
  <c r="F183" i="18"/>
  <c r="F185" i="18"/>
  <c r="J56" i="34"/>
  <c r="P56" i="34"/>
  <c r="M56" i="34"/>
  <c r="J95" i="18"/>
  <c r="L50" i="23"/>
  <c r="I50" i="23"/>
  <c r="O50" i="23"/>
  <c r="Z15" i="25"/>
  <c r="N31" i="25" s="1"/>
  <c r="Z14" i="25"/>
  <c r="N30" i="25" s="1"/>
  <c r="Z17" i="25"/>
  <c r="N33" i="25" s="1"/>
  <c r="Z16" i="25"/>
  <c r="N32" i="25" s="1"/>
  <c r="I53" i="26"/>
  <c r="O53" i="26"/>
  <c r="L53" i="26"/>
  <c r="O46" i="27"/>
  <c r="I46" i="27"/>
  <c r="L46" i="27"/>
  <c r="X16" i="28"/>
  <c r="H32" i="28" s="1"/>
  <c r="X15" i="28"/>
  <c r="H31" i="28" s="1"/>
  <c r="X17" i="28"/>
  <c r="H33" i="28" s="1"/>
  <c r="X14" i="28"/>
  <c r="H30" i="28" s="1"/>
  <c r="I49" i="29"/>
  <c r="O49" i="29"/>
  <c r="L49" i="29"/>
  <c r="F62" i="36"/>
  <c r="F62" i="34"/>
  <c r="F62" i="30"/>
  <c r="F62" i="28"/>
  <c r="F62" i="31"/>
  <c r="F62" i="32"/>
  <c r="F62" i="25"/>
  <c r="F62" i="33"/>
  <c r="F62" i="27"/>
  <c r="F62" i="24"/>
  <c r="F62" i="23"/>
  <c r="F62" i="26"/>
  <c r="F62" i="22"/>
  <c r="E53" i="49"/>
  <c r="E54" i="47"/>
  <c r="E52" i="46"/>
  <c r="E52" i="48"/>
  <c r="E48" i="49"/>
  <c r="E48" i="48"/>
  <c r="E57" i="44"/>
  <c r="E57" i="39"/>
  <c r="E57" i="43"/>
  <c r="E57" i="42"/>
  <c r="E57" i="38"/>
  <c r="E57" i="33"/>
  <c r="E57" i="29"/>
  <c r="E57" i="41"/>
  <c r="E57" i="32"/>
  <c r="E57" i="28"/>
  <c r="E57" i="40"/>
  <c r="E57" i="26"/>
  <c r="E57" i="27"/>
  <c r="E57" i="24"/>
  <c r="E57" i="30"/>
  <c r="E57" i="31"/>
  <c r="E57" i="23"/>
  <c r="E57" i="25"/>
  <c r="E57" i="22"/>
  <c r="E52" i="49"/>
  <c r="E53" i="47"/>
  <c r="E51" i="46"/>
  <c r="E50" i="43"/>
  <c r="E50" i="44"/>
  <c r="E50" i="40"/>
  <c r="E51" i="48"/>
  <c r="E50" i="45"/>
  <c r="E52" i="41"/>
  <c r="E50" i="38"/>
  <c r="E50" i="42"/>
  <c r="E50" i="36"/>
  <c r="E51" i="35"/>
  <c r="E50" i="31"/>
  <c r="E50" i="28"/>
  <c r="E50" i="37"/>
  <c r="E50" i="33"/>
  <c r="E49" i="29"/>
  <c r="E50" i="34"/>
  <c r="E51" i="26"/>
  <c r="E49" i="24"/>
  <c r="E49" i="22"/>
  <c r="E50" i="32"/>
  <c r="E50" i="30"/>
  <c r="E51" i="27"/>
  <c r="E51" i="39"/>
  <c r="E49" i="23"/>
  <c r="E47" i="49"/>
  <c r="E47" i="47"/>
  <c r="E47" i="48"/>
  <c r="I57" i="24"/>
  <c r="I52" i="24"/>
  <c r="O52" i="24"/>
  <c r="L52" i="24"/>
  <c r="I54" i="26"/>
  <c r="O54" i="26"/>
  <c r="L54" i="26"/>
  <c r="H57" i="26"/>
  <c r="Y15" i="28"/>
  <c r="K31" i="28" s="1"/>
  <c r="Z15" i="28"/>
  <c r="N31" i="28" s="1"/>
  <c r="Y16" i="30"/>
  <c r="K32" i="30" s="1"/>
  <c r="Y15" i="30"/>
  <c r="K31" i="30" s="1"/>
  <c r="Y14" i="30"/>
  <c r="K30" i="30" s="1"/>
  <c r="Y17" i="30"/>
  <c r="K33" i="30" s="1"/>
  <c r="Z15" i="31"/>
  <c r="N31" i="31" s="1"/>
  <c r="Z14" i="31"/>
  <c r="N30" i="31" s="1"/>
  <c r="Z17" i="31"/>
  <c r="N33" i="31" s="1"/>
  <c r="Z16" i="31"/>
  <c r="N32" i="31" s="1"/>
  <c r="X16" i="22"/>
  <c r="H32" i="22" s="1"/>
  <c r="J55" i="24"/>
  <c r="P55" i="24"/>
  <c r="M55" i="24"/>
  <c r="E49" i="25"/>
  <c r="I48" i="27"/>
  <c r="O48" i="27"/>
  <c r="L48" i="27"/>
  <c r="F62" i="29"/>
  <c r="E57" i="34"/>
  <c r="I53" i="34"/>
  <c r="O53" i="34"/>
  <c r="L53" i="34"/>
  <c r="F62" i="43"/>
  <c r="F62" i="42"/>
  <c r="F62" i="40"/>
  <c r="F62" i="44"/>
  <c r="E51" i="49"/>
  <c r="E52" i="47"/>
  <c r="E50" i="46"/>
  <c r="E50" i="48"/>
  <c r="E49" i="45"/>
  <c r="E49" i="44"/>
  <c r="E53" i="41"/>
  <c r="E49" i="38"/>
  <c r="E49" i="43"/>
  <c r="E50" i="39"/>
  <c r="E49" i="42"/>
  <c r="E49" i="37"/>
  <c r="E49" i="33"/>
  <c r="E48" i="29"/>
  <c r="E49" i="40"/>
  <c r="E49" i="36"/>
  <c r="E49" i="32"/>
  <c r="E49" i="30"/>
  <c r="E50" i="27"/>
  <c r="E50" i="35"/>
  <c r="E48" i="23"/>
  <c r="E49" i="28"/>
  <c r="E50" i="26"/>
  <c r="E48" i="24"/>
  <c r="S72" i="20"/>
  <c r="K72" i="20"/>
  <c r="W69" i="20"/>
  <c r="I54" i="22"/>
  <c r="O54" i="22"/>
  <c r="L54" i="22"/>
  <c r="O57" i="23"/>
  <c r="L57" i="23"/>
  <c r="J54" i="23"/>
  <c r="P54" i="23"/>
  <c r="M54" i="23"/>
  <c r="I48" i="23"/>
  <c r="O48" i="23"/>
  <c r="L48" i="23"/>
  <c r="X17" i="24"/>
  <c r="H33" i="24" s="1"/>
  <c r="Y17" i="24"/>
  <c r="K33" i="24" s="1"/>
  <c r="Z17" i="24"/>
  <c r="N33" i="24" s="1"/>
  <c r="I53" i="25"/>
  <c r="O53" i="25"/>
  <c r="L53" i="25"/>
  <c r="E48" i="25"/>
  <c r="I55" i="27"/>
  <c r="O55" i="27"/>
  <c r="L55" i="27"/>
  <c r="I50" i="36"/>
  <c r="L50" i="36"/>
  <c r="O50" i="36"/>
  <c r="H69" i="20"/>
  <c r="L69" i="20"/>
  <c r="P69" i="20"/>
  <c r="T69" i="20"/>
  <c r="X69" i="20"/>
  <c r="H72" i="20"/>
  <c r="L72" i="20"/>
  <c r="P72" i="20"/>
  <c r="T72" i="20"/>
  <c r="X72" i="20"/>
  <c r="I69" i="20"/>
  <c r="M69" i="20"/>
  <c r="Q69" i="20"/>
  <c r="U69" i="20"/>
  <c r="I72" i="20"/>
  <c r="M72" i="20"/>
  <c r="Q72" i="20"/>
  <c r="U72" i="20"/>
  <c r="Y15" i="22"/>
  <c r="K31" i="22" s="1"/>
  <c r="Y14" i="22"/>
  <c r="K30" i="22" s="1"/>
  <c r="K33" i="22"/>
  <c r="I51" i="24"/>
  <c r="O51" i="24"/>
  <c r="L51" i="24"/>
  <c r="J56" i="25"/>
  <c r="P56" i="25"/>
  <c r="M56" i="25"/>
  <c r="X14" i="25"/>
  <c r="H30" i="25" s="1"/>
  <c r="X15" i="26"/>
  <c r="H31" i="26" s="1"/>
  <c r="X14" i="26"/>
  <c r="H30" i="26" s="1"/>
  <c r="X16" i="26"/>
  <c r="H32" i="26" s="1"/>
  <c r="X17" i="26"/>
  <c r="H33" i="26" s="1"/>
  <c r="I56" i="27"/>
  <c r="O56" i="27"/>
  <c r="L56" i="27"/>
  <c r="I48" i="28"/>
  <c r="O48" i="28"/>
  <c r="L48" i="28"/>
  <c r="P13" i="29"/>
  <c r="BW64" i="21" s="1"/>
  <c r="Y15" i="29"/>
  <c r="K31" i="29" s="1"/>
  <c r="Y14" i="29"/>
  <c r="K30" i="29" s="1"/>
  <c r="Y17" i="29"/>
  <c r="K33" i="29" s="1"/>
  <c r="J54" i="31"/>
  <c r="P54" i="31"/>
  <c r="M54" i="31"/>
  <c r="J54" i="33"/>
  <c r="P54" i="33"/>
  <c r="M54" i="33"/>
  <c r="I57" i="37"/>
  <c r="J57" i="37"/>
  <c r="J53" i="37"/>
  <c r="P53" i="37"/>
  <c r="M53" i="37"/>
  <c r="J56" i="22"/>
  <c r="P56" i="22"/>
  <c r="M56" i="22"/>
  <c r="I51" i="23"/>
  <c r="O51" i="23"/>
  <c r="L51" i="23"/>
  <c r="I46" i="23"/>
  <c r="O46" i="23"/>
  <c r="L46" i="23"/>
  <c r="X15" i="23"/>
  <c r="H31" i="23" s="1"/>
  <c r="X14" i="23"/>
  <c r="H30" i="23" s="1"/>
  <c r="X16" i="23"/>
  <c r="H32" i="23" s="1"/>
  <c r="I55" i="24"/>
  <c r="O55" i="24"/>
  <c r="L55" i="24"/>
  <c r="L50" i="24"/>
  <c r="I50" i="24"/>
  <c r="O50" i="24"/>
  <c r="I56" i="25"/>
  <c r="O56" i="25"/>
  <c r="L56" i="25"/>
  <c r="I47" i="25"/>
  <c r="O47" i="25"/>
  <c r="L47" i="25"/>
  <c r="X17" i="25"/>
  <c r="H33" i="25" s="1"/>
  <c r="Y17" i="25"/>
  <c r="K33" i="25" s="1"/>
  <c r="L52" i="26"/>
  <c r="I52" i="26"/>
  <c r="O52" i="26"/>
  <c r="I57" i="27"/>
  <c r="H31" i="27"/>
  <c r="I47" i="28"/>
  <c r="O47" i="28"/>
  <c r="L47" i="28"/>
  <c r="I54" i="29"/>
  <c r="O54" i="29"/>
  <c r="L54" i="29"/>
  <c r="I56" i="30"/>
  <c r="O56" i="30"/>
  <c r="L56" i="30"/>
  <c r="I55" i="33"/>
  <c r="O55" i="33"/>
  <c r="L55" i="33"/>
  <c r="I50" i="33"/>
  <c r="O50" i="33"/>
  <c r="L50" i="33"/>
  <c r="Y15" i="34"/>
  <c r="K31" i="34" s="1"/>
  <c r="X16" i="34"/>
  <c r="H32" i="34" s="1"/>
  <c r="X15" i="34"/>
  <c r="H31" i="34" s="1"/>
  <c r="X14" i="34"/>
  <c r="H30" i="34" s="1"/>
  <c r="X17" i="34"/>
  <c r="H33" i="34" s="1"/>
  <c r="J54" i="35"/>
  <c r="P54" i="35"/>
  <c r="M54" i="35"/>
  <c r="I48" i="35"/>
  <c r="O48" i="35"/>
  <c r="L48" i="35"/>
  <c r="I52" i="36"/>
  <c r="O52" i="36"/>
  <c r="L52" i="36"/>
  <c r="Y14" i="37"/>
  <c r="K30" i="37" s="1"/>
  <c r="Z14" i="37"/>
  <c r="N30" i="37" s="1"/>
  <c r="X14" i="37"/>
  <c r="H30" i="37" s="1"/>
  <c r="H57" i="43"/>
  <c r="I56" i="22"/>
  <c r="O56" i="22"/>
  <c r="L56" i="22"/>
  <c r="I50" i="22"/>
  <c r="O50" i="22"/>
  <c r="L50" i="22"/>
  <c r="I47" i="22"/>
  <c r="O47" i="22"/>
  <c r="L47" i="22"/>
  <c r="Z16" i="22"/>
  <c r="N32" i="22" s="1"/>
  <c r="Z15" i="22"/>
  <c r="N31" i="22" s="1"/>
  <c r="Z14" i="22"/>
  <c r="N30" i="22" s="1"/>
  <c r="N33" i="22"/>
  <c r="J52" i="23"/>
  <c r="P52" i="23"/>
  <c r="H57" i="23"/>
  <c r="I57" i="23" s="1"/>
  <c r="I56" i="24"/>
  <c r="O56" i="24"/>
  <c r="K57" i="24"/>
  <c r="O57" i="25"/>
  <c r="J52" i="25"/>
  <c r="P52" i="25"/>
  <c r="M52" i="25"/>
  <c r="I48" i="25"/>
  <c r="O48" i="25"/>
  <c r="L48" i="25"/>
  <c r="K31" i="25"/>
  <c r="J53" i="26"/>
  <c r="P53" i="26"/>
  <c r="M53" i="26"/>
  <c r="J55" i="27"/>
  <c r="P55" i="27"/>
  <c r="M55" i="27"/>
  <c r="I47" i="27"/>
  <c r="O47" i="27"/>
  <c r="L47" i="27"/>
  <c r="H30" i="29"/>
  <c r="J56" i="32"/>
  <c r="P56" i="32"/>
  <c r="I54" i="32"/>
  <c r="O54" i="32"/>
  <c r="L54" i="32"/>
  <c r="I46" i="32"/>
  <c r="O46" i="32"/>
  <c r="L46" i="32"/>
  <c r="I57" i="33"/>
  <c r="X16" i="33"/>
  <c r="H32" i="33" s="1"/>
  <c r="Y16" i="33"/>
  <c r="K32" i="33" s="1"/>
  <c r="I52" i="34"/>
  <c r="O52" i="34"/>
  <c r="L52" i="34"/>
  <c r="I54" i="35"/>
  <c r="O54" i="35"/>
  <c r="L54" i="35"/>
  <c r="I56" i="36"/>
  <c r="O56" i="36"/>
  <c r="L56" i="36"/>
  <c r="Z16" i="41"/>
  <c r="N32" i="41" s="1"/>
  <c r="Y16" i="41"/>
  <c r="K32" i="41" s="1"/>
  <c r="J53" i="22"/>
  <c r="P53" i="22"/>
  <c r="I46" i="22"/>
  <c r="O46" i="22"/>
  <c r="J56" i="23"/>
  <c r="P56" i="23"/>
  <c r="I53" i="23"/>
  <c r="O53" i="23"/>
  <c r="Z16" i="23"/>
  <c r="N32" i="23" s="1"/>
  <c r="I47" i="24"/>
  <c r="O47" i="24"/>
  <c r="Z16" i="24"/>
  <c r="N32" i="24" s="1"/>
  <c r="Z15" i="24"/>
  <c r="N31" i="24" s="1"/>
  <c r="L57" i="26"/>
  <c r="I57" i="26"/>
  <c r="I49" i="26"/>
  <c r="O49" i="26"/>
  <c r="I46" i="26"/>
  <c r="O46" i="26"/>
  <c r="I52" i="27"/>
  <c r="O52" i="27"/>
  <c r="Y14" i="27"/>
  <c r="K30" i="27" s="1"/>
  <c r="Y15" i="27"/>
  <c r="K31" i="27" s="1"/>
  <c r="Y17" i="27"/>
  <c r="K33" i="27" s="1"/>
  <c r="J55" i="28"/>
  <c r="P55" i="28"/>
  <c r="M55" i="28"/>
  <c r="N57" i="30"/>
  <c r="O57" i="30" s="1"/>
  <c r="I47" i="31"/>
  <c r="O47" i="31"/>
  <c r="L47" i="31"/>
  <c r="X17" i="31"/>
  <c r="H33" i="31" s="1"/>
  <c r="Y17" i="31"/>
  <c r="K33" i="31" s="1"/>
  <c r="J52" i="32"/>
  <c r="P52" i="32"/>
  <c r="Z15" i="32"/>
  <c r="N31" i="32" s="1"/>
  <c r="Z14" i="32"/>
  <c r="N30" i="32" s="1"/>
  <c r="Z16" i="32"/>
  <c r="N32" i="32" s="1"/>
  <c r="Z17" i="32"/>
  <c r="N33" i="32" s="1"/>
  <c r="Y17" i="33"/>
  <c r="K33" i="33" s="1"/>
  <c r="Z16" i="33"/>
  <c r="N32" i="33" s="1"/>
  <c r="Z15" i="33"/>
  <c r="N31" i="33" s="1"/>
  <c r="Z17" i="33"/>
  <c r="N33" i="33" s="1"/>
  <c r="I56" i="34"/>
  <c r="O56" i="34"/>
  <c r="L56" i="34"/>
  <c r="I48" i="34"/>
  <c r="O48" i="34"/>
  <c r="L48" i="34"/>
  <c r="N32" i="34"/>
  <c r="H57" i="34"/>
  <c r="I57" i="34" s="1"/>
  <c r="L57" i="35"/>
  <c r="I55" i="35"/>
  <c r="O55" i="35"/>
  <c r="Y15" i="35"/>
  <c r="K31" i="35" s="1"/>
  <c r="Y17" i="35"/>
  <c r="K33" i="35" s="1"/>
  <c r="Y14" i="35"/>
  <c r="K30" i="35" s="1"/>
  <c r="Y16" i="35"/>
  <c r="K32" i="35" s="1"/>
  <c r="X15" i="36"/>
  <c r="H31" i="36" s="1"/>
  <c r="N57" i="36"/>
  <c r="P57" i="36" s="1"/>
  <c r="I46" i="37"/>
  <c r="O46" i="37"/>
  <c r="L46" i="37"/>
  <c r="J53" i="38"/>
  <c r="P53" i="38"/>
  <c r="M53" i="38"/>
  <c r="I51" i="44"/>
  <c r="J54" i="22"/>
  <c r="P54" i="22"/>
  <c r="I51" i="22"/>
  <c r="O51" i="22"/>
  <c r="I55" i="23"/>
  <c r="O55" i="23"/>
  <c r="Y16" i="23"/>
  <c r="K32" i="23" s="1"/>
  <c r="Y15" i="23"/>
  <c r="K31" i="23" s="1"/>
  <c r="J54" i="24"/>
  <c r="P54" i="24"/>
  <c r="Y15" i="24"/>
  <c r="K31" i="24" s="1"/>
  <c r="Y14" i="24"/>
  <c r="K30" i="24" s="1"/>
  <c r="J55" i="25"/>
  <c r="P55" i="25"/>
  <c r="I50" i="25"/>
  <c r="K57" i="25"/>
  <c r="L57" i="25" s="1"/>
  <c r="J56" i="26"/>
  <c r="P56" i="26"/>
  <c r="I48" i="26"/>
  <c r="O48" i="26"/>
  <c r="Y16" i="26"/>
  <c r="K32" i="26" s="1"/>
  <c r="Y15" i="26"/>
  <c r="K31" i="26" s="1"/>
  <c r="J54" i="27"/>
  <c r="P54" i="27"/>
  <c r="I51" i="27"/>
  <c r="O51" i="27"/>
  <c r="H33" i="27"/>
  <c r="N32" i="28"/>
  <c r="H57" i="28"/>
  <c r="Z16" i="29"/>
  <c r="N32" i="29" s="1"/>
  <c r="Z15" i="29"/>
  <c r="N31" i="29" s="1"/>
  <c r="Z14" i="29"/>
  <c r="N30" i="29" s="1"/>
  <c r="Z17" i="29"/>
  <c r="N33" i="29" s="1"/>
  <c r="I52" i="30"/>
  <c r="O52" i="30"/>
  <c r="L52" i="30"/>
  <c r="I48" i="31"/>
  <c r="O48" i="31"/>
  <c r="L48" i="31"/>
  <c r="K31" i="31"/>
  <c r="J53" i="32"/>
  <c r="P53" i="32"/>
  <c r="M53" i="32"/>
  <c r="I50" i="32"/>
  <c r="O50" i="32"/>
  <c r="L50" i="32"/>
  <c r="Y14" i="32"/>
  <c r="K30" i="32" s="1"/>
  <c r="X14" i="32"/>
  <c r="H30" i="32" s="1"/>
  <c r="J53" i="33"/>
  <c r="P53" i="33"/>
  <c r="O57" i="34"/>
  <c r="L57" i="34"/>
  <c r="X14" i="35"/>
  <c r="H30" i="35" s="1"/>
  <c r="X16" i="35"/>
  <c r="H32" i="35" s="1"/>
  <c r="X17" i="35"/>
  <c r="H33" i="35" s="1"/>
  <c r="N57" i="35"/>
  <c r="I48" i="36"/>
  <c r="O48" i="36"/>
  <c r="I50" i="37"/>
  <c r="O50" i="37"/>
  <c r="L50" i="37"/>
  <c r="Y15" i="37"/>
  <c r="K31" i="37" s="1"/>
  <c r="Z15" i="37"/>
  <c r="N31" i="37" s="1"/>
  <c r="M55" i="38"/>
  <c r="P55" i="38"/>
  <c r="H57" i="39"/>
  <c r="I51" i="40"/>
  <c r="O51" i="40"/>
  <c r="L51" i="40"/>
  <c r="I46" i="41"/>
  <c r="L46" i="41"/>
  <c r="O46" i="41"/>
  <c r="H57" i="25"/>
  <c r="K57" i="27"/>
  <c r="Z17" i="27"/>
  <c r="N33" i="27" s="1"/>
  <c r="O57" i="28"/>
  <c r="L57" i="28"/>
  <c r="J56" i="28"/>
  <c r="P56" i="28"/>
  <c r="I53" i="28"/>
  <c r="O53" i="28"/>
  <c r="J52" i="28"/>
  <c r="P52" i="28"/>
  <c r="I57" i="29"/>
  <c r="J53" i="29"/>
  <c r="P53" i="29"/>
  <c r="I46" i="29"/>
  <c r="O46" i="29"/>
  <c r="J55" i="30"/>
  <c r="P55" i="30"/>
  <c r="I49" i="30"/>
  <c r="O49" i="30"/>
  <c r="I46" i="30"/>
  <c r="O46" i="30"/>
  <c r="X15" i="30"/>
  <c r="H31" i="30" s="1"/>
  <c r="X14" i="30"/>
  <c r="H30" i="30" s="1"/>
  <c r="I56" i="31"/>
  <c r="O56" i="31"/>
  <c r="J55" i="31"/>
  <c r="P55" i="31"/>
  <c r="I52" i="31"/>
  <c r="O52" i="31"/>
  <c r="I53" i="32"/>
  <c r="O53" i="32"/>
  <c r="I49" i="32"/>
  <c r="O49" i="32"/>
  <c r="I54" i="33"/>
  <c r="O54" i="33"/>
  <c r="Y15" i="33"/>
  <c r="K31" i="33" s="1"/>
  <c r="Y14" i="33"/>
  <c r="K30" i="33" s="1"/>
  <c r="N31" i="34"/>
  <c r="I57" i="35"/>
  <c r="J57" i="35"/>
  <c r="I57" i="36"/>
  <c r="I53" i="36"/>
  <c r="O53" i="36"/>
  <c r="Z16" i="36"/>
  <c r="N32" i="36" s="1"/>
  <c r="H57" i="41"/>
  <c r="I56" i="28"/>
  <c r="O56" i="28"/>
  <c r="I52" i="28"/>
  <c r="O52" i="28"/>
  <c r="L51" i="28"/>
  <c r="I51" i="28"/>
  <c r="Y16" i="28"/>
  <c r="K32" i="28" s="1"/>
  <c r="I55" i="29"/>
  <c r="O55" i="29"/>
  <c r="J54" i="29"/>
  <c r="P54" i="29"/>
  <c r="I51" i="29"/>
  <c r="O51" i="29"/>
  <c r="O50" i="29"/>
  <c r="L50" i="29"/>
  <c r="L57" i="30"/>
  <c r="J56" i="30"/>
  <c r="P56" i="30"/>
  <c r="I53" i="30"/>
  <c r="O53" i="30"/>
  <c r="J52" i="30"/>
  <c r="P52" i="30"/>
  <c r="I48" i="30"/>
  <c r="O48" i="30"/>
  <c r="N31" i="30"/>
  <c r="H57" i="30"/>
  <c r="I57" i="30" s="1"/>
  <c r="I55" i="31"/>
  <c r="O55" i="31"/>
  <c r="I51" i="31"/>
  <c r="O51" i="31"/>
  <c r="L57" i="32"/>
  <c r="I57" i="32"/>
  <c r="X17" i="32"/>
  <c r="H33" i="32" s="1"/>
  <c r="Y17" i="32"/>
  <c r="K33" i="32" s="1"/>
  <c r="I51" i="33"/>
  <c r="O51" i="33"/>
  <c r="J55" i="34"/>
  <c r="P55" i="34"/>
  <c r="I49" i="34"/>
  <c r="O49" i="34"/>
  <c r="I46" i="34"/>
  <c r="O46" i="34"/>
  <c r="J53" i="35"/>
  <c r="P53" i="35"/>
  <c r="I52" i="35"/>
  <c r="O47" i="35"/>
  <c r="I47" i="35"/>
  <c r="Y15" i="36"/>
  <c r="K31" i="36" s="1"/>
  <c r="Y14" i="36"/>
  <c r="K30" i="36" s="1"/>
  <c r="Y16" i="36"/>
  <c r="K32" i="36" s="1"/>
  <c r="I55" i="39"/>
  <c r="O55" i="39"/>
  <c r="I48" i="40"/>
  <c r="O48" i="40"/>
  <c r="L48" i="40"/>
  <c r="Y17" i="41"/>
  <c r="K33" i="41" s="1"/>
  <c r="Z17" i="41"/>
  <c r="N33" i="41" s="1"/>
  <c r="Y17" i="43"/>
  <c r="K33" i="43" s="1"/>
  <c r="Z17" i="43"/>
  <c r="N33" i="43" s="1"/>
  <c r="Z17" i="28"/>
  <c r="N33" i="28" s="1"/>
  <c r="Z17" i="35"/>
  <c r="N33" i="35" s="1"/>
  <c r="J55" i="36"/>
  <c r="P55" i="36"/>
  <c r="L51" i="36"/>
  <c r="I55" i="37"/>
  <c r="O55" i="37"/>
  <c r="J54" i="37"/>
  <c r="P54" i="37"/>
  <c r="I49" i="37"/>
  <c r="O49" i="37"/>
  <c r="I57" i="38"/>
  <c r="J54" i="38"/>
  <c r="P54" i="38"/>
  <c r="J54" i="39"/>
  <c r="P54" i="39"/>
  <c r="M54" i="39"/>
  <c r="I50" i="39"/>
  <c r="O50" i="39"/>
  <c r="L50" i="39"/>
  <c r="I55" i="40"/>
  <c r="O55" i="40"/>
  <c r="L55" i="40"/>
  <c r="N57" i="40"/>
  <c r="O57" i="40" s="1"/>
  <c r="I52" i="41"/>
  <c r="O52" i="41"/>
  <c r="L52" i="41"/>
  <c r="I49" i="42"/>
  <c r="O49" i="42"/>
  <c r="L49" i="42"/>
  <c r="I56" i="43"/>
  <c r="O56" i="43"/>
  <c r="I55" i="46"/>
  <c r="L55" i="46"/>
  <c r="O55" i="46"/>
  <c r="H31" i="35"/>
  <c r="N31" i="35"/>
  <c r="I47" i="36"/>
  <c r="O47" i="36"/>
  <c r="M57" i="37"/>
  <c r="I54" i="37"/>
  <c r="O54" i="37"/>
  <c r="I54" i="38"/>
  <c r="L54" i="38"/>
  <c r="I51" i="38"/>
  <c r="O51" i="38"/>
  <c r="L51" i="38"/>
  <c r="I54" i="39"/>
  <c r="O54" i="39"/>
  <c r="L54" i="39"/>
  <c r="I51" i="39"/>
  <c r="O51" i="39"/>
  <c r="L51" i="39"/>
  <c r="N57" i="39"/>
  <c r="Z14" i="40"/>
  <c r="N30" i="40" s="1"/>
  <c r="Z15" i="40"/>
  <c r="N31" i="40" s="1"/>
  <c r="Z17" i="40"/>
  <c r="N33" i="40" s="1"/>
  <c r="Z16" i="40"/>
  <c r="N32" i="40" s="1"/>
  <c r="O51" i="41"/>
  <c r="I51" i="41"/>
  <c r="L51" i="41"/>
  <c r="I47" i="41"/>
  <c r="L47" i="41"/>
  <c r="O47" i="41"/>
  <c r="L57" i="42"/>
  <c r="O57" i="42"/>
  <c r="J52" i="42"/>
  <c r="P52" i="42"/>
  <c r="M52" i="42"/>
  <c r="I48" i="42"/>
  <c r="O48" i="42"/>
  <c r="L48" i="42"/>
  <c r="Z17" i="42"/>
  <c r="N33" i="42" s="1"/>
  <c r="Y17" i="42"/>
  <c r="K33" i="42" s="1"/>
  <c r="Y14" i="42"/>
  <c r="K30" i="42" s="1"/>
  <c r="Z14" i="42"/>
  <c r="N30" i="42" s="1"/>
  <c r="I51" i="43"/>
  <c r="O51" i="43"/>
  <c r="L51" i="43"/>
  <c r="O57" i="45"/>
  <c r="L57" i="45"/>
  <c r="J55" i="45"/>
  <c r="P55" i="45"/>
  <c r="M55" i="45"/>
  <c r="I53" i="45"/>
  <c r="O53" i="45"/>
  <c r="L53" i="45"/>
  <c r="J51" i="45"/>
  <c r="P51" i="45"/>
  <c r="M51" i="45"/>
  <c r="I51" i="46"/>
  <c r="O51" i="46"/>
  <c r="L51" i="46"/>
  <c r="K57" i="36"/>
  <c r="Y16" i="37"/>
  <c r="K32" i="37" s="1"/>
  <c r="I55" i="38"/>
  <c r="O55" i="38"/>
  <c r="I50" i="38"/>
  <c r="O50" i="38"/>
  <c r="N32" i="38"/>
  <c r="Y14" i="38"/>
  <c r="K30" i="38" s="1"/>
  <c r="X16" i="38"/>
  <c r="H32" i="38" s="1"/>
  <c r="X15" i="38"/>
  <c r="H31" i="38" s="1"/>
  <c r="I47" i="39"/>
  <c r="O47" i="39"/>
  <c r="Y16" i="39"/>
  <c r="K32" i="39" s="1"/>
  <c r="Y15" i="39"/>
  <c r="K31" i="39" s="1"/>
  <c r="J54" i="40"/>
  <c r="P54" i="40"/>
  <c r="I47" i="40"/>
  <c r="O47" i="40"/>
  <c r="X14" i="40"/>
  <c r="H30" i="40" s="1"/>
  <c r="Y14" i="40"/>
  <c r="K30" i="40" s="1"/>
  <c r="X16" i="41"/>
  <c r="H32" i="41" s="1"/>
  <c r="X15" i="41"/>
  <c r="H31" i="41" s="1"/>
  <c r="X17" i="41"/>
  <c r="H33" i="41" s="1"/>
  <c r="J55" i="42"/>
  <c r="P55" i="42"/>
  <c r="I53" i="42"/>
  <c r="O53" i="42"/>
  <c r="L53" i="42"/>
  <c r="X15" i="42"/>
  <c r="H31" i="42" s="1"/>
  <c r="X14" i="42"/>
  <c r="H30" i="42" s="1"/>
  <c r="X16" i="42"/>
  <c r="H32" i="42" s="1"/>
  <c r="J55" i="43"/>
  <c r="P55" i="43"/>
  <c r="M55" i="43"/>
  <c r="I52" i="43"/>
  <c r="O52" i="43"/>
  <c r="Y16" i="43"/>
  <c r="K32" i="43" s="1"/>
  <c r="Z14" i="44"/>
  <c r="N30" i="44" s="1"/>
  <c r="Z15" i="44"/>
  <c r="N31" i="44" s="1"/>
  <c r="Z17" i="44"/>
  <c r="N33" i="44" s="1"/>
  <c r="Z16" i="44"/>
  <c r="N32" i="44" s="1"/>
  <c r="I48" i="45"/>
  <c r="O48" i="45"/>
  <c r="L48" i="45"/>
  <c r="H57" i="45"/>
  <c r="J57" i="45" s="1"/>
  <c r="K57" i="46"/>
  <c r="M57" i="46" s="1"/>
  <c r="I57" i="47"/>
  <c r="J57" i="47"/>
  <c r="H32" i="37"/>
  <c r="X15" i="37"/>
  <c r="H31" i="37" s="1"/>
  <c r="I47" i="38"/>
  <c r="O47" i="38"/>
  <c r="N31" i="38"/>
  <c r="X14" i="38"/>
  <c r="H30" i="38" s="1"/>
  <c r="N57" i="38"/>
  <c r="J53" i="39"/>
  <c r="P53" i="39"/>
  <c r="X15" i="39"/>
  <c r="H31" i="39" s="1"/>
  <c r="X14" i="39"/>
  <c r="H30" i="39" s="1"/>
  <c r="I56" i="40"/>
  <c r="O56" i="40"/>
  <c r="J55" i="40"/>
  <c r="P55" i="40"/>
  <c r="I52" i="40"/>
  <c r="O52" i="40"/>
  <c r="L57" i="41"/>
  <c r="I57" i="41"/>
  <c r="H30" i="41"/>
  <c r="J56" i="42"/>
  <c r="P56" i="42"/>
  <c r="M56" i="42"/>
  <c r="I46" i="42"/>
  <c r="O46" i="42"/>
  <c r="L46" i="42"/>
  <c r="N31" i="42"/>
  <c r="I55" i="43"/>
  <c r="O55" i="43"/>
  <c r="L55" i="43"/>
  <c r="X16" i="43"/>
  <c r="H32" i="43" s="1"/>
  <c r="X15" i="43"/>
  <c r="H31" i="43" s="1"/>
  <c r="X14" i="43"/>
  <c r="H30" i="43" s="1"/>
  <c r="I54" i="44"/>
  <c r="O54" i="44"/>
  <c r="L54" i="44"/>
  <c r="I46" i="44"/>
  <c r="O46" i="44"/>
  <c r="L46" i="44"/>
  <c r="H32" i="45"/>
  <c r="Y15" i="45"/>
  <c r="K31" i="45" s="1"/>
  <c r="Y14" i="45"/>
  <c r="K30" i="45" s="1"/>
  <c r="Y16" i="45"/>
  <c r="K32" i="45" s="1"/>
  <c r="Y17" i="45"/>
  <c r="K33" i="45" s="1"/>
  <c r="X16" i="40"/>
  <c r="H32" i="40" s="1"/>
  <c r="J56" i="41"/>
  <c r="P56" i="41"/>
  <c r="I48" i="41"/>
  <c r="O48" i="41"/>
  <c r="I56" i="42"/>
  <c r="O56" i="42"/>
  <c r="I52" i="42"/>
  <c r="O52" i="42"/>
  <c r="I48" i="43"/>
  <c r="O48" i="43"/>
  <c r="N57" i="43"/>
  <c r="O57" i="43" s="1"/>
  <c r="I57" i="44"/>
  <c r="J53" i="44"/>
  <c r="P53" i="44"/>
  <c r="I50" i="44"/>
  <c r="O50" i="44"/>
  <c r="N52" i="46"/>
  <c r="Y16" i="47"/>
  <c r="K32" i="47" s="1"/>
  <c r="X16" i="47"/>
  <c r="H32" i="47" s="1"/>
  <c r="P57" i="48"/>
  <c r="O57" i="48"/>
  <c r="Y16" i="48"/>
  <c r="K32" i="48" s="1"/>
  <c r="Y15" i="48"/>
  <c r="K31" i="48" s="1"/>
  <c r="Y14" i="48"/>
  <c r="K30" i="48" s="1"/>
  <c r="Y17" i="48"/>
  <c r="K33" i="48" s="1"/>
  <c r="O57" i="49"/>
  <c r="P57" i="49"/>
  <c r="Y16" i="42"/>
  <c r="K32" i="42" s="1"/>
  <c r="Y15" i="42"/>
  <c r="K31" i="42" s="1"/>
  <c r="J54" i="43"/>
  <c r="P54" i="43"/>
  <c r="I47" i="43"/>
  <c r="O47" i="43"/>
  <c r="I55" i="44"/>
  <c r="O55" i="44"/>
  <c r="J54" i="44"/>
  <c r="P54" i="44"/>
  <c r="I49" i="44"/>
  <c r="O49" i="44"/>
  <c r="N57" i="44"/>
  <c r="O47" i="45"/>
  <c r="I47" i="45"/>
  <c r="I47" i="48"/>
  <c r="O47" i="48"/>
  <c r="L47" i="48"/>
  <c r="I55" i="49"/>
  <c r="O55" i="49"/>
  <c r="L55" i="49"/>
  <c r="X16" i="44"/>
  <c r="H32" i="44" s="1"/>
  <c r="H31" i="45"/>
  <c r="I57" i="46"/>
  <c r="J54" i="46"/>
  <c r="P54" i="46"/>
  <c r="H52" i="46"/>
  <c r="I56" i="45"/>
  <c r="O56" i="45"/>
  <c r="I52" i="45"/>
  <c r="O52" i="45"/>
  <c r="Z16" i="45"/>
  <c r="N32" i="45" s="1"/>
  <c r="Z15" i="45"/>
  <c r="N31" i="45" s="1"/>
  <c r="J55" i="46"/>
  <c r="P55" i="46"/>
  <c r="Y15" i="46"/>
  <c r="K31" i="46" s="1"/>
  <c r="Y14" i="46"/>
  <c r="K30" i="46" s="1"/>
  <c r="Y16" i="46"/>
  <c r="K32" i="46" s="1"/>
  <c r="Y17" i="46"/>
  <c r="K33" i="46" s="1"/>
  <c r="I56" i="47"/>
  <c r="O56" i="47"/>
  <c r="L56" i="47"/>
  <c r="O55" i="47"/>
  <c r="I55" i="47"/>
  <c r="L55" i="47"/>
  <c r="I51" i="47"/>
  <c r="O51" i="47"/>
  <c r="K57" i="47"/>
  <c r="I56" i="48"/>
  <c r="O56" i="48"/>
  <c r="L56" i="48"/>
  <c r="J55" i="48"/>
  <c r="P55" i="48"/>
  <c r="M7" i="50"/>
  <c r="K70" i="50"/>
  <c r="M69" i="50" s="1"/>
  <c r="BM19" i="21" s="1"/>
  <c r="I56" i="46"/>
  <c r="O56" i="46"/>
  <c r="I50" i="46"/>
  <c r="O50" i="46"/>
  <c r="M56" i="47"/>
  <c r="Z15" i="47"/>
  <c r="N31" i="47" s="1"/>
  <c r="Z14" i="47"/>
  <c r="N30" i="47" s="1"/>
  <c r="Z16" i="47"/>
  <c r="N32" i="47" s="1"/>
  <c r="I55" i="48"/>
  <c r="L55" i="48"/>
  <c r="H33" i="48"/>
  <c r="J55" i="50"/>
  <c r="P55" i="50"/>
  <c r="M55" i="50"/>
  <c r="X16" i="51"/>
  <c r="H32" i="51" s="1"/>
  <c r="X15" i="51"/>
  <c r="H31" i="51" s="1"/>
  <c r="X14" i="51"/>
  <c r="H30" i="51" s="1"/>
  <c r="X17" i="51"/>
  <c r="H33" i="51" s="1"/>
  <c r="O57" i="46"/>
  <c r="I47" i="46"/>
  <c r="O47" i="46"/>
  <c r="H33" i="46"/>
  <c r="Z16" i="46"/>
  <c r="N32" i="46" s="1"/>
  <c r="Z15" i="46"/>
  <c r="N31" i="46" s="1"/>
  <c r="O54" i="47"/>
  <c r="I49" i="48"/>
  <c r="O49" i="48"/>
  <c r="Z16" i="48"/>
  <c r="N32" i="48" s="1"/>
  <c r="Z15" i="48"/>
  <c r="N31" i="48" s="1"/>
  <c r="Z14" i="48"/>
  <c r="N30" i="48" s="1"/>
  <c r="Z17" i="48"/>
  <c r="N33" i="48" s="1"/>
  <c r="I53" i="49"/>
  <c r="O57" i="47"/>
  <c r="I54" i="47"/>
  <c r="I47" i="47"/>
  <c r="O47" i="47"/>
  <c r="Y14" i="47"/>
  <c r="K30" i="47" s="1"/>
  <c r="J53" i="48"/>
  <c r="P53" i="48"/>
  <c r="J54" i="49"/>
  <c r="P54" i="49"/>
  <c r="L49" i="49"/>
  <c r="I49" i="49"/>
  <c r="I46" i="49"/>
  <c r="L46" i="49"/>
  <c r="J57" i="50"/>
  <c r="I57" i="50"/>
  <c r="I56" i="50"/>
  <c r="O56" i="50"/>
  <c r="L56" i="50"/>
  <c r="I55" i="51"/>
  <c r="O55" i="51"/>
  <c r="L55" i="51"/>
  <c r="J50" i="51"/>
  <c r="P50" i="51"/>
  <c r="M50" i="51"/>
  <c r="J55" i="47"/>
  <c r="P55" i="47"/>
  <c r="I57" i="48"/>
  <c r="I51" i="48"/>
  <c r="O51" i="48"/>
  <c r="Y16" i="49"/>
  <c r="K32" i="49" s="1"/>
  <c r="Y15" i="49"/>
  <c r="K31" i="49" s="1"/>
  <c r="Y17" i="49"/>
  <c r="K33" i="49" s="1"/>
  <c r="Y14" i="49"/>
  <c r="K30" i="49" s="1"/>
  <c r="I51" i="49"/>
  <c r="H57" i="49"/>
  <c r="J50" i="50"/>
  <c r="P50" i="50"/>
  <c r="Y16" i="50"/>
  <c r="K32" i="50" s="1"/>
  <c r="Y15" i="50"/>
  <c r="K31" i="50" s="1"/>
  <c r="Y14" i="50"/>
  <c r="K30" i="50" s="1"/>
  <c r="Y17" i="50"/>
  <c r="K33" i="50" s="1"/>
  <c r="I50" i="51"/>
  <c r="O50" i="51"/>
  <c r="L50" i="51"/>
  <c r="H57" i="51"/>
  <c r="N33" i="49"/>
  <c r="J54" i="50"/>
  <c r="P54" i="50"/>
  <c r="I52" i="50"/>
  <c r="O52" i="50"/>
  <c r="L52" i="50"/>
  <c r="J51" i="50"/>
  <c r="P51" i="50"/>
  <c r="I47" i="50"/>
  <c r="O47" i="50"/>
  <c r="L47" i="50"/>
  <c r="N57" i="50"/>
  <c r="P57" i="50" s="1"/>
  <c r="Y17" i="51"/>
  <c r="K33" i="51" s="1"/>
  <c r="Z17" i="51"/>
  <c r="N33" i="51" s="1"/>
  <c r="O53" i="49"/>
  <c r="H32" i="49"/>
  <c r="X15" i="49"/>
  <c r="H31" i="49" s="1"/>
  <c r="X14" i="49"/>
  <c r="H30" i="49" s="1"/>
  <c r="I55" i="50"/>
  <c r="O55" i="50"/>
  <c r="I51" i="50"/>
  <c r="O51" i="50"/>
  <c r="J54" i="51"/>
  <c r="P54" i="51"/>
  <c r="M54" i="51"/>
  <c r="I51" i="51"/>
  <c r="O51" i="51"/>
  <c r="K31" i="51"/>
  <c r="N57" i="51"/>
  <c r="I48" i="50"/>
  <c r="O48" i="50"/>
  <c r="N30" i="50"/>
  <c r="I54" i="51"/>
  <c r="O54" i="51"/>
  <c r="L54" i="51"/>
  <c r="M7" i="51"/>
  <c r="X15" i="50"/>
  <c r="H31" i="50" s="1"/>
  <c r="X14" i="50"/>
  <c r="H30" i="50" s="1"/>
  <c r="J7" i="50"/>
  <c r="N30" i="51"/>
  <c r="J53" i="51"/>
  <c r="P53" i="51"/>
  <c r="I47" i="51"/>
  <c r="O47" i="51"/>
  <c r="N70" i="51"/>
  <c r="P69" i="51" s="1"/>
  <c r="CT19" i="21" s="1"/>
  <c r="X15" i="80" l="1"/>
  <c r="H32" i="80" s="1"/>
  <c r="X16" i="80"/>
  <c r="H33" i="80" s="1"/>
  <c r="X13" i="80"/>
  <c r="H30" i="80" s="1"/>
  <c r="X14" i="80"/>
  <c r="H31" i="80" s="1"/>
  <c r="Z13" i="80"/>
  <c r="Z15" i="80"/>
  <c r="N32" i="80" s="1"/>
  <c r="Z16" i="80"/>
  <c r="N33" i="80" s="1"/>
  <c r="Z14" i="80"/>
  <c r="N31" i="80" s="1"/>
  <c r="Z16" i="77"/>
  <c r="N33" i="77" s="1"/>
  <c r="Z15" i="77"/>
  <c r="N32" i="77" s="1"/>
  <c r="Z13" i="77"/>
  <c r="Z14" i="77"/>
  <c r="N31" i="77" s="1"/>
  <c r="X16" i="77"/>
  <c r="H33" i="77" s="1"/>
  <c r="X15" i="77"/>
  <c r="H32" i="77" s="1"/>
  <c r="X13" i="77"/>
  <c r="H30" i="77" s="1"/>
  <c r="X14" i="77"/>
  <c r="H31" i="77" s="1"/>
  <c r="N10" i="77"/>
  <c r="H10" i="77"/>
  <c r="M9" i="57"/>
  <c r="I123" i="67"/>
  <c r="J123" i="67" s="1"/>
  <c r="K123" i="67" s="1"/>
  <c r="K14" i="15"/>
  <c r="K12" i="15"/>
  <c r="K15" i="15"/>
  <c r="K13" i="15"/>
  <c r="K11" i="15"/>
  <c r="Q15" i="79"/>
  <c r="Q15" i="87"/>
  <c r="Q15" i="83"/>
  <c r="I15" i="83" s="1"/>
  <c r="Q15" i="109"/>
  <c r="Q15" i="78"/>
  <c r="Q15" i="81"/>
  <c r="Q15" i="86"/>
  <c r="Q15" i="84"/>
  <c r="Q15" i="42"/>
  <c r="I15" i="22"/>
  <c r="Q15" i="27"/>
  <c r="Q15" i="41"/>
  <c r="I15" i="41" s="1"/>
  <c r="Q15" i="26"/>
  <c r="Q15" i="23"/>
  <c r="P13" i="57"/>
  <c r="P9" i="57"/>
  <c r="H13" i="57"/>
  <c r="H9" i="57"/>
  <c r="L9" i="57"/>
  <c r="L13" i="57"/>
  <c r="O9" i="57"/>
  <c r="O13" i="57"/>
  <c r="N9" i="57"/>
  <c r="N13" i="57"/>
  <c r="K9" i="57"/>
  <c r="K13" i="57"/>
  <c r="X16" i="79"/>
  <c r="H33" i="79" s="1"/>
  <c r="X15" i="79"/>
  <c r="H32" i="79" s="1"/>
  <c r="X14" i="79"/>
  <c r="H31" i="79" s="1"/>
  <c r="X13" i="79"/>
  <c r="H30" i="79" s="1"/>
  <c r="Q14" i="23"/>
  <c r="L134" i="67"/>
  <c r="Q16" i="101"/>
  <c r="Q14" i="101"/>
  <c r="Q15" i="101"/>
  <c r="Q14" i="85"/>
  <c r="I14" i="85" s="1"/>
  <c r="J13" i="85" s="1"/>
  <c r="Q15" i="33"/>
  <c r="Q15" i="40"/>
  <c r="I15" i="40" s="1"/>
  <c r="Q15" i="82"/>
  <c r="Q15" i="30"/>
  <c r="Q15" i="34"/>
  <c r="Q14" i="91"/>
  <c r="I14" i="91" s="1"/>
  <c r="J13" i="91" s="1"/>
  <c r="Q14" i="71"/>
  <c r="I14" i="71" s="1"/>
  <c r="Q14" i="72"/>
  <c r="I14" i="72" s="1"/>
  <c r="Q14" i="73"/>
  <c r="I14" i="73" s="1"/>
  <c r="I14" i="77"/>
  <c r="Q14" i="79"/>
  <c r="I14" i="79" s="1"/>
  <c r="Q15" i="80"/>
  <c r="Q15" i="75"/>
  <c r="Q15" i="76"/>
  <c r="Q14" i="109"/>
  <c r="I14" i="109" s="1"/>
  <c r="Q14" i="84"/>
  <c r="I14" i="84" s="1"/>
  <c r="Q14" i="82"/>
  <c r="I14" i="82" s="1"/>
  <c r="Q14" i="83"/>
  <c r="I14" i="83" s="1"/>
  <c r="Q14" i="87"/>
  <c r="I14" i="87" s="1"/>
  <c r="Q14" i="90"/>
  <c r="I14" i="90" s="1"/>
  <c r="Q14" i="70"/>
  <c r="I14" i="70" s="1"/>
  <c r="Q14" i="74"/>
  <c r="I14" i="74" s="1"/>
  <c r="Q14" i="78"/>
  <c r="I14" i="78" s="1"/>
  <c r="Q14" i="81"/>
  <c r="I14" i="81" s="1"/>
  <c r="Q14" i="86"/>
  <c r="I14" i="86" s="1"/>
  <c r="Q15" i="90"/>
  <c r="Q15" i="70"/>
  <c r="Q15" i="74"/>
  <c r="Q15" i="71"/>
  <c r="Q15" i="72"/>
  <c r="Q15" i="73"/>
  <c r="Q15" i="77"/>
  <c r="Q14" i="80"/>
  <c r="I14" i="80" s="1"/>
  <c r="Q14" i="75"/>
  <c r="I14" i="75" s="1"/>
  <c r="Q14" i="76"/>
  <c r="I14" i="76" s="1"/>
  <c r="V29" i="20"/>
  <c r="T29" i="20"/>
  <c r="P29" i="20"/>
  <c r="P56" i="76"/>
  <c r="O56" i="76"/>
  <c r="CR59" i="21"/>
  <c r="CR25" i="21"/>
  <c r="I57" i="45"/>
  <c r="I58" i="45" s="1"/>
  <c r="I59" i="45" s="1"/>
  <c r="AA27" i="21" s="1"/>
  <c r="Q14" i="25"/>
  <c r="Q14" i="27"/>
  <c r="Q14" i="29"/>
  <c r="I14" i="29" s="1"/>
  <c r="J13" i="29" s="1"/>
  <c r="K64" i="21" s="1"/>
  <c r="Q14" i="31"/>
  <c r="Q14" i="33"/>
  <c r="Q14" i="35"/>
  <c r="Q14" i="37"/>
  <c r="Q14" i="39"/>
  <c r="Q14" i="41"/>
  <c r="Q14" i="43"/>
  <c r="Q14" i="45"/>
  <c r="Q14" i="47"/>
  <c r="Q14" i="49"/>
  <c r="Q14" i="107"/>
  <c r="I14" i="107" s="1"/>
  <c r="J13" i="107" s="1"/>
  <c r="Q14" i="24"/>
  <c r="Q14" i="26"/>
  <c r="Q14" i="28"/>
  <c r="Q14" i="30"/>
  <c r="Q14" i="32"/>
  <c r="Q14" i="34"/>
  <c r="Q14" i="36"/>
  <c r="Q14" i="38"/>
  <c r="Q14" i="40"/>
  <c r="Q14" i="42"/>
  <c r="Q14" i="44"/>
  <c r="Q14" i="46"/>
  <c r="Q14" i="48"/>
  <c r="Q14" i="50"/>
  <c r="I14" i="50" s="1"/>
  <c r="J13" i="50" s="1"/>
  <c r="Q14" i="89"/>
  <c r="I14" i="89" s="1"/>
  <c r="J13" i="89" s="1"/>
  <c r="N29" i="20"/>
  <c r="R29" i="20"/>
  <c r="BM48" i="21"/>
  <c r="D14" i="6"/>
  <c r="AF59" i="21"/>
  <c r="AF25" i="21"/>
  <c r="L29" i="20"/>
  <c r="I58" i="72"/>
  <c r="F53" i="87"/>
  <c r="L53" i="87" s="1"/>
  <c r="F54" i="87"/>
  <c r="O14" i="14"/>
  <c r="H95" i="67"/>
  <c r="H96" i="67" s="1"/>
  <c r="H110" i="67" s="1"/>
  <c r="G95" i="67"/>
  <c r="G96" i="67" s="1"/>
  <c r="G110" i="67" s="1"/>
  <c r="H70" i="71"/>
  <c r="J69" i="71" s="1"/>
  <c r="CY19" i="21" s="1"/>
  <c r="CY8" i="21"/>
  <c r="CY48" i="21" s="1"/>
  <c r="X13" i="78"/>
  <c r="X14" i="78"/>
  <c r="X15" i="78"/>
  <c r="X16" i="78"/>
  <c r="G43" i="6"/>
  <c r="X16" i="75"/>
  <c r="H33" i="75" s="1"/>
  <c r="X14" i="75"/>
  <c r="H31" i="75" s="1"/>
  <c r="X13" i="75"/>
  <c r="H30" i="75" s="1"/>
  <c r="X15" i="75"/>
  <c r="H32" i="75" s="1"/>
  <c r="O57" i="36"/>
  <c r="O58" i="36" s="1"/>
  <c r="O59" i="36" s="1"/>
  <c r="CD27" i="21" s="1"/>
  <c r="J7" i="51"/>
  <c r="AH8" i="21"/>
  <c r="AH48" i="21" s="1"/>
  <c r="H70" i="51"/>
  <c r="J69" i="51" s="1"/>
  <c r="AH19" i="21" s="1"/>
  <c r="K70" i="51"/>
  <c r="M69" i="51" s="1"/>
  <c r="BN19" i="21" s="1"/>
  <c r="BN8" i="21"/>
  <c r="BN48" i="21" s="1"/>
  <c r="L57" i="46"/>
  <c r="L58" i="46" s="1"/>
  <c r="L59" i="46" s="1"/>
  <c r="BH27" i="21" s="1"/>
  <c r="K70" i="73"/>
  <c r="M69" i="73" s="1"/>
  <c r="DX19" i="21" s="1"/>
  <c r="DX8" i="21"/>
  <c r="DX48" i="21" s="1"/>
  <c r="Z15" i="78"/>
  <c r="Z13" i="78"/>
  <c r="Z14" i="78"/>
  <c r="Z16" i="78"/>
  <c r="K70" i="71"/>
  <c r="M69" i="71" s="1"/>
  <c r="DV19" i="21" s="1"/>
  <c r="DV8" i="21"/>
  <c r="DV48" i="21" s="1"/>
  <c r="H70" i="50"/>
  <c r="J69" i="50" s="1"/>
  <c r="AG19" i="21" s="1"/>
  <c r="N70" i="71"/>
  <c r="P69" i="71" s="1"/>
  <c r="ES19" i="21" s="1"/>
  <c r="ES8" i="21"/>
  <c r="ES48" i="21" s="1"/>
  <c r="M45" i="63"/>
  <c r="X13" i="74"/>
  <c r="H30" i="74" s="1"/>
  <c r="X15" i="74"/>
  <c r="H32" i="74" s="1"/>
  <c r="X14" i="74"/>
  <c r="H31" i="74" s="1"/>
  <c r="X16" i="74"/>
  <c r="H33" i="74" s="1"/>
  <c r="L71" i="96"/>
  <c r="N12" i="14"/>
  <c r="J63" i="14" s="1"/>
  <c r="M13" i="14"/>
  <c r="J68" i="14" s="1"/>
  <c r="M14" i="14"/>
  <c r="N4" i="62"/>
  <c r="N16" i="14"/>
  <c r="J66" i="14" s="1"/>
  <c r="M15" i="14"/>
  <c r="J30" i="14" s="1"/>
  <c r="N15" i="14"/>
  <c r="J27" i="14" s="1"/>
  <c r="M17" i="14"/>
  <c r="J49" i="14" s="1"/>
  <c r="O16" i="14"/>
  <c r="O12" i="14"/>
  <c r="L39" i="96"/>
  <c r="L58" i="51"/>
  <c r="L59" i="51" s="1"/>
  <c r="BN27" i="21" s="1"/>
  <c r="N9" i="20"/>
  <c r="T173" i="20" s="1"/>
  <c r="O5" i="20"/>
  <c r="F9" i="58"/>
  <c r="F13" i="58"/>
  <c r="H8" i="8"/>
  <c r="D12" i="8"/>
  <c r="D8" i="8"/>
  <c r="I12" i="8"/>
  <c r="I10" i="8"/>
  <c r="R13" i="57"/>
  <c r="R9" i="57"/>
  <c r="J13" i="57"/>
  <c r="J9" i="57"/>
  <c r="O38" i="33"/>
  <c r="M43" i="91"/>
  <c r="F71" i="96"/>
  <c r="F39" i="96"/>
  <c r="DQ18" i="21"/>
  <c r="P43" i="91"/>
  <c r="H70" i="89"/>
  <c r="J69" i="89" s="1"/>
  <c r="DS19" i="21" s="1"/>
  <c r="J43" i="91"/>
  <c r="O52" i="63"/>
  <c r="O54" i="63"/>
  <c r="G127" i="18"/>
  <c r="G128" i="18" s="1"/>
  <c r="G129" i="18" s="1"/>
  <c r="G143" i="18" s="1"/>
  <c r="F127" i="18"/>
  <c r="F128" i="18" s="1"/>
  <c r="F129" i="18" s="1"/>
  <c r="F143" i="18" s="1"/>
  <c r="L58" i="70"/>
  <c r="K70" i="89"/>
  <c r="M69" i="89" s="1"/>
  <c r="EP19" i="21" s="1"/>
  <c r="P7" i="72"/>
  <c r="N70" i="72"/>
  <c r="P69" i="72" s="1"/>
  <c r="ET19" i="21" s="1"/>
  <c r="N70" i="89"/>
  <c r="P69" i="89" s="1"/>
  <c r="FM19" i="21" s="1"/>
  <c r="J7" i="70"/>
  <c r="H70" i="70"/>
  <c r="J69" i="70" s="1"/>
  <c r="CX19" i="21" s="1"/>
  <c r="N70" i="73"/>
  <c r="P69" i="73" s="1"/>
  <c r="O58" i="70"/>
  <c r="H70" i="73"/>
  <c r="J69" i="73" s="1"/>
  <c r="DA19" i="21" s="1"/>
  <c r="K70" i="90"/>
  <c r="M69" i="90" s="1"/>
  <c r="EO19" i="21" s="1"/>
  <c r="K70" i="72"/>
  <c r="M69" i="72" s="1"/>
  <c r="N70" i="90"/>
  <c r="P69" i="90" s="1"/>
  <c r="FL19" i="21" s="1"/>
  <c r="K70" i="70"/>
  <c r="M69" i="70" s="1"/>
  <c r="DU19" i="21" s="1"/>
  <c r="FK18" i="21"/>
  <c r="I58" i="70"/>
  <c r="N70" i="70"/>
  <c r="P69" i="70" s="1"/>
  <c r="ER19" i="21" s="1"/>
  <c r="J7" i="72"/>
  <c r="H70" i="72"/>
  <c r="J69" i="72" s="1"/>
  <c r="CZ19" i="21" s="1"/>
  <c r="H70" i="90"/>
  <c r="J69" i="90" s="1"/>
  <c r="DR19" i="21" s="1"/>
  <c r="EN18" i="21"/>
  <c r="P7" i="71"/>
  <c r="J7" i="90"/>
  <c r="M7" i="90"/>
  <c r="M7" i="89"/>
  <c r="J7" i="71"/>
  <c r="P7" i="90"/>
  <c r="M7" i="72"/>
  <c r="P7" i="89"/>
  <c r="M7" i="70"/>
  <c r="P7" i="73"/>
  <c r="M7" i="71"/>
  <c r="V10" i="20"/>
  <c r="J7" i="89"/>
  <c r="M7" i="73"/>
  <c r="P7" i="70"/>
  <c r="I58" i="33"/>
  <c r="I59" i="33" s="1"/>
  <c r="O27" i="21" s="1"/>
  <c r="O58" i="28"/>
  <c r="O59" i="28" s="1"/>
  <c r="BV27" i="21" s="1"/>
  <c r="O58" i="33"/>
  <c r="O59" i="33" s="1"/>
  <c r="CA27" i="21" s="1"/>
  <c r="L58" i="38"/>
  <c r="L59" i="38" s="1"/>
  <c r="AZ27" i="21" s="1"/>
  <c r="O58" i="25"/>
  <c r="O59" i="25" s="1"/>
  <c r="BS27" i="21" s="1"/>
  <c r="O58" i="45"/>
  <c r="O59" i="45" s="1"/>
  <c r="CM27" i="21" s="1"/>
  <c r="I58" i="38"/>
  <c r="I59" i="38" s="1"/>
  <c r="T27" i="21" s="1"/>
  <c r="I58" i="36"/>
  <c r="I59" i="36" s="1"/>
  <c r="R27" i="21" s="1"/>
  <c r="L58" i="29"/>
  <c r="L59" i="29" s="1"/>
  <c r="AQ27" i="21" s="1"/>
  <c r="L58" i="34"/>
  <c r="L59" i="34" s="1"/>
  <c r="AV27" i="21" s="1"/>
  <c r="I58" i="48"/>
  <c r="I59" i="48" s="1"/>
  <c r="AD27" i="21" s="1"/>
  <c r="O58" i="43"/>
  <c r="O59" i="43" s="1"/>
  <c r="CK27" i="21" s="1"/>
  <c r="I58" i="34"/>
  <c r="I59" i="34" s="1"/>
  <c r="P27" i="21" s="1"/>
  <c r="I58" i="24"/>
  <c r="I59" i="24" s="1"/>
  <c r="F27" i="21" s="1"/>
  <c r="L58" i="35"/>
  <c r="L59" i="35" s="1"/>
  <c r="AW27" i="21" s="1"/>
  <c r="L58" i="22"/>
  <c r="L59" i="22" s="1"/>
  <c r="AJ27" i="21" s="1"/>
  <c r="L58" i="45"/>
  <c r="L59" i="45" s="1"/>
  <c r="BG27" i="21" s="1"/>
  <c r="O58" i="40"/>
  <c r="O59" i="40" s="1"/>
  <c r="CH27" i="21" s="1"/>
  <c r="L58" i="40"/>
  <c r="L59" i="40" s="1"/>
  <c r="BB27" i="21" s="1"/>
  <c r="O58" i="31"/>
  <c r="O59" i="31" s="1"/>
  <c r="BY27" i="21" s="1"/>
  <c r="I58" i="29"/>
  <c r="I59" i="29" s="1"/>
  <c r="K27" i="21" s="1"/>
  <c r="I58" i="50"/>
  <c r="I59" i="50" s="1"/>
  <c r="AG27" i="21" s="1"/>
  <c r="L58" i="44"/>
  <c r="L59" i="44" s="1"/>
  <c r="BF27" i="21" s="1"/>
  <c r="I58" i="40"/>
  <c r="I59" i="40" s="1"/>
  <c r="V27" i="21" s="1"/>
  <c r="L58" i="26"/>
  <c r="L59" i="26" s="1"/>
  <c r="AN27" i="21" s="1"/>
  <c r="L58" i="43"/>
  <c r="L59" i="43" s="1"/>
  <c r="BE27" i="21" s="1"/>
  <c r="L58" i="39"/>
  <c r="L59" i="39" s="1"/>
  <c r="BA27" i="21" s="1"/>
  <c r="I58" i="35"/>
  <c r="I59" i="35" s="1"/>
  <c r="Q27" i="21" s="1"/>
  <c r="O58" i="24"/>
  <c r="O59" i="24" s="1"/>
  <c r="BR27" i="21" s="1"/>
  <c r="G4" i="62"/>
  <c r="I57" i="90"/>
  <c r="L57" i="90"/>
  <c r="I57" i="85"/>
  <c r="L57" i="89"/>
  <c r="L57" i="85"/>
  <c r="L57" i="91"/>
  <c r="L58" i="91" s="1"/>
  <c r="O57" i="89"/>
  <c r="O57" i="90"/>
  <c r="O57" i="85"/>
  <c r="O57" i="86"/>
  <c r="P10" i="20"/>
  <c r="P9" i="20"/>
  <c r="U173" i="20" s="1"/>
  <c r="R10" i="20"/>
  <c r="R9" i="20"/>
  <c r="V173" i="20" s="1"/>
  <c r="V9" i="20"/>
  <c r="X173" i="20" s="1"/>
  <c r="T9" i="20"/>
  <c r="W173" i="20" s="1"/>
  <c r="T10" i="20"/>
  <c r="M5" i="20"/>
  <c r="M4" i="20"/>
  <c r="N10" i="20"/>
  <c r="Q44" i="20"/>
  <c r="Q60" i="20" s="1"/>
  <c r="P14" i="20"/>
  <c r="O4" i="20"/>
  <c r="S4" i="20"/>
  <c r="T14" i="20"/>
  <c r="S5" i="20"/>
  <c r="Q4" i="20"/>
  <c r="Q5" i="20"/>
  <c r="R14" i="20"/>
  <c r="U4" i="20"/>
  <c r="U5" i="20"/>
  <c r="K5" i="20"/>
  <c r="L14" i="20"/>
  <c r="L9" i="20"/>
  <c r="S173" i="20" s="1"/>
  <c r="L10" i="20"/>
  <c r="E6" i="58"/>
  <c r="D6" i="58"/>
  <c r="Q6" i="57"/>
  <c r="D6" i="57"/>
  <c r="K6" i="58"/>
  <c r="J6" i="58"/>
  <c r="G6" i="57"/>
  <c r="E6" i="57"/>
  <c r="I6" i="57"/>
  <c r="F6" i="57"/>
  <c r="J127" i="18"/>
  <c r="J128" i="18" s="1"/>
  <c r="J129" i="18" s="1"/>
  <c r="J143" i="18" s="1"/>
  <c r="L57" i="86"/>
  <c r="N31" i="78"/>
  <c r="N33" i="78"/>
  <c r="N32" i="78"/>
  <c r="L136" i="67"/>
  <c r="I6" i="58"/>
  <c r="O57" i="91"/>
  <c r="O58" i="91" s="1"/>
  <c r="I57" i="86"/>
  <c r="H30" i="78"/>
  <c r="H32" i="78"/>
  <c r="H31" i="78"/>
  <c r="H33" i="78"/>
  <c r="J7" i="73"/>
  <c r="H6" i="58"/>
  <c r="G6" i="58"/>
  <c r="N9" i="91"/>
  <c r="O10" i="91"/>
  <c r="L9" i="91"/>
  <c r="K70" i="91" s="1"/>
  <c r="M69" i="91" s="1"/>
  <c r="I57" i="91"/>
  <c r="I58" i="91" s="1"/>
  <c r="I57" i="89"/>
  <c r="J95" i="67"/>
  <c r="J96" i="67" s="1"/>
  <c r="J110" i="67" s="1"/>
  <c r="F95" i="67"/>
  <c r="F96" i="67" s="1"/>
  <c r="F110" i="67" s="1"/>
  <c r="I58" i="41"/>
  <c r="I59" i="41" s="1"/>
  <c r="W27" i="21" s="1"/>
  <c r="J16" i="6"/>
  <c r="O50" i="47"/>
  <c r="O58" i="47" s="1"/>
  <c r="O59" i="47" s="1"/>
  <c r="CO27" i="21" s="1"/>
  <c r="L50" i="47"/>
  <c r="I50" i="47"/>
  <c r="I58" i="47" s="1"/>
  <c r="I59" i="47" s="1"/>
  <c r="AC27" i="21" s="1"/>
  <c r="H8" i="10"/>
  <c r="H12" i="10"/>
  <c r="L58" i="33"/>
  <c r="L59" i="33" s="1"/>
  <c r="AU27" i="21" s="1"/>
  <c r="I57" i="51"/>
  <c r="I58" i="51" s="1"/>
  <c r="I59" i="51" s="1"/>
  <c r="AH27" i="21" s="1"/>
  <c r="J57" i="51"/>
  <c r="L58" i="31"/>
  <c r="L59" i="31" s="1"/>
  <c r="AS27" i="21" s="1"/>
  <c r="I58" i="23"/>
  <c r="I59" i="23" s="1"/>
  <c r="E27" i="21" s="1"/>
  <c r="J29" i="14"/>
  <c r="E12" i="10"/>
  <c r="E8" i="10"/>
  <c r="K30" i="15"/>
  <c r="K29" i="15"/>
  <c r="I57" i="49"/>
  <c r="J57" i="49"/>
  <c r="L58" i="48"/>
  <c r="L59" i="48" s="1"/>
  <c r="BJ27" i="21" s="1"/>
  <c r="O57" i="44"/>
  <c r="O58" i="44" s="1"/>
  <c r="O59" i="44" s="1"/>
  <c r="CL27" i="21" s="1"/>
  <c r="I58" i="44"/>
  <c r="I59" i="44" s="1"/>
  <c r="Z27" i="21" s="1"/>
  <c r="L58" i="42"/>
  <c r="L59" i="42" s="1"/>
  <c r="BD27" i="21" s="1"/>
  <c r="O57" i="38"/>
  <c r="O58" i="38" s="1"/>
  <c r="O59" i="38" s="1"/>
  <c r="CF27" i="21" s="1"/>
  <c r="O58" i="30"/>
  <c r="O59" i="30" s="1"/>
  <c r="BX27" i="21" s="1"/>
  <c r="O58" i="41"/>
  <c r="O59" i="41" s="1"/>
  <c r="CI27" i="21" s="1"/>
  <c r="O57" i="35"/>
  <c r="O58" i="35" s="1"/>
  <c r="O59" i="35" s="1"/>
  <c r="CC27" i="21" s="1"/>
  <c r="P57" i="35"/>
  <c r="L58" i="37"/>
  <c r="L59" i="37" s="1"/>
  <c r="AY27" i="21" s="1"/>
  <c r="O58" i="26"/>
  <c r="O59" i="26" s="1"/>
  <c r="BT27" i="21" s="1"/>
  <c r="O58" i="22"/>
  <c r="O59" i="22" s="1"/>
  <c r="BP27" i="21" s="1"/>
  <c r="O58" i="32"/>
  <c r="O59" i="32" s="1"/>
  <c r="BZ27" i="21" s="1"/>
  <c r="S44" i="20"/>
  <c r="S60" i="20" s="1"/>
  <c r="L58" i="25"/>
  <c r="L59" i="25" s="1"/>
  <c r="AM27" i="21" s="1"/>
  <c r="I38" i="34"/>
  <c r="L38" i="34"/>
  <c r="O38" i="34"/>
  <c r="D21" i="6"/>
  <c r="I58" i="27"/>
  <c r="I59" i="27" s="1"/>
  <c r="I27" i="21" s="1"/>
  <c r="H185" i="18"/>
  <c r="J37" i="14"/>
  <c r="J59" i="14"/>
  <c r="J72" i="14"/>
  <c r="J36" i="14"/>
  <c r="J62" i="14"/>
  <c r="J35" i="14"/>
  <c r="J73" i="14"/>
  <c r="J65" i="14"/>
  <c r="G8" i="10"/>
  <c r="G12" i="10"/>
  <c r="I52" i="46"/>
  <c r="I58" i="46" s="1"/>
  <c r="I59" i="46" s="1"/>
  <c r="AB27" i="21" s="1"/>
  <c r="I58" i="42"/>
  <c r="I59" i="42" s="1"/>
  <c r="X27" i="21" s="1"/>
  <c r="O57" i="39"/>
  <c r="O58" i="39" s="1"/>
  <c r="O59" i="39" s="1"/>
  <c r="CG27" i="21" s="1"/>
  <c r="L57" i="27"/>
  <c r="L58" i="27" s="1"/>
  <c r="L59" i="27" s="1"/>
  <c r="I58" i="37"/>
  <c r="I59" i="37" s="1"/>
  <c r="S27" i="21" s="1"/>
  <c r="I57" i="43"/>
  <c r="I58" i="43" s="1"/>
  <c r="I59" i="43" s="1"/>
  <c r="Y27" i="21" s="1"/>
  <c r="O58" i="23"/>
  <c r="O59" i="23" s="1"/>
  <c r="BQ27" i="21" s="1"/>
  <c r="J32" i="14"/>
  <c r="J33" i="14"/>
  <c r="D186" i="18"/>
  <c r="F186" i="18" s="1"/>
  <c r="H186" i="18" s="1"/>
  <c r="K36" i="15"/>
  <c r="O57" i="50"/>
  <c r="O58" i="50" s="1"/>
  <c r="O59" i="50" s="1"/>
  <c r="CS27" i="21" s="1"/>
  <c r="I57" i="39"/>
  <c r="I58" i="39" s="1"/>
  <c r="I59" i="39" s="1"/>
  <c r="U27" i="21" s="1"/>
  <c r="L58" i="32"/>
  <c r="L59" i="32" s="1"/>
  <c r="AT27" i="21" s="1"/>
  <c r="L58" i="28"/>
  <c r="L59" i="28" s="1"/>
  <c r="AP27" i="21" s="1"/>
  <c r="G22" i="6"/>
  <c r="D8" i="10"/>
  <c r="D12" i="10"/>
  <c r="O57" i="51"/>
  <c r="O58" i="51" s="1"/>
  <c r="O59" i="51" s="1"/>
  <c r="CT27" i="21" s="1"/>
  <c r="P57" i="51"/>
  <c r="L58" i="50"/>
  <c r="L59" i="50" s="1"/>
  <c r="BM27" i="21" s="1"/>
  <c r="M57" i="47"/>
  <c r="L57" i="47"/>
  <c r="O58" i="48"/>
  <c r="O59" i="48" s="1"/>
  <c r="CP27" i="21" s="1"/>
  <c r="O58" i="42"/>
  <c r="O59" i="42" s="1"/>
  <c r="CJ27" i="21" s="1"/>
  <c r="M57" i="36"/>
  <c r="L57" i="36"/>
  <c r="L58" i="36" s="1"/>
  <c r="L59" i="36" s="1"/>
  <c r="AX27" i="21" s="1"/>
  <c r="O52" i="46"/>
  <c r="O58" i="46" s="1"/>
  <c r="O59" i="46" s="1"/>
  <c r="CN27" i="21" s="1"/>
  <c r="O58" i="34"/>
  <c r="O59" i="34" s="1"/>
  <c r="CB27" i="21" s="1"/>
  <c r="I58" i="30"/>
  <c r="I59" i="30" s="1"/>
  <c r="L27" i="21" s="1"/>
  <c r="O58" i="29"/>
  <c r="O59" i="29" s="1"/>
  <c r="BW27" i="21" s="1"/>
  <c r="L58" i="41"/>
  <c r="L59" i="41" s="1"/>
  <c r="BC27" i="21" s="1"/>
  <c r="L58" i="30"/>
  <c r="L59" i="30" s="1"/>
  <c r="AR27" i="21" s="1"/>
  <c r="I57" i="28"/>
  <c r="I58" i="28" s="1"/>
  <c r="I59" i="28" s="1"/>
  <c r="J27" i="21" s="1"/>
  <c r="O58" i="37"/>
  <c r="O59" i="37" s="1"/>
  <c r="CE27" i="21" s="1"/>
  <c r="I58" i="31"/>
  <c r="I59" i="31" s="1"/>
  <c r="M27" i="21" s="1"/>
  <c r="I58" i="26"/>
  <c r="I59" i="26" s="1"/>
  <c r="H27" i="21" s="1"/>
  <c r="I58" i="22"/>
  <c r="I59" i="22" s="1"/>
  <c r="D27" i="21" s="1"/>
  <c r="I58" i="32"/>
  <c r="I59" i="32" s="1"/>
  <c r="N27" i="21" s="1"/>
  <c r="I57" i="25"/>
  <c r="I58" i="25" s="1"/>
  <c r="I59" i="25" s="1"/>
  <c r="G27" i="21" s="1"/>
  <c r="L57" i="24"/>
  <c r="L58" i="24" s="1"/>
  <c r="L59" i="24" s="1"/>
  <c r="AL27" i="21" s="1"/>
  <c r="L58" i="23"/>
  <c r="L59" i="23" s="1"/>
  <c r="AK27" i="21" s="1"/>
  <c r="O58" i="27"/>
  <c r="O59" i="27" s="1"/>
  <c r="BU27" i="21" s="1"/>
  <c r="J51" i="14"/>
  <c r="J76" i="14"/>
  <c r="J81" i="14"/>
  <c r="J86" i="14"/>
  <c r="J77" i="14"/>
  <c r="J34" i="14"/>
  <c r="J74" i="14"/>
  <c r="L50" i="49"/>
  <c r="L58" i="49" s="1"/>
  <c r="L59" i="49" s="1"/>
  <c r="BK27" i="21" s="1"/>
  <c r="I50" i="49"/>
  <c r="O50" i="49"/>
  <c r="O58" i="49" s="1"/>
  <c r="O59" i="49" s="1"/>
  <c r="CQ27" i="21" s="1"/>
  <c r="J26" i="14"/>
  <c r="J28" i="14"/>
  <c r="J38" i="14"/>
  <c r="J25" i="14"/>
  <c r="J64" i="14"/>
  <c r="H16" i="14"/>
  <c r="H17" i="14"/>
  <c r="H15" i="14"/>
  <c r="H14" i="14"/>
  <c r="H13" i="14"/>
  <c r="K23" i="15"/>
  <c r="K22" i="15"/>
  <c r="K24" i="15"/>
  <c r="G155" i="18"/>
  <c r="I155" i="18" s="1"/>
  <c r="G154" i="18"/>
  <c r="Z13" i="90" l="1"/>
  <c r="Y13" i="90"/>
  <c r="X13" i="90"/>
  <c r="H30" i="90" s="1"/>
  <c r="I10" i="77"/>
  <c r="H73" i="77"/>
  <c r="O10" i="77"/>
  <c r="N73" i="77"/>
  <c r="J67" i="77"/>
  <c r="P67" i="77"/>
  <c r="I14" i="39"/>
  <c r="J13" i="39" s="1"/>
  <c r="U64" i="21" s="1"/>
  <c r="O14" i="39"/>
  <c r="P13" i="39" s="1"/>
  <c r="CG64" i="21" s="1"/>
  <c r="L14" i="39"/>
  <c r="M13" i="39" s="1"/>
  <c r="BA64" i="21" s="1"/>
  <c r="L14" i="25"/>
  <c r="M13" i="25" s="1"/>
  <c r="AM64" i="21" s="1"/>
  <c r="O14" i="25"/>
  <c r="P13" i="25" s="1"/>
  <c r="BS64" i="21" s="1"/>
  <c r="L14" i="24"/>
  <c r="M13" i="24" s="1"/>
  <c r="AL64" i="21" s="1"/>
  <c r="O14" i="24"/>
  <c r="P13" i="24" s="1"/>
  <c r="BR64" i="21" s="1"/>
  <c r="I14" i="49"/>
  <c r="J13" i="49" s="1"/>
  <c r="AE64" i="21" s="1"/>
  <c r="L14" i="49"/>
  <c r="M13" i="49" s="1"/>
  <c r="BK64" i="21" s="1"/>
  <c r="O14" i="49"/>
  <c r="P13" i="49" s="1"/>
  <c r="CQ64" i="21" s="1"/>
  <c r="I14" i="48"/>
  <c r="J13" i="48" s="1"/>
  <c r="AD64" i="21" s="1"/>
  <c r="L14" i="48"/>
  <c r="M13" i="48" s="1"/>
  <c r="BJ64" i="21" s="1"/>
  <c r="O14" i="48"/>
  <c r="P13" i="48" s="1"/>
  <c r="CP64" i="21" s="1"/>
  <c r="I14" i="47"/>
  <c r="J13" i="47" s="1"/>
  <c r="AC64" i="21" s="1"/>
  <c r="O14" i="47"/>
  <c r="P13" i="47" s="1"/>
  <c r="CO64" i="21" s="1"/>
  <c r="L14" i="47"/>
  <c r="M13" i="47" s="1"/>
  <c r="BI64" i="21" s="1"/>
  <c r="I14" i="46"/>
  <c r="J13" i="46" s="1"/>
  <c r="AB64" i="21" s="1"/>
  <c r="L14" i="46"/>
  <c r="M13" i="46" s="1"/>
  <c r="BH64" i="21" s="1"/>
  <c r="O14" i="46"/>
  <c r="P13" i="46" s="1"/>
  <c r="CN64" i="21" s="1"/>
  <c r="I14" i="45"/>
  <c r="J13" i="45" s="1"/>
  <c r="AA64" i="21" s="1"/>
  <c r="L14" i="45"/>
  <c r="O14" i="45"/>
  <c r="P13" i="45" s="1"/>
  <c r="CM64" i="21" s="1"/>
  <c r="I14" i="44"/>
  <c r="J13" i="44" s="1"/>
  <c r="Z64" i="21" s="1"/>
  <c r="L14" i="44"/>
  <c r="M13" i="44" s="1"/>
  <c r="BF64" i="21" s="1"/>
  <c r="O14" i="44"/>
  <c r="P13" i="44" s="1"/>
  <c r="CL64" i="21" s="1"/>
  <c r="I14" i="43"/>
  <c r="J13" i="43" s="1"/>
  <c r="Y64" i="21" s="1"/>
  <c r="L14" i="43"/>
  <c r="M13" i="43" s="1"/>
  <c r="BE64" i="21" s="1"/>
  <c r="O14" i="43"/>
  <c r="P13" i="43" s="1"/>
  <c r="CK64" i="21" s="1"/>
  <c r="I15" i="42"/>
  <c r="O15" i="42"/>
  <c r="L15" i="42"/>
  <c r="I14" i="42"/>
  <c r="J13" i="42" s="1"/>
  <c r="X64" i="21" s="1"/>
  <c r="L14" i="42"/>
  <c r="M13" i="42" s="1"/>
  <c r="BD64" i="21" s="1"/>
  <c r="O14" i="42"/>
  <c r="P13" i="42" s="1"/>
  <c r="CJ64" i="21" s="1"/>
  <c r="I14" i="41"/>
  <c r="L14" i="41"/>
  <c r="M13" i="41" s="1"/>
  <c r="BC64" i="21" s="1"/>
  <c r="O14" i="41"/>
  <c r="P13" i="41" s="1"/>
  <c r="CI64" i="21" s="1"/>
  <c r="I14" i="40"/>
  <c r="J13" i="40" s="1"/>
  <c r="V64" i="21" s="1"/>
  <c r="L14" i="40"/>
  <c r="M13" i="40" s="1"/>
  <c r="BB64" i="21" s="1"/>
  <c r="O14" i="40"/>
  <c r="P13" i="40" s="1"/>
  <c r="CH64" i="21" s="1"/>
  <c r="I14" i="38"/>
  <c r="J13" i="38" s="1"/>
  <c r="T64" i="21" s="1"/>
  <c r="L14" i="38"/>
  <c r="M13" i="38" s="1"/>
  <c r="AZ64" i="21" s="1"/>
  <c r="O14" i="38"/>
  <c r="P13" i="38" s="1"/>
  <c r="CF64" i="21" s="1"/>
  <c r="I14" i="37"/>
  <c r="J13" i="37" s="1"/>
  <c r="S64" i="21" s="1"/>
  <c r="L14" i="37"/>
  <c r="M13" i="37" s="1"/>
  <c r="AY64" i="21" s="1"/>
  <c r="O14" i="37"/>
  <c r="P13" i="37" s="1"/>
  <c r="CE64" i="21" s="1"/>
  <c r="I14" i="36"/>
  <c r="J13" i="36" s="1"/>
  <c r="R64" i="21" s="1"/>
  <c r="L14" i="36"/>
  <c r="M13" i="36" s="1"/>
  <c r="AX64" i="21" s="1"/>
  <c r="O14" i="36"/>
  <c r="P13" i="36" s="1"/>
  <c r="CD64" i="21" s="1"/>
  <c r="I14" i="34"/>
  <c r="J13" i="34" s="1"/>
  <c r="P64" i="21" s="1"/>
  <c r="L14" i="34"/>
  <c r="M13" i="34" s="1"/>
  <c r="AV64" i="21" s="1"/>
  <c r="O14" i="34"/>
  <c r="P13" i="34" s="1"/>
  <c r="CB64" i="21" s="1"/>
  <c r="I14" i="35"/>
  <c r="J13" i="35" s="1"/>
  <c r="L14" i="35"/>
  <c r="M13" i="35" s="1"/>
  <c r="AW64" i="21" s="1"/>
  <c r="O14" i="35"/>
  <c r="P13" i="35" s="1"/>
  <c r="CC64" i="21" s="1"/>
  <c r="I14" i="33"/>
  <c r="J13" i="33" s="1"/>
  <c r="O64" i="21" s="1"/>
  <c r="O14" i="33"/>
  <c r="P13" i="33" s="1"/>
  <c r="CA64" i="21" s="1"/>
  <c r="L14" i="33"/>
  <c r="M13" i="33" s="1"/>
  <c r="AU64" i="21" s="1"/>
  <c r="I14" i="32"/>
  <c r="J13" i="32" s="1"/>
  <c r="N64" i="21" s="1"/>
  <c r="L14" i="32"/>
  <c r="M13" i="32" s="1"/>
  <c r="AT64" i="21" s="1"/>
  <c r="O14" i="32"/>
  <c r="P13" i="32" s="1"/>
  <c r="BZ64" i="21" s="1"/>
  <c r="I14" i="31"/>
  <c r="J13" i="31" s="1"/>
  <c r="M64" i="21" s="1"/>
  <c r="L14" i="31"/>
  <c r="M13" i="31" s="1"/>
  <c r="AS64" i="21" s="1"/>
  <c r="O14" i="31"/>
  <c r="P13" i="31" s="1"/>
  <c r="BY64" i="21" s="1"/>
  <c r="I14" i="30"/>
  <c r="J13" i="30" s="1"/>
  <c r="L64" i="21" s="1"/>
  <c r="O14" i="30"/>
  <c r="P13" i="30" s="1"/>
  <c r="BX64" i="21" s="1"/>
  <c r="L14" i="30"/>
  <c r="M13" i="30" s="1"/>
  <c r="AR64" i="21" s="1"/>
  <c r="I14" i="28"/>
  <c r="J13" i="28" s="1"/>
  <c r="J64" i="21" s="1"/>
  <c r="O14" i="28"/>
  <c r="P13" i="28" s="1"/>
  <c r="BV64" i="21" s="1"/>
  <c r="L14" i="28"/>
  <c r="M13" i="28" s="1"/>
  <c r="AP64" i="21" s="1"/>
  <c r="I14" i="27"/>
  <c r="O14" i="27"/>
  <c r="L14" i="27"/>
  <c r="I15" i="27"/>
  <c r="L15" i="27"/>
  <c r="O15" i="27"/>
  <c r="I14" i="26"/>
  <c r="L14" i="26"/>
  <c r="O14" i="26"/>
  <c r="I15" i="26"/>
  <c r="J13" i="26" s="1"/>
  <c r="H64" i="21" s="1"/>
  <c r="L15" i="26"/>
  <c r="O15" i="26"/>
  <c r="I15" i="23"/>
  <c r="L15" i="23"/>
  <c r="O15" i="23"/>
  <c r="Q64" i="21"/>
  <c r="J67" i="14"/>
  <c r="J53" i="14"/>
  <c r="J13" i="41"/>
  <c r="W64" i="21" s="1"/>
  <c r="J48" i="14"/>
  <c r="J79" i="14"/>
  <c r="J40" i="14"/>
  <c r="O16" i="60"/>
  <c r="G9" i="74" s="1"/>
  <c r="O45" i="60"/>
  <c r="O47" i="60"/>
  <c r="O46" i="60"/>
  <c r="O48" i="60"/>
  <c r="J13" i="83"/>
  <c r="J13" i="27"/>
  <c r="I64" i="21" s="1"/>
  <c r="O15" i="80"/>
  <c r="L15" i="80"/>
  <c r="I15" i="80"/>
  <c r="J13" i="80" s="1"/>
  <c r="O15" i="86"/>
  <c r="L15" i="86"/>
  <c r="I15" i="86"/>
  <c r="J13" i="86" s="1"/>
  <c r="DN64" i="21" s="1"/>
  <c r="I14" i="24"/>
  <c r="J13" i="24" s="1"/>
  <c r="F64" i="21" s="1"/>
  <c r="I15" i="81"/>
  <c r="J13" i="81" s="1"/>
  <c r="L15" i="81"/>
  <c r="O15" i="81"/>
  <c r="AF64" i="21"/>
  <c r="R19" i="107"/>
  <c r="AF37" i="21" s="1"/>
  <c r="AF55" i="21" s="1"/>
  <c r="AF56" i="21" s="1"/>
  <c r="J1" i="107"/>
  <c r="K1" i="107" s="1"/>
  <c r="O15" i="90"/>
  <c r="L15" i="90"/>
  <c r="I15" i="90"/>
  <c r="J13" i="90" s="1"/>
  <c r="O15" i="78"/>
  <c r="L15" i="78"/>
  <c r="I15" i="78"/>
  <c r="J13" i="78" s="1"/>
  <c r="L14" i="22"/>
  <c r="M13" i="22" s="1"/>
  <c r="AJ64" i="21" s="1"/>
  <c r="I14" i="22"/>
  <c r="J13" i="22" s="1"/>
  <c r="O15" i="109"/>
  <c r="L15" i="109"/>
  <c r="I15" i="109"/>
  <c r="J13" i="109" s="1"/>
  <c r="L14" i="23"/>
  <c r="M13" i="23" s="1"/>
  <c r="AK64" i="21" s="1"/>
  <c r="I14" i="23"/>
  <c r="J13" i="23" s="1"/>
  <c r="E64" i="21" s="1"/>
  <c r="O15" i="87"/>
  <c r="L15" i="87"/>
  <c r="I15" i="87"/>
  <c r="J13" i="87" s="1"/>
  <c r="O15" i="79"/>
  <c r="L15" i="79"/>
  <c r="I15" i="79"/>
  <c r="J13" i="79" s="1"/>
  <c r="I14" i="25"/>
  <c r="J13" i="25" s="1"/>
  <c r="G64" i="21" s="1"/>
  <c r="O15" i="84"/>
  <c r="L15" i="84"/>
  <c r="I15" i="84"/>
  <c r="J13" i="84" s="1"/>
  <c r="Q9" i="57"/>
  <c r="Q13" i="57"/>
  <c r="AI11" i="60"/>
  <c r="O24" i="60"/>
  <c r="G9" i="83" s="1"/>
  <c r="DL7" i="21" s="1"/>
  <c r="O37" i="60"/>
  <c r="O49" i="60"/>
  <c r="G10" i="80" s="1"/>
  <c r="L10" i="80" s="1"/>
  <c r="O29" i="60"/>
  <c r="O22" i="60"/>
  <c r="G9" i="80" s="1"/>
  <c r="O55" i="60"/>
  <c r="O21" i="60"/>
  <c r="G9" i="109" s="1"/>
  <c r="O27" i="60"/>
  <c r="G9" i="77" s="1"/>
  <c r="O50" i="60"/>
  <c r="O28" i="60"/>
  <c r="O30" i="60"/>
  <c r="G9" i="84" s="1"/>
  <c r="O19" i="60"/>
  <c r="O51" i="60"/>
  <c r="O18" i="60"/>
  <c r="G9" i="76" s="1"/>
  <c r="DD7" i="21" s="1"/>
  <c r="O20" i="60"/>
  <c r="G9" i="79" s="1"/>
  <c r="I9" i="79" s="1"/>
  <c r="DG8" i="21" s="1"/>
  <c r="DQ7" i="21"/>
  <c r="O57" i="60"/>
  <c r="O23" i="60"/>
  <c r="G9" i="82" s="1"/>
  <c r="O9" i="82" s="1"/>
  <c r="FE8" i="21" s="1"/>
  <c r="FE48" i="21" s="1"/>
  <c r="O33" i="60"/>
  <c r="O36" i="60"/>
  <c r="O32" i="60"/>
  <c r="G9" i="101" s="1"/>
  <c r="O9" i="101" s="1"/>
  <c r="N70" i="101" s="1"/>
  <c r="P69" i="101" s="1"/>
  <c r="O56" i="60"/>
  <c r="D31" i="109" s="1"/>
  <c r="O17" i="60"/>
  <c r="G9" i="75" s="1"/>
  <c r="EW7" i="21" s="1"/>
  <c r="O31" i="60"/>
  <c r="O41" i="60"/>
  <c r="G10" i="87" s="1"/>
  <c r="L10" i="87" s="1"/>
  <c r="O58" i="60"/>
  <c r="D33" i="109" s="1"/>
  <c r="O40" i="60"/>
  <c r="O26" i="60"/>
  <c r="G9" i="81" s="1"/>
  <c r="FD7" i="21" s="1"/>
  <c r="O15" i="82"/>
  <c r="L15" i="82"/>
  <c r="I15" i="82"/>
  <c r="J13" i="82" s="1"/>
  <c r="O53" i="87"/>
  <c r="I53" i="87"/>
  <c r="J56" i="14"/>
  <c r="J47" i="14"/>
  <c r="J46" i="14"/>
  <c r="J44" i="14"/>
  <c r="J54" i="14"/>
  <c r="J41" i="14"/>
  <c r="J50" i="14"/>
  <c r="L14" i="50"/>
  <c r="M13" i="50" s="1"/>
  <c r="BM64" i="21" s="1"/>
  <c r="AG64" i="21"/>
  <c r="O14" i="50"/>
  <c r="P13" i="50" s="1"/>
  <c r="CS64" i="21" s="1"/>
  <c r="O14" i="22"/>
  <c r="P13" i="22" s="1"/>
  <c r="BP64" i="21" s="1"/>
  <c r="L14" i="76"/>
  <c r="O14" i="76"/>
  <c r="O14" i="80"/>
  <c r="P13" i="80" s="1"/>
  <c r="FC64" i="21" s="1"/>
  <c r="L14" i="80"/>
  <c r="O15" i="73"/>
  <c r="I15" i="73"/>
  <c r="J13" i="73" s="1"/>
  <c r="L15" i="73"/>
  <c r="O15" i="71"/>
  <c r="I15" i="71"/>
  <c r="J13" i="71" s="1"/>
  <c r="CY64" i="21" s="1"/>
  <c r="L15" i="71"/>
  <c r="L15" i="70"/>
  <c r="O15" i="70"/>
  <c r="I15" i="70"/>
  <c r="J13" i="70" s="1"/>
  <c r="CX64" i="21" s="1"/>
  <c r="O14" i="86"/>
  <c r="L14" i="86"/>
  <c r="O14" i="78"/>
  <c r="L14" i="78"/>
  <c r="O14" i="70"/>
  <c r="L14" i="70"/>
  <c r="O14" i="87"/>
  <c r="L14" i="87"/>
  <c r="O14" i="82"/>
  <c r="L14" i="82"/>
  <c r="O14" i="109"/>
  <c r="L14" i="109"/>
  <c r="L15" i="75"/>
  <c r="O15" i="75"/>
  <c r="I15" i="75"/>
  <c r="J13" i="75" s="1"/>
  <c r="L14" i="77"/>
  <c r="O14" i="77"/>
  <c r="L14" i="72"/>
  <c r="O14" i="72"/>
  <c r="O14" i="91"/>
  <c r="P13" i="91" s="1"/>
  <c r="L14" i="91"/>
  <c r="M13" i="91" s="1"/>
  <c r="O14" i="89"/>
  <c r="P13" i="89" s="1"/>
  <c r="FM64" i="21" s="1"/>
  <c r="L14" i="89"/>
  <c r="M13" i="89" s="1"/>
  <c r="O14" i="23"/>
  <c r="P13" i="23" s="1"/>
  <c r="BQ64" i="21" s="1"/>
  <c r="L14" i="75"/>
  <c r="O14" i="75"/>
  <c r="O15" i="77"/>
  <c r="I15" i="77"/>
  <c r="J13" i="77" s="1"/>
  <c r="DE64" i="21" s="1"/>
  <c r="L15" i="77"/>
  <c r="O15" i="72"/>
  <c r="I15" i="72"/>
  <c r="J13" i="72" s="1"/>
  <c r="L15" i="72"/>
  <c r="L15" i="74"/>
  <c r="O15" i="74"/>
  <c r="I15" i="74"/>
  <c r="J13" i="74" s="1"/>
  <c r="O14" i="81"/>
  <c r="P13" i="81" s="1"/>
  <c r="L14" i="81"/>
  <c r="O14" i="74"/>
  <c r="L14" i="74"/>
  <c r="O14" i="90"/>
  <c r="L14" i="90"/>
  <c r="L14" i="83"/>
  <c r="M13" i="83" s="1"/>
  <c r="O14" i="83"/>
  <c r="P13" i="83" s="1"/>
  <c r="O14" i="84"/>
  <c r="L14" i="84"/>
  <c r="L15" i="76"/>
  <c r="O15" i="76"/>
  <c r="I15" i="76"/>
  <c r="J13" i="76" s="1"/>
  <c r="O14" i="85"/>
  <c r="P13" i="85" s="1"/>
  <c r="FI64" i="21" s="1"/>
  <c r="L14" i="85"/>
  <c r="M13" i="85" s="1"/>
  <c r="EL64" i="21" s="1"/>
  <c r="O14" i="79"/>
  <c r="L14" i="79"/>
  <c r="O14" i="73"/>
  <c r="L14" i="73"/>
  <c r="O14" i="71"/>
  <c r="L14" i="71"/>
  <c r="O54" i="87"/>
  <c r="L54" i="87"/>
  <c r="L57" i="87" s="1"/>
  <c r="L58" i="87" s="1"/>
  <c r="L59" i="87" s="1"/>
  <c r="EM27" i="21" s="1"/>
  <c r="I54" i="87"/>
  <c r="DS64" i="21"/>
  <c r="D24" i="109"/>
  <c r="D35" i="109"/>
  <c r="F20" i="63"/>
  <c r="K22" i="63" s="1"/>
  <c r="F9" i="63"/>
  <c r="K14" i="63" s="1"/>
  <c r="E76" i="104"/>
  <c r="FE33" i="21"/>
  <c r="FM30" i="21"/>
  <c r="DH30" i="21"/>
  <c r="O89" i="62"/>
  <c r="O81" i="62"/>
  <c r="O85" i="62"/>
  <c r="O90" i="62"/>
  <c r="O71" i="62"/>
  <c r="O45" i="62"/>
  <c r="O84" i="62"/>
  <c r="J85" i="14"/>
  <c r="J75" i="14"/>
  <c r="J71" i="14"/>
  <c r="J80" i="14"/>
  <c r="O15" i="62"/>
  <c r="O14" i="62"/>
  <c r="O19" i="62"/>
  <c r="O13" i="62"/>
  <c r="O16" i="62"/>
  <c r="O12" i="62"/>
  <c r="J24" i="62" s="1"/>
  <c r="M13" i="62"/>
  <c r="N13" i="62"/>
  <c r="J37" i="62" s="1"/>
  <c r="H9" i="62"/>
  <c r="M12" i="62"/>
  <c r="M11" i="62"/>
  <c r="N14" i="62"/>
  <c r="O11" i="62"/>
  <c r="N11" i="62"/>
  <c r="N15" i="62"/>
  <c r="J67" i="62" s="1"/>
  <c r="M16" i="62"/>
  <c r="M15" i="62"/>
  <c r="J36" i="62" s="1"/>
  <c r="N12" i="62"/>
  <c r="J64" i="62" s="1"/>
  <c r="O64" i="62" s="1"/>
  <c r="N16" i="62"/>
  <c r="M14" i="62"/>
  <c r="J42" i="14"/>
  <c r="J82" i="14"/>
  <c r="J43" i="14"/>
  <c r="J61" i="14"/>
  <c r="J57" i="14"/>
  <c r="J58" i="14"/>
  <c r="J78" i="14"/>
  <c r="I38" i="33"/>
  <c r="T142" i="20"/>
  <c r="L38" i="33"/>
  <c r="D35" i="82"/>
  <c r="D35" i="90"/>
  <c r="D35" i="84"/>
  <c r="D35" i="85"/>
  <c r="D35" i="86"/>
  <c r="D35" i="87"/>
  <c r="D35" i="89"/>
  <c r="D35" i="91"/>
  <c r="D35" i="83"/>
  <c r="D35" i="76"/>
  <c r="D35" i="78"/>
  <c r="D35" i="79"/>
  <c r="D35" i="74"/>
  <c r="D35" i="75"/>
  <c r="D35" i="73"/>
  <c r="D35" i="77"/>
  <c r="D35" i="80"/>
  <c r="D35" i="81"/>
  <c r="D35" i="72"/>
  <c r="D35" i="71"/>
  <c r="D24" i="84"/>
  <c r="D24" i="91"/>
  <c r="D24" i="89"/>
  <c r="D24" i="83"/>
  <c r="D24" i="85"/>
  <c r="D24" i="86"/>
  <c r="D24" i="87"/>
  <c r="D24" i="90"/>
  <c r="D24" i="82"/>
  <c r="D24" i="78"/>
  <c r="D24" i="74"/>
  <c r="D24" i="76"/>
  <c r="D24" i="80"/>
  <c r="D24" i="81"/>
  <c r="D24" i="75"/>
  <c r="D24" i="79"/>
  <c r="D24" i="77"/>
  <c r="D24" i="73"/>
  <c r="D24" i="72"/>
  <c r="D24" i="71"/>
  <c r="K22" i="58"/>
  <c r="K21" i="58"/>
  <c r="K18" i="58"/>
  <c r="K19" i="58"/>
  <c r="K17" i="58"/>
  <c r="K16" i="58"/>
  <c r="K15" i="58"/>
  <c r="K14" i="58"/>
  <c r="K13" i="58"/>
  <c r="K11" i="58"/>
  <c r="K10" i="58"/>
  <c r="K12" i="58"/>
  <c r="E13" i="58"/>
  <c r="G9" i="58"/>
  <c r="G13" i="58"/>
  <c r="J9" i="58"/>
  <c r="J12" i="58"/>
  <c r="J11" i="58"/>
  <c r="J10" i="58"/>
  <c r="J21" i="58"/>
  <c r="J18" i="58"/>
  <c r="J17" i="58"/>
  <c r="J15" i="58"/>
  <c r="J22" i="58"/>
  <c r="J19" i="58"/>
  <c r="J16" i="58"/>
  <c r="J14" i="58"/>
  <c r="J13" i="58"/>
  <c r="D9" i="58"/>
  <c r="D13" i="58"/>
  <c r="D11" i="58"/>
  <c r="D10" i="58"/>
  <c r="H9" i="58"/>
  <c r="H13" i="58"/>
  <c r="I9" i="58"/>
  <c r="I14" i="58"/>
  <c r="I13" i="58"/>
  <c r="E9" i="58"/>
  <c r="K9" i="58"/>
  <c r="I9" i="57"/>
  <c r="I13" i="57"/>
  <c r="G9" i="57"/>
  <c r="G13" i="57"/>
  <c r="E13" i="57"/>
  <c r="E9" i="57"/>
  <c r="F13" i="57"/>
  <c r="F9" i="57"/>
  <c r="D11" i="57"/>
  <c r="D9" i="57"/>
  <c r="D13" i="57"/>
  <c r="D10" i="57"/>
  <c r="AO27" i="21"/>
  <c r="EU19" i="21"/>
  <c r="FK63" i="21"/>
  <c r="EN63" i="21"/>
  <c r="DQ63" i="21"/>
  <c r="DW19" i="21"/>
  <c r="L58" i="72"/>
  <c r="L59" i="72" s="1"/>
  <c r="DW27" i="21" s="1"/>
  <c r="O58" i="75"/>
  <c r="O59" i="75" s="1"/>
  <c r="EW27" i="21" s="1"/>
  <c r="O58" i="78"/>
  <c r="O59" i="78" s="1"/>
  <c r="EZ27" i="21" s="1"/>
  <c r="O58" i="72"/>
  <c r="O59" i="72" s="1"/>
  <c r="ET27" i="21" s="1"/>
  <c r="L58" i="78"/>
  <c r="L59" i="78" s="1"/>
  <c r="EC27" i="21" s="1"/>
  <c r="I59" i="72"/>
  <c r="CZ27" i="21" s="1"/>
  <c r="L58" i="90"/>
  <c r="L59" i="90" s="1"/>
  <c r="EO27" i="21" s="1"/>
  <c r="I58" i="86"/>
  <c r="I59" i="86" s="1"/>
  <c r="DN27" i="21" s="1"/>
  <c r="O58" i="85"/>
  <c r="O59" i="85" s="1"/>
  <c r="FI27" i="21" s="1"/>
  <c r="L58" i="74"/>
  <c r="L59" i="74" s="1"/>
  <c r="DY27" i="21" s="1"/>
  <c r="O58" i="83"/>
  <c r="O59" i="83" s="1"/>
  <c r="FF27" i="21" s="1"/>
  <c r="L58" i="76"/>
  <c r="L59" i="76" s="1"/>
  <c r="EA27" i="21" s="1"/>
  <c r="I58" i="90"/>
  <c r="I59" i="90" s="1"/>
  <c r="DR27" i="21" s="1"/>
  <c r="O58" i="82"/>
  <c r="O59" i="82" s="1"/>
  <c r="FE27" i="21" s="1"/>
  <c r="I58" i="74"/>
  <c r="I59" i="74" s="1"/>
  <c r="DB27" i="21" s="1"/>
  <c r="L58" i="83"/>
  <c r="L59" i="83" s="1"/>
  <c r="EI27" i="21" s="1"/>
  <c r="O58" i="77"/>
  <c r="O59" i="77" s="1"/>
  <c r="EY27" i="21" s="1"/>
  <c r="I58" i="73"/>
  <c r="I59" i="73" s="1"/>
  <c r="DA27" i="21" s="1"/>
  <c r="I58" i="84"/>
  <c r="I59" i="84" s="1"/>
  <c r="DM27" i="21" s="1"/>
  <c r="I58" i="75"/>
  <c r="I59" i="75" s="1"/>
  <c r="DC27" i="21" s="1"/>
  <c r="O58" i="84"/>
  <c r="O59" i="84" s="1"/>
  <c r="FG27" i="21" s="1"/>
  <c r="L58" i="77"/>
  <c r="L59" i="77" s="1"/>
  <c r="EB27" i="21" s="1"/>
  <c r="L58" i="89"/>
  <c r="L59" i="89" s="1"/>
  <c r="EP27" i="21" s="1"/>
  <c r="O58" i="86"/>
  <c r="O59" i="86" s="1"/>
  <c r="FH27" i="21" s="1"/>
  <c r="I58" i="77"/>
  <c r="I59" i="77" s="1"/>
  <c r="DE27" i="21" s="1"/>
  <c r="I58" i="89"/>
  <c r="I59" i="89" s="1"/>
  <c r="DS27" i="21" s="1"/>
  <c r="I58" i="80"/>
  <c r="I59" i="80" s="1"/>
  <c r="DI27" i="21" s="1"/>
  <c r="L58" i="82"/>
  <c r="L59" i="82" s="1"/>
  <c r="EH27" i="21" s="1"/>
  <c r="O58" i="73"/>
  <c r="O59" i="73" s="1"/>
  <c r="EU27" i="21" s="1"/>
  <c r="L58" i="73"/>
  <c r="L59" i="73" s="1"/>
  <c r="DX27" i="21" s="1"/>
  <c r="O58" i="89"/>
  <c r="O59" i="89" s="1"/>
  <c r="FM27" i="21" s="1"/>
  <c r="I58" i="85"/>
  <c r="I59" i="85" s="1"/>
  <c r="DO27" i="21" s="1"/>
  <c r="L58" i="84"/>
  <c r="L59" i="84" s="1"/>
  <c r="EJ27" i="21" s="1"/>
  <c r="I58" i="79"/>
  <c r="I59" i="79" s="1"/>
  <c r="DG27" i="21" s="1"/>
  <c r="I58" i="83"/>
  <c r="I59" i="83" s="1"/>
  <c r="DL27" i="21" s="1"/>
  <c r="I58" i="78"/>
  <c r="I59" i="78" s="1"/>
  <c r="DF27" i="21" s="1"/>
  <c r="L58" i="75"/>
  <c r="L59" i="75" s="1"/>
  <c r="DZ27" i="21" s="1"/>
  <c r="L58" i="81"/>
  <c r="L59" i="81" s="1"/>
  <c r="EG27" i="21" s="1"/>
  <c r="O58" i="74"/>
  <c r="O59" i="74" s="1"/>
  <c r="EV27" i="21" s="1"/>
  <c r="O58" i="76"/>
  <c r="O59" i="76" s="1"/>
  <c r="EX27" i="21" s="1"/>
  <c r="L58" i="80"/>
  <c r="L59" i="80" s="1"/>
  <c r="EF27" i="21" s="1"/>
  <c r="O58" i="81"/>
  <c r="O59" i="81" s="1"/>
  <c r="FD27" i="21" s="1"/>
  <c r="L58" i="86"/>
  <c r="L59" i="86" s="1"/>
  <c r="EK27" i="21" s="1"/>
  <c r="L58" i="85"/>
  <c r="L59" i="85" s="1"/>
  <c r="EL27" i="21" s="1"/>
  <c r="O58" i="79"/>
  <c r="O59" i="79" s="1"/>
  <c r="FA27" i="21" s="1"/>
  <c r="I58" i="76"/>
  <c r="I59" i="76" s="1"/>
  <c r="DD27" i="21" s="1"/>
  <c r="O58" i="80"/>
  <c r="O59" i="80" s="1"/>
  <c r="FC27" i="21" s="1"/>
  <c r="O58" i="90"/>
  <c r="O59" i="90" s="1"/>
  <c r="FL27" i="21" s="1"/>
  <c r="I58" i="81"/>
  <c r="I59" i="81" s="1"/>
  <c r="DJ27" i="21" s="1"/>
  <c r="L58" i="79"/>
  <c r="L59" i="79" s="1"/>
  <c r="ED27" i="21" s="1"/>
  <c r="I58" i="82"/>
  <c r="I59" i="82" s="1"/>
  <c r="DK27" i="21" s="1"/>
  <c r="O59" i="70"/>
  <c r="ER27" i="21" s="1"/>
  <c r="O59" i="91"/>
  <c r="I59" i="91"/>
  <c r="L59" i="91"/>
  <c r="I59" i="70"/>
  <c r="CX27" i="21" s="1"/>
  <c r="L59" i="70"/>
  <c r="DU27" i="21" s="1"/>
  <c r="L58" i="47"/>
  <c r="L59" i="47" s="1"/>
  <c r="BI27" i="21" s="1"/>
  <c r="I58" i="49"/>
  <c r="I59" i="49" s="1"/>
  <c r="AE27" i="21" s="1"/>
  <c r="AI10" i="60"/>
  <c r="AI12" i="60"/>
  <c r="AI9" i="60"/>
  <c r="D73" i="102"/>
  <c r="D73" i="104"/>
  <c r="D73" i="105"/>
  <c r="D73" i="103"/>
  <c r="D72" i="101"/>
  <c r="D73" i="106"/>
  <c r="H51" i="63"/>
  <c r="O15" i="60"/>
  <c r="D24" i="102"/>
  <c r="D24" i="103"/>
  <c r="D24" i="104"/>
  <c r="D22" i="101"/>
  <c r="D24" i="105"/>
  <c r="D24" i="70"/>
  <c r="D24" i="106"/>
  <c r="O54" i="60"/>
  <c r="T69" i="105"/>
  <c r="P68" i="105" s="1"/>
  <c r="R68" i="101"/>
  <c r="S69" i="102"/>
  <c r="M68" i="102" s="1"/>
  <c r="T69" i="104"/>
  <c r="P68" i="104" s="1"/>
  <c r="T69" i="106"/>
  <c r="P68" i="106" s="1"/>
  <c r="D35" i="102"/>
  <c r="T69" i="103"/>
  <c r="P68" i="103" s="1"/>
  <c r="M67" i="86"/>
  <c r="EK18" i="21" s="1"/>
  <c r="P67" i="82"/>
  <c r="FE18" i="21" s="1"/>
  <c r="J67" i="83"/>
  <c r="DL18" i="21" s="1"/>
  <c r="J67" i="79"/>
  <c r="DG18" i="21" s="1"/>
  <c r="M67" i="82"/>
  <c r="EH18" i="21" s="1"/>
  <c r="P67" i="78"/>
  <c r="EZ18" i="21" s="1"/>
  <c r="D35" i="70"/>
  <c r="D64" i="106"/>
  <c r="R69" i="105"/>
  <c r="J68" i="105" s="1"/>
  <c r="R69" i="104"/>
  <c r="J68" i="104" s="1"/>
  <c r="T68" i="101"/>
  <c r="P67" i="85"/>
  <c r="FI18" i="21" s="1"/>
  <c r="J67" i="85"/>
  <c r="DO18" i="21" s="1"/>
  <c r="EY18" i="21"/>
  <c r="J67" i="78"/>
  <c r="DF18" i="21" s="1"/>
  <c r="F6" i="63"/>
  <c r="D35" i="105"/>
  <c r="D35" i="103"/>
  <c r="D35" i="106"/>
  <c r="D64" i="104"/>
  <c r="S69" i="104"/>
  <c r="M68" i="104" s="1"/>
  <c r="S69" i="106"/>
  <c r="M68" i="106" s="1"/>
  <c r="R69" i="106"/>
  <c r="J68" i="106" s="1"/>
  <c r="R69" i="102"/>
  <c r="J68" i="102" s="1"/>
  <c r="S69" i="105"/>
  <c r="M68" i="105" s="1"/>
  <c r="T69" i="102"/>
  <c r="P68" i="102" s="1"/>
  <c r="D33" i="101"/>
  <c r="R68" i="91"/>
  <c r="J67" i="91" s="1"/>
  <c r="T68" i="91"/>
  <c r="P67" i="91" s="1"/>
  <c r="J67" i="84"/>
  <c r="DM18" i="21" s="1"/>
  <c r="P67" i="86"/>
  <c r="FH18" i="21" s="1"/>
  <c r="J67" i="82"/>
  <c r="DK18" i="21" s="1"/>
  <c r="M67" i="78"/>
  <c r="EC18" i="21" s="1"/>
  <c r="P67" i="79"/>
  <c r="FA18" i="21" s="1"/>
  <c r="R69" i="103"/>
  <c r="J68" i="103" s="1"/>
  <c r="D64" i="105"/>
  <c r="S68" i="101"/>
  <c r="D63" i="101"/>
  <c r="J67" i="86"/>
  <c r="DN18" i="21" s="1"/>
  <c r="M67" i="85"/>
  <c r="EL18" i="21" s="1"/>
  <c r="M67" i="83"/>
  <c r="EI18" i="21" s="1"/>
  <c r="D64" i="102"/>
  <c r="D35" i="104"/>
  <c r="D64" i="103"/>
  <c r="S69" i="103"/>
  <c r="M68" i="103" s="1"/>
  <c r="M67" i="84"/>
  <c r="EJ18" i="21" s="1"/>
  <c r="P67" i="84"/>
  <c r="FG18" i="21" s="1"/>
  <c r="DE18" i="21"/>
  <c r="S68" i="91"/>
  <c r="M67" i="91" s="1"/>
  <c r="M67" i="79"/>
  <c r="ED18" i="21" s="1"/>
  <c r="P67" i="83"/>
  <c r="FF18" i="21" s="1"/>
  <c r="W142" i="20"/>
  <c r="U142" i="20"/>
  <c r="V142" i="20"/>
  <c r="S142" i="20"/>
  <c r="X142" i="20"/>
  <c r="U93" i="20"/>
  <c r="N14" i="20"/>
  <c r="U117" i="20"/>
  <c r="U127" i="20"/>
  <c r="M7" i="91"/>
  <c r="O9" i="91"/>
  <c r="N70" i="91" s="1"/>
  <c r="P69" i="91" s="1"/>
  <c r="DO64" i="21"/>
  <c r="G52" i="27"/>
  <c r="G52" i="35"/>
  <c r="G52" i="26"/>
  <c r="L40" i="32"/>
  <c r="O40" i="32"/>
  <c r="I40" i="32"/>
  <c r="S117" i="20"/>
  <c r="S93" i="20"/>
  <c r="S127" i="20"/>
  <c r="I154" i="18"/>
  <c r="G156" i="18"/>
  <c r="I156" i="18" s="1"/>
  <c r="J156" i="18" s="1"/>
  <c r="K156" i="18" s="1"/>
  <c r="L168" i="18" s="1"/>
  <c r="L170" i="18" s="1"/>
  <c r="EP67" i="21"/>
  <c r="M13" i="27" l="1"/>
  <c r="AO64" i="21" s="1"/>
  <c r="P13" i="27"/>
  <c r="BU64" i="21" s="1"/>
  <c r="P13" i="26"/>
  <c r="BT64" i="21" s="1"/>
  <c r="M13" i="26"/>
  <c r="AN64" i="21" s="1"/>
  <c r="M13" i="80"/>
  <c r="EF64" i="21" s="1"/>
  <c r="P13" i="73"/>
  <c r="M13" i="70"/>
  <c r="FD30" i="21"/>
  <c r="FL30" i="21"/>
  <c r="M13" i="109"/>
  <c r="EE64" i="21" s="1"/>
  <c r="M13" i="73"/>
  <c r="M13" i="79"/>
  <c r="ED64" i="21" s="1"/>
  <c r="P13" i="78"/>
  <c r="EZ64" i="21" s="1"/>
  <c r="M13" i="81"/>
  <c r="EG64" i="21" s="1"/>
  <c r="P13" i="79"/>
  <c r="P13" i="86"/>
  <c r="FH64" i="21" s="1"/>
  <c r="M13" i="82"/>
  <c r="EH64" i="21" s="1"/>
  <c r="M13" i="71"/>
  <c r="DV64" i="21" s="1"/>
  <c r="P13" i="77"/>
  <c r="EY64" i="21" s="1"/>
  <c r="P13" i="84"/>
  <c r="FG64" i="21" s="1"/>
  <c r="P13" i="74"/>
  <c r="P13" i="72"/>
  <c r="ET64" i="21" s="1"/>
  <c r="P13" i="71"/>
  <c r="ES64" i="21" s="1"/>
  <c r="M13" i="78"/>
  <c r="M13" i="86"/>
  <c r="EK64" i="21" s="1"/>
  <c r="M13" i="87"/>
  <c r="P13" i="90"/>
  <c r="P13" i="75"/>
  <c r="P13" i="82"/>
  <c r="FE64" i="21" s="1"/>
  <c r="M13" i="90"/>
  <c r="M13" i="84"/>
  <c r="EJ64" i="21" s="1"/>
  <c r="P13" i="87"/>
  <c r="FJ64" i="21" s="1"/>
  <c r="P13" i="109"/>
  <c r="FB64" i="21" s="1"/>
  <c r="FM33" i="21"/>
  <c r="FF30" i="21"/>
  <c r="FI30" i="21"/>
  <c r="EB30" i="21"/>
  <c r="DU30" i="21"/>
  <c r="EC30" i="21"/>
  <c r="EA30" i="21"/>
  <c r="DZ30" i="21"/>
  <c r="EW30" i="21"/>
  <c r="EI30" i="21"/>
  <c r="DR30" i="21"/>
  <c r="EK30" i="21"/>
  <c r="EH30" i="21"/>
  <c r="DX30" i="21"/>
  <c r="EM30" i="21"/>
  <c r="EJ30" i="21"/>
  <c r="EO30" i="21"/>
  <c r="EL30" i="21"/>
  <c r="EG30" i="21"/>
  <c r="ER30" i="21"/>
  <c r="FA30" i="21"/>
  <c r="EX30" i="21"/>
  <c r="EP30" i="21"/>
  <c r="ET30" i="21"/>
  <c r="EV30" i="21"/>
  <c r="DW30" i="21"/>
  <c r="FG30" i="21"/>
  <c r="EU30" i="21"/>
  <c r="FC30" i="21"/>
  <c r="EZ30" i="21"/>
  <c r="FJ30" i="21"/>
  <c r="EN30" i="21"/>
  <c r="FK30" i="21"/>
  <c r="EY30" i="21"/>
  <c r="DV30" i="21"/>
  <c r="FE30" i="21"/>
  <c r="ES30" i="21"/>
  <c r="DS30" i="21"/>
  <c r="DY30" i="21"/>
  <c r="FH30" i="21"/>
  <c r="ED30" i="21"/>
  <c r="P13" i="70"/>
  <c r="M13" i="74"/>
  <c r="M13" i="75"/>
  <c r="I57" i="87"/>
  <c r="I58" i="87" s="1"/>
  <c r="I59" i="87" s="1"/>
  <c r="DP27" i="21" s="1"/>
  <c r="D30" i="109"/>
  <c r="L30" i="109" s="1"/>
  <c r="D30" i="74"/>
  <c r="D30" i="105"/>
  <c r="I30" i="105" s="1"/>
  <c r="O57" i="87"/>
  <c r="O58" i="87" s="1"/>
  <c r="O59" i="87" s="1"/>
  <c r="FJ27" i="21" s="1"/>
  <c r="M13" i="77"/>
  <c r="EB64" i="21" s="1"/>
  <c r="M13" i="72"/>
  <c r="DW64" i="21" s="1"/>
  <c r="DE30" i="21"/>
  <c r="D33" i="106"/>
  <c r="L33" i="106" s="1"/>
  <c r="CX30" i="21"/>
  <c r="FK27" i="21"/>
  <c r="DB30" i="21"/>
  <c r="DF30" i="21"/>
  <c r="P13" i="76"/>
  <c r="L31" i="109"/>
  <c r="O31" i="109"/>
  <c r="I31" i="109"/>
  <c r="L33" i="109"/>
  <c r="O33" i="109"/>
  <c r="I33" i="109"/>
  <c r="CZ64" i="21"/>
  <c r="DH64" i="21"/>
  <c r="D64" i="21"/>
  <c r="D31" i="104"/>
  <c r="I31" i="104" s="1"/>
  <c r="D32" i="105"/>
  <c r="O32" i="105" s="1"/>
  <c r="D32" i="109"/>
  <c r="J50" i="62"/>
  <c r="J43" i="62"/>
  <c r="O43" i="62" s="1"/>
  <c r="DA64" i="21"/>
  <c r="DD64" i="21"/>
  <c r="M13" i="76"/>
  <c r="EA64" i="21" s="1"/>
  <c r="DQ27" i="21"/>
  <c r="Q39" i="20"/>
  <c r="M39" i="20"/>
  <c r="O39" i="20"/>
  <c r="EP64" i="21"/>
  <c r="R19" i="89"/>
  <c r="DS23" i="21" s="1"/>
  <c r="S19" i="89"/>
  <c r="EP37" i="21" s="1"/>
  <c r="EP55" i="21" s="1"/>
  <c r="EP56" i="21" s="1"/>
  <c r="FI33" i="21"/>
  <c r="DK33" i="21"/>
  <c r="FG33" i="21"/>
  <c r="CX33" i="21"/>
  <c r="DO33" i="21"/>
  <c r="DC30" i="21"/>
  <c r="DD30" i="21"/>
  <c r="DJ30" i="21"/>
  <c r="DG30" i="21"/>
  <c r="DI30" i="21"/>
  <c r="DN30" i="21"/>
  <c r="DL30" i="21"/>
  <c r="DM30" i="21"/>
  <c r="DA30" i="21"/>
  <c r="DP30" i="21"/>
  <c r="DQ30" i="21"/>
  <c r="DK30" i="21"/>
  <c r="DO30" i="21"/>
  <c r="CY30" i="21"/>
  <c r="CZ30" i="21"/>
  <c r="CY33" i="21"/>
  <c r="FC33" i="21"/>
  <c r="DN33" i="21"/>
  <c r="DG33" i="21"/>
  <c r="FK33" i="21"/>
  <c r="EW33" i="21"/>
  <c r="EC33" i="21"/>
  <c r="DD33" i="21"/>
  <c r="DR33" i="21"/>
  <c r="EH33" i="21"/>
  <c r="DZ33" i="21"/>
  <c r="EN33" i="21"/>
  <c r="EP33" i="21"/>
  <c r="ED33" i="21"/>
  <c r="FF33" i="21"/>
  <c r="FL33" i="21"/>
  <c r="EM33" i="21"/>
  <c r="DA33" i="21"/>
  <c r="DB33" i="21"/>
  <c r="DC33" i="21"/>
  <c r="EL33" i="21"/>
  <c r="DF33" i="21"/>
  <c r="CZ33" i="21"/>
  <c r="EI33" i="21"/>
  <c r="DJ33" i="21"/>
  <c r="EJ33" i="21"/>
  <c r="DS33" i="21"/>
  <c r="DL33" i="21"/>
  <c r="EU33" i="21"/>
  <c r="DX33" i="21"/>
  <c r="DI33" i="21"/>
  <c r="ER33" i="21"/>
  <c r="EA33" i="21"/>
  <c r="FA33" i="21"/>
  <c r="EB33" i="21"/>
  <c r="DP33" i="21"/>
  <c r="EY33" i="21"/>
  <c r="EG33" i="21"/>
  <c r="DM33" i="21"/>
  <c r="EV33" i="21"/>
  <c r="ES33" i="21"/>
  <c r="DE33" i="21"/>
  <c r="EO33" i="21"/>
  <c r="DU33" i="21"/>
  <c r="FD33" i="21"/>
  <c r="EK33" i="21"/>
  <c r="DQ33" i="21"/>
  <c r="EZ33" i="21"/>
  <c r="FJ33" i="21"/>
  <c r="DW33" i="21"/>
  <c r="EX33" i="21"/>
  <c r="DY33" i="21"/>
  <c r="FH33" i="21"/>
  <c r="ET33" i="21"/>
  <c r="DV33" i="21"/>
  <c r="EF33" i="21"/>
  <c r="DH33" i="21"/>
  <c r="EE33" i="21"/>
  <c r="FB33" i="21"/>
  <c r="FB30" i="21"/>
  <c r="EE30" i="21"/>
  <c r="EF30" i="21"/>
  <c r="DI7" i="21"/>
  <c r="EF7" i="21"/>
  <c r="G11" i="102"/>
  <c r="L11" i="102" s="1"/>
  <c r="G11" i="109"/>
  <c r="G42" i="109"/>
  <c r="G39" i="109"/>
  <c r="G40" i="109"/>
  <c r="G37" i="109"/>
  <c r="G36" i="109"/>
  <c r="G41" i="109"/>
  <c r="G38" i="109"/>
  <c r="G9" i="78"/>
  <c r="O9" i="78" s="1"/>
  <c r="EZ8" i="21" s="1"/>
  <c r="G26" i="109"/>
  <c r="G25" i="109"/>
  <c r="J79" i="62"/>
  <c r="O79" i="62" s="1"/>
  <c r="J86" i="62"/>
  <c r="O86" i="62" s="1"/>
  <c r="J48" i="62"/>
  <c r="J72" i="62"/>
  <c r="J76" i="62"/>
  <c r="J38" i="62"/>
  <c r="J26" i="62"/>
  <c r="J28" i="62"/>
  <c r="J65" i="62"/>
  <c r="J25" i="62"/>
  <c r="J16" i="63"/>
  <c r="J17" i="63"/>
  <c r="J18" i="63"/>
  <c r="J83" i="62"/>
  <c r="O83" i="62" s="1"/>
  <c r="J61" i="62"/>
  <c r="J41" i="62"/>
  <c r="J42" i="62"/>
  <c r="J57" i="62"/>
  <c r="J58" i="62"/>
  <c r="FF64" i="21"/>
  <c r="J63" i="62"/>
  <c r="J68" i="62"/>
  <c r="FD64" i="21"/>
  <c r="S17" i="20" s="1"/>
  <c r="J40" i="62"/>
  <c r="J49" i="62"/>
  <c r="J44" i="62"/>
  <c r="J54" i="62"/>
  <c r="J46" i="62"/>
  <c r="J56" i="62"/>
  <c r="J80" i="62"/>
  <c r="O80" i="62" s="1"/>
  <c r="J27" i="62"/>
  <c r="J47" i="62"/>
  <c r="J78" i="62"/>
  <c r="O78" i="62" s="1"/>
  <c r="J82" i="62"/>
  <c r="O82" i="62" s="1"/>
  <c r="J87" i="62"/>
  <c r="O87" i="62" s="1"/>
  <c r="J51" i="62"/>
  <c r="J77" i="62"/>
  <c r="J33" i="62"/>
  <c r="J75" i="62"/>
  <c r="J31" i="62"/>
  <c r="J32" i="62"/>
  <c r="J69" i="62"/>
  <c r="J53" i="62"/>
  <c r="FK64" i="21"/>
  <c r="J59" i="62"/>
  <c r="J62" i="62"/>
  <c r="J73" i="62"/>
  <c r="J29" i="62"/>
  <c r="J74" i="62"/>
  <c r="J34" i="62"/>
  <c r="J66" i="62"/>
  <c r="J35" i="62"/>
  <c r="O24" i="62"/>
  <c r="O67" i="62"/>
  <c r="U39" i="20"/>
  <c r="K11" i="63"/>
  <c r="H15" i="62"/>
  <c r="H14" i="62"/>
  <c r="H16" i="62"/>
  <c r="H13" i="62"/>
  <c r="H12" i="62"/>
  <c r="H11" i="62"/>
  <c r="J92" i="62"/>
  <c r="J91" i="62"/>
  <c r="O23" i="62"/>
  <c r="K12" i="63"/>
  <c r="E76" i="103"/>
  <c r="K13" i="63"/>
  <c r="E75" i="101"/>
  <c r="K15" i="63"/>
  <c r="E76" i="106"/>
  <c r="F32" i="63"/>
  <c r="K34" i="63" s="1"/>
  <c r="F26" i="63"/>
  <c r="K28" i="63" s="1"/>
  <c r="E76" i="102"/>
  <c r="E76" i="105"/>
  <c r="O9" i="75"/>
  <c r="EW8" i="21" s="1"/>
  <c r="EW48" i="21" s="1"/>
  <c r="S39" i="20"/>
  <c r="DM7" i="21"/>
  <c r="FG7" i="21"/>
  <c r="I9" i="74"/>
  <c r="DB8" i="21" s="1"/>
  <c r="DB48" i="21" s="1"/>
  <c r="DY7" i="21"/>
  <c r="EV7" i="21"/>
  <c r="O9" i="74"/>
  <c r="EV8" i="21" s="1"/>
  <c r="EV48" i="21" s="1"/>
  <c r="DB7" i="21"/>
  <c r="EY7" i="21"/>
  <c r="DE7" i="21"/>
  <c r="L9" i="77"/>
  <c r="EB7" i="21"/>
  <c r="O9" i="77"/>
  <c r="I9" i="77"/>
  <c r="L9" i="74"/>
  <c r="DY8" i="21" s="1"/>
  <c r="DC7" i="21"/>
  <c r="EA7" i="21"/>
  <c r="K10" i="57" s="1"/>
  <c r="FC7" i="21"/>
  <c r="G11" i="84"/>
  <c r="L11" i="84" s="1"/>
  <c r="S10" i="84" s="1"/>
  <c r="EJ9" i="21" s="1"/>
  <c r="O12" i="57" s="1"/>
  <c r="I9" i="76"/>
  <c r="DD8" i="21" s="1"/>
  <c r="DD48" i="21" s="1"/>
  <c r="I9" i="84"/>
  <c r="H70" i="84" s="1"/>
  <c r="J69" i="84" s="1"/>
  <c r="DM19" i="21" s="1"/>
  <c r="D30" i="106"/>
  <c r="O30" i="106" s="1"/>
  <c r="G11" i="91"/>
  <c r="O11" i="91" s="1"/>
  <c r="T10" i="91" s="1"/>
  <c r="G11" i="106"/>
  <c r="O11" i="106" s="1"/>
  <c r="G11" i="76"/>
  <c r="L11" i="76" s="1"/>
  <c r="S10" i="76" s="1"/>
  <c r="EA9" i="21" s="1"/>
  <c r="K12" i="57" s="1"/>
  <c r="G11" i="80"/>
  <c r="L11" i="80" s="1"/>
  <c r="S10" i="80" s="1"/>
  <c r="EF9" i="21" s="1"/>
  <c r="G11" i="103"/>
  <c r="I11" i="103" s="1"/>
  <c r="G11" i="71"/>
  <c r="I11" i="71" s="1"/>
  <c r="R10" i="71" s="1"/>
  <c r="CY9" i="21" s="1"/>
  <c r="CY11" i="21" s="1"/>
  <c r="G11" i="86"/>
  <c r="O11" i="86" s="1"/>
  <c r="T10" i="86" s="1"/>
  <c r="FH9" i="21" s="1"/>
  <c r="O10" i="87"/>
  <c r="O10" i="80"/>
  <c r="G11" i="75"/>
  <c r="O11" i="75" s="1"/>
  <c r="T10" i="75" s="1"/>
  <c r="EW9" i="21" s="1"/>
  <c r="G11" i="83"/>
  <c r="I11" i="83" s="1"/>
  <c r="R10" i="83" s="1"/>
  <c r="DL9" i="21" s="1"/>
  <c r="G11" i="89"/>
  <c r="O11" i="89" s="1"/>
  <c r="I10" i="87"/>
  <c r="O9" i="84"/>
  <c r="FG8" i="21" s="1"/>
  <c r="FG48" i="21" s="1"/>
  <c r="G11" i="105"/>
  <c r="O11" i="105" s="1"/>
  <c r="G11" i="74"/>
  <c r="I11" i="74" s="1"/>
  <c r="G11" i="85"/>
  <c r="I11" i="85" s="1"/>
  <c r="R10" i="85" s="1"/>
  <c r="DO9" i="21" s="1"/>
  <c r="O9" i="76"/>
  <c r="EX8" i="21" s="1"/>
  <c r="EX48" i="21" s="1"/>
  <c r="L9" i="84"/>
  <c r="EJ8" i="21" s="1"/>
  <c r="O11" i="57" s="1"/>
  <c r="I9" i="101"/>
  <c r="J7" i="101" s="1"/>
  <c r="EJ7" i="21"/>
  <c r="O10" i="57" s="1"/>
  <c r="G11" i="73"/>
  <c r="L11" i="73" s="1"/>
  <c r="S10" i="73" s="1"/>
  <c r="DX9" i="21" s="1"/>
  <c r="G11" i="70"/>
  <c r="I11" i="70" s="1"/>
  <c r="G11" i="78"/>
  <c r="O11" i="78" s="1"/>
  <c r="T10" i="78" s="1"/>
  <c r="EZ9" i="21" s="1"/>
  <c r="G11" i="81"/>
  <c r="I11" i="81" s="1"/>
  <c r="R10" i="81" s="1"/>
  <c r="DJ9" i="21" s="1"/>
  <c r="G11" i="87"/>
  <c r="O11" i="87" s="1"/>
  <c r="G11" i="90"/>
  <c r="I11" i="90" s="1"/>
  <c r="P7" i="101"/>
  <c r="G11" i="101"/>
  <c r="L11" i="101" s="1"/>
  <c r="S10" i="101" s="1"/>
  <c r="EX7" i="21"/>
  <c r="G11" i="77"/>
  <c r="L11" i="77" s="1"/>
  <c r="G11" i="72"/>
  <c r="L11" i="72" s="1"/>
  <c r="S10" i="72" s="1"/>
  <c r="DW9" i="21" s="1"/>
  <c r="DW11" i="21" s="1"/>
  <c r="G11" i="79"/>
  <c r="O11" i="79" s="1"/>
  <c r="T10" i="79" s="1"/>
  <c r="FA9" i="21" s="1"/>
  <c r="G11" i="82"/>
  <c r="L11" i="82" s="1"/>
  <c r="FK9" i="21"/>
  <c r="L9" i="76"/>
  <c r="EA8" i="21" s="1"/>
  <c r="K11" i="57" s="1"/>
  <c r="G11" i="104"/>
  <c r="O11" i="104" s="1"/>
  <c r="L9" i="101"/>
  <c r="M7" i="101" s="1"/>
  <c r="DQ8" i="21"/>
  <c r="DQ48" i="21" s="1"/>
  <c r="L9" i="75"/>
  <c r="DZ8" i="21" s="1"/>
  <c r="DZ48" i="21" s="1"/>
  <c r="O9" i="83"/>
  <c r="FF8" i="21" s="1"/>
  <c r="FF48" i="21" s="1"/>
  <c r="DG7" i="21"/>
  <c r="L9" i="80"/>
  <c r="EF8" i="21" s="1"/>
  <c r="EI7" i="21"/>
  <c r="N10" i="57" s="1"/>
  <c r="FE7" i="21"/>
  <c r="O9" i="80"/>
  <c r="FC8" i="21" s="1"/>
  <c r="FC48" i="21" s="1"/>
  <c r="DZ7" i="21"/>
  <c r="I9" i="80"/>
  <c r="DI8" i="21" s="1"/>
  <c r="DI48" i="21" s="1"/>
  <c r="I9" i="75"/>
  <c r="DC8" i="21" s="1"/>
  <c r="DC48" i="21" s="1"/>
  <c r="I9" i="82"/>
  <c r="DK8" i="21" s="1"/>
  <c r="DK48" i="21" s="1"/>
  <c r="L9" i="83"/>
  <c r="EI8" i="21" s="1"/>
  <c r="F53" i="67"/>
  <c r="H53" i="67" s="1"/>
  <c r="H56" i="67" s="1"/>
  <c r="L9" i="79"/>
  <c r="ED8" i="21" s="1"/>
  <c r="I9" i="83"/>
  <c r="DL8" i="21" s="1"/>
  <c r="DL48" i="21" s="1"/>
  <c r="D32" i="106"/>
  <c r="I32" i="106" s="1"/>
  <c r="FF7" i="21"/>
  <c r="EG7" i="21"/>
  <c r="P10" i="57" s="1"/>
  <c r="ED7" i="21"/>
  <c r="L9" i="81"/>
  <c r="EG8" i="21" s="1"/>
  <c r="P11" i="57" s="1"/>
  <c r="FK7" i="21"/>
  <c r="DJ7" i="21"/>
  <c r="DK7" i="21"/>
  <c r="O9" i="79"/>
  <c r="FA8" i="21" s="1"/>
  <c r="FA48" i="21" s="1"/>
  <c r="O9" i="81"/>
  <c r="FD8" i="21" s="1"/>
  <c r="EN7" i="21"/>
  <c r="I9" i="81"/>
  <c r="DJ8" i="21" s="1"/>
  <c r="DJ48" i="21" s="1"/>
  <c r="EH7" i="21"/>
  <c r="M10" i="57" s="1"/>
  <c r="FA7" i="21"/>
  <c r="FK8" i="21"/>
  <c r="FK48" i="21" s="1"/>
  <c r="L9" i="82"/>
  <c r="EH8" i="21" s="1"/>
  <c r="EN8" i="21"/>
  <c r="EN48" i="21" s="1"/>
  <c r="D31" i="70"/>
  <c r="I10" i="80"/>
  <c r="D30" i="104"/>
  <c r="I30" i="104" s="1"/>
  <c r="D32" i="70"/>
  <c r="O32" i="70" s="1"/>
  <c r="D33" i="103"/>
  <c r="O33" i="103" s="1"/>
  <c r="D33" i="70"/>
  <c r="O33" i="70" s="1"/>
  <c r="G26" i="79"/>
  <c r="G25" i="79"/>
  <c r="G26" i="86"/>
  <c r="G25" i="86"/>
  <c r="G25" i="91"/>
  <c r="G26" i="91"/>
  <c r="G36" i="81"/>
  <c r="G37" i="81"/>
  <c r="G38" i="81"/>
  <c r="G40" i="81"/>
  <c r="G41" i="81"/>
  <c r="G39" i="81"/>
  <c r="G42" i="81"/>
  <c r="G38" i="75"/>
  <c r="G36" i="75"/>
  <c r="G40" i="75"/>
  <c r="G41" i="75"/>
  <c r="G42" i="75"/>
  <c r="G39" i="75"/>
  <c r="G37" i="75"/>
  <c r="G37" i="76"/>
  <c r="G42" i="76"/>
  <c r="G36" i="76"/>
  <c r="G39" i="76"/>
  <c r="G40" i="76"/>
  <c r="G38" i="76"/>
  <c r="G41" i="76"/>
  <c r="D31" i="84"/>
  <c r="D31" i="85"/>
  <c r="D31" i="86"/>
  <c r="D31" i="87"/>
  <c r="D31" i="91"/>
  <c r="D31" i="83"/>
  <c r="D31" i="89"/>
  <c r="D31" i="82"/>
  <c r="D31" i="90"/>
  <c r="D31" i="77"/>
  <c r="D31" i="81"/>
  <c r="D31" i="78"/>
  <c r="D31" i="74"/>
  <c r="D31" i="76"/>
  <c r="D31" i="80"/>
  <c r="D31" i="75"/>
  <c r="D31" i="79"/>
  <c r="D31" i="73"/>
  <c r="D31" i="71"/>
  <c r="D31" i="72"/>
  <c r="D33" i="102"/>
  <c r="I33" i="102" s="1"/>
  <c r="D29" i="101"/>
  <c r="O29" i="101" s="1"/>
  <c r="G26" i="73"/>
  <c r="G25" i="73"/>
  <c r="G25" i="74"/>
  <c r="G26" i="74"/>
  <c r="G25" i="84"/>
  <c r="G26" i="84"/>
  <c r="G41" i="74"/>
  <c r="G40" i="74"/>
  <c r="G37" i="74"/>
  <c r="G36" i="74"/>
  <c r="G39" i="74"/>
  <c r="G42" i="74"/>
  <c r="G38" i="74"/>
  <c r="G42" i="83"/>
  <c r="G39" i="83"/>
  <c r="G40" i="83"/>
  <c r="G41" i="83"/>
  <c r="G38" i="83"/>
  <c r="G37" i="83"/>
  <c r="G36" i="83"/>
  <c r="G42" i="87"/>
  <c r="G37" i="87"/>
  <c r="G40" i="87"/>
  <c r="G41" i="87"/>
  <c r="G39" i="87"/>
  <c r="G38" i="87"/>
  <c r="G36" i="87"/>
  <c r="D33" i="105"/>
  <c r="L33" i="105" s="1"/>
  <c r="D31" i="103"/>
  <c r="L31" i="103" s="1"/>
  <c r="D31" i="106"/>
  <c r="I31" i="106" s="1"/>
  <c r="D32" i="103"/>
  <c r="I32" i="103" s="1"/>
  <c r="G25" i="71"/>
  <c r="G26" i="71"/>
  <c r="G26" i="81"/>
  <c r="G25" i="81"/>
  <c r="G25" i="78"/>
  <c r="G26" i="78"/>
  <c r="G26" i="83"/>
  <c r="G25" i="83"/>
  <c r="G41" i="71"/>
  <c r="G37" i="71"/>
  <c r="G38" i="71"/>
  <c r="G36" i="71"/>
  <c r="G42" i="71"/>
  <c r="G40" i="71"/>
  <c r="G39" i="71"/>
  <c r="G36" i="77"/>
  <c r="G40" i="77"/>
  <c r="G42" i="77"/>
  <c r="G41" i="77"/>
  <c r="G38" i="77"/>
  <c r="G37" i="77"/>
  <c r="G39" i="77"/>
  <c r="G39" i="79"/>
  <c r="G38" i="79"/>
  <c r="G40" i="79"/>
  <c r="G41" i="79"/>
  <c r="G37" i="79"/>
  <c r="G36" i="79"/>
  <c r="G42" i="79"/>
  <c r="G42" i="91"/>
  <c r="G37" i="91"/>
  <c r="G39" i="91"/>
  <c r="G38" i="91"/>
  <c r="G36" i="91"/>
  <c r="G41" i="91"/>
  <c r="G40" i="91"/>
  <c r="G42" i="86"/>
  <c r="G37" i="86"/>
  <c r="G41" i="86"/>
  <c r="G39" i="86"/>
  <c r="G36" i="86"/>
  <c r="G40" i="86"/>
  <c r="G38" i="86"/>
  <c r="G39" i="82"/>
  <c r="G37" i="82"/>
  <c r="G36" i="82"/>
  <c r="G38" i="82"/>
  <c r="G42" i="82"/>
  <c r="G41" i="82"/>
  <c r="G40" i="82"/>
  <c r="D33" i="84"/>
  <c r="D33" i="85"/>
  <c r="D33" i="87"/>
  <c r="D33" i="83"/>
  <c r="D33" i="89"/>
  <c r="D33" i="86"/>
  <c r="D33" i="91"/>
  <c r="D33" i="90"/>
  <c r="D33" i="82"/>
  <c r="D33" i="75"/>
  <c r="D33" i="79"/>
  <c r="D33" i="77"/>
  <c r="D33" i="81"/>
  <c r="D33" i="78"/>
  <c r="D33" i="74"/>
  <c r="D33" i="73"/>
  <c r="D33" i="76"/>
  <c r="D33" i="80"/>
  <c r="D33" i="71"/>
  <c r="D33" i="72"/>
  <c r="G26" i="76"/>
  <c r="G25" i="76"/>
  <c r="G41" i="84"/>
  <c r="G37" i="84"/>
  <c r="G39" i="84"/>
  <c r="G40" i="84"/>
  <c r="G38" i="84"/>
  <c r="G36" i="84"/>
  <c r="G42" i="84"/>
  <c r="D31" i="102"/>
  <c r="O31" i="102" s="1"/>
  <c r="D32" i="83"/>
  <c r="D32" i="82"/>
  <c r="D32" i="84"/>
  <c r="D32" i="85"/>
  <c r="D32" i="86"/>
  <c r="D32" i="87"/>
  <c r="D32" i="90"/>
  <c r="D32" i="89"/>
  <c r="D32" i="91"/>
  <c r="D32" i="76"/>
  <c r="D32" i="80"/>
  <c r="D32" i="77"/>
  <c r="D32" i="81"/>
  <c r="D32" i="75"/>
  <c r="D32" i="79"/>
  <c r="D32" i="78"/>
  <c r="D32" i="74"/>
  <c r="D32" i="73"/>
  <c r="D32" i="72"/>
  <c r="D32" i="71"/>
  <c r="G25" i="75"/>
  <c r="G26" i="75"/>
  <c r="G25" i="90"/>
  <c r="G26" i="90"/>
  <c r="G26" i="85"/>
  <c r="G25" i="85"/>
  <c r="G38" i="80"/>
  <c r="G39" i="80"/>
  <c r="G36" i="80"/>
  <c r="G41" i="80"/>
  <c r="G42" i="80"/>
  <c r="G40" i="80"/>
  <c r="G37" i="80"/>
  <c r="G39" i="90"/>
  <c r="G42" i="90"/>
  <c r="G37" i="90"/>
  <c r="G40" i="90"/>
  <c r="G38" i="90"/>
  <c r="G36" i="90"/>
  <c r="G41" i="90"/>
  <c r="D31" i="101"/>
  <c r="O31" i="101" s="1"/>
  <c r="D33" i="104"/>
  <c r="O33" i="104" s="1"/>
  <c r="D31" i="105"/>
  <c r="L31" i="105" s="1"/>
  <c r="D32" i="104"/>
  <c r="L32" i="104" s="1"/>
  <c r="D32" i="102"/>
  <c r="I32" i="102" s="1"/>
  <c r="D30" i="103"/>
  <c r="I30" i="103" s="1"/>
  <c r="D30" i="82"/>
  <c r="D30" i="91"/>
  <c r="D30" i="85"/>
  <c r="D30" i="90"/>
  <c r="D30" i="89"/>
  <c r="D30" i="84"/>
  <c r="D30" i="83"/>
  <c r="D30" i="86"/>
  <c r="D30" i="87"/>
  <c r="D30" i="76"/>
  <c r="D30" i="80"/>
  <c r="D30" i="78"/>
  <c r="D30" i="75"/>
  <c r="D30" i="79"/>
  <c r="D30" i="77"/>
  <c r="D30" i="81"/>
  <c r="D30" i="73"/>
  <c r="D30" i="71"/>
  <c r="I30" i="71" s="1"/>
  <c r="D30" i="72"/>
  <c r="G25" i="72"/>
  <c r="G26" i="72"/>
  <c r="G26" i="77"/>
  <c r="G25" i="77"/>
  <c r="G26" i="80"/>
  <c r="G25" i="80"/>
  <c r="G25" i="82"/>
  <c r="G26" i="82"/>
  <c r="G25" i="87"/>
  <c r="G26" i="87"/>
  <c r="G25" i="89"/>
  <c r="G26" i="89"/>
  <c r="G40" i="72"/>
  <c r="G42" i="72"/>
  <c r="G37" i="72"/>
  <c r="G36" i="72"/>
  <c r="G39" i="72"/>
  <c r="G41" i="72"/>
  <c r="G38" i="72"/>
  <c r="G39" i="73"/>
  <c r="G38" i="73"/>
  <c r="G37" i="73"/>
  <c r="G41" i="73"/>
  <c r="G36" i="73"/>
  <c r="G40" i="73"/>
  <c r="G42" i="73"/>
  <c r="G42" i="78"/>
  <c r="G36" i="78"/>
  <c r="G39" i="78"/>
  <c r="G37" i="78"/>
  <c r="G38" i="78"/>
  <c r="G40" i="78"/>
  <c r="G41" i="78"/>
  <c r="G37" i="89"/>
  <c r="G41" i="89"/>
  <c r="G39" i="89"/>
  <c r="G40" i="89"/>
  <c r="G36" i="89"/>
  <c r="G42" i="89"/>
  <c r="G38" i="89"/>
  <c r="G39" i="85"/>
  <c r="G42" i="85"/>
  <c r="G37" i="85"/>
  <c r="G36" i="85"/>
  <c r="G41" i="85"/>
  <c r="G40" i="85"/>
  <c r="G38" i="85"/>
  <c r="DK64" i="21"/>
  <c r="EI64" i="21"/>
  <c r="DF64" i="21"/>
  <c r="DC64" i="21"/>
  <c r="DG48" i="21"/>
  <c r="EN64" i="21"/>
  <c r="DG64" i="21"/>
  <c r="M17" i="20" s="1"/>
  <c r="DJ64" i="21"/>
  <c r="V14" i="20"/>
  <c r="DI64" i="21"/>
  <c r="DB64" i="21"/>
  <c r="EB18" i="21"/>
  <c r="DQ64" i="21"/>
  <c r="DP64" i="21"/>
  <c r="R19" i="90"/>
  <c r="DR64" i="21"/>
  <c r="DL64" i="21"/>
  <c r="DM64" i="21"/>
  <c r="T19" i="89"/>
  <c r="N70" i="82"/>
  <c r="P69" i="82" s="1"/>
  <c r="H70" i="79"/>
  <c r="J69" i="79" s="1"/>
  <c r="EN27" i="21"/>
  <c r="D28" i="101"/>
  <c r="O28" i="101" s="1"/>
  <c r="D30" i="70"/>
  <c r="D30" i="102"/>
  <c r="O30" i="102" s="1"/>
  <c r="D30" i="101"/>
  <c r="G66" i="103"/>
  <c r="G67" i="103"/>
  <c r="G65" i="103"/>
  <c r="G38" i="105"/>
  <c r="G41" i="105"/>
  <c r="G36" i="105"/>
  <c r="G39" i="105"/>
  <c r="G42" i="105"/>
  <c r="G40" i="105"/>
  <c r="G37" i="105"/>
  <c r="G67" i="105"/>
  <c r="G66" i="105"/>
  <c r="G65" i="105"/>
  <c r="G42" i="103"/>
  <c r="G37" i="103"/>
  <c r="G39" i="103"/>
  <c r="G36" i="103"/>
  <c r="G41" i="103"/>
  <c r="G40" i="103"/>
  <c r="G38" i="103"/>
  <c r="G66" i="106"/>
  <c r="G65" i="106"/>
  <c r="G67" i="106"/>
  <c r="G38" i="70"/>
  <c r="G40" i="70"/>
  <c r="G39" i="70"/>
  <c r="G36" i="70"/>
  <c r="G37" i="70"/>
  <c r="G41" i="70"/>
  <c r="G42" i="70"/>
  <c r="G24" i="101"/>
  <c r="G23" i="101"/>
  <c r="O74" i="101"/>
  <c r="I73" i="101"/>
  <c r="O73" i="101"/>
  <c r="L73" i="101"/>
  <c r="I74" i="101"/>
  <c r="L74" i="101"/>
  <c r="I75" i="103"/>
  <c r="O74" i="103"/>
  <c r="I74" i="103"/>
  <c r="L74" i="103"/>
  <c r="L75" i="103"/>
  <c r="O75" i="103"/>
  <c r="I75" i="102"/>
  <c r="O74" i="102"/>
  <c r="L75" i="102"/>
  <c r="O75" i="102"/>
  <c r="L74" i="102"/>
  <c r="I74" i="102"/>
  <c r="G25" i="105"/>
  <c r="G26" i="105"/>
  <c r="G26" i="103"/>
  <c r="G25" i="103"/>
  <c r="L75" i="106"/>
  <c r="I75" i="106"/>
  <c r="O74" i="106"/>
  <c r="O75" i="106"/>
  <c r="L74" i="106"/>
  <c r="I74" i="106"/>
  <c r="I74" i="104"/>
  <c r="L74" i="104"/>
  <c r="O74" i="104"/>
  <c r="L75" i="104"/>
  <c r="O75" i="104"/>
  <c r="I75" i="104"/>
  <c r="G42" i="104"/>
  <c r="G39" i="104"/>
  <c r="G41" i="104"/>
  <c r="G37" i="104"/>
  <c r="G40" i="104"/>
  <c r="G36" i="104"/>
  <c r="G38" i="104"/>
  <c r="G65" i="101"/>
  <c r="G66" i="101"/>
  <c r="G64" i="101"/>
  <c r="G34" i="101"/>
  <c r="G36" i="101"/>
  <c r="G37" i="101"/>
  <c r="G41" i="101"/>
  <c r="G38" i="101"/>
  <c r="G35" i="101"/>
  <c r="G39" i="101"/>
  <c r="G40" i="101"/>
  <c r="G66" i="104"/>
  <c r="G65" i="104"/>
  <c r="G67" i="104"/>
  <c r="J22" i="63"/>
  <c r="M22" i="63" s="1"/>
  <c r="O19" i="63" s="1"/>
  <c r="J35" i="63"/>
  <c r="M35" i="63" s="1"/>
  <c r="J34" i="63"/>
  <c r="J15" i="63"/>
  <c r="J36" i="63"/>
  <c r="J12" i="63"/>
  <c r="J14" i="63"/>
  <c r="M14" i="63" s="1"/>
  <c r="J23" i="63"/>
  <c r="J13" i="63"/>
  <c r="J30" i="63"/>
  <c r="J11" i="63"/>
  <c r="J28" i="63"/>
  <c r="J24" i="63"/>
  <c r="J29" i="63"/>
  <c r="G25" i="106"/>
  <c r="G26" i="106"/>
  <c r="M19" i="75"/>
  <c r="J19" i="75"/>
  <c r="P19" i="75"/>
  <c r="O74" i="105"/>
  <c r="L75" i="105"/>
  <c r="L74" i="105"/>
  <c r="I75" i="105"/>
  <c r="O75" i="105"/>
  <c r="I74" i="105"/>
  <c r="G66" i="102"/>
  <c r="G65" i="102"/>
  <c r="G67" i="102"/>
  <c r="G39" i="106"/>
  <c r="G37" i="106"/>
  <c r="G42" i="106"/>
  <c r="G36" i="106"/>
  <c r="G40" i="106"/>
  <c r="G38" i="106"/>
  <c r="G41" i="106"/>
  <c r="G39" i="102"/>
  <c r="G38" i="102"/>
  <c r="G42" i="102"/>
  <c r="G37" i="102"/>
  <c r="G36" i="102"/>
  <c r="G40" i="102"/>
  <c r="G41" i="102"/>
  <c r="M67" i="101"/>
  <c r="P67" i="101"/>
  <c r="J67" i="101"/>
  <c r="G25" i="70"/>
  <c r="G26" i="70"/>
  <c r="G25" i="104"/>
  <c r="G26" i="104"/>
  <c r="G25" i="102"/>
  <c r="G26" i="102"/>
  <c r="P7" i="82"/>
  <c r="M93" i="20"/>
  <c r="M127" i="20"/>
  <c r="M117" i="20"/>
  <c r="N41" i="58"/>
  <c r="P7" i="91"/>
  <c r="J7" i="79"/>
  <c r="N42" i="58"/>
  <c r="O127" i="20"/>
  <c r="O93" i="20"/>
  <c r="O117" i="20"/>
  <c r="J52" i="26"/>
  <c r="P52" i="26"/>
  <c r="M52" i="26"/>
  <c r="M52" i="27"/>
  <c r="P52" i="27"/>
  <c r="J52" i="27"/>
  <c r="P52" i="35"/>
  <c r="M52" i="35"/>
  <c r="J52" i="35"/>
  <c r="EO64" i="21" l="1"/>
  <c r="T19" i="90"/>
  <c r="FL37" i="21" s="1"/>
  <c r="FL55" i="21" s="1"/>
  <c r="FL56" i="21" s="1"/>
  <c r="EU64" i="21"/>
  <c r="DX64" i="21"/>
  <c r="DU64" i="21"/>
  <c r="ER64" i="21"/>
  <c r="FA64" i="21"/>
  <c r="DS37" i="21"/>
  <c r="DS55" i="21" s="1"/>
  <c r="DS56" i="21" s="1"/>
  <c r="S19" i="90"/>
  <c r="EO37" i="21" s="1"/>
  <c r="EO55" i="21" s="1"/>
  <c r="EO56" i="21" s="1"/>
  <c r="EV64" i="21"/>
  <c r="EC64" i="21"/>
  <c r="FL64" i="21"/>
  <c r="EM64" i="21"/>
  <c r="EW64" i="21"/>
  <c r="DZ64" i="21"/>
  <c r="DY64" i="21"/>
  <c r="E11" i="57"/>
  <c r="L11" i="57"/>
  <c r="L32" i="105"/>
  <c r="E10" i="57"/>
  <c r="L10" i="57"/>
  <c r="EH48" i="21"/>
  <c r="M11" i="57"/>
  <c r="EI48" i="21"/>
  <c r="N11" i="57"/>
  <c r="O33" i="106"/>
  <c r="I33" i="106"/>
  <c r="O30" i="105"/>
  <c r="L30" i="105"/>
  <c r="I30" i="109"/>
  <c r="O30" i="109"/>
  <c r="FD48" i="21"/>
  <c r="T12" i="20"/>
  <c r="S119" i="20" s="1"/>
  <c r="I32" i="105"/>
  <c r="EX64" i="21"/>
  <c r="O31" i="104"/>
  <c r="L31" i="104"/>
  <c r="EP23" i="21"/>
  <c r="EP51" i="21" s="1"/>
  <c r="EP52" i="21" s="1"/>
  <c r="O31" i="70"/>
  <c r="I31" i="70"/>
  <c r="L32" i="109"/>
  <c r="M27" i="109" s="1"/>
  <c r="EE13" i="21" s="1"/>
  <c r="H17" i="57" s="1"/>
  <c r="I32" i="109"/>
  <c r="O32" i="109"/>
  <c r="G46" i="70"/>
  <c r="G55" i="87"/>
  <c r="G53" i="87"/>
  <c r="DR37" i="21"/>
  <c r="DR55" i="21" s="1"/>
  <c r="DR56" i="21" s="1"/>
  <c r="DR23" i="21"/>
  <c r="DR51" i="21" s="1"/>
  <c r="DR52" i="21" s="1"/>
  <c r="FK37" i="21"/>
  <c r="FK55" i="21" s="1"/>
  <c r="FK56" i="21" s="1"/>
  <c r="FK23" i="21"/>
  <c r="FK51" i="21" s="1"/>
  <c r="FK52" i="21" s="1"/>
  <c r="DQ37" i="21"/>
  <c r="DQ55" i="21" s="1"/>
  <c r="DQ56" i="21" s="1"/>
  <c r="DQ23" i="21"/>
  <c r="DQ51" i="21" s="1"/>
  <c r="DQ52" i="21" s="1"/>
  <c r="EN37" i="21"/>
  <c r="EN55" i="21" s="1"/>
  <c r="EN56" i="21" s="1"/>
  <c r="EN23" i="21"/>
  <c r="EN51" i="21" s="1"/>
  <c r="EN52" i="21" s="1"/>
  <c r="L9" i="78"/>
  <c r="EC8" i="21" s="1"/>
  <c r="EC48" i="21" s="1"/>
  <c r="EZ7" i="21"/>
  <c r="I9" i="78"/>
  <c r="DF8" i="21" s="1"/>
  <c r="DF48" i="21" s="1"/>
  <c r="I11" i="102"/>
  <c r="R10" i="102" s="1"/>
  <c r="O11" i="102"/>
  <c r="T10" i="102" s="1"/>
  <c r="G11" i="58"/>
  <c r="EC7" i="21"/>
  <c r="I10" i="58" s="1"/>
  <c r="DF7" i="21"/>
  <c r="EE7" i="21"/>
  <c r="FB7" i="21"/>
  <c r="DH7" i="21"/>
  <c r="G10" i="57"/>
  <c r="EF11" i="21"/>
  <c r="EF48" i="21"/>
  <c r="DH29" i="21"/>
  <c r="EF29" i="21"/>
  <c r="EE29" i="21"/>
  <c r="FB29" i="21"/>
  <c r="O36" i="109"/>
  <c r="L36" i="109"/>
  <c r="I36" i="109"/>
  <c r="L41" i="109"/>
  <c r="I41" i="109"/>
  <c r="O41" i="109"/>
  <c r="L37" i="109"/>
  <c r="O37" i="109"/>
  <c r="I37" i="109"/>
  <c r="L25" i="109"/>
  <c r="O25" i="109"/>
  <c r="I25" i="109"/>
  <c r="L40" i="109"/>
  <c r="I40" i="109"/>
  <c r="O40" i="109"/>
  <c r="J72" i="106"/>
  <c r="I26" i="109"/>
  <c r="L26" i="109"/>
  <c r="M23" i="109" s="1"/>
  <c r="EE12" i="21" s="1"/>
  <c r="H16" i="57" s="1"/>
  <c r="O26" i="109"/>
  <c r="P23" i="109" s="1"/>
  <c r="FB12" i="21" s="1"/>
  <c r="O39" i="109"/>
  <c r="I39" i="109"/>
  <c r="L39" i="109"/>
  <c r="L9" i="109"/>
  <c r="EE8" i="21" s="1"/>
  <c r="H11" i="57" s="1"/>
  <c r="I9" i="109"/>
  <c r="DH8" i="21" s="1"/>
  <c r="O9" i="109"/>
  <c r="FB8" i="21" s="1"/>
  <c r="FB48" i="21" s="1"/>
  <c r="I42" i="109"/>
  <c r="O42" i="109"/>
  <c r="L42" i="109"/>
  <c r="M11" i="63"/>
  <c r="L11" i="109"/>
  <c r="S10" i="109" s="1"/>
  <c r="EE9" i="21" s="1"/>
  <c r="H12" i="57" s="1"/>
  <c r="I11" i="109"/>
  <c r="R10" i="109" s="1"/>
  <c r="DH9" i="21" s="1"/>
  <c r="O11" i="109"/>
  <c r="T10" i="109" s="1"/>
  <c r="FB9" i="21" s="1"/>
  <c r="O38" i="109"/>
  <c r="L38" i="109"/>
  <c r="I38" i="109"/>
  <c r="EA48" i="21"/>
  <c r="G54" i="87"/>
  <c r="O47" i="62"/>
  <c r="O41" i="62"/>
  <c r="O91" i="62"/>
  <c r="O62" i="62"/>
  <c r="O59" i="62"/>
  <c r="O46" i="62"/>
  <c r="G52" i="87" s="1"/>
  <c r="O54" i="62"/>
  <c r="O38" i="62"/>
  <c r="O31" i="62"/>
  <c r="O76" i="62"/>
  <c r="O27" i="62"/>
  <c r="G47" i="86" s="1"/>
  <c r="O42" i="62"/>
  <c r="O29" i="62"/>
  <c r="O25" i="62"/>
  <c r="G47" i="82" s="1"/>
  <c r="O72" i="62"/>
  <c r="O61" i="62"/>
  <c r="O69" i="62"/>
  <c r="O49" i="62"/>
  <c r="O44" i="62"/>
  <c r="O65" i="62"/>
  <c r="O28" i="62"/>
  <c r="O77" i="62"/>
  <c r="O63" i="62"/>
  <c r="O57" i="62"/>
  <c r="O53" i="62"/>
  <c r="O66" i="62"/>
  <c r="O74" i="62"/>
  <c r="G47" i="87" s="1"/>
  <c r="J47" i="87" s="1"/>
  <c r="O56" i="62"/>
  <c r="O40" i="62"/>
  <c r="O26" i="62"/>
  <c r="G50" i="90" s="1"/>
  <c r="O32" i="62"/>
  <c r="O48" i="62"/>
  <c r="O51" i="62"/>
  <c r="O33" i="62"/>
  <c r="G47" i="85" s="1"/>
  <c r="O58" i="62"/>
  <c r="O35" i="62"/>
  <c r="O73" i="62"/>
  <c r="O92" i="62"/>
  <c r="O75" i="62"/>
  <c r="O68" i="62"/>
  <c r="O37" i="62"/>
  <c r="O34" i="62"/>
  <c r="M13" i="63"/>
  <c r="M34" i="63"/>
  <c r="O31" i="63" s="1"/>
  <c r="M12" i="63"/>
  <c r="K29" i="63"/>
  <c r="M29" i="63" s="1"/>
  <c r="M15" i="63"/>
  <c r="P7" i="75"/>
  <c r="H70" i="74"/>
  <c r="J69" i="74" s="1"/>
  <c r="DB19" i="21" s="1"/>
  <c r="N70" i="75"/>
  <c r="P69" i="75" s="1"/>
  <c r="EW19" i="21" s="1"/>
  <c r="EW11" i="21"/>
  <c r="DY48" i="21"/>
  <c r="K70" i="74"/>
  <c r="M69" i="74" s="1"/>
  <c r="DY19" i="21" s="1"/>
  <c r="N70" i="74"/>
  <c r="P69" i="74" s="1"/>
  <c r="EV19" i="21" s="1"/>
  <c r="J7" i="84"/>
  <c r="I11" i="84"/>
  <c r="R10" i="84" s="1"/>
  <c r="DM9" i="21" s="1"/>
  <c r="EB8" i="21"/>
  <c r="EB48" i="21" s="1"/>
  <c r="K70" i="77"/>
  <c r="M69" i="77" s="1"/>
  <c r="EB19" i="21" s="1"/>
  <c r="M7" i="77"/>
  <c r="EY8" i="21"/>
  <c r="EY48" i="21" s="1"/>
  <c r="N70" i="77"/>
  <c r="P69" i="77" s="1"/>
  <c r="EY19" i="21" s="1"/>
  <c r="P7" i="77"/>
  <c r="DE8" i="21"/>
  <c r="DE48" i="21" s="1"/>
  <c r="J7" i="77"/>
  <c r="H70" i="77"/>
  <c r="J69" i="77" s="1"/>
  <c r="DE19" i="21" s="1"/>
  <c r="I11" i="89"/>
  <c r="L11" i="90"/>
  <c r="S10" i="90" s="1"/>
  <c r="EO9" i="21" s="1"/>
  <c r="EO11" i="21" s="1"/>
  <c r="I11" i="91"/>
  <c r="R10" i="91" s="1"/>
  <c r="H10" i="58"/>
  <c r="I11" i="76"/>
  <c r="R10" i="76" s="1"/>
  <c r="DD9" i="21" s="1"/>
  <c r="DD11" i="21" s="1"/>
  <c r="L30" i="106"/>
  <c r="L11" i="71"/>
  <c r="S10" i="71" s="1"/>
  <c r="DV9" i="21" s="1"/>
  <c r="G11" i="57"/>
  <c r="F11" i="58"/>
  <c r="H70" i="101"/>
  <c r="J69" i="101" s="1"/>
  <c r="EG48" i="21"/>
  <c r="O11" i="80"/>
  <c r="T10" i="80" s="1"/>
  <c r="FC9" i="21" s="1"/>
  <c r="FC11" i="21" s="1"/>
  <c r="O11" i="84"/>
  <c r="T10" i="84" s="1"/>
  <c r="FG9" i="21" s="1"/>
  <c r="FG11" i="21" s="1"/>
  <c r="L11" i="78"/>
  <c r="S10" i="78" s="1"/>
  <c r="EC9" i="21" s="1"/>
  <c r="I12" i="58" s="1"/>
  <c r="L11" i="75"/>
  <c r="S10" i="75" s="1"/>
  <c r="DZ9" i="21" s="1"/>
  <c r="DZ11" i="21" s="1"/>
  <c r="O11" i="72"/>
  <c r="T10" i="72" s="1"/>
  <c r="ET9" i="21" s="1"/>
  <c r="ET11" i="21" s="1"/>
  <c r="I30" i="106"/>
  <c r="J27" i="106" s="1"/>
  <c r="I11" i="82"/>
  <c r="R10" i="82" s="1"/>
  <c r="DK9" i="21" s="1"/>
  <c r="DK11" i="21" s="1"/>
  <c r="L11" i="91"/>
  <c r="S10" i="91" s="1"/>
  <c r="L11" i="106"/>
  <c r="S10" i="106" s="1"/>
  <c r="K70" i="101"/>
  <c r="M69" i="101" s="1"/>
  <c r="I11" i="87"/>
  <c r="R10" i="87" s="1"/>
  <c r="DP9" i="21" s="1"/>
  <c r="I11" i="106"/>
  <c r="R10" i="106" s="1"/>
  <c r="P7" i="76"/>
  <c r="O11" i="73"/>
  <c r="T10" i="73" s="1"/>
  <c r="EU9" i="21" s="1"/>
  <c r="EU11" i="21" s="1"/>
  <c r="O11" i="103"/>
  <c r="T10" i="103" s="1"/>
  <c r="L11" i="89"/>
  <c r="O11" i="82"/>
  <c r="T10" i="82" s="1"/>
  <c r="FE9" i="21" s="1"/>
  <c r="FE11" i="21" s="1"/>
  <c r="L11" i="87"/>
  <c r="S10" i="87" s="1"/>
  <c r="EM9" i="21" s="1"/>
  <c r="I11" i="73"/>
  <c r="R10" i="73" s="1"/>
  <c r="DA9" i="21" s="1"/>
  <c r="DA11" i="21" s="1"/>
  <c r="J7" i="76"/>
  <c r="J7" i="82"/>
  <c r="N70" i="76"/>
  <c r="P69" i="76" s="1"/>
  <c r="EX19" i="21" s="1"/>
  <c r="P7" i="80"/>
  <c r="I11" i="86"/>
  <c r="R10" i="86" s="1"/>
  <c r="DN9" i="21" s="1"/>
  <c r="H70" i="76"/>
  <c r="J69" i="76" s="1"/>
  <c r="DD19" i="21" s="1"/>
  <c r="K70" i="76"/>
  <c r="M69" i="76" s="1"/>
  <c r="EA19" i="21" s="1"/>
  <c r="H11" i="58"/>
  <c r="EA11" i="21"/>
  <c r="O11" i="83"/>
  <c r="T10" i="83" s="1"/>
  <c r="FF9" i="21" s="1"/>
  <c r="FF11" i="21" s="1"/>
  <c r="O11" i="70"/>
  <c r="T10" i="70" s="1"/>
  <c r="ER9" i="21" s="1"/>
  <c r="ER11" i="21" s="1"/>
  <c r="I11" i="105"/>
  <c r="R10" i="105" s="1"/>
  <c r="DM8" i="21"/>
  <c r="DM48" i="21" s="1"/>
  <c r="O11" i="76"/>
  <c r="T10" i="76" s="1"/>
  <c r="EX9" i="21" s="1"/>
  <c r="EX11" i="21" s="1"/>
  <c r="L11" i="103"/>
  <c r="S10" i="103" s="1"/>
  <c r="I11" i="78"/>
  <c r="R10" i="78" s="1"/>
  <c r="DF9" i="21" s="1"/>
  <c r="M7" i="76"/>
  <c r="I11" i="80"/>
  <c r="R10" i="80" s="1"/>
  <c r="DI9" i="21" s="1"/>
  <c r="DI11" i="21" s="1"/>
  <c r="N70" i="84"/>
  <c r="P69" i="84" s="1"/>
  <c r="FG19" i="21" s="1"/>
  <c r="O11" i="74"/>
  <c r="T10" i="74" s="1"/>
  <c r="EV9" i="21" s="1"/>
  <c r="EV11" i="21" s="1"/>
  <c r="I11" i="75"/>
  <c r="R10" i="75" s="1"/>
  <c r="DC9" i="21" s="1"/>
  <c r="DC11" i="21" s="1"/>
  <c r="L11" i="86"/>
  <c r="S10" i="86" s="1"/>
  <c r="EK9" i="21" s="1"/>
  <c r="Q12" i="57" s="1"/>
  <c r="M7" i="75"/>
  <c r="DQ19" i="21"/>
  <c r="L11" i="74"/>
  <c r="S10" i="74" s="1"/>
  <c r="DY9" i="21" s="1"/>
  <c r="I11" i="72"/>
  <c r="R10" i="72" s="1"/>
  <c r="CZ9" i="21" s="1"/>
  <c r="CZ11" i="21" s="1"/>
  <c r="P7" i="84"/>
  <c r="O11" i="71"/>
  <c r="T10" i="71" s="1"/>
  <c r="ES9" i="21" s="1"/>
  <c r="ES11" i="21" s="1"/>
  <c r="P7" i="81"/>
  <c r="L11" i="83"/>
  <c r="S10" i="83" s="1"/>
  <c r="EI9" i="21" s="1"/>
  <c r="M7" i="80"/>
  <c r="P7" i="83"/>
  <c r="K70" i="80"/>
  <c r="M69" i="80" s="1"/>
  <c r="EF19" i="21" s="1"/>
  <c r="K70" i="84"/>
  <c r="M69" i="84" s="1"/>
  <c r="EJ19" i="21" s="1"/>
  <c r="O11" i="85"/>
  <c r="T10" i="85" s="1"/>
  <c r="FI9" i="21" s="1"/>
  <c r="O11" i="81"/>
  <c r="T10" i="81" s="1"/>
  <c r="FD9" i="21" s="1"/>
  <c r="FD11" i="21" s="1"/>
  <c r="T10" i="87"/>
  <c r="FJ9" i="21" s="1"/>
  <c r="L11" i="105"/>
  <c r="S10" i="105" s="1"/>
  <c r="L11" i="85"/>
  <c r="S10" i="85" s="1"/>
  <c r="EL9" i="21" s="1"/>
  <c r="O11" i="90"/>
  <c r="EN9" i="21"/>
  <c r="EN11" i="21" s="1"/>
  <c r="L11" i="79"/>
  <c r="S10" i="79" s="1"/>
  <c r="ED9" i="21" s="1"/>
  <c r="ED11" i="21" s="1"/>
  <c r="I11" i="77"/>
  <c r="R10" i="77" s="1"/>
  <c r="DE9" i="21" s="1"/>
  <c r="H70" i="83"/>
  <c r="J69" i="83" s="1"/>
  <c r="DL19" i="21" s="1"/>
  <c r="M7" i="84"/>
  <c r="L11" i="70"/>
  <c r="S10" i="70" s="1"/>
  <c r="DU9" i="21" s="1"/>
  <c r="DU11" i="21" s="1"/>
  <c r="I11" i="104"/>
  <c r="R10" i="104" s="1"/>
  <c r="I11" i="101"/>
  <c r="R10" i="101" s="1"/>
  <c r="EJ48" i="21"/>
  <c r="L11" i="81"/>
  <c r="S10" i="81" s="1"/>
  <c r="EG9" i="21" s="1"/>
  <c r="DQ9" i="21"/>
  <c r="DQ11" i="21" s="1"/>
  <c r="I11" i="79"/>
  <c r="R10" i="79" s="1"/>
  <c r="DG9" i="21" s="1"/>
  <c r="DG11" i="21" s="1"/>
  <c r="O11" i="77"/>
  <c r="T10" i="77" s="1"/>
  <c r="EY9" i="21" s="1"/>
  <c r="L11" i="104"/>
  <c r="S10" i="104" s="1"/>
  <c r="O11" i="101"/>
  <c r="T10" i="101" s="1"/>
  <c r="N70" i="83"/>
  <c r="P69" i="83" s="1"/>
  <c r="FF19" i="21" s="1"/>
  <c r="H70" i="75"/>
  <c r="J69" i="75" s="1"/>
  <c r="DC19" i="21" s="1"/>
  <c r="ED48" i="21"/>
  <c r="J7" i="75"/>
  <c r="N70" i="80"/>
  <c r="P69" i="80" s="1"/>
  <c r="FC19" i="21" s="1"/>
  <c r="K70" i="81"/>
  <c r="M69" i="81" s="1"/>
  <c r="EG19" i="21" s="1"/>
  <c r="H70" i="82"/>
  <c r="J69" i="82" s="1"/>
  <c r="DK19" i="21" s="1"/>
  <c r="K70" i="75"/>
  <c r="M69" i="75" s="1"/>
  <c r="DZ19" i="21" s="1"/>
  <c r="H70" i="81"/>
  <c r="J69" i="81" s="1"/>
  <c r="DJ19" i="21" s="1"/>
  <c r="J7" i="80"/>
  <c r="FA11" i="21"/>
  <c r="K70" i="83"/>
  <c r="M69" i="83" s="1"/>
  <c r="EI19" i="21" s="1"/>
  <c r="M7" i="79"/>
  <c r="O32" i="106"/>
  <c r="M7" i="83"/>
  <c r="FK11" i="21"/>
  <c r="P7" i="79"/>
  <c r="L32" i="106"/>
  <c r="H70" i="80"/>
  <c r="J69" i="80" s="1"/>
  <c r="DI19" i="21" s="1"/>
  <c r="DL11" i="21"/>
  <c r="J7" i="83"/>
  <c r="K70" i="79"/>
  <c r="M69" i="79" s="1"/>
  <c r="ED19" i="21" s="1"/>
  <c r="FK19" i="21"/>
  <c r="EN19" i="21"/>
  <c r="L33" i="104"/>
  <c r="N70" i="79"/>
  <c r="P69" i="79" s="1"/>
  <c r="FA19" i="21" s="1"/>
  <c r="J11" i="57"/>
  <c r="G10" i="58"/>
  <c r="L31" i="70"/>
  <c r="L32" i="70"/>
  <c r="N70" i="81"/>
  <c r="P69" i="81" s="1"/>
  <c r="FD19" i="21" s="1"/>
  <c r="T25" i="20" s="1"/>
  <c r="M7" i="81"/>
  <c r="M7" i="82"/>
  <c r="K70" i="82"/>
  <c r="M69" i="82" s="1"/>
  <c r="EH19" i="21" s="1"/>
  <c r="I31" i="102"/>
  <c r="J7" i="81"/>
  <c r="DJ11" i="21"/>
  <c r="L30" i="104"/>
  <c r="O30" i="104"/>
  <c r="I33" i="103"/>
  <c r="I31" i="103"/>
  <c r="L31" i="106"/>
  <c r="L30" i="103"/>
  <c r="P72" i="104"/>
  <c r="O30" i="103"/>
  <c r="I33" i="104"/>
  <c r="I31" i="105"/>
  <c r="O31" i="106"/>
  <c r="O33" i="102"/>
  <c r="O31" i="105"/>
  <c r="I32" i="70"/>
  <c r="I29" i="101"/>
  <c r="L33" i="103"/>
  <c r="O33" i="105"/>
  <c r="L33" i="70"/>
  <c r="L31" i="101"/>
  <c r="O31" i="103"/>
  <c r="I33" i="70"/>
  <c r="L31" i="102"/>
  <c r="M72" i="106"/>
  <c r="I31" i="101"/>
  <c r="O32" i="102"/>
  <c r="L30" i="102"/>
  <c r="L32" i="102"/>
  <c r="O38" i="85"/>
  <c r="L38" i="85"/>
  <c r="I38" i="85"/>
  <c r="I42" i="89"/>
  <c r="O42" i="89"/>
  <c r="L42" i="89"/>
  <c r="O38" i="78"/>
  <c r="L38" i="78"/>
  <c r="I38" i="78"/>
  <c r="L41" i="73"/>
  <c r="O41" i="73"/>
  <c r="I41" i="73"/>
  <c r="L37" i="72"/>
  <c r="I37" i="72"/>
  <c r="O37" i="72"/>
  <c r="I25" i="82"/>
  <c r="L25" i="82"/>
  <c r="O25" i="82"/>
  <c r="O30" i="72"/>
  <c r="L30" i="72"/>
  <c r="I30" i="72"/>
  <c r="L30" i="77"/>
  <c r="O30" i="77"/>
  <c r="I30" i="77"/>
  <c r="L30" i="87"/>
  <c r="O30" i="87"/>
  <c r="I30" i="87"/>
  <c r="O30" i="82"/>
  <c r="L30" i="82"/>
  <c r="I30" i="82"/>
  <c r="O37" i="80"/>
  <c r="L37" i="80"/>
  <c r="I37" i="80"/>
  <c r="I26" i="85"/>
  <c r="O26" i="85"/>
  <c r="L26" i="85"/>
  <c r="I32" i="74"/>
  <c r="L32" i="74"/>
  <c r="O32" i="74"/>
  <c r="L32" i="91"/>
  <c r="O32" i="91"/>
  <c r="I32" i="91"/>
  <c r="I32" i="82"/>
  <c r="L32" i="82"/>
  <c r="O32" i="82"/>
  <c r="O39" i="84"/>
  <c r="L39" i="84"/>
  <c r="I39" i="84"/>
  <c r="I33" i="76"/>
  <c r="O33" i="76"/>
  <c r="L33" i="76"/>
  <c r="O33" i="81"/>
  <c r="L33" i="81"/>
  <c r="I33" i="81"/>
  <c r="I33" i="86"/>
  <c r="O33" i="86"/>
  <c r="L33" i="86"/>
  <c r="O41" i="82"/>
  <c r="L41" i="82"/>
  <c r="I41" i="82"/>
  <c r="I37" i="82"/>
  <c r="O37" i="82"/>
  <c r="L37" i="82"/>
  <c r="O42" i="86"/>
  <c r="L42" i="86"/>
  <c r="I42" i="86"/>
  <c r="I42" i="79"/>
  <c r="O42" i="79"/>
  <c r="L42" i="79"/>
  <c r="I37" i="77"/>
  <c r="O37" i="77"/>
  <c r="L37" i="77"/>
  <c r="L42" i="71"/>
  <c r="I42" i="71"/>
  <c r="O42" i="71"/>
  <c r="L36" i="83"/>
  <c r="O36" i="83"/>
  <c r="I36" i="83"/>
  <c r="O42" i="74"/>
  <c r="L42" i="74"/>
  <c r="I42" i="74"/>
  <c r="O26" i="74"/>
  <c r="I26" i="74"/>
  <c r="L26" i="74"/>
  <c r="L31" i="73"/>
  <c r="I31" i="73"/>
  <c r="O31" i="73"/>
  <c r="L31" i="77"/>
  <c r="O31" i="77"/>
  <c r="I31" i="77"/>
  <c r="L31" i="87"/>
  <c r="O31" i="87"/>
  <c r="I31" i="87"/>
  <c r="L42" i="76"/>
  <c r="I42" i="76"/>
  <c r="O42" i="76"/>
  <c r="O38" i="75"/>
  <c r="L38" i="75"/>
  <c r="I38" i="75"/>
  <c r="O40" i="81"/>
  <c r="L40" i="81"/>
  <c r="I40" i="81"/>
  <c r="O26" i="91"/>
  <c r="L26" i="91"/>
  <c r="I26" i="91"/>
  <c r="O40" i="85"/>
  <c r="L40" i="85"/>
  <c r="I40" i="85"/>
  <c r="O36" i="89"/>
  <c r="I36" i="89"/>
  <c r="L36" i="89"/>
  <c r="I37" i="78"/>
  <c r="O37" i="78"/>
  <c r="L37" i="78"/>
  <c r="I37" i="73"/>
  <c r="L37" i="73"/>
  <c r="O37" i="73"/>
  <c r="I42" i="72"/>
  <c r="O42" i="72"/>
  <c r="L42" i="72"/>
  <c r="I25" i="80"/>
  <c r="L25" i="80"/>
  <c r="O25" i="80"/>
  <c r="O30" i="71"/>
  <c r="L30" i="71"/>
  <c r="L30" i="80"/>
  <c r="O30" i="80"/>
  <c r="I30" i="80"/>
  <c r="O30" i="86"/>
  <c r="L30" i="86"/>
  <c r="O41" i="90"/>
  <c r="L41" i="90"/>
  <c r="I41" i="90"/>
  <c r="L40" i="80"/>
  <c r="O40" i="80"/>
  <c r="I40" i="80"/>
  <c r="O26" i="90"/>
  <c r="I26" i="90"/>
  <c r="L26" i="90"/>
  <c r="I32" i="77"/>
  <c r="O32" i="77"/>
  <c r="L32" i="77"/>
  <c r="L32" i="86"/>
  <c r="I32" i="86"/>
  <c r="O32" i="86"/>
  <c r="L37" i="84"/>
  <c r="I37" i="84"/>
  <c r="O37" i="84"/>
  <c r="L33" i="72"/>
  <c r="I33" i="72"/>
  <c r="O33" i="72"/>
  <c r="L33" i="73"/>
  <c r="I33" i="73"/>
  <c r="O33" i="73"/>
  <c r="O33" i="90"/>
  <c r="L33" i="90"/>
  <c r="I33" i="90"/>
  <c r="I33" i="89"/>
  <c r="O33" i="89"/>
  <c r="L33" i="89"/>
  <c r="I33" i="84"/>
  <c r="O33" i="84"/>
  <c r="L33" i="84"/>
  <c r="I42" i="82"/>
  <c r="O42" i="82"/>
  <c r="L42" i="82"/>
  <c r="O39" i="86"/>
  <c r="I39" i="86"/>
  <c r="L39" i="86"/>
  <c r="I40" i="91"/>
  <c r="L40" i="91"/>
  <c r="O40" i="91"/>
  <c r="I39" i="91"/>
  <c r="L39" i="91"/>
  <c r="O39" i="91"/>
  <c r="L36" i="79"/>
  <c r="I36" i="79"/>
  <c r="O36" i="79"/>
  <c r="I38" i="79"/>
  <c r="O38" i="79"/>
  <c r="L38" i="79"/>
  <c r="L38" i="77"/>
  <c r="O38" i="77"/>
  <c r="I38" i="77"/>
  <c r="O36" i="77"/>
  <c r="L36" i="77"/>
  <c r="I36" i="77"/>
  <c r="I36" i="71"/>
  <c r="L36" i="71"/>
  <c r="O36" i="71"/>
  <c r="I25" i="83"/>
  <c r="L25" i="83"/>
  <c r="O25" i="83"/>
  <c r="L26" i="78"/>
  <c r="O26" i="78"/>
  <c r="I26" i="78"/>
  <c r="I26" i="71"/>
  <c r="L26" i="71"/>
  <c r="O26" i="71"/>
  <c r="O36" i="87"/>
  <c r="I36" i="87"/>
  <c r="L36" i="87"/>
  <c r="I40" i="87"/>
  <c r="O40" i="87"/>
  <c r="L40" i="87"/>
  <c r="L37" i="83"/>
  <c r="O37" i="83"/>
  <c r="I37" i="83"/>
  <c r="I39" i="83"/>
  <c r="O39" i="83"/>
  <c r="L39" i="83"/>
  <c r="I39" i="74"/>
  <c r="L39" i="74"/>
  <c r="O39" i="74"/>
  <c r="I41" i="74"/>
  <c r="L41" i="74"/>
  <c r="O41" i="74"/>
  <c r="I25" i="74"/>
  <c r="L25" i="74"/>
  <c r="O25" i="74"/>
  <c r="I31" i="79"/>
  <c r="L31" i="79"/>
  <c r="O31" i="79"/>
  <c r="L31" i="74"/>
  <c r="O31" i="74"/>
  <c r="I31" i="74"/>
  <c r="O31" i="90"/>
  <c r="I31" i="90"/>
  <c r="L31" i="90"/>
  <c r="I31" i="86"/>
  <c r="L31" i="86"/>
  <c r="O31" i="86"/>
  <c r="L40" i="76"/>
  <c r="O40" i="76"/>
  <c r="I40" i="76"/>
  <c r="O37" i="76"/>
  <c r="I37" i="76"/>
  <c r="L37" i="76"/>
  <c r="O41" i="75"/>
  <c r="L41" i="75"/>
  <c r="I41" i="75"/>
  <c r="I42" i="81"/>
  <c r="O42" i="81"/>
  <c r="L42" i="81"/>
  <c r="L38" i="81"/>
  <c r="I38" i="81"/>
  <c r="O38" i="81"/>
  <c r="I30" i="102"/>
  <c r="L33" i="102"/>
  <c r="O32" i="104"/>
  <c r="L32" i="103"/>
  <c r="I32" i="104"/>
  <c r="P72" i="106"/>
  <c r="O41" i="85"/>
  <c r="I41" i="85"/>
  <c r="L41" i="85"/>
  <c r="I39" i="85"/>
  <c r="O39" i="85"/>
  <c r="L39" i="85"/>
  <c r="O40" i="89"/>
  <c r="I40" i="89"/>
  <c r="L40" i="89"/>
  <c r="I41" i="78"/>
  <c r="O41" i="78"/>
  <c r="L41" i="78"/>
  <c r="I39" i="78"/>
  <c r="L39" i="78"/>
  <c r="O39" i="78"/>
  <c r="I40" i="73"/>
  <c r="O40" i="73"/>
  <c r="L40" i="73"/>
  <c r="L38" i="73"/>
  <c r="O38" i="73"/>
  <c r="I38" i="73"/>
  <c r="L39" i="72"/>
  <c r="O39" i="72"/>
  <c r="I39" i="72"/>
  <c r="I40" i="72"/>
  <c r="O40" i="72"/>
  <c r="L40" i="72"/>
  <c r="I25" i="87"/>
  <c r="L25" i="87"/>
  <c r="O25" i="87"/>
  <c r="L26" i="80"/>
  <c r="O26" i="80"/>
  <c r="I26" i="80"/>
  <c r="I25" i="72"/>
  <c r="L25" i="72"/>
  <c r="O25" i="72"/>
  <c r="O30" i="73"/>
  <c r="L30" i="73"/>
  <c r="I30" i="73"/>
  <c r="L30" i="75"/>
  <c r="O30" i="75"/>
  <c r="I30" i="75"/>
  <c r="L30" i="76"/>
  <c r="O30" i="76"/>
  <c r="I30" i="76"/>
  <c r="L30" i="83"/>
  <c r="I30" i="83"/>
  <c r="O30" i="83"/>
  <c r="L30" i="85"/>
  <c r="O30" i="85"/>
  <c r="O36" i="90"/>
  <c r="I36" i="90"/>
  <c r="L36" i="90"/>
  <c r="O42" i="90"/>
  <c r="L42" i="90"/>
  <c r="I42" i="90"/>
  <c r="I42" i="80"/>
  <c r="L42" i="80"/>
  <c r="O42" i="80"/>
  <c r="L38" i="80"/>
  <c r="O38" i="80"/>
  <c r="I38" i="80"/>
  <c r="O25" i="90"/>
  <c r="I25" i="90"/>
  <c r="L25" i="90"/>
  <c r="I32" i="72"/>
  <c r="O32" i="72"/>
  <c r="L32" i="72"/>
  <c r="L32" i="79"/>
  <c r="O32" i="79"/>
  <c r="I32" i="79"/>
  <c r="L32" i="80"/>
  <c r="O32" i="80"/>
  <c r="I32" i="80"/>
  <c r="O32" i="90"/>
  <c r="I32" i="90"/>
  <c r="L32" i="90"/>
  <c r="L32" i="85"/>
  <c r="O32" i="85"/>
  <c r="I32" i="85"/>
  <c r="I32" i="83"/>
  <c r="O32" i="83"/>
  <c r="L32" i="83"/>
  <c r="O38" i="84"/>
  <c r="L38" i="84"/>
  <c r="I38" i="84"/>
  <c r="O41" i="84"/>
  <c r="L41" i="84"/>
  <c r="I41" i="84"/>
  <c r="O33" i="74"/>
  <c r="I33" i="74"/>
  <c r="L33" i="74"/>
  <c r="I33" i="79"/>
  <c r="O33" i="79"/>
  <c r="L33" i="79"/>
  <c r="I33" i="91"/>
  <c r="L33" i="91"/>
  <c r="O33" i="91"/>
  <c r="O33" i="83"/>
  <c r="L33" i="83"/>
  <c r="I33" i="83"/>
  <c r="I38" i="82"/>
  <c r="L38" i="82"/>
  <c r="O38" i="82"/>
  <c r="O38" i="86"/>
  <c r="L38" i="86"/>
  <c r="I38" i="86"/>
  <c r="I41" i="86"/>
  <c r="O41" i="86"/>
  <c r="L41" i="86"/>
  <c r="O41" i="91"/>
  <c r="L41" i="91"/>
  <c r="I41" i="91"/>
  <c r="O37" i="91"/>
  <c r="L37" i="91"/>
  <c r="I37" i="91"/>
  <c r="O37" i="79"/>
  <c r="L37" i="79"/>
  <c r="I37" i="79"/>
  <c r="L39" i="79"/>
  <c r="O39" i="79"/>
  <c r="I39" i="79"/>
  <c r="O41" i="77"/>
  <c r="I41" i="77"/>
  <c r="L41" i="77"/>
  <c r="O39" i="71"/>
  <c r="I39" i="71"/>
  <c r="L39" i="71"/>
  <c r="I38" i="71"/>
  <c r="L38" i="71"/>
  <c r="O38" i="71"/>
  <c r="I26" i="83"/>
  <c r="L26" i="83"/>
  <c r="O26" i="83"/>
  <c r="I25" i="78"/>
  <c r="L25" i="78"/>
  <c r="O25" i="78"/>
  <c r="I25" i="71"/>
  <c r="O25" i="71"/>
  <c r="L25" i="71"/>
  <c r="I38" i="87"/>
  <c r="L38" i="87"/>
  <c r="O38" i="87"/>
  <c r="I37" i="87"/>
  <c r="O37" i="87"/>
  <c r="L37" i="87"/>
  <c r="O38" i="83"/>
  <c r="I38" i="83"/>
  <c r="L38" i="83"/>
  <c r="I42" i="83"/>
  <c r="O42" i="83"/>
  <c r="L42" i="83"/>
  <c r="O36" i="74"/>
  <c r="L36" i="74"/>
  <c r="I36" i="74"/>
  <c r="O26" i="84"/>
  <c r="L26" i="84"/>
  <c r="I26" i="84"/>
  <c r="I25" i="73"/>
  <c r="O25" i="73"/>
  <c r="L25" i="73"/>
  <c r="I31" i="72"/>
  <c r="L31" i="72"/>
  <c r="O31" i="72"/>
  <c r="I31" i="75"/>
  <c r="O31" i="75"/>
  <c r="L31" i="75"/>
  <c r="L31" i="78"/>
  <c r="O31" i="78"/>
  <c r="I31" i="78"/>
  <c r="I31" i="82"/>
  <c r="O31" i="82"/>
  <c r="L31" i="82"/>
  <c r="L31" i="91"/>
  <c r="I31" i="91"/>
  <c r="O31" i="91"/>
  <c r="L31" i="85"/>
  <c r="I31" i="85"/>
  <c r="O31" i="85"/>
  <c r="L39" i="76"/>
  <c r="O39" i="76"/>
  <c r="I39" i="76"/>
  <c r="O37" i="75"/>
  <c r="L37" i="75"/>
  <c r="I37" i="75"/>
  <c r="O40" i="75"/>
  <c r="L40" i="75"/>
  <c r="I40" i="75"/>
  <c r="I39" i="81"/>
  <c r="O39" i="81"/>
  <c r="L39" i="81"/>
  <c r="L37" i="81"/>
  <c r="O37" i="81"/>
  <c r="I37" i="81"/>
  <c r="O25" i="86"/>
  <c r="I25" i="86"/>
  <c r="L25" i="86"/>
  <c r="O25" i="79"/>
  <c r="L25" i="79"/>
  <c r="I25" i="79"/>
  <c r="O37" i="85"/>
  <c r="L37" i="85"/>
  <c r="I37" i="85"/>
  <c r="I41" i="89"/>
  <c r="O41" i="89"/>
  <c r="L41" i="89"/>
  <c r="I42" i="78"/>
  <c r="O42" i="78"/>
  <c r="L42" i="78"/>
  <c r="O38" i="72"/>
  <c r="L38" i="72"/>
  <c r="I38" i="72"/>
  <c r="I25" i="89"/>
  <c r="O25" i="89"/>
  <c r="L25" i="89"/>
  <c r="I26" i="77"/>
  <c r="L26" i="77"/>
  <c r="O26" i="77"/>
  <c r="L30" i="78"/>
  <c r="O30" i="78"/>
  <c r="I30" i="78"/>
  <c r="L30" i="89"/>
  <c r="O30" i="89"/>
  <c r="I30" i="89"/>
  <c r="L40" i="90"/>
  <c r="I40" i="90"/>
  <c r="O40" i="90"/>
  <c r="I36" i="80"/>
  <c r="L36" i="80"/>
  <c r="O36" i="80"/>
  <c r="O25" i="75"/>
  <c r="I25" i="75"/>
  <c r="L25" i="75"/>
  <c r="O32" i="81"/>
  <c r="L32" i="81"/>
  <c r="I32" i="81"/>
  <c r="L32" i="87"/>
  <c r="O32" i="87"/>
  <c r="I32" i="87"/>
  <c r="I42" i="84"/>
  <c r="O42" i="84"/>
  <c r="L42" i="84"/>
  <c r="L26" i="76"/>
  <c r="O26" i="76"/>
  <c r="I26" i="76"/>
  <c r="L33" i="82"/>
  <c r="I33" i="82"/>
  <c r="O33" i="82"/>
  <c r="I33" i="85"/>
  <c r="O33" i="85"/>
  <c r="L33" i="85"/>
  <c r="O36" i="86"/>
  <c r="L36" i="86"/>
  <c r="I36" i="86"/>
  <c r="O38" i="91"/>
  <c r="I38" i="91"/>
  <c r="L38" i="91"/>
  <c r="I40" i="79"/>
  <c r="O40" i="79"/>
  <c r="L40" i="79"/>
  <c r="O40" i="77"/>
  <c r="I40" i="77"/>
  <c r="L40" i="77"/>
  <c r="I41" i="71"/>
  <c r="L41" i="71"/>
  <c r="O41" i="71"/>
  <c r="I26" i="81"/>
  <c r="O26" i="81"/>
  <c r="L26" i="81"/>
  <c r="I41" i="87"/>
  <c r="L41" i="87"/>
  <c r="O41" i="87"/>
  <c r="L40" i="83"/>
  <c r="O40" i="83"/>
  <c r="I40" i="83"/>
  <c r="O40" i="74"/>
  <c r="I40" i="74"/>
  <c r="L40" i="74"/>
  <c r="I31" i="76"/>
  <c r="L31" i="76"/>
  <c r="O31" i="76"/>
  <c r="O31" i="83"/>
  <c r="I31" i="83"/>
  <c r="L31" i="83"/>
  <c r="L38" i="76"/>
  <c r="O38" i="76"/>
  <c r="I38" i="76"/>
  <c r="O42" i="75"/>
  <c r="I42" i="75"/>
  <c r="L42" i="75"/>
  <c r="I33" i="105"/>
  <c r="L29" i="101"/>
  <c r="O42" i="85"/>
  <c r="I42" i="85"/>
  <c r="L42" i="85"/>
  <c r="L37" i="89"/>
  <c r="O37" i="89"/>
  <c r="I37" i="89"/>
  <c r="I42" i="73"/>
  <c r="L42" i="73"/>
  <c r="O42" i="73"/>
  <c r="L41" i="72"/>
  <c r="O41" i="72"/>
  <c r="I41" i="72"/>
  <c r="I26" i="87"/>
  <c r="O26" i="87"/>
  <c r="L26" i="87"/>
  <c r="I26" i="72"/>
  <c r="L26" i="72"/>
  <c r="O26" i="72"/>
  <c r="L30" i="79"/>
  <c r="O30" i="79"/>
  <c r="I30" i="79"/>
  <c r="O30" i="90"/>
  <c r="I30" i="90"/>
  <c r="L30" i="90"/>
  <c r="I37" i="90"/>
  <c r="O37" i="90"/>
  <c r="L37" i="90"/>
  <c r="I39" i="80"/>
  <c r="O39" i="80"/>
  <c r="L39" i="80"/>
  <c r="L32" i="78"/>
  <c r="I32" i="78"/>
  <c r="O32" i="78"/>
  <c r="I32" i="89"/>
  <c r="L32" i="89"/>
  <c r="O32" i="89"/>
  <c r="O36" i="84"/>
  <c r="L36" i="84"/>
  <c r="I36" i="84"/>
  <c r="I33" i="77"/>
  <c r="O33" i="77"/>
  <c r="L33" i="77"/>
  <c r="L39" i="82"/>
  <c r="I39" i="82"/>
  <c r="O39" i="82"/>
  <c r="I25" i="91"/>
  <c r="L25" i="91"/>
  <c r="O25" i="91"/>
  <c r="I28" i="101"/>
  <c r="O32" i="103"/>
  <c r="I36" i="85"/>
  <c r="O36" i="85"/>
  <c r="L36" i="85"/>
  <c r="I38" i="89"/>
  <c r="L38" i="89"/>
  <c r="O38" i="89"/>
  <c r="I39" i="89"/>
  <c r="L39" i="89"/>
  <c r="O39" i="89"/>
  <c r="L40" i="78"/>
  <c r="O40" i="78"/>
  <c r="I40" i="78"/>
  <c r="L36" i="78"/>
  <c r="I36" i="78"/>
  <c r="O36" i="78"/>
  <c r="L36" i="73"/>
  <c r="O36" i="73"/>
  <c r="I36" i="73"/>
  <c r="I39" i="73"/>
  <c r="O39" i="73"/>
  <c r="L39" i="73"/>
  <c r="O36" i="72"/>
  <c r="L36" i="72"/>
  <c r="I36" i="72"/>
  <c r="I26" i="89"/>
  <c r="O26" i="89"/>
  <c r="L26" i="89"/>
  <c r="O26" i="82"/>
  <c r="I26" i="82"/>
  <c r="L26" i="82"/>
  <c r="L25" i="77"/>
  <c r="O25" i="77"/>
  <c r="I25" i="77"/>
  <c r="O30" i="81"/>
  <c r="L30" i="81"/>
  <c r="I30" i="81"/>
  <c r="O30" i="74"/>
  <c r="L30" i="74"/>
  <c r="I30" i="74"/>
  <c r="L30" i="84"/>
  <c r="O30" i="84"/>
  <c r="I30" i="84"/>
  <c r="L30" i="91"/>
  <c r="O30" i="91"/>
  <c r="I30" i="91"/>
  <c r="O38" i="90"/>
  <c r="L38" i="90"/>
  <c r="I38" i="90"/>
  <c r="L39" i="90"/>
  <c r="O39" i="90"/>
  <c r="I39" i="90"/>
  <c r="O41" i="80"/>
  <c r="L41" i="80"/>
  <c r="I41" i="80"/>
  <c r="L25" i="85"/>
  <c r="O25" i="85"/>
  <c r="I25" i="85"/>
  <c r="I26" i="75"/>
  <c r="O26" i="75"/>
  <c r="L26" i="75"/>
  <c r="I32" i="73"/>
  <c r="L32" i="73"/>
  <c r="O32" i="73"/>
  <c r="I32" i="75"/>
  <c r="L32" i="75"/>
  <c r="O32" i="75"/>
  <c r="L32" i="76"/>
  <c r="I32" i="76"/>
  <c r="O32" i="76"/>
  <c r="I32" i="84"/>
  <c r="O32" i="84"/>
  <c r="L32" i="84"/>
  <c r="L40" i="84"/>
  <c r="O40" i="84"/>
  <c r="I40" i="84"/>
  <c r="I25" i="76"/>
  <c r="O25" i="76"/>
  <c r="L25" i="76"/>
  <c r="O33" i="80"/>
  <c r="I33" i="80"/>
  <c r="L33" i="80"/>
  <c r="L33" i="78"/>
  <c r="O33" i="78"/>
  <c r="I33" i="78"/>
  <c r="O33" i="75"/>
  <c r="I33" i="75"/>
  <c r="L33" i="75"/>
  <c r="O33" i="87"/>
  <c r="L33" i="87"/>
  <c r="I33" i="87"/>
  <c r="O40" i="82"/>
  <c r="L40" i="82"/>
  <c r="I40" i="82"/>
  <c r="L36" i="82"/>
  <c r="I36" i="82"/>
  <c r="O36" i="82"/>
  <c r="O40" i="86"/>
  <c r="I40" i="86"/>
  <c r="L40" i="86"/>
  <c r="L37" i="86"/>
  <c r="O37" i="86"/>
  <c r="I37" i="86"/>
  <c r="I36" i="91"/>
  <c r="O36" i="91"/>
  <c r="L36" i="91"/>
  <c r="I42" i="91"/>
  <c r="O42" i="91"/>
  <c r="L42" i="91"/>
  <c r="O41" i="79"/>
  <c r="L41" i="79"/>
  <c r="I41" i="79"/>
  <c r="L39" i="77"/>
  <c r="I39" i="77"/>
  <c r="O39" i="77"/>
  <c r="L42" i="77"/>
  <c r="O42" i="77"/>
  <c r="I42" i="77"/>
  <c r="I40" i="71"/>
  <c r="O40" i="71"/>
  <c r="L40" i="71"/>
  <c r="O37" i="71"/>
  <c r="L37" i="71"/>
  <c r="I37" i="71"/>
  <c r="I25" i="81"/>
  <c r="O25" i="81"/>
  <c r="L25" i="81"/>
  <c r="L39" i="87"/>
  <c r="O39" i="87"/>
  <c r="I39" i="87"/>
  <c r="L42" i="87"/>
  <c r="I42" i="87"/>
  <c r="O42" i="87"/>
  <c r="O41" i="83"/>
  <c r="L41" i="83"/>
  <c r="I41" i="83"/>
  <c r="O38" i="74"/>
  <c r="L38" i="74"/>
  <c r="I38" i="74"/>
  <c r="I37" i="74"/>
  <c r="O37" i="74"/>
  <c r="L37" i="74"/>
  <c r="O25" i="84"/>
  <c r="I25" i="84"/>
  <c r="L25" i="84"/>
  <c r="I26" i="73"/>
  <c r="L26" i="73"/>
  <c r="O26" i="73"/>
  <c r="L31" i="80"/>
  <c r="I31" i="80"/>
  <c r="O31" i="80"/>
  <c r="I31" i="81"/>
  <c r="O31" i="81"/>
  <c r="L31" i="81"/>
  <c r="I31" i="89"/>
  <c r="O31" i="89"/>
  <c r="L31" i="89"/>
  <c r="O31" i="84"/>
  <c r="I31" i="84"/>
  <c r="L31" i="84"/>
  <c r="L41" i="76"/>
  <c r="O41" i="76"/>
  <c r="I41" i="76"/>
  <c r="I36" i="76"/>
  <c r="O36" i="76"/>
  <c r="L36" i="76"/>
  <c r="O39" i="75"/>
  <c r="L39" i="75"/>
  <c r="I39" i="75"/>
  <c r="I36" i="75"/>
  <c r="O36" i="75"/>
  <c r="L36" i="75"/>
  <c r="I41" i="81"/>
  <c r="L41" i="81"/>
  <c r="O41" i="81"/>
  <c r="I36" i="81"/>
  <c r="O36" i="81"/>
  <c r="L36" i="81"/>
  <c r="O26" i="86"/>
  <c r="L26" i="86"/>
  <c r="I26" i="86"/>
  <c r="I26" i="79"/>
  <c r="L26" i="79"/>
  <c r="O26" i="79"/>
  <c r="DX11" i="21"/>
  <c r="M72" i="104"/>
  <c r="I11" i="58"/>
  <c r="EJ11" i="21"/>
  <c r="G12" i="58"/>
  <c r="EZ48" i="21"/>
  <c r="EZ11" i="21"/>
  <c r="FE19" i="21"/>
  <c r="Q17" i="20"/>
  <c r="J72" i="102"/>
  <c r="P72" i="102"/>
  <c r="J71" i="101"/>
  <c r="DG19" i="21"/>
  <c r="K17" i="20"/>
  <c r="O17" i="20"/>
  <c r="FM37" i="21"/>
  <c r="FM55" i="21" s="1"/>
  <c r="FM56" i="21" s="1"/>
  <c r="FM23" i="21"/>
  <c r="DS51" i="21"/>
  <c r="DS52" i="21" s="1"/>
  <c r="FK29" i="21"/>
  <c r="FG29" i="21"/>
  <c r="FC29" i="21"/>
  <c r="EX29" i="21"/>
  <c r="ET29" i="21"/>
  <c r="EO29" i="21"/>
  <c r="EK29" i="21"/>
  <c r="EG29" i="21"/>
  <c r="EB29" i="21"/>
  <c r="DX29" i="21"/>
  <c r="DS29" i="21"/>
  <c r="DN29" i="21"/>
  <c r="DJ29" i="21"/>
  <c r="DE29" i="21"/>
  <c r="DA29" i="21"/>
  <c r="FM29" i="21"/>
  <c r="FE29" i="21"/>
  <c r="FJ29" i="21"/>
  <c r="FF29" i="21"/>
  <c r="FA29" i="21"/>
  <c r="EW29" i="21"/>
  <c r="ES29" i="21"/>
  <c r="EN29" i="21"/>
  <c r="EJ29" i="21"/>
  <c r="EA29" i="21"/>
  <c r="DW29" i="21"/>
  <c r="DQ29" i="21"/>
  <c r="DM29" i="21"/>
  <c r="DI29" i="21"/>
  <c r="DD29" i="21"/>
  <c r="CZ29" i="21"/>
  <c r="FI29" i="21"/>
  <c r="EZ29" i="21"/>
  <c r="EY29" i="21"/>
  <c r="EP29" i="21"/>
  <c r="EH29" i="21"/>
  <c r="DY29" i="21"/>
  <c r="DO29" i="21"/>
  <c r="DF29" i="21"/>
  <c r="CX29" i="21"/>
  <c r="FL29" i="21"/>
  <c r="EV29" i="21"/>
  <c r="EM29" i="21"/>
  <c r="ED29" i="21"/>
  <c r="DV29" i="21"/>
  <c r="DL29" i="21"/>
  <c r="DC29" i="21"/>
  <c r="FH29" i="21"/>
  <c r="EU29" i="21"/>
  <c r="EL29" i="21"/>
  <c r="EC29" i="21"/>
  <c r="DU29" i="21"/>
  <c r="DK29" i="21"/>
  <c r="DB29" i="21"/>
  <c r="FD29" i="21"/>
  <c r="ER29" i="21"/>
  <c r="EI29" i="21"/>
  <c r="DZ29" i="21"/>
  <c r="DG29" i="21"/>
  <c r="CY29" i="21"/>
  <c r="DP29" i="21"/>
  <c r="M28" i="63"/>
  <c r="U17" i="20"/>
  <c r="N70" i="78"/>
  <c r="P69" i="78" s="1"/>
  <c r="L28" i="101"/>
  <c r="L30" i="101"/>
  <c r="O30" i="101"/>
  <c r="P25" i="101" s="1"/>
  <c r="I30" i="101"/>
  <c r="P71" i="101"/>
  <c r="I26" i="104"/>
  <c r="O26" i="104"/>
  <c r="L26" i="104"/>
  <c r="L38" i="106"/>
  <c r="I38" i="106"/>
  <c r="O38" i="106"/>
  <c r="I67" i="102"/>
  <c r="O67" i="102"/>
  <c r="L67" i="102"/>
  <c r="I38" i="101"/>
  <c r="L38" i="101"/>
  <c r="O38" i="101"/>
  <c r="L40" i="104"/>
  <c r="I40" i="104"/>
  <c r="O40" i="104"/>
  <c r="L39" i="70"/>
  <c r="O39" i="70"/>
  <c r="I39" i="70"/>
  <c r="O65" i="106"/>
  <c r="L65" i="106"/>
  <c r="I65" i="106"/>
  <c r="L41" i="103"/>
  <c r="O41" i="103"/>
  <c r="I41" i="103"/>
  <c r="L42" i="103"/>
  <c r="O42" i="103"/>
  <c r="I42" i="103"/>
  <c r="I39" i="105"/>
  <c r="O39" i="105"/>
  <c r="L39" i="105"/>
  <c r="L25" i="102"/>
  <c r="O25" i="102"/>
  <c r="I25" i="102"/>
  <c r="O42" i="102"/>
  <c r="I42" i="102"/>
  <c r="L42" i="102"/>
  <c r="O39" i="106"/>
  <c r="I39" i="106"/>
  <c r="L39" i="106"/>
  <c r="O40" i="101"/>
  <c r="I40" i="101"/>
  <c r="L40" i="101"/>
  <c r="I41" i="101"/>
  <c r="L41" i="101"/>
  <c r="O41" i="101"/>
  <c r="I25" i="103"/>
  <c r="L25" i="103"/>
  <c r="O25" i="103"/>
  <c r="O40" i="70"/>
  <c r="L40" i="70"/>
  <c r="I40" i="70"/>
  <c r="I36" i="103"/>
  <c r="L36" i="103"/>
  <c r="O36" i="103"/>
  <c r="L37" i="105"/>
  <c r="O37" i="105"/>
  <c r="I37" i="105"/>
  <c r="O26" i="70"/>
  <c r="L26" i="70"/>
  <c r="I26" i="70"/>
  <c r="O40" i="102"/>
  <c r="I40" i="102"/>
  <c r="L40" i="102"/>
  <c r="I38" i="102"/>
  <c r="O38" i="102"/>
  <c r="L38" i="102"/>
  <c r="I36" i="106"/>
  <c r="L36" i="106"/>
  <c r="O36" i="106"/>
  <c r="M72" i="105"/>
  <c r="L26" i="106"/>
  <c r="O26" i="106"/>
  <c r="I26" i="106"/>
  <c r="L67" i="104"/>
  <c r="O67" i="104"/>
  <c r="I67" i="104"/>
  <c r="I39" i="101"/>
  <c r="L39" i="101"/>
  <c r="O39" i="101"/>
  <c r="L37" i="101"/>
  <c r="O37" i="101"/>
  <c r="I37" i="101"/>
  <c r="O38" i="104"/>
  <c r="I38" i="104"/>
  <c r="L38" i="104"/>
  <c r="O41" i="104"/>
  <c r="L41" i="104"/>
  <c r="I41" i="104"/>
  <c r="J72" i="104"/>
  <c r="I26" i="103"/>
  <c r="O26" i="103"/>
  <c r="L26" i="103"/>
  <c r="L25" i="105"/>
  <c r="O25" i="105"/>
  <c r="I25" i="105"/>
  <c r="M72" i="102"/>
  <c r="J72" i="103"/>
  <c r="O24" i="101"/>
  <c r="I24" i="101"/>
  <c r="L24" i="101"/>
  <c r="O37" i="70"/>
  <c r="I37" i="70"/>
  <c r="L37" i="70"/>
  <c r="L38" i="70"/>
  <c r="I38" i="70"/>
  <c r="O38" i="70"/>
  <c r="L38" i="103"/>
  <c r="I38" i="103"/>
  <c r="O38" i="103"/>
  <c r="I39" i="103"/>
  <c r="O39" i="103"/>
  <c r="L39" i="103"/>
  <c r="L67" i="105"/>
  <c r="O67" i="105"/>
  <c r="I67" i="105"/>
  <c r="O40" i="105"/>
  <c r="I40" i="105"/>
  <c r="L40" i="105"/>
  <c r="I41" i="105"/>
  <c r="O41" i="105"/>
  <c r="L41" i="105"/>
  <c r="I65" i="103"/>
  <c r="L65" i="103"/>
  <c r="O65" i="103"/>
  <c r="I26" i="102"/>
  <c r="O26" i="102"/>
  <c r="L26" i="102"/>
  <c r="O37" i="102"/>
  <c r="L37" i="102"/>
  <c r="I37" i="102"/>
  <c r="I37" i="106"/>
  <c r="O37" i="106"/>
  <c r="L37" i="106"/>
  <c r="P72" i="105"/>
  <c r="O34" i="101"/>
  <c r="L34" i="101"/>
  <c r="I34" i="101"/>
  <c r="O66" i="101"/>
  <c r="L66" i="101"/>
  <c r="I66" i="101"/>
  <c r="I42" i="104"/>
  <c r="O42" i="104"/>
  <c r="L42" i="104"/>
  <c r="L42" i="70"/>
  <c r="O42" i="70"/>
  <c r="I42" i="70"/>
  <c r="L65" i="105"/>
  <c r="O65" i="105"/>
  <c r="I65" i="105"/>
  <c r="L25" i="104"/>
  <c r="I25" i="104"/>
  <c r="O25" i="104"/>
  <c r="I41" i="102"/>
  <c r="O41" i="102"/>
  <c r="L41" i="102"/>
  <c r="I40" i="106"/>
  <c r="O40" i="106"/>
  <c r="L40" i="106"/>
  <c r="L65" i="102"/>
  <c r="I65" i="102"/>
  <c r="O65" i="102"/>
  <c r="I37" i="104"/>
  <c r="L37" i="104"/>
  <c r="O37" i="104"/>
  <c r="L26" i="105"/>
  <c r="I26" i="105"/>
  <c r="O26" i="105"/>
  <c r="M72" i="103"/>
  <c r="L23" i="101"/>
  <c r="I23" i="101"/>
  <c r="O23" i="101"/>
  <c r="I41" i="70"/>
  <c r="L41" i="70"/>
  <c r="O41" i="70"/>
  <c r="I36" i="105"/>
  <c r="L36" i="105"/>
  <c r="O36" i="105"/>
  <c r="I25" i="70"/>
  <c r="O25" i="70"/>
  <c r="L25" i="70"/>
  <c r="O36" i="102"/>
  <c r="I36" i="102"/>
  <c r="L36" i="102"/>
  <c r="O39" i="102"/>
  <c r="I39" i="102"/>
  <c r="L39" i="102"/>
  <c r="L41" i="106"/>
  <c r="I41" i="106"/>
  <c r="O41" i="106"/>
  <c r="O42" i="106"/>
  <c r="L42" i="106"/>
  <c r="I42" i="106"/>
  <c r="J72" i="105"/>
  <c r="M19" i="90"/>
  <c r="I25" i="106"/>
  <c r="O25" i="106"/>
  <c r="L25" i="106"/>
  <c r="I65" i="104"/>
  <c r="O65" i="104"/>
  <c r="L65" i="104"/>
  <c r="O35" i="101"/>
  <c r="I35" i="101"/>
  <c r="L35" i="101"/>
  <c r="O36" i="101"/>
  <c r="I36" i="101"/>
  <c r="L36" i="101"/>
  <c r="L64" i="101"/>
  <c r="O64" i="101"/>
  <c r="I64" i="101"/>
  <c r="L36" i="104"/>
  <c r="O36" i="104"/>
  <c r="I36" i="104"/>
  <c r="I39" i="104"/>
  <c r="L39" i="104"/>
  <c r="O39" i="104"/>
  <c r="P72" i="103"/>
  <c r="M71" i="101"/>
  <c r="M19" i="85"/>
  <c r="I36" i="70"/>
  <c r="O36" i="70"/>
  <c r="L36" i="70"/>
  <c r="L67" i="106"/>
  <c r="I67" i="106"/>
  <c r="O67" i="106"/>
  <c r="I40" i="103"/>
  <c r="O40" i="103"/>
  <c r="L40" i="103"/>
  <c r="L37" i="103"/>
  <c r="I37" i="103"/>
  <c r="O37" i="103"/>
  <c r="O42" i="105"/>
  <c r="I42" i="105"/>
  <c r="L42" i="105"/>
  <c r="L38" i="105"/>
  <c r="O38" i="105"/>
  <c r="I38" i="105"/>
  <c r="L67" i="103"/>
  <c r="I67" i="103"/>
  <c r="O67" i="103"/>
  <c r="T10" i="106"/>
  <c r="T10" i="104"/>
  <c r="T10" i="105"/>
  <c r="R10" i="103"/>
  <c r="S10" i="102"/>
  <c r="T10" i="89"/>
  <c r="FM9" i="21" s="1"/>
  <c r="FM11" i="21" s="1"/>
  <c r="R10" i="70"/>
  <c r="CX9" i="21" s="1"/>
  <c r="CX11" i="21" s="1"/>
  <c r="P7" i="78"/>
  <c r="R10" i="90"/>
  <c r="DR9" i="21" s="1"/>
  <c r="DR11" i="21" s="1"/>
  <c r="S10" i="77"/>
  <c r="EB9" i="21" s="1"/>
  <c r="R10" i="74"/>
  <c r="DB9" i="21" s="1"/>
  <c r="DB11" i="21" s="1"/>
  <c r="J7" i="74"/>
  <c r="S10" i="82"/>
  <c r="EH9" i="21" s="1"/>
  <c r="FL23" i="21" l="1"/>
  <c r="FL51" i="21" s="1"/>
  <c r="FL52" i="21" s="1"/>
  <c r="R10" i="89"/>
  <c r="DS9" i="21" s="1"/>
  <c r="DS11" i="21" s="1"/>
  <c r="EO23" i="21"/>
  <c r="EO51" i="21" s="1"/>
  <c r="EO52" i="21" s="1"/>
  <c r="E11" i="58"/>
  <c r="F10" i="57"/>
  <c r="E10" i="58"/>
  <c r="M27" i="105"/>
  <c r="J50" i="90"/>
  <c r="M50" i="90"/>
  <c r="P50" i="90"/>
  <c r="EG11" i="21"/>
  <c r="P12" i="57"/>
  <c r="F11" i="57"/>
  <c r="EH11" i="21"/>
  <c r="M12" i="57"/>
  <c r="E12" i="57"/>
  <c r="L12" i="57"/>
  <c r="F10" i="58"/>
  <c r="H10" i="57"/>
  <c r="R12" i="57"/>
  <c r="EI11" i="21"/>
  <c r="N12" i="57"/>
  <c r="G52" i="81"/>
  <c r="P52" i="81" s="1"/>
  <c r="P27" i="109"/>
  <c r="FB13" i="21" s="1"/>
  <c r="J27" i="109"/>
  <c r="DH13" i="21" s="1"/>
  <c r="G48" i="86"/>
  <c r="J48" i="86" s="1"/>
  <c r="DF11" i="21"/>
  <c r="H70" i="78"/>
  <c r="J69" i="78" s="1"/>
  <c r="DF19" i="21" s="1"/>
  <c r="J7" i="78"/>
  <c r="M7" i="78"/>
  <c r="I11" i="57"/>
  <c r="K70" i="78"/>
  <c r="M69" i="78" s="1"/>
  <c r="EC19" i="21" s="1"/>
  <c r="J23" i="85"/>
  <c r="DO12" i="21" s="1"/>
  <c r="J52" i="87"/>
  <c r="M52" i="87"/>
  <c r="P52" i="87"/>
  <c r="G48" i="85"/>
  <c r="G49" i="109"/>
  <c r="P49" i="109" s="1"/>
  <c r="G49" i="89"/>
  <c r="G57" i="82"/>
  <c r="G57" i="83"/>
  <c r="G57" i="79"/>
  <c r="G57" i="75"/>
  <c r="G57" i="78"/>
  <c r="G57" i="84"/>
  <c r="G57" i="109"/>
  <c r="G57" i="76"/>
  <c r="G57" i="80"/>
  <c r="G57" i="74"/>
  <c r="G57" i="81"/>
  <c r="G57" i="77"/>
  <c r="G54" i="109"/>
  <c r="G53" i="80"/>
  <c r="G55" i="85"/>
  <c r="G55" i="81"/>
  <c r="G54" i="84"/>
  <c r="G54" i="86"/>
  <c r="G53" i="77"/>
  <c r="G54" i="82"/>
  <c r="G52" i="74"/>
  <c r="G54" i="78"/>
  <c r="G53" i="76"/>
  <c r="G54" i="79"/>
  <c r="G53" i="75"/>
  <c r="G53" i="83"/>
  <c r="G46" i="87"/>
  <c r="P46" i="87" s="1"/>
  <c r="G48" i="87"/>
  <c r="P48" i="87" s="1"/>
  <c r="G50" i="87"/>
  <c r="J47" i="86"/>
  <c r="P47" i="86"/>
  <c r="M47" i="86"/>
  <c r="G50" i="109"/>
  <c r="P50" i="109" s="1"/>
  <c r="G50" i="83"/>
  <c r="G54" i="81"/>
  <c r="G48" i="109"/>
  <c r="M48" i="109" s="1"/>
  <c r="G51" i="109"/>
  <c r="P51" i="109" s="1"/>
  <c r="G51" i="72"/>
  <c r="G50" i="89"/>
  <c r="G52" i="109"/>
  <c r="G54" i="85"/>
  <c r="G50" i="72"/>
  <c r="G52" i="79"/>
  <c r="G51" i="84"/>
  <c r="G51" i="82"/>
  <c r="G52" i="78"/>
  <c r="G53" i="81"/>
  <c r="M53" i="87"/>
  <c r="J53" i="87"/>
  <c r="P53" i="87"/>
  <c r="G55" i="109"/>
  <c r="G55" i="82"/>
  <c r="G53" i="74"/>
  <c r="G54" i="76"/>
  <c r="G54" i="75"/>
  <c r="G54" i="83"/>
  <c r="G56" i="81"/>
  <c r="G55" i="79"/>
  <c r="G55" i="84"/>
  <c r="G55" i="86"/>
  <c r="G55" i="78"/>
  <c r="G55" i="77"/>
  <c r="G54" i="80"/>
  <c r="M47" i="82"/>
  <c r="P47" i="82"/>
  <c r="J47" i="82"/>
  <c r="G51" i="87"/>
  <c r="J51" i="87" s="1"/>
  <c r="P55" i="87"/>
  <c r="M55" i="87"/>
  <c r="J55" i="87"/>
  <c r="H14" i="58"/>
  <c r="J10" i="57"/>
  <c r="J23" i="75"/>
  <c r="DC12" i="21" s="1"/>
  <c r="FB11" i="21"/>
  <c r="P23" i="76"/>
  <c r="EX12" i="21" s="1"/>
  <c r="M23" i="82"/>
  <c r="EH12" i="21" s="1"/>
  <c r="M16" i="57" s="1"/>
  <c r="P23" i="84"/>
  <c r="FG12" i="21" s="1"/>
  <c r="J23" i="109"/>
  <c r="DH12" i="21" s="1"/>
  <c r="I10" i="57"/>
  <c r="DH11" i="21"/>
  <c r="DH48" i="21"/>
  <c r="EE48" i="21"/>
  <c r="EE11" i="21"/>
  <c r="J7" i="109"/>
  <c r="H70" i="109"/>
  <c r="J69" i="109" s="1"/>
  <c r="DH19" i="21" s="1"/>
  <c r="K70" i="109"/>
  <c r="M69" i="109" s="1"/>
  <c r="EE19" i="21" s="1"/>
  <c r="M7" i="109"/>
  <c r="G46" i="109"/>
  <c r="G47" i="109"/>
  <c r="J34" i="109"/>
  <c r="DH14" i="21" s="1"/>
  <c r="M34" i="109"/>
  <c r="EE14" i="21" s="1"/>
  <c r="H18" i="57" s="1"/>
  <c r="P34" i="109"/>
  <c r="FB14" i="21" s="1"/>
  <c r="N70" i="109"/>
  <c r="P69" i="109" s="1"/>
  <c r="FB19" i="21" s="1"/>
  <c r="P7" i="109"/>
  <c r="G51" i="83"/>
  <c r="M51" i="83" s="1"/>
  <c r="G52" i="82"/>
  <c r="P52" i="82" s="1"/>
  <c r="G52" i="84"/>
  <c r="P52" i="84" s="1"/>
  <c r="G53" i="85"/>
  <c r="M53" i="85" s="1"/>
  <c r="G52" i="86"/>
  <c r="G46" i="86"/>
  <c r="M46" i="86" s="1"/>
  <c r="G46" i="85"/>
  <c r="M46" i="85" s="1"/>
  <c r="G47" i="72"/>
  <c r="J47" i="72" s="1"/>
  <c r="G49" i="76"/>
  <c r="P49" i="76" s="1"/>
  <c r="G49" i="78"/>
  <c r="P49" i="78" s="1"/>
  <c r="G49" i="80"/>
  <c r="M49" i="80" s="1"/>
  <c r="G49" i="74"/>
  <c r="M49" i="74" s="1"/>
  <c r="G49" i="73"/>
  <c r="P49" i="73" s="1"/>
  <c r="G47" i="89"/>
  <c r="P47" i="89" s="1"/>
  <c r="G49" i="70"/>
  <c r="J49" i="70" s="1"/>
  <c r="G49" i="75"/>
  <c r="M49" i="75" s="1"/>
  <c r="G49" i="77"/>
  <c r="P49" i="77" s="1"/>
  <c r="G49" i="79"/>
  <c r="M49" i="79" s="1"/>
  <c r="G49" i="81"/>
  <c r="J49" i="81" s="1"/>
  <c r="G49" i="71"/>
  <c r="P49" i="71" s="1"/>
  <c r="G50" i="75"/>
  <c r="M50" i="75" s="1"/>
  <c r="G50" i="77"/>
  <c r="M50" i="77" s="1"/>
  <c r="G50" i="79"/>
  <c r="M50" i="79" s="1"/>
  <c r="G50" i="81"/>
  <c r="J50" i="81" s="1"/>
  <c r="G50" i="71"/>
  <c r="J50" i="71" s="1"/>
  <c r="G50" i="70"/>
  <c r="J50" i="70" s="1"/>
  <c r="G49" i="85"/>
  <c r="J49" i="85" s="1"/>
  <c r="G50" i="76"/>
  <c r="J50" i="76" s="1"/>
  <c r="G50" i="78"/>
  <c r="P50" i="78" s="1"/>
  <c r="G50" i="80"/>
  <c r="M50" i="80" s="1"/>
  <c r="G50" i="82"/>
  <c r="J50" i="82" s="1"/>
  <c r="G50" i="84"/>
  <c r="M50" i="84" s="1"/>
  <c r="G50" i="86"/>
  <c r="J50" i="86" s="1"/>
  <c r="G50" i="74"/>
  <c r="M50" i="74" s="1"/>
  <c r="G50" i="73"/>
  <c r="M50" i="73" s="1"/>
  <c r="G48" i="83"/>
  <c r="M48" i="83" s="1"/>
  <c r="G48" i="72"/>
  <c r="P48" i="72" s="1"/>
  <c r="G49" i="82"/>
  <c r="P49" i="82" s="1"/>
  <c r="G49" i="84"/>
  <c r="M49" i="84" s="1"/>
  <c r="G51" i="86"/>
  <c r="P51" i="86" s="1"/>
  <c r="G52" i="85"/>
  <c r="P52" i="85" s="1"/>
  <c r="G49" i="83"/>
  <c r="G49" i="86"/>
  <c r="P49" i="86" s="1"/>
  <c r="G47" i="83"/>
  <c r="J47" i="83" s="1"/>
  <c r="G48" i="82"/>
  <c r="P48" i="82" s="1"/>
  <c r="G48" i="84"/>
  <c r="J48" i="84" s="1"/>
  <c r="G49" i="87"/>
  <c r="J49" i="87" s="1"/>
  <c r="G47" i="84"/>
  <c r="J47" i="84" s="1"/>
  <c r="G48" i="75"/>
  <c r="P48" i="75" s="1"/>
  <c r="G48" i="77"/>
  <c r="J48" i="77" s="1"/>
  <c r="G48" i="79"/>
  <c r="M48" i="79" s="1"/>
  <c r="G48" i="81"/>
  <c r="P48" i="81" s="1"/>
  <c r="G46" i="82"/>
  <c r="P46" i="82" s="1"/>
  <c r="G46" i="90"/>
  <c r="P46" i="90" s="1"/>
  <c r="G48" i="70"/>
  <c r="M48" i="70" s="1"/>
  <c r="G48" i="76"/>
  <c r="M48" i="76" s="1"/>
  <c r="G48" i="78"/>
  <c r="M48" i="78" s="1"/>
  <c r="G48" i="80"/>
  <c r="J48" i="80" s="1"/>
  <c r="G48" i="74"/>
  <c r="J48" i="74" s="1"/>
  <c r="G48" i="73"/>
  <c r="M48" i="73" s="1"/>
  <c r="G48" i="71"/>
  <c r="P48" i="71" s="1"/>
  <c r="G46" i="83"/>
  <c r="M46" i="83" s="1"/>
  <c r="G46" i="89"/>
  <c r="P46" i="89" s="1"/>
  <c r="G46" i="72"/>
  <c r="M46" i="72" s="1"/>
  <c r="M54" i="87"/>
  <c r="J54" i="87"/>
  <c r="P54" i="87"/>
  <c r="J23" i="82"/>
  <c r="DK12" i="21" s="1"/>
  <c r="G51" i="85"/>
  <c r="J51" i="85" s="1"/>
  <c r="G56" i="87"/>
  <c r="J56" i="87" s="1"/>
  <c r="G52" i="83"/>
  <c r="P52" i="83" s="1"/>
  <c r="G53" i="82"/>
  <c r="P53" i="82" s="1"/>
  <c r="G53" i="84"/>
  <c r="J53" i="84" s="1"/>
  <c r="G53" i="86"/>
  <c r="M53" i="86" s="1"/>
  <c r="G51" i="75"/>
  <c r="J51" i="75" s="1"/>
  <c r="G51" i="77"/>
  <c r="M51" i="77" s="1"/>
  <c r="G51" i="79"/>
  <c r="P51" i="79" s="1"/>
  <c r="G51" i="81"/>
  <c r="P51" i="81" s="1"/>
  <c r="G51" i="71"/>
  <c r="M51" i="71" s="1"/>
  <c r="G51" i="73"/>
  <c r="M51" i="73" s="1"/>
  <c r="G48" i="89"/>
  <c r="J48" i="89" s="1"/>
  <c r="G51" i="76"/>
  <c r="P51" i="76" s="1"/>
  <c r="G51" i="78"/>
  <c r="M51" i="78" s="1"/>
  <c r="G51" i="80"/>
  <c r="J51" i="80" s="1"/>
  <c r="G48" i="90"/>
  <c r="J48" i="90" s="1"/>
  <c r="G49" i="72"/>
  <c r="J49" i="72" s="1"/>
  <c r="G51" i="70"/>
  <c r="M51" i="70" s="1"/>
  <c r="G51" i="74"/>
  <c r="M51" i="74" s="1"/>
  <c r="G47" i="76"/>
  <c r="J47" i="76" s="1"/>
  <c r="G47" i="78"/>
  <c r="M47" i="78" s="1"/>
  <c r="G47" i="80"/>
  <c r="M47" i="80" s="1"/>
  <c r="G47" i="74"/>
  <c r="P47" i="74" s="1"/>
  <c r="G47" i="73"/>
  <c r="M47" i="73" s="1"/>
  <c r="G47" i="71"/>
  <c r="M47" i="71" s="1"/>
  <c r="G47" i="70"/>
  <c r="P47" i="70" s="1"/>
  <c r="G46" i="76"/>
  <c r="P46" i="76" s="1"/>
  <c r="G46" i="78"/>
  <c r="J46" i="78" s="1"/>
  <c r="G46" i="80"/>
  <c r="M46" i="80" s="1"/>
  <c r="G50" i="85"/>
  <c r="M50" i="85" s="1"/>
  <c r="G46" i="74"/>
  <c r="P46" i="74" s="1"/>
  <c r="G46" i="73"/>
  <c r="M46" i="73" s="1"/>
  <c r="G47" i="75"/>
  <c r="J47" i="75" s="1"/>
  <c r="G47" i="77"/>
  <c r="M47" i="77" s="1"/>
  <c r="G47" i="79"/>
  <c r="P47" i="79" s="1"/>
  <c r="G47" i="81"/>
  <c r="M47" i="81" s="1"/>
  <c r="G46" i="75"/>
  <c r="J46" i="75" s="1"/>
  <c r="G46" i="77"/>
  <c r="J46" i="77" s="1"/>
  <c r="G46" i="79"/>
  <c r="M46" i="79" s="1"/>
  <c r="G46" i="81"/>
  <c r="J46" i="81" s="1"/>
  <c r="G46" i="71"/>
  <c r="M46" i="71" s="1"/>
  <c r="P47" i="87"/>
  <c r="M47" i="87"/>
  <c r="G50" i="101"/>
  <c r="J50" i="101" s="1"/>
  <c r="P46" i="70"/>
  <c r="G47" i="101"/>
  <c r="P47" i="101" s="1"/>
  <c r="O8" i="63"/>
  <c r="EB11" i="21"/>
  <c r="DE11" i="21"/>
  <c r="EY11" i="21"/>
  <c r="D12" i="57"/>
  <c r="F12" i="57"/>
  <c r="T10" i="90"/>
  <c r="FL9" i="21" s="1"/>
  <c r="FL11" i="21" s="1"/>
  <c r="I12" i="57"/>
  <c r="S10" i="89"/>
  <c r="EP9" i="21" s="1"/>
  <c r="EP11" i="21" s="1"/>
  <c r="EC11" i="21"/>
  <c r="I15" i="58" s="1"/>
  <c r="M27" i="106"/>
  <c r="DM11" i="21"/>
  <c r="H12" i="58"/>
  <c r="M7" i="74"/>
  <c r="P7" i="74"/>
  <c r="J12" i="57"/>
  <c r="P27" i="106"/>
  <c r="M27" i="104"/>
  <c r="P27" i="102"/>
  <c r="J27" i="102"/>
  <c r="P27" i="105"/>
  <c r="J27" i="103"/>
  <c r="M23" i="85"/>
  <c r="P27" i="104"/>
  <c r="J27" i="105"/>
  <c r="J27" i="104"/>
  <c r="P27" i="91"/>
  <c r="J27" i="74"/>
  <c r="DB13" i="21" s="1"/>
  <c r="M27" i="103"/>
  <c r="P23" i="71"/>
  <c r="ES12" i="21" s="1"/>
  <c r="J23" i="83"/>
  <c r="DL12" i="21" s="1"/>
  <c r="J23" i="74"/>
  <c r="DB12" i="21" s="1"/>
  <c r="M21" i="101"/>
  <c r="M23" i="75"/>
  <c r="DZ12" i="21" s="1"/>
  <c r="P23" i="86"/>
  <c r="FH12" i="21" s="1"/>
  <c r="P27" i="76"/>
  <c r="EX13" i="21" s="1"/>
  <c r="P23" i="82"/>
  <c r="FE12" i="21" s="1"/>
  <c r="M23" i="81"/>
  <c r="EG12" i="21" s="1"/>
  <c r="P16" i="57" s="1"/>
  <c r="J23" i="76"/>
  <c r="DD12" i="21" s="1"/>
  <c r="M27" i="91"/>
  <c r="P27" i="81"/>
  <c r="FD13" i="21" s="1"/>
  <c r="P27" i="103"/>
  <c r="P34" i="90"/>
  <c r="FL14" i="21" s="1"/>
  <c r="M27" i="102"/>
  <c r="M23" i="77"/>
  <c r="EB12" i="21" s="1"/>
  <c r="M23" i="79"/>
  <c r="ED12" i="21" s="1"/>
  <c r="M23" i="84"/>
  <c r="EJ12" i="21" s="1"/>
  <c r="O16" i="57" s="1"/>
  <c r="P34" i="74"/>
  <c r="EV14" i="21" s="1"/>
  <c r="P34" i="76"/>
  <c r="EX14" i="21" s="1"/>
  <c r="DQ13" i="21"/>
  <c r="J34" i="73"/>
  <c r="DA14" i="21" s="1"/>
  <c r="P27" i="89"/>
  <c r="FM13" i="21" s="1"/>
  <c r="M23" i="89"/>
  <c r="EP12" i="21" s="1"/>
  <c r="P23" i="81"/>
  <c r="FD12" i="21" s="1"/>
  <c r="P34" i="82"/>
  <c r="FE14" i="21" s="1"/>
  <c r="J23" i="77"/>
  <c r="DE12" i="21" s="1"/>
  <c r="J25" i="101"/>
  <c r="M23" i="91"/>
  <c r="P34" i="81"/>
  <c r="FD14" i="21" s="1"/>
  <c r="J34" i="74"/>
  <c r="DB14" i="21" s="1"/>
  <c r="M34" i="91"/>
  <c r="M27" i="74"/>
  <c r="DY13" i="21" s="1"/>
  <c r="L17" i="57" s="1"/>
  <c r="P34" i="72"/>
  <c r="ET14" i="21" s="1"/>
  <c r="M34" i="84"/>
  <c r="EJ14" i="21" s="1"/>
  <c r="O18" i="57" s="1"/>
  <c r="P27" i="90"/>
  <c r="FL13" i="21" s="1"/>
  <c r="M27" i="78"/>
  <c r="EC13" i="21" s="1"/>
  <c r="I17" i="58" s="1"/>
  <c r="P23" i="91"/>
  <c r="J23" i="79"/>
  <c r="DG12" i="21" s="1"/>
  <c r="M34" i="75"/>
  <c r="DZ14" i="21" s="1"/>
  <c r="J23" i="84"/>
  <c r="M34" i="74"/>
  <c r="DY14" i="21" s="1"/>
  <c r="L18" i="57" s="1"/>
  <c r="M23" i="87"/>
  <c r="EM12" i="21" s="1"/>
  <c r="R16" i="57" s="1"/>
  <c r="J23" i="78"/>
  <c r="DF12" i="21" s="1"/>
  <c r="M23" i="83"/>
  <c r="EI12" i="21" s="1"/>
  <c r="M27" i="80"/>
  <c r="EF13" i="21" s="1"/>
  <c r="M23" i="80"/>
  <c r="EF12" i="21" s="1"/>
  <c r="M23" i="74"/>
  <c r="DY12" i="21" s="1"/>
  <c r="L16" i="57" s="1"/>
  <c r="P27" i="77"/>
  <c r="EY13" i="21" s="1"/>
  <c r="P27" i="72"/>
  <c r="ET13" i="21" s="1"/>
  <c r="P23" i="75"/>
  <c r="EW12" i="21" s="1"/>
  <c r="M27" i="85"/>
  <c r="EL13" i="21" s="1"/>
  <c r="P27" i="75"/>
  <c r="EW13" i="21" s="1"/>
  <c r="P34" i="87"/>
  <c r="FJ14" i="21" s="1"/>
  <c r="M27" i="86"/>
  <c r="EK13" i="21" s="1"/>
  <c r="Q17" i="57" s="1"/>
  <c r="J34" i="89"/>
  <c r="DS14" i="21" s="1"/>
  <c r="J23" i="91"/>
  <c r="M23" i="106"/>
  <c r="M23" i="104"/>
  <c r="M25" i="101"/>
  <c r="J34" i="76"/>
  <c r="DD14" i="21" s="1"/>
  <c r="M34" i="71"/>
  <c r="DV14" i="21" s="1"/>
  <c r="FK13" i="21"/>
  <c r="P34" i="73"/>
  <c r="EU14" i="21" s="1"/>
  <c r="J34" i="85"/>
  <c r="DO14" i="21" s="1"/>
  <c r="P34" i="84"/>
  <c r="FG14" i="21" s="1"/>
  <c r="J27" i="79"/>
  <c r="DG13" i="21" s="1"/>
  <c r="J34" i="86"/>
  <c r="DN14" i="21" s="1"/>
  <c r="P34" i="80"/>
  <c r="FC14" i="21" s="1"/>
  <c r="P27" i="78"/>
  <c r="EZ13" i="21" s="1"/>
  <c r="J34" i="90"/>
  <c r="DR14" i="21" s="1"/>
  <c r="P27" i="83"/>
  <c r="FF13" i="21" s="1"/>
  <c r="M27" i="75"/>
  <c r="DZ13" i="21" s="1"/>
  <c r="P23" i="72"/>
  <c r="ET12" i="21" s="1"/>
  <c r="J23" i="87"/>
  <c r="DP12" i="21" s="1"/>
  <c r="P23" i="78"/>
  <c r="EZ12" i="21" s="1"/>
  <c r="J34" i="77"/>
  <c r="DE14" i="21" s="1"/>
  <c r="P34" i="91"/>
  <c r="J23" i="90"/>
  <c r="P27" i="86"/>
  <c r="FH13" i="21" s="1"/>
  <c r="J23" i="80"/>
  <c r="DI12" i="21" s="1"/>
  <c r="DQ12" i="21"/>
  <c r="J27" i="82"/>
  <c r="DK13" i="21" s="1"/>
  <c r="P27" i="87"/>
  <c r="FJ13" i="21" s="1"/>
  <c r="M27" i="77"/>
  <c r="EB13" i="21" s="1"/>
  <c r="M34" i="89"/>
  <c r="EP14" i="21" s="1"/>
  <c r="P62" i="101"/>
  <c r="P34" i="75"/>
  <c r="EW14" i="21" s="1"/>
  <c r="J23" i="81"/>
  <c r="DJ12" i="21" s="1"/>
  <c r="J34" i="91"/>
  <c r="J34" i="82"/>
  <c r="DK14" i="21" s="1"/>
  <c r="M23" i="76"/>
  <c r="EA12" i="21" s="1"/>
  <c r="K16" i="57" s="1"/>
  <c r="J27" i="91"/>
  <c r="P27" i="84"/>
  <c r="FG13" i="21" s="1"/>
  <c r="EN13" i="21"/>
  <c r="J27" i="81"/>
  <c r="DJ13" i="21" s="1"/>
  <c r="P23" i="77"/>
  <c r="EY12" i="21" s="1"/>
  <c r="J34" i="72"/>
  <c r="CZ14" i="21" s="1"/>
  <c r="M34" i="73"/>
  <c r="DX14" i="21" s="1"/>
  <c r="M27" i="90"/>
  <c r="EO13" i="21" s="1"/>
  <c r="P27" i="79"/>
  <c r="FA13" i="21" s="1"/>
  <c r="FK14" i="21"/>
  <c r="M34" i="86"/>
  <c r="EK14" i="21" s="1"/>
  <c r="Q18" i="57" s="1"/>
  <c r="M34" i="80"/>
  <c r="EF14" i="21" s="1"/>
  <c r="J27" i="78"/>
  <c r="DF13" i="21" s="1"/>
  <c r="J23" i="89"/>
  <c r="P23" i="79"/>
  <c r="FA12" i="21" s="1"/>
  <c r="J34" i="81"/>
  <c r="DJ14" i="21" s="1"/>
  <c r="P23" i="73"/>
  <c r="EU12" i="21" s="1"/>
  <c r="J27" i="83"/>
  <c r="DL13" i="21" s="1"/>
  <c r="M27" i="76"/>
  <c r="EA13" i="21" s="1"/>
  <c r="K17" i="57" s="1"/>
  <c r="J27" i="73"/>
  <c r="DA13" i="21" s="1"/>
  <c r="M23" i="72"/>
  <c r="DW12" i="21" s="1"/>
  <c r="M34" i="87"/>
  <c r="EM14" i="21" s="1"/>
  <c r="R18" i="57" s="1"/>
  <c r="M23" i="71"/>
  <c r="DV12" i="21" s="1"/>
  <c r="M23" i="78"/>
  <c r="EC12" i="21" s="1"/>
  <c r="I16" i="58" s="1"/>
  <c r="P34" i="71"/>
  <c r="ES14" i="21" s="1"/>
  <c r="M34" i="77"/>
  <c r="EB14" i="21" s="1"/>
  <c r="P34" i="79"/>
  <c r="FA14" i="21" s="1"/>
  <c r="P23" i="90"/>
  <c r="FL12" i="21" s="1"/>
  <c r="J27" i="80"/>
  <c r="DI13" i="21" s="1"/>
  <c r="DQ14" i="21"/>
  <c r="P23" i="74"/>
  <c r="EV12" i="21" s="1"/>
  <c r="J34" i="83"/>
  <c r="DL14" i="21" s="1"/>
  <c r="EN12" i="21"/>
  <c r="M27" i="82"/>
  <c r="EH13" i="21" s="1"/>
  <c r="M17" i="57" s="1"/>
  <c r="M27" i="87"/>
  <c r="EM13" i="21" s="1"/>
  <c r="R17" i="57" s="1"/>
  <c r="J27" i="72"/>
  <c r="CZ13" i="21" s="1"/>
  <c r="J34" i="78"/>
  <c r="DF14" i="21" s="1"/>
  <c r="P34" i="89"/>
  <c r="FM14" i="21" s="1"/>
  <c r="J23" i="86"/>
  <c r="DN12" i="21" s="1"/>
  <c r="M34" i="90"/>
  <c r="EO14" i="21" s="1"/>
  <c r="J27" i="76"/>
  <c r="DD13" i="21" s="1"/>
  <c r="P27" i="73"/>
  <c r="EU13" i="21" s="1"/>
  <c r="M34" i="79"/>
  <c r="ED14" i="21" s="1"/>
  <c r="M23" i="90"/>
  <c r="P34" i="85"/>
  <c r="FI14" i="21" s="1"/>
  <c r="M34" i="83"/>
  <c r="EI14" i="21" s="1"/>
  <c r="N18" i="57" s="1"/>
  <c r="J27" i="87"/>
  <c r="DP13" i="21" s="1"/>
  <c r="P34" i="102"/>
  <c r="J27" i="84"/>
  <c r="DM13" i="21" s="1"/>
  <c r="P27" i="74"/>
  <c r="EV13" i="21" s="1"/>
  <c r="M34" i="78"/>
  <c r="EC14" i="21" s="1"/>
  <c r="I18" i="58" s="1"/>
  <c r="EN14" i="21"/>
  <c r="P23" i="89"/>
  <c r="M23" i="73"/>
  <c r="DX12" i="21" s="1"/>
  <c r="M34" i="76"/>
  <c r="EA14" i="21" s="1"/>
  <c r="K18" i="57" s="1"/>
  <c r="M34" i="82"/>
  <c r="EH14" i="21" s="1"/>
  <c r="M18" i="57" s="1"/>
  <c r="P23" i="85"/>
  <c r="FI12" i="21" s="1"/>
  <c r="M27" i="84"/>
  <c r="EJ13" i="21" s="1"/>
  <c r="O17" i="57" s="1"/>
  <c r="M27" i="81"/>
  <c r="EG13" i="21" s="1"/>
  <c r="P17" i="57" s="1"/>
  <c r="M34" i="72"/>
  <c r="DW14" i="21" s="1"/>
  <c r="P34" i="78"/>
  <c r="EZ14" i="21" s="1"/>
  <c r="M34" i="85"/>
  <c r="EL14" i="21" s="1"/>
  <c r="J34" i="84"/>
  <c r="DM14" i="21" s="1"/>
  <c r="M27" i="89"/>
  <c r="EP13" i="21" s="1"/>
  <c r="J27" i="90"/>
  <c r="DR13" i="21" s="1"/>
  <c r="M27" i="79"/>
  <c r="ED13" i="21" s="1"/>
  <c r="P34" i="86"/>
  <c r="FH14" i="21" s="1"/>
  <c r="J34" i="80"/>
  <c r="DI14" i="21" s="1"/>
  <c r="J27" i="89"/>
  <c r="DS13" i="21" s="1"/>
  <c r="M23" i="86"/>
  <c r="EK12" i="21" s="1"/>
  <c r="Q16" i="57" s="1"/>
  <c r="J34" i="75"/>
  <c r="DC14" i="21" s="1"/>
  <c r="J23" i="73"/>
  <c r="DA12" i="21" s="1"/>
  <c r="J34" i="71"/>
  <c r="CY14" i="21" s="1"/>
  <c r="P27" i="85"/>
  <c r="FI13" i="21" s="1"/>
  <c r="M27" i="83"/>
  <c r="EI13" i="21" s="1"/>
  <c r="N17" i="57" s="1"/>
  <c r="J27" i="75"/>
  <c r="DC13" i="21" s="1"/>
  <c r="M27" i="73"/>
  <c r="DX13" i="21" s="1"/>
  <c r="J23" i="72"/>
  <c r="CZ12" i="21" s="1"/>
  <c r="P23" i="87"/>
  <c r="FJ12" i="21" s="1"/>
  <c r="M34" i="81"/>
  <c r="EG14" i="21" s="1"/>
  <c r="P18" i="57" s="1"/>
  <c r="J34" i="87"/>
  <c r="DP14" i="21" s="1"/>
  <c r="J23" i="71"/>
  <c r="CY12" i="21" s="1"/>
  <c r="P23" i="83"/>
  <c r="FF12" i="21" s="1"/>
  <c r="P34" i="77"/>
  <c r="EY14" i="21" s="1"/>
  <c r="J34" i="79"/>
  <c r="DG14" i="21" s="1"/>
  <c r="P27" i="80"/>
  <c r="FC13" i="21" s="1"/>
  <c r="P23" i="80"/>
  <c r="FC12" i="21" s="1"/>
  <c r="P34" i="83"/>
  <c r="FF14" i="21" s="1"/>
  <c r="P27" i="82"/>
  <c r="FE13" i="21" s="1"/>
  <c r="J27" i="77"/>
  <c r="DE13" i="21" s="1"/>
  <c r="M27" i="72"/>
  <c r="DW13" i="21" s="1"/>
  <c r="F12" i="58"/>
  <c r="G12" i="57"/>
  <c r="H15" i="58"/>
  <c r="DV11" i="21"/>
  <c r="D12" i="58"/>
  <c r="E12" i="58"/>
  <c r="J23" i="106"/>
  <c r="J63" i="104"/>
  <c r="J23" i="104"/>
  <c r="P21" i="101"/>
  <c r="P23" i="104"/>
  <c r="EZ19" i="21"/>
  <c r="DY11" i="21"/>
  <c r="M63" i="104"/>
  <c r="M23" i="102"/>
  <c r="FM51" i="21"/>
  <c r="FM52" i="21" s="1"/>
  <c r="O25" i="63"/>
  <c r="P19" i="85"/>
  <c r="J19" i="85"/>
  <c r="J19" i="87"/>
  <c r="J19" i="84"/>
  <c r="J19" i="86"/>
  <c r="J19" i="80"/>
  <c r="P19" i="90"/>
  <c r="P19" i="78"/>
  <c r="M19" i="79"/>
  <c r="M23" i="70"/>
  <c r="DU12" i="21" s="1"/>
  <c r="J63" i="103"/>
  <c r="M63" i="102"/>
  <c r="J63" i="105"/>
  <c r="J34" i="106"/>
  <c r="P34" i="103"/>
  <c r="J19" i="82"/>
  <c r="M19" i="80"/>
  <c r="J19" i="90"/>
  <c r="P63" i="102"/>
  <c r="P19" i="91"/>
  <c r="J23" i="105"/>
  <c r="M19" i="77"/>
  <c r="J23" i="103"/>
  <c r="P19" i="76"/>
  <c r="P19" i="83"/>
  <c r="P19" i="79"/>
  <c r="J34" i="70"/>
  <c r="CX14" i="21" s="1"/>
  <c r="J62" i="101"/>
  <c r="J19" i="81"/>
  <c r="P63" i="106"/>
  <c r="P23" i="70"/>
  <c r="ER12" i="21" s="1"/>
  <c r="J34" i="105"/>
  <c r="J19" i="77"/>
  <c r="M23" i="103"/>
  <c r="J34" i="104"/>
  <c r="M32" i="101"/>
  <c r="M34" i="103"/>
  <c r="J19" i="78"/>
  <c r="M34" i="70"/>
  <c r="P19" i="80"/>
  <c r="P34" i="104"/>
  <c r="M62" i="101"/>
  <c r="P23" i="106"/>
  <c r="M34" i="102"/>
  <c r="M19" i="84"/>
  <c r="P34" i="105"/>
  <c r="J63" i="102"/>
  <c r="M63" i="105"/>
  <c r="P32" i="101"/>
  <c r="P63" i="103"/>
  <c r="M19" i="91"/>
  <c r="M19" i="87"/>
  <c r="P23" i="105"/>
  <c r="P34" i="106"/>
  <c r="J34" i="103"/>
  <c r="M19" i="82"/>
  <c r="J19" i="76"/>
  <c r="J23" i="102"/>
  <c r="J63" i="106"/>
  <c r="M19" i="86"/>
  <c r="J19" i="83"/>
  <c r="J19" i="79"/>
  <c r="P19" i="89"/>
  <c r="J32" i="101"/>
  <c r="P19" i="84"/>
  <c r="P63" i="105"/>
  <c r="P19" i="81"/>
  <c r="M47" i="85"/>
  <c r="J47" i="85"/>
  <c r="P47" i="85"/>
  <c r="M19" i="89"/>
  <c r="P34" i="70"/>
  <c r="ER14" i="21" s="1"/>
  <c r="M34" i="104"/>
  <c r="P63" i="104"/>
  <c r="J34" i="102"/>
  <c r="J23" i="70"/>
  <c r="CX12" i="21" s="1"/>
  <c r="M34" i="105"/>
  <c r="J21" i="101"/>
  <c r="M19" i="81"/>
  <c r="M63" i="103"/>
  <c r="J19" i="91"/>
  <c r="P19" i="87"/>
  <c r="M23" i="105"/>
  <c r="M34" i="106"/>
  <c r="P19" i="77"/>
  <c r="P23" i="103"/>
  <c r="P19" i="82"/>
  <c r="M19" i="76"/>
  <c r="P23" i="102"/>
  <c r="M63" i="106"/>
  <c r="M19" i="78"/>
  <c r="P19" i="86"/>
  <c r="M19" i="83"/>
  <c r="J19" i="89"/>
  <c r="T13" i="20"/>
  <c r="S15" i="20" s="1"/>
  <c r="J52" i="81" l="1"/>
  <c r="T21" i="20"/>
  <c r="P48" i="86"/>
  <c r="M48" i="86"/>
  <c r="G16" i="57"/>
  <c r="N16" i="57"/>
  <c r="M49" i="109"/>
  <c r="M52" i="81"/>
  <c r="J49" i="83"/>
  <c r="M49" i="83"/>
  <c r="P49" i="83"/>
  <c r="T23" i="20"/>
  <c r="T22" i="20"/>
  <c r="P46" i="85"/>
  <c r="M46" i="87"/>
  <c r="J46" i="87"/>
  <c r="J49" i="109"/>
  <c r="J48" i="87"/>
  <c r="M48" i="87"/>
  <c r="M51" i="87"/>
  <c r="M50" i="109"/>
  <c r="J51" i="76"/>
  <c r="J50" i="109"/>
  <c r="P51" i="87"/>
  <c r="P49" i="85"/>
  <c r="M47" i="70"/>
  <c r="M50" i="78"/>
  <c r="M50" i="71"/>
  <c r="M48" i="75"/>
  <c r="M51" i="109"/>
  <c r="J51" i="109"/>
  <c r="P50" i="84"/>
  <c r="J48" i="81"/>
  <c r="J50" i="78"/>
  <c r="M48" i="82"/>
  <c r="M51" i="76"/>
  <c r="J47" i="77"/>
  <c r="J48" i="109"/>
  <c r="J48" i="82"/>
  <c r="P48" i="73"/>
  <c r="P47" i="77"/>
  <c r="P48" i="109"/>
  <c r="J47" i="70"/>
  <c r="J48" i="73"/>
  <c r="P55" i="84"/>
  <c r="M55" i="84"/>
  <c r="J55" i="84"/>
  <c r="J55" i="109"/>
  <c r="M55" i="109"/>
  <c r="P55" i="109"/>
  <c r="J51" i="82"/>
  <c r="P51" i="82"/>
  <c r="M51" i="82"/>
  <c r="J54" i="82"/>
  <c r="P54" i="82"/>
  <c r="M54" i="82"/>
  <c r="J57" i="109"/>
  <c r="P57" i="109"/>
  <c r="M57" i="109"/>
  <c r="M55" i="79"/>
  <c r="J55" i="79"/>
  <c r="P55" i="79"/>
  <c r="P51" i="84"/>
  <c r="M51" i="84"/>
  <c r="J51" i="84"/>
  <c r="P50" i="89"/>
  <c r="M50" i="89"/>
  <c r="J50" i="89"/>
  <c r="M53" i="77"/>
  <c r="J53" i="77"/>
  <c r="P53" i="77"/>
  <c r="P57" i="84"/>
  <c r="J57" i="84"/>
  <c r="M57" i="84"/>
  <c r="M48" i="85"/>
  <c r="J48" i="85"/>
  <c r="P48" i="85"/>
  <c r="M56" i="81"/>
  <c r="J56" i="81"/>
  <c r="P56" i="81"/>
  <c r="M52" i="79"/>
  <c r="P52" i="79"/>
  <c r="J52" i="79"/>
  <c r="J51" i="72"/>
  <c r="P51" i="72"/>
  <c r="M51" i="72"/>
  <c r="J53" i="83"/>
  <c r="P53" i="83"/>
  <c r="M53" i="83"/>
  <c r="J54" i="86"/>
  <c r="M54" i="86"/>
  <c r="P54" i="86"/>
  <c r="P57" i="78"/>
  <c r="M57" i="78"/>
  <c r="J57" i="78"/>
  <c r="M54" i="80"/>
  <c r="P54" i="80"/>
  <c r="J54" i="80"/>
  <c r="M54" i="83"/>
  <c r="J54" i="83"/>
  <c r="P54" i="83"/>
  <c r="P50" i="72"/>
  <c r="M50" i="72"/>
  <c r="J50" i="72"/>
  <c r="M53" i="75"/>
  <c r="J53" i="75"/>
  <c r="P53" i="75"/>
  <c r="P54" i="84"/>
  <c r="J54" i="84"/>
  <c r="M54" i="84"/>
  <c r="J57" i="77"/>
  <c r="P57" i="77"/>
  <c r="M57" i="77"/>
  <c r="J57" i="75"/>
  <c r="M57" i="75"/>
  <c r="P57" i="75"/>
  <c r="M55" i="77"/>
  <c r="P55" i="77"/>
  <c r="J55" i="77"/>
  <c r="M54" i="75"/>
  <c r="P54" i="75"/>
  <c r="J54" i="75"/>
  <c r="M54" i="85"/>
  <c r="P54" i="85"/>
  <c r="J54" i="85"/>
  <c r="M54" i="79"/>
  <c r="P54" i="79"/>
  <c r="J54" i="79"/>
  <c r="M55" i="81"/>
  <c r="J55" i="81"/>
  <c r="P55" i="81"/>
  <c r="P57" i="81"/>
  <c r="M57" i="81"/>
  <c r="J57" i="81"/>
  <c r="J57" i="79"/>
  <c r="M57" i="79"/>
  <c r="P57" i="79"/>
  <c r="M55" i="78"/>
  <c r="J55" i="78"/>
  <c r="P55" i="78"/>
  <c r="M54" i="76"/>
  <c r="J54" i="76"/>
  <c r="P54" i="76"/>
  <c r="M52" i="109"/>
  <c r="P52" i="109"/>
  <c r="J52" i="109"/>
  <c r="M54" i="81"/>
  <c r="J54" i="81"/>
  <c r="P54" i="81"/>
  <c r="M53" i="76"/>
  <c r="J53" i="76"/>
  <c r="P53" i="76"/>
  <c r="J55" i="85"/>
  <c r="P55" i="85"/>
  <c r="M55" i="85"/>
  <c r="M57" i="74"/>
  <c r="J57" i="74"/>
  <c r="P57" i="74"/>
  <c r="J57" i="83"/>
  <c r="M57" i="83"/>
  <c r="P57" i="83"/>
  <c r="J55" i="86"/>
  <c r="M55" i="86"/>
  <c r="P55" i="86"/>
  <c r="M53" i="74"/>
  <c r="J53" i="74"/>
  <c r="P53" i="74"/>
  <c r="J53" i="81"/>
  <c r="M53" i="81"/>
  <c r="P53" i="81"/>
  <c r="P50" i="83"/>
  <c r="J50" i="83"/>
  <c r="M50" i="83"/>
  <c r="P54" i="78"/>
  <c r="J54" i="78"/>
  <c r="M54" i="78"/>
  <c r="M53" i="80"/>
  <c r="P53" i="80"/>
  <c r="J53" i="80"/>
  <c r="J57" i="80"/>
  <c r="M57" i="80"/>
  <c r="P57" i="80"/>
  <c r="M57" i="82"/>
  <c r="J57" i="82"/>
  <c r="P57" i="82"/>
  <c r="M55" i="82"/>
  <c r="J55" i="82"/>
  <c r="P55" i="82"/>
  <c r="J52" i="78"/>
  <c r="P52" i="78"/>
  <c r="M52" i="78"/>
  <c r="M50" i="87"/>
  <c r="J50" i="87"/>
  <c r="P50" i="87"/>
  <c r="M52" i="74"/>
  <c r="J52" i="74"/>
  <c r="P52" i="74"/>
  <c r="P54" i="109"/>
  <c r="M54" i="109"/>
  <c r="J54" i="109"/>
  <c r="J57" i="76"/>
  <c r="M57" i="76"/>
  <c r="P57" i="76"/>
  <c r="M49" i="89"/>
  <c r="P49" i="89"/>
  <c r="J49" i="89"/>
  <c r="M52" i="86"/>
  <c r="J52" i="86"/>
  <c r="P52" i="86"/>
  <c r="M48" i="81"/>
  <c r="J50" i="75"/>
  <c r="P50" i="75"/>
  <c r="M50" i="86"/>
  <c r="M49" i="72"/>
  <c r="J51" i="83"/>
  <c r="P50" i="76"/>
  <c r="J48" i="83"/>
  <c r="M50" i="76"/>
  <c r="M47" i="83"/>
  <c r="P48" i="74"/>
  <c r="P48" i="79"/>
  <c r="M48" i="74"/>
  <c r="P47" i="83"/>
  <c r="J48" i="79"/>
  <c r="P48" i="89"/>
  <c r="P48" i="83"/>
  <c r="M48" i="89"/>
  <c r="M49" i="85"/>
  <c r="M48" i="77"/>
  <c r="J53" i="82"/>
  <c r="J50" i="73"/>
  <c r="P50" i="73"/>
  <c r="P51" i="74"/>
  <c r="P48" i="80"/>
  <c r="J51" i="74"/>
  <c r="M53" i="82"/>
  <c r="M48" i="80"/>
  <c r="J51" i="73"/>
  <c r="P48" i="77"/>
  <c r="P51" i="73"/>
  <c r="J50" i="74"/>
  <c r="J47" i="74"/>
  <c r="J48" i="78"/>
  <c r="P50" i="70"/>
  <c r="J46" i="86"/>
  <c r="P46" i="86"/>
  <c r="J50" i="77"/>
  <c r="P51" i="75"/>
  <c r="P50" i="77"/>
  <c r="M51" i="75"/>
  <c r="J47" i="79"/>
  <c r="M46" i="82"/>
  <c r="M46" i="76"/>
  <c r="P50" i="80"/>
  <c r="J50" i="80"/>
  <c r="M47" i="79"/>
  <c r="M48" i="71"/>
  <c r="P48" i="70"/>
  <c r="J51" i="78"/>
  <c r="J48" i="71"/>
  <c r="M49" i="87"/>
  <c r="J46" i="82"/>
  <c r="P51" i="78"/>
  <c r="J46" i="76"/>
  <c r="P50" i="81"/>
  <c r="M50" i="81"/>
  <c r="M48" i="90"/>
  <c r="M51" i="86"/>
  <c r="P48" i="90"/>
  <c r="P43" i="90" s="1"/>
  <c r="J49" i="84"/>
  <c r="J51" i="86"/>
  <c r="M46" i="89"/>
  <c r="M51" i="79"/>
  <c r="J48" i="70"/>
  <c r="J46" i="89"/>
  <c r="J51" i="79"/>
  <c r="M51" i="80"/>
  <c r="J50" i="84"/>
  <c r="P49" i="87"/>
  <c r="J47" i="81"/>
  <c r="J46" i="90"/>
  <c r="J43" i="90" s="1"/>
  <c r="DR15" i="21" s="1"/>
  <c r="J51" i="77"/>
  <c r="P50" i="79"/>
  <c r="J46" i="85"/>
  <c r="P51" i="70"/>
  <c r="P50" i="74"/>
  <c r="J46" i="74"/>
  <c r="M46" i="74"/>
  <c r="J51" i="70"/>
  <c r="J51" i="71"/>
  <c r="M50" i="70"/>
  <c r="P48" i="78"/>
  <c r="P51" i="71"/>
  <c r="J48" i="75"/>
  <c r="DY28" i="21"/>
  <c r="FB28" i="21"/>
  <c r="EE28" i="21"/>
  <c r="EF28" i="21"/>
  <c r="DH28" i="21"/>
  <c r="M56" i="87"/>
  <c r="P50" i="86"/>
  <c r="J49" i="75"/>
  <c r="J48" i="76"/>
  <c r="P49" i="75"/>
  <c r="M51" i="81"/>
  <c r="P47" i="80"/>
  <c r="P56" i="87"/>
  <c r="J52" i="85"/>
  <c r="P48" i="76"/>
  <c r="J51" i="81"/>
  <c r="J47" i="80"/>
  <c r="M52" i="85"/>
  <c r="P46" i="72"/>
  <c r="P47" i="84"/>
  <c r="P47" i="109"/>
  <c r="M47" i="109"/>
  <c r="J47" i="109"/>
  <c r="J46" i="72"/>
  <c r="J50" i="85"/>
  <c r="M47" i="84"/>
  <c r="P46" i="109"/>
  <c r="J46" i="109"/>
  <c r="M46" i="109"/>
  <c r="P49" i="72"/>
  <c r="P50" i="85"/>
  <c r="P50" i="71"/>
  <c r="P51" i="83"/>
  <c r="P49" i="84"/>
  <c r="P47" i="81"/>
  <c r="P51" i="80"/>
  <c r="P50" i="82"/>
  <c r="M46" i="90"/>
  <c r="J46" i="83"/>
  <c r="P51" i="77"/>
  <c r="J50" i="79"/>
  <c r="M50" i="82"/>
  <c r="P46" i="83"/>
  <c r="J47" i="89"/>
  <c r="J47" i="78"/>
  <c r="J49" i="76"/>
  <c r="P46" i="75"/>
  <c r="P46" i="78"/>
  <c r="P47" i="75"/>
  <c r="M46" i="75"/>
  <c r="J53" i="86"/>
  <c r="P46" i="77"/>
  <c r="P50" i="101"/>
  <c r="J49" i="82"/>
  <c r="J48" i="72"/>
  <c r="M46" i="70"/>
  <c r="P47" i="73"/>
  <c r="J52" i="83"/>
  <c r="M53" i="84"/>
  <c r="M47" i="76"/>
  <c r="P46" i="79"/>
  <c r="M48" i="84"/>
  <c r="M52" i="83"/>
  <c r="P53" i="84"/>
  <c r="J46" i="73"/>
  <c r="M46" i="78"/>
  <c r="P47" i="76"/>
  <c r="P48" i="84"/>
  <c r="M49" i="70"/>
  <c r="M49" i="73"/>
  <c r="M43" i="73" s="1"/>
  <c r="J46" i="79"/>
  <c r="M46" i="81"/>
  <c r="P53" i="85"/>
  <c r="M51" i="85"/>
  <c r="P46" i="71"/>
  <c r="J49" i="73"/>
  <c r="M49" i="81"/>
  <c r="J46" i="71"/>
  <c r="M50" i="101"/>
  <c r="M49" i="86"/>
  <c r="P51" i="85"/>
  <c r="J46" i="80"/>
  <c r="P47" i="71"/>
  <c r="P46" i="81"/>
  <c r="M47" i="74"/>
  <c r="J53" i="85"/>
  <c r="P46" i="80"/>
  <c r="J47" i="71"/>
  <c r="P46" i="73"/>
  <c r="P49" i="70"/>
  <c r="J49" i="86"/>
  <c r="J52" i="82"/>
  <c r="J52" i="84"/>
  <c r="P53" i="86"/>
  <c r="M48" i="72"/>
  <c r="J46" i="70"/>
  <c r="M49" i="82"/>
  <c r="J47" i="73"/>
  <c r="M46" i="77"/>
  <c r="M47" i="75"/>
  <c r="P47" i="78"/>
  <c r="M52" i="82"/>
  <c r="M52" i="84"/>
  <c r="M49" i="76"/>
  <c r="J49" i="74"/>
  <c r="M47" i="72"/>
  <c r="P49" i="79"/>
  <c r="M49" i="78"/>
  <c r="M47" i="101"/>
  <c r="J47" i="101"/>
  <c r="J49" i="77"/>
  <c r="J49" i="71"/>
  <c r="P49" i="80"/>
  <c r="M49" i="71"/>
  <c r="FE28" i="21"/>
  <c r="FK28" i="21"/>
  <c r="EZ28" i="21"/>
  <c r="M47" i="89"/>
  <c r="J49" i="80"/>
  <c r="P49" i="81"/>
  <c r="P47" i="72"/>
  <c r="J49" i="79"/>
  <c r="M49" i="77"/>
  <c r="P49" i="74"/>
  <c r="J49" i="78"/>
  <c r="DQ28" i="21"/>
  <c r="EB28" i="21"/>
  <c r="FA28" i="21"/>
  <c r="EH28" i="21"/>
  <c r="DA28" i="21"/>
  <c r="DV28" i="21"/>
  <c r="DK28" i="21"/>
  <c r="DL28" i="21"/>
  <c r="DR28" i="21"/>
  <c r="DN28" i="21"/>
  <c r="ET28" i="21"/>
  <c r="EY28" i="21"/>
  <c r="FF28" i="21"/>
  <c r="DD28" i="21"/>
  <c r="CZ28" i="21"/>
  <c r="CX28" i="21"/>
  <c r="EK28" i="21"/>
  <c r="DC28" i="21"/>
  <c r="EP28" i="21"/>
  <c r="EI28" i="21"/>
  <c r="EJ28" i="21"/>
  <c r="ED28" i="21"/>
  <c r="DS28" i="21"/>
  <c r="FC28" i="21"/>
  <c r="DU28" i="21"/>
  <c r="FH28" i="21"/>
  <c r="DI28" i="21"/>
  <c r="EN28" i="21"/>
  <c r="DZ28" i="21"/>
  <c r="FI28" i="21"/>
  <c r="EA28" i="21"/>
  <c r="FJ28" i="21"/>
  <c r="DW28" i="21"/>
  <c r="FM28" i="21"/>
  <c r="DO28" i="21"/>
  <c r="EG28" i="21"/>
  <c r="EX28" i="21"/>
  <c r="CY28" i="21"/>
  <c r="DP28" i="21"/>
  <c r="EL28" i="21"/>
  <c r="FD28" i="21"/>
  <c r="EW28" i="21"/>
  <c r="DJ28" i="21"/>
  <c r="ER28" i="21"/>
  <c r="DM28" i="21"/>
  <c r="ES28" i="21"/>
  <c r="DE28" i="21"/>
  <c r="EM28" i="21"/>
  <c r="DF28" i="21"/>
  <c r="DX28" i="21"/>
  <c r="EO28" i="21"/>
  <c r="FG28" i="21"/>
  <c r="DG28" i="21"/>
  <c r="EC28" i="21"/>
  <c r="EU28" i="21"/>
  <c r="FL28" i="21"/>
  <c r="F16" i="58"/>
  <c r="H16" i="58"/>
  <c r="I17" i="57"/>
  <c r="I18" i="57"/>
  <c r="FM12" i="21"/>
  <c r="EO12" i="21"/>
  <c r="DS12" i="21"/>
  <c r="EL12" i="21"/>
  <c r="DR12" i="21"/>
  <c r="F18" i="58"/>
  <c r="F17" i="58"/>
  <c r="I16" i="57"/>
  <c r="FK12" i="21"/>
  <c r="DM12" i="21"/>
  <c r="G16" i="58"/>
  <c r="J16" i="57"/>
  <c r="G18" i="57"/>
  <c r="G17" i="57"/>
  <c r="M76" i="104"/>
  <c r="M1" i="104" s="1"/>
  <c r="J76" i="104"/>
  <c r="J1" i="104" s="1"/>
  <c r="E17" i="57"/>
  <c r="H18" i="58"/>
  <c r="F18" i="57"/>
  <c r="E18" i="57"/>
  <c r="D18" i="58"/>
  <c r="E18" i="58"/>
  <c r="J17" i="57"/>
  <c r="G17" i="58"/>
  <c r="E16" i="57"/>
  <c r="D16" i="57"/>
  <c r="H17" i="58"/>
  <c r="F17" i="57"/>
  <c r="J18" i="57"/>
  <c r="G18" i="58"/>
  <c r="E16" i="58"/>
  <c r="D16" i="58"/>
  <c r="J76" i="106"/>
  <c r="J1" i="106" s="1"/>
  <c r="J75" i="101"/>
  <c r="P75" i="101"/>
  <c r="M76" i="102"/>
  <c r="M1" i="102" s="1"/>
  <c r="DU14" i="21"/>
  <c r="P76" i="102"/>
  <c r="P1" i="102" s="1"/>
  <c r="M76" i="105"/>
  <c r="M1" i="105" s="1"/>
  <c r="J76" i="103"/>
  <c r="J1" i="103" s="1"/>
  <c r="M76" i="103"/>
  <c r="M1" i="103" s="1"/>
  <c r="P76" i="103"/>
  <c r="P1" i="103" s="1"/>
  <c r="P76" i="105"/>
  <c r="P1" i="105" s="1"/>
  <c r="M75" i="101"/>
  <c r="M76" i="106"/>
  <c r="M1" i="106" s="1"/>
  <c r="J76" i="102"/>
  <c r="J1" i="102" s="1"/>
  <c r="P76" i="106"/>
  <c r="P1" i="106" s="1"/>
  <c r="P76" i="104"/>
  <c r="P1" i="104" s="1"/>
  <c r="J76" i="105"/>
  <c r="J1" i="105" s="1"/>
  <c r="S67" i="20"/>
  <c r="T67" i="20" s="1"/>
  <c r="S120" i="20"/>
  <c r="J43" i="87" l="1"/>
  <c r="DP15" i="21" s="1"/>
  <c r="J43" i="75"/>
  <c r="DC15" i="21" s="1"/>
  <c r="M43" i="79"/>
  <c r="ED15" i="21" s="1"/>
  <c r="M43" i="71"/>
  <c r="DQ15" i="21"/>
  <c r="P43" i="89"/>
  <c r="P43" i="82"/>
  <c r="FE15" i="21" s="1"/>
  <c r="EN15" i="21"/>
  <c r="F16" i="57"/>
  <c r="U16" i="57" s="1"/>
  <c r="J43" i="89"/>
  <c r="P43" i="87"/>
  <c r="M43" i="86"/>
  <c r="M43" i="83"/>
  <c r="EI15" i="21" s="1"/>
  <c r="M43" i="80"/>
  <c r="EF15" i="21" s="1"/>
  <c r="P43" i="73"/>
  <c r="FK15" i="21"/>
  <c r="M43" i="90"/>
  <c r="J43" i="84"/>
  <c r="DM15" i="21" s="1"/>
  <c r="FL15" i="21"/>
  <c r="M43" i="87"/>
  <c r="EM15" i="21" s="1"/>
  <c r="M43" i="74"/>
  <c r="J43" i="77"/>
  <c r="DE15" i="21" s="1"/>
  <c r="M43" i="76"/>
  <c r="EA15" i="21" s="1"/>
  <c r="J43" i="76"/>
  <c r="DD15" i="21" s="1"/>
  <c r="M43" i="89"/>
  <c r="P43" i="70"/>
  <c r="ER15" i="21" s="1"/>
  <c r="J43" i="74"/>
  <c r="DB15" i="21" s="1"/>
  <c r="P43" i="74"/>
  <c r="EV15" i="21" s="1"/>
  <c r="J43" i="70"/>
  <c r="J43" i="81"/>
  <c r="DJ15" i="21" s="1"/>
  <c r="P43" i="84"/>
  <c r="J43" i="86"/>
  <c r="DN15" i="21" s="1"/>
  <c r="P43" i="76"/>
  <c r="P43" i="85"/>
  <c r="P43" i="86"/>
  <c r="M43" i="82"/>
  <c r="EH15" i="21" s="1"/>
  <c r="J43" i="85"/>
  <c r="DO15" i="21" s="1"/>
  <c r="J43" i="82"/>
  <c r="DK15" i="21" s="1"/>
  <c r="P43" i="83"/>
  <c r="P43" i="72"/>
  <c r="M43" i="81"/>
  <c r="EG15" i="21" s="1"/>
  <c r="J43" i="83"/>
  <c r="DL15" i="21" s="1"/>
  <c r="J43" i="72"/>
  <c r="P43" i="81"/>
  <c r="FD15" i="21" s="1"/>
  <c r="M43" i="85"/>
  <c r="P43" i="109"/>
  <c r="M43" i="109"/>
  <c r="J43" i="109"/>
  <c r="P43" i="77"/>
  <c r="M43" i="78"/>
  <c r="M43" i="75"/>
  <c r="DZ15" i="21" s="1"/>
  <c r="J43" i="78"/>
  <c r="DF15" i="21" s="1"/>
  <c r="J43" i="73"/>
  <c r="M43" i="77"/>
  <c r="EB15" i="21" s="1"/>
  <c r="M43" i="84"/>
  <c r="M43" i="72"/>
  <c r="P43" i="75"/>
  <c r="EW15" i="21" s="1"/>
  <c r="P43" i="79"/>
  <c r="FA15" i="21" s="1"/>
  <c r="M43" i="70"/>
  <c r="DU15" i="21" s="1"/>
  <c r="P43" i="71"/>
  <c r="J43" i="71"/>
  <c r="P43" i="78"/>
  <c r="EZ15" i="21" s="1"/>
  <c r="J43" i="80"/>
  <c r="DI15" i="21" s="1"/>
  <c r="J43" i="79"/>
  <c r="DG15" i="21" s="1"/>
  <c r="P43" i="80"/>
  <c r="FC15" i="21" s="1"/>
  <c r="D18" i="57"/>
  <c r="U18" i="57" s="1"/>
  <c r="N1" i="104"/>
  <c r="N16" i="58"/>
  <c r="K1" i="104"/>
  <c r="DX15" i="21"/>
  <c r="N1" i="102"/>
  <c r="N18" i="58"/>
  <c r="K1" i="102"/>
  <c r="K1" i="106"/>
  <c r="N1" i="105"/>
  <c r="N1" i="106"/>
  <c r="N1" i="103"/>
  <c r="K1" i="103"/>
  <c r="K1" i="105"/>
  <c r="S48" i="20"/>
  <c r="DW15" i="21" l="1"/>
  <c r="CX15" i="21"/>
  <c r="DV15" i="21"/>
  <c r="ES15" i="21"/>
  <c r="CY15" i="21"/>
  <c r="DS15" i="21"/>
  <c r="EO15" i="21"/>
  <c r="EK15" i="21"/>
  <c r="FJ15" i="21"/>
  <c r="FM15" i="21"/>
  <c r="EU15" i="21"/>
  <c r="FG15" i="21"/>
  <c r="DA15" i="21"/>
  <c r="DY15" i="21"/>
  <c r="EP15" i="21"/>
  <c r="EY15" i="21"/>
  <c r="FF15" i="21"/>
  <c r="CZ15" i="21"/>
  <c r="EX15" i="21"/>
  <c r="ET15" i="21"/>
  <c r="FH15" i="21"/>
  <c r="FI15" i="21"/>
  <c r="EL15" i="21"/>
  <c r="DH15" i="21"/>
  <c r="EE15" i="21"/>
  <c r="FB15" i="21"/>
  <c r="EC15" i="21"/>
  <c r="EJ15" i="21"/>
  <c r="T27" i="20" l="1"/>
  <c r="I21" i="58"/>
  <c r="EU43" i="21"/>
  <c r="EY43" i="21"/>
  <c r="ET43" i="21"/>
  <c r="ES43" i="21"/>
  <c r="ER43" i="21"/>
  <c r="EB43" i="21"/>
  <c r="DX43" i="21"/>
  <c r="DW43" i="21"/>
  <c r="DV43" i="21"/>
  <c r="DU43" i="21"/>
  <c r="EK43" i="21" l="1"/>
  <c r="FH43" i="21"/>
  <c r="EL43" i="21"/>
  <c r="FI43" i="21"/>
  <c r="Q46" i="50" l="1"/>
  <c r="Q46" i="51"/>
  <c r="Q46" i="47"/>
  <c r="Q46" i="46"/>
  <c r="Q46" i="45"/>
  <c r="Q46" i="42"/>
  <c r="Q46" i="43"/>
  <c r="Q46" i="39"/>
  <c r="Q46" i="44"/>
  <c r="Q46" i="41"/>
  <c r="Q46" i="38"/>
  <c r="Q46" i="37"/>
  <c r="Q46" i="40"/>
  <c r="Q46" i="36"/>
  <c r="Q46" i="30"/>
  <c r="Q46" i="34"/>
  <c r="Q46" i="32"/>
  <c r="Q46" i="28"/>
  <c r="Q46" i="31"/>
  <c r="Q46" i="29"/>
  <c r="Q46" i="26"/>
  <c r="Q46" i="25"/>
  <c r="Q46" i="33"/>
  <c r="Q46" i="27"/>
  <c r="Q46" i="24"/>
  <c r="Q46" i="35"/>
  <c r="Q47" i="23" l="1"/>
  <c r="Q49" i="23"/>
  <c r="Q50" i="23"/>
  <c r="Q52" i="23"/>
  <c r="Q54" i="23"/>
  <c r="Q56" i="23"/>
  <c r="Q51" i="23"/>
  <c r="Q57" i="23"/>
  <c r="Q48" i="23"/>
  <c r="Q53" i="23"/>
  <c r="Q55" i="23"/>
  <c r="Q46" i="23"/>
  <c r="Q46" i="48"/>
  <c r="Q48" i="48"/>
  <c r="Q50" i="48"/>
  <c r="Q57" i="48"/>
  <c r="Q47" i="48"/>
  <c r="Q54" i="48"/>
  <c r="Q55" i="48"/>
  <c r="Q49" i="48"/>
  <c r="Q56" i="48"/>
  <c r="Q53" i="48"/>
  <c r="Q51" i="48"/>
  <c r="Q52" i="48"/>
  <c r="Q54" i="49"/>
  <c r="Q56" i="49"/>
  <c r="Q46" i="49"/>
  <c r="Q47" i="49"/>
  <c r="Q53" i="49"/>
  <c r="Q49" i="49"/>
  <c r="Q55" i="49"/>
  <c r="Q57" i="49"/>
  <c r="Q51" i="49"/>
  <c r="Q48" i="49"/>
  <c r="Q50" i="49"/>
  <c r="Q52" i="49"/>
  <c r="E42" i="6" l="1"/>
  <c r="H42" i="6"/>
  <c r="M42" i="6" s="1"/>
  <c r="K42" i="6"/>
  <c r="U44" i="20" l="1"/>
  <c r="U60" i="20" l="1"/>
  <c r="Q117" i="20" l="1"/>
  <c r="Q93" i="20"/>
  <c r="Q127" i="20"/>
  <c r="J6" i="20" l="1"/>
  <c r="J29" i="20" l="1"/>
  <c r="X29" i="20" s="1"/>
  <c r="I39" i="20"/>
  <c r="I17" i="20"/>
  <c r="X17" i="20" s="1"/>
  <c r="J14" i="20"/>
  <c r="J10" i="20"/>
  <c r="X10" i="20" s="1"/>
  <c r="J9" i="20"/>
  <c r="I5" i="20"/>
  <c r="I4" i="20"/>
  <c r="O44" i="20"/>
  <c r="K39" i="20"/>
  <c r="K44" i="20"/>
  <c r="K60" i="20" s="1"/>
  <c r="F21" i="20"/>
  <c r="M44" i="20"/>
  <c r="I44" i="20" l="1"/>
  <c r="W44" i="20" s="1"/>
  <c r="W60" i="20" s="1"/>
  <c r="R173" i="20"/>
  <c r="X9" i="20"/>
  <c r="X39" i="20"/>
  <c r="W14" i="20"/>
  <c r="X14" i="20"/>
  <c r="R142" i="20"/>
  <c r="W17" i="20"/>
  <c r="W29" i="20"/>
  <c r="K4" i="20"/>
  <c r="I93" i="20"/>
  <c r="I127" i="20"/>
  <c r="I117" i="20"/>
  <c r="O60" i="20"/>
  <c r="M60" i="20"/>
  <c r="X44" i="20" l="1"/>
  <c r="I60" i="20"/>
  <c r="K93" i="20"/>
  <c r="K127" i="20"/>
  <c r="K117" i="20"/>
  <c r="W119" i="20"/>
  <c r="W117" i="20"/>
  <c r="W123" i="20" l="1"/>
  <c r="W67" i="20"/>
  <c r="X67" i="20" s="1"/>
  <c r="W120" i="20"/>
  <c r="W118" i="20"/>
  <c r="W86" i="20"/>
  <c r="W127" i="20"/>
  <c r="W93" i="20"/>
  <c r="W89" i="20" l="1"/>
  <c r="W87" i="20"/>
  <c r="W84" i="20"/>
  <c r="W83" i="20"/>
  <c r="W85" i="20"/>
  <c r="W88" i="20"/>
  <c r="I33" i="71" l="1"/>
  <c r="I31" i="71"/>
  <c r="I32" i="71"/>
  <c r="J27" i="71" l="1"/>
  <c r="L31" i="71"/>
  <c r="L33" i="71"/>
  <c r="L32" i="71"/>
  <c r="CY13" i="21" l="1"/>
  <c r="M27" i="71"/>
  <c r="O32" i="71"/>
  <c r="O33" i="71"/>
  <c r="O31" i="71"/>
  <c r="DV13" i="21" l="1"/>
  <c r="P27" i="71"/>
  <c r="E17" i="58" l="1"/>
  <c r="D17" i="58"/>
  <c r="ES13" i="21"/>
  <c r="N17" i="58" l="1"/>
  <c r="I30" i="70" l="1"/>
  <c r="J27" i="70" s="1"/>
  <c r="N30" i="70"/>
  <c r="O30" i="70" s="1"/>
  <c r="P27" i="70" s="1"/>
  <c r="ER13" i="21" s="1"/>
  <c r="K30" i="70"/>
  <c r="L30" i="70" s="1"/>
  <c r="M27" i="70" s="1"/>
  <c r="CX13" i="21" l="1"/>
  <c r="DU13" i="21"/>
  <c r="D17" i="57" l="1"/>
  <c r="U17" i="57" s="1"/>
  <c r="O14" i="101" l="1"/>
  <c r="P13" i="101" s="1"/>
  <c r="I14" i="101"/>
  <c r="L14" i="101"/>
  <c r="M13" i="101" s="1"/>
  <c r="J13" i="101" l="1"/>
  <c r="P1" i="101"/>
  <c r="M1" i="101"/>
  <c r="J1" i="101" l="1"/>
  <c r="K1" i="101" s="1"/>
  <c r="N1" i="101"/>
  <c r="X59" i="20" l="1"/>
  <c r="W136" i="20" s="1"/>
  <c r="CI30" i="21" l="1"/>
  <c r="CL30" i="21"/>
  <c r="CF30" i="21"/>
  <c r="CQ30" i="21"/>
  <c r="CA30" i="21"/>
  <c r="CK30" i="21"/>
  <c r="CC30" i="21"/>
  <c r="CG30" i="21"/>
  <c r="BR30" i="21"/>
  <c r="BQ30" i="21"/>
  <c r="BT30" i="21"/>
  <c r="CD30" i="21"/>
  <c r="BX30" i="21"/>
  <c r="CN30" i="21"/>
  <c r="BV30" i="21"/>
  <c r="CO30" i="21"/>
  <c r="BY30" i="21"/>
  <c r="CT30" i="21"/>
  <c r="BS30" i="21"/>
  <c r="CM30" i="21"/>
  <c r="BU30" i="21"/>
  <c r="BZ30" i="21"/>
  <c r="CB30" i="21"/>
  <c r="CH30" i="21"/>
  <c r="CR30" i="21"/>
  <c r="BP30" i="21"/>
  <c r="CJ30" i="21"/>
  <c r="CP30" i="21"/>
  <c r="CE30" i="21"/>
  <c r="CS30" i="21"/>
  <c r="BW30" i="21"/>
  <c r="BD30" i="21" l="1"/>
  <c r="BH30" i="21"/>
  <c r="X30" i="21"/>
  <c r="I30" i="21"/>
  <c r="BF30" i="21"/>
  <c r="P30" i="21"/>
  <c r="Q30" i="21"/>
  <c r="AC30" i="21"/>
  <c r="D30" i="21"/>
  <c r="BJ30" i="21"/>
  <c r="L30" i="21"/>
  <c r="AF30" i="21"/>
  <c r="E30" i="21"/>
  <c r="AS30" i="21"/>
  <c r="H30" i="21"/>
  <c r="AD30" i="21"/>
  <c r="J30" i="21"/>
  <c r="AW30" i="21"/>
  <c r="BG30" i="21"/>
  <c r="AQ30" i="21"/>
  <c r="V30" i="21"/>
  <c r="R30" i="21"/>
  <c r="N30" i="21"/>
  <c r="S30" i="21"/>
  <c r="AM30" i="21"/>
  <c r="AG30" i="21"/>
  <c r="T30" i="21"/>
  <c r="AU30" i="21"/>
  <c r="O30" i="21"/>
  <c r="BB30" i="21"/>
  <c r="AP30" i="21"/>
  <c r="AL30" i="21"/>
  <c r="AO30" i="21"/>
  <c r="Y30" i="21"/>
  <c r="BE30" i="21"/>
  <c r="BI30" i="21"/>
  <c r="BA30" i="21"/>
  <c r="AE30" i="21"/>
  <c r="AB30" i="21"/>
  <c r="AK30" i="21"/>
  <c r="AJ30" i="21"/>
  <c r="BC30" i="21"/>
  <c r="AV30" i="21"/>
  <c r="W30" i="21"/>
  <c r="AA30" i="21"/>
  <c r="AZ30" i="21"/>
  <c r="AR30" i="21"/>
  <c r="U30" i="21"/>
  <c r="BL30" i="21"/>
  <c r="AN30" i="21"/>
  <c r="BM30" i="21"/>
  <c r="M30" i="21"/>
  <c r="G30" i="21"/>
  <c r="F30" i="21"/>
  <c r="AY30" i="21"/>
  <c r="K30" i="21"/>
  <c r="BN30" i="21"/>
  <c r="AX30" i="21"/>
  <c r="Z30" i="21"/>
  <c r="BK30" i="21"/>
  <c r="AT30" i="21"/>
  <c r="I19" i="58" l="1"/>
  <c r="I22" i="58"/>
  <c r="T11" i="20"/>
  <c r="S118" i="20" s="1"/>
  <c r="C10" i="25"/>
  <c r="C10" i="41"/>
  <c r="C10" i="37"/>
  <c r="C10" i="40"/>
  <c r="C9" i="49"/>
  <c r="O45" i="12"/>
  <c r="C9" i="42"/>
  <c r="C9" i="22"/>
  <c r="C9" i="47"/>
  <c r="C9" i="48"/>
  <c r="C10" i="35"/>
  <c r="C10" i="48"/>
  <c r="C9" i="34"/>
  <c r="C10" i="49"/>
  <c r="C9" i="40"/>
  <c r="O44" i="12"/>
  <c r="C9" i="28"/>
  <c r="C10" i="51"/>
  <c r="C9" i="26"/>
  <c r="C10" i="22"/>
  <c r="C10" i="27"/>
  <c r="C10" i="32"/>
  <c r="C10" i="38"/>
  <c r="C9" i="41"/>
  <c r="C10" i="39"/>
  <c r="C10" i="36"/>
  <c r="O43" i="12"/>
  <c r="C9" i="37"/>
  <c r="O15" i="12"/>
  <c r="C9" i="50"/>
  <c r="C10" i="33"/>
  <c r="C9" i="27"/>
  <c r="C10" i="50"/>
  <c r="C9" i="43"/>
  <c r="C9" i="35"/>
  <c r="C10" i="28"/>
  <c r="C10" i="43"/>
  <c r="C9" i="44"/>
  <c r="C9" i="30"/>
  <c r="C10" i="23"/>
  <c r="C10" i="26"/>
  <c r="C10" i="42"/>
  <c r="C10" i="47"/>
  <c r="O47" i="12"/>
  <c r="C10" i="34"/>
  <c r="C10" i="45"/>
  <c r="C9" i="45"/>
  <c r="C10" i="31"/>
  <c r="C9" i="33"/>
  <c r="C9" i="25"/>
  <c r="C10" i="30"/>
  <c r="C9" i="23"/>
  <c r="C9" i="31"/>
  <c r="C10" i="24"/>
  <c r="C9" i="39"/>
  <c r="B9" i="10"/>
  <c r="C9" i="38"/>
  <c r="C10" i="46"/>
  <c r="C9" i="24"/>
  <c r="C9" i="36"/>
  <c r="O46" i="12"/>
  <c r="C9" i="29"/>
  <c r="C10" i="29"/>
  <c r="C9" i="51"/>
  <c r="C9" i="32"/>
  <c r="C9" i="46"/>
  <c r="C10" i="44"/>
  <c r="B9" i="8"/>
  <c r="O30" i="12"/>
  <c r="G9" i="36" s="1"/>
  <c r="I9" i="36" s="1"/>
  <c r="J7" i="36" s="1"/>
  <c r="O24" i="12"/>
  <c r="G9" i="30" s="1"/>
  <c r="O36" i="12"/>
  <c r="G9" i="43" s="1"/>
  <c r="O39" i="12"/>
  <c r="G10" i="45" s="1"/>
  <c r="O35" i="12"/>
  <c r="G9" i="42" s="1"/>
  <c r="BD7" i="21" s="1"/>
  <c r="F9" i="10" s="1"/>
  <c r="O21" i="12"/>
  <c r="G9" i="27" s="1"/>
  <c r="G9" i="47"/>
  <c r="I9" i="47" s="1"/>
  <c r="G9" i="22"/>
  <c r="O18" i="12"/>
  <c r="G9" i="24" s="1"/>
  <c r="O19" i="12"/>
  <c r="G9" i="25" s="1"/>
  <c r="O9" i="25" s="1"/>
  <c r="O29" i="12"/>
  <c r="G9" i="35" s="1"/>
  <c r="O33" i="12"/>
  <c r="G9" i="40" s="1"/>
  <c r="O26" i="12"/>
  <c r="G9" i="32" s="1"/>
  <c r="O27" i="12"/>
  <c r="G9" i="33" s="1"/>
  <c r="L9" i="33" s="1"/>
  <c r="O42" i="12"/>
  <c r="G9" i="49" s="1"/>
  <c r="D72" i="31"/>
  <c r="O73" i="31" s="1"/>
  <c r="D61" i="44"/>
  <c r="G62" i="44" s="1"/>
  <c r="D24" i="36"/>
  <c r="D61" i="23"/>
  <c r="O32" i="12"/>
  <c r="G9" i="39" s="1"/>
  <c r="G9" i="23"/>
  <c r="L9" i="23" s="1"/>
  <c r="K70" i="23" s="1"/>
  <c r="M69" i="23" s="1"/>
  <c r="AK19" i="21" s="1"/>
  <c r="O31" i="12"/>
  <c r="G9" i="37" s="1"/>
  <c r="S68" i="40"/>
  <c r="M67" i="40" s="1"/>
  <c r="BB18" i="21" s="1"/>
  <c r="R68" i="33"/>
  <c r="J67" i="33" s="1"/>
  <c r="O18" i="21" s="1"/>
  <c r="O28" i="12"/>
  <c r="G9" i="34" s="1"/>
  <c r="I9" i="34" s="1"/>
  <c r="D72" i="23"/>
  <c r="D61" i="41"/>
  <c r="G62" i="41" s="1"/>
  <c r="O38" i="12"/>
  <c r="G9" i="45" s="1"/>
  <c r="O23" i="12"/>
  <c r="G9" i="29" s="1"/>
  <c r="O34" i="12"/>
  <c r="G9" i="41" s="1"/>
  <c r="O9" i="41" s="1"/>
  <c r="CI8" i="21" s="1"/>
  <c r="F6" i="15"/>
  <c r="J29" i="15" s="1"/>
  <c r="M29" i="15" s="1"/>
  <c r="O37" i="12"/>
  <c r="G9" i="44" s="1"/>
  <c r="L9" i="44" s="1"/>
  <c r="O20" i="12"/>
  <c r="F36" i="18" s="1"/>
  <c r="H36" i="18" s="1"/>
  <c r="H39" i="18" s="1"/>
  <c r="O40" i="12"/>
  <c r="G9" i="46" s="1"/>
  <c r="L9" i="46" s="1"/>
  <c r="O22" i="12"/>
  <c r="G9" i="28" s="1"/>
  <c r="P67" i="35"/>
  <c r="CC18" i="21" s="1"/>
  <c r="D61" i="36"/>
  <c r="O25" i="12"/>
  <c r="G9" i="31" s="1"/>
  <c r="D35" i="42"/>
  <c r="G36" i="42" s="1"/>
  <c r="D30" i="45"/>
  <c r="D72" i="40"/>
  <c r="O73" i="40" s="1"/>
  <c r="D72" i="24"/>
  <c r="O73" i="24" s="1"/>
  <c r="D72" i="72"/>
  <c r="I73" i="72" s="1"/>
  <c r="D72" i="38"/>
  <c r="O48" i="12"/>
  <c r="G11" i="41" s="1"/>
  <c r="I11" i="41" s="1"/>
  <c r="R10" i="41" s="1"/>
  <c r="W9" i="21" s="1"/>
  <c r="D35" i="23"/>
  <c r="Q49" i="96"/>
  <c r="D30" i="42" l="1"/>
  <c r="O30" i="42" s="1"/>
  <c r="L9" i="29"/>
  <c r="K70" i="29" s="1"/>
  <c r="M69" i="29" s="1"/>
  <c r="AQ19" i="21" s="1"/>
  <c r="O9" i="29"/>
  <c r="BW8" i="21" s="1"/>
  <c r="BW48" i="21" s="1"/>
  <c r="G11" i="50"/>
  <c r="I11" i="50" s="1"/>
  <c r="R10" i="50" s="1"/>
  <c r="AG9" i="21" s="1"/>
  <c r="AG11" i="21" s="1"/>
  <c r="O9" i="36"/>
  <c r="P7" i="36" s="1"/>
  <c r="G9" i="48"/>
  <c r="I9" i="48" s="1"/>
  <c r="H70" i="48" s="1"/>
  <c r="J69" i="48" s="1"/>
  <c r="AD19" i="21" s="1"/>
  <c r="G11" i="31"/>
  <c r="O11" i="31" s="1"/>
  <c r="T10" i="31" s="1"/>
  <c r="BY9" i="21" s="1"/>
  <c r="S86" i="20"/>
  <c r="D30" i="40"/>
  <c r="L30" i="40" s="1"/>
  <c r="O62" i="44"/>
  <c r="I62" i="44"/>
  <c r="L62" i="44"/>
  <c r="N7" i="21"/>
  <c r="BZ7" i="21"/>
  <c r="I9" i="32"/>
  <c r="AT7" i="21"/>
  <c r="L9" i="32"/>
  <c r="O9" i="32"/>
  <c r="J7" i="47"/>
  <c r="AC8" i="21"/>
  <c r="H70" i="47"/>
  <c r="J69" i="47" s="1"/>
  <c r="AC19" i="21" s="1"/>
  <c r="L7" i="21"/>
  <c r="AR7" i="21"/>
  <c r="L9" i="30"/>
  <c r="BX7" i="21"/>
  <c r="I9" i="30"/>
  <c r="O9" i="30"/>
  <c r="O74" i="38"/>
  <c r="L74" i="38"/>
  <c r="I74" i="38"/>
  <c r="I73" i="38"/>
  <c r="O73" i="38"/>
  <c r="L73" i="38"/>
  <c r="BH8" i="21"/>
  <c r="K70" i="46"/>
  <c r="M69" i="46" s="1"/>
  <c r="BH19" i="21" s="1"/>
  <c r="M7" i="46"/>
  <c r="BB7" i="21"/>
  <c r="CH7" i="21"/>
  <c r="V7" i="21"/>
  <c r="L9" i="40"/>
  <c r="O9" i="40"/>
  <c r="I9" i="40"/>
  <c r="Q7" i="21"/>
  <c r="CC7" i="21"/>
  <c r="AW7" i="21"/>
  <c r="O9" i="35"/>
  <c r="I9" i="35"/>
  <c r="L9" i="35"/>
  <c r="I62" i="41"/>
  <c r="L62" i="41"/>
  <c r="O62" i="41"/>
  <c r="H70" i="34"/>
  <c r="J69" i="34" s="1"/>
  <c r="P19" i="21" s="1"/>
  <c r="J7" i="34"/>
  <c r="P8" i="21"/>
  <c r="I36" i="42"/>
  <c r="O36" i="42"/>
  <c r="L36" i="42"/>
  <c r="AQ8" i="21"/>
  <c r="CG7" i="21"/>
  <c r="BA7" i="21"/>
  <c r="U7" i="21"/>
  <c r="L9" i="39"/>
  <c r="O9" i="39"/>
  <c r="I9" i="39"/>
  <c r="CQ7" i="21"/>
  <c r="BK7" i="21"/>
  <c r="AE7" i="21"/>
  <c r="O9" i="49"/>
  <c r="I9" i="49"/>
  <c r="L9" i="49"/>
  <c r="J7" i="21"/>
  <c r="BV7" i="21"/>
  <c r="O9" i="28"/>
  <c r="L9" i="28"/>
  <c r="I9" i="28"/>
  <c r="AP7" i="21"/>
  <c r="O30" i="45"/>
  <c r="I30" i="45"/>
  <c r="L30" i="45"/>
  <c r="BS8" i="21"/>
  <c r="P7" i="25"/>
  <c r="N70" i="25"/>
  <c r="P69" i="25" s="1"/>
  <c r="BS19" i="21" s="1"/>
  <c r="G42" i="23"/>
  <c r="G41" i="23"/>
  <c r="G40" i="23"/>
  <c r="G38" i="23"/>
  <c r="G39" i="23"/>
  <c r="G37" i="23"/>
  <c r="G36" i="23"/>
  <c r="AU8" i="21"/>
  <c r="M7" i="33"/>
  <c r="K70" i="33"/>
  <c r="M69" i="33" s="1"/>
  <c r="AU19" i="21" s="1"/>
  <c r="BR7" i="21"/>
  <c r="F7" i="21"/>
  <c r="AL7" i="21"/>
  <c r="L9" i="24"/>
  <c r="O9" i="24"/>
  <c r="I9" i="24"/>
  <c r="O10" i="45"/>
  <c r="I10" i="45"/>
  <c r="L10" i="45"/>
  <c r="S7" i="21"/>
  <c r="CE7" i="21"/>
  <c r="AY7" i="21"/>
  <c r="P11" i="20" s="1"/>
  <c r="I9" i="37"/>
  <c r="O9" i="37"/>
  <c r="L9" i="37"/>
  <c r="BF8" i="21"/>
  <c r="M7" i="44"/>
  <c r="K70" i="44"/>
  <c r="M69" i="44" s="1"/>
  <c r="BF19" i="21" s="1"/>
  <c r="AS7" i="21"/>
  <c r="BY7" i="21"/>
  <c r="M7" i="21"/>
  <c r="O9" i="31"/>
  <c r="I9" i="31"/>
  <c r="L9" i="31"/>
  <c r="BG7" i="21"/>
  <c r="CM7" i="21"/>
  <c r="AA7" i="21"/>
  <c r="I9" i="45"/>
  <c r="O9" i="45"/>
  <c r="L9" i="45"/>
  <c r="G26" i="36"/>
  <c r="G25" i="36"/>
  <c r="BP7" i="21"/>
  <c r="D7" i="21"/>
  <c r="O9" i="22"/>
  <c r="I9" i="22"/>
  <c r="AJ7" i="21"/>
  <c r="L9" i="22"/>
  <c r="Y7" i="21"/>
  <c r="CK7" i="21"/>
  <c r="O9" i="43"/>
  <c r="BE7" i="21"/>
  <c r="V11" i="20" s="1"/>
  <c r="I9" i="43"/>
  <c r="L9" i="43"/>
  <c r="G64" i="23"/>
  <c r="G63" i="23"/>
  <c r="G11" i="32"/>
  <c r="G11" i="45"/>
  <c r="G11" i="25"/>
  <c r="G11" i="39"/>
  <c r="G11" i="46"/>
  <c r="G11" i="43"/>
  <c r="G11" i="51"/>
  <c r="G11" i="34"/>
  <c r="O74" i="72"/>
  <c r="L74" i="72"/>
  <c r="I74" i="72"/>
  <c r="J71" i="72" s="1"/>
  <c r="CZ20" i="21" s="1"/>
  <c r="O73" i="72"/>
  <c r="D30" i="30"/>
  <c r="G10" i="32"/>
  <c r="G63" i="36"/>
  <c r="G64" i="36"/>
  <c r="D72" i="29"/>
  <c r="G11" i="47"/>
  <c r="D61" i="24"/>
  <c r="L11" i="41"/>
  <c r="S10" i="41" s="1"/>
  <c r="BC9" i="21" s="1"/>
  <c r="D72" i="28"/>
  <c r="R68" i="42"/>
  <c r="J67" i="42" s="1"/>
  <c r="X18" i="21" s="1"/>
  <c r="D72" i="80"/>
  <c r="D72" i="70"/>
  <c r="D72" i="36"/>
  <c r="BU7" i="21"/>
  <c r="I7" i="21"/>
  <c r="AO7" i="21"/>
  <c r="L9" i="27"/>
  <c r="I9" i="27"/>
  <c r="G11" i="29"/>
  <c r="D35" i="26"/>
  <c r="D35" i="37"/>
  <c r="D72" i="78"/>
  <c r="D72" i="84"/>
  <c r="D30" i="50"/>
  <c r="D72" i="42"/>
  <c r="S68" i="46"/>
  <c r="M67" i="46" s="1"/>
  <c r="BH18" i="21" s="1"/>
  <c r="L9" i="47"/>
  <c r="D24" i="48"/>
  <c r="L9" i="34"/>
  <c r="R68" i="44"/>
  <c r="J67" i="44" s="1"/>
  <c r="Z18" i="21" s="1"/>
  <c r="O9" i="34"/>
  <c r="L74" i="23"/>
  <c r="O74" i="23"/>
  <c r="I74" i="23"/>
  <c r="L73" i="23"/>
  <c r="L73" i="24"/>
  <c r="D30" i="29"/>
  <c r="D30" i="23"/>
  <c r="D30" i="35"/>
  <c r="D30" i="37"/>
  <c r="D30" i="25"/>
  <c r="D30" i="31"/>
  <c r="D30" i="24"/>
  <c r="D30" i="46"/>
  <c r="G11" i="24"/>
  <c r="J11" i="15"/>
  <c r="M11" i="15" s="1"/>
  <c r="O11" i="41"/>
  <c r="T10" i="41" s="1"/>
  <c r="CI9" i="21" s="1"/>
  <c r="CI11" i="21" s="1"/>
  <c r="I73" i="23"/>
  <c r="D61" i="28"/>
  <c r="G9" i="38"/>
  <c r="D72" i="76"/>
  <c r="G62" i="23"/>
  <c r="D35" i="45"/>
  <c r="D72" i="33"/>
  <c r="D35" i="31"/>
  <c r="G11" i="36"/>
  <c r="D72" i="50"/>
  <c r="D61" i="22"/>
  <c r="T68" i="109"/>
  <c r="P67" i="109" s="1"/>
  <c r="FB18" i="21" s="1"/>
  <c r="S68" i="45"/>
  <c r="M67" i="45" s="1"/>
  <c r="BG18" i="21" s="1"/>
  <c r="D24" i="37"/>
  <c r="G25" i="37" s="1"/>
  <c r="D61" i="43"/>
  <c r="D72" i="34"/>
  <c r="T68" i="49"/>
  <c r="P67" i="49" s="1"/>
  <c r="CQ18" i="21" s="1"/>
  <c r="D35" i="41"/>
  <c r="L73" i="40"/>
  <c r="D72" i="30"/>
  <c r="D72" i="71"/>
  <c r="R68" i="47"/>
  <c r="J67" i="47" s="1"/>
  <c r="AC18" i="21" s="1"/>
  <c r="D30" i="47"/>
  <c r="BI7" i="21"/>
  <c r="AC7" i="21"/>
  <c r="CO7" i="21"/>
  <c r="O9" i="47"/>
  <c r="D61" i="38"/>
  <c r="J67" i="81"/>
  <c r="DJ18" i="21" s="1"/>
  <c r="D24" i="35"/>
  <c r="T68" i="40"/>
  <c r="P67" i="40" s="1"/>
  <c r="CH18" i="21" s="1"/>
  <c r="I74" i="24"/>
  <c r="O74" i="24"/>
  <c r="P71" i="24" s="1"/>
  <c r="BR20" i="21" s="1"/>
  <c r="L74" i="24"/>
  <c r="I73" i="24"/>
  <c r="AB7" i="21"/>
  <c r="CN7" i="21"/>
  <c r="BH7" i="21"/>
  <c r="I9" i="46"/>
  <c r="O9" i="46"/>
  <c r="J18" i="15"/>
  <c r="J16" i="15"/>
  <c r="J38" i="15"/>
  <c r="J31" i="15"/>
  <c r="J32" i="15"/>
  <c r="J25" i="15"/>
  <c r="J17" i="15"/>
  <c r="J37" i="15"/>
  <c r="J22" i="15"/>
  <c r="M22" i="15" s="1"/>
  <c r="J14" i="15"/>
  <c r="M14" i="15" s="1"/>
  <c r="J30" i="15"/>
  <c r="M30" i="15" s="1"/>
  <c r="N26" i="15" s="1"/>
  <c r="J12" i="15"/>
  <c r="M12" i="15" s="1"/>
  <c r="J15" i="15"/>
  <c r="M15" i="15" s="1"/>
  <c r="J23" i="15"/>
  <c r="M23" i="15" s="1"/>
  <c r="J36" i="15"/>
  <c r="M36" i="15" s="1"/>
  <c r="N33" i="15" s="1"/>
  <c r="I74" i="31"/>
  <c r="L74" i="31"/>
  <c r="O74" i="31"/>
  <c r="P71" i="31" s="1"/>
  <c r="BY20" i="21" s="1"/>
  <c r="L73" i="31"/>
  <c r="M41" i="96"/>
  <c r="T68" i="51"/>
  <c r="Q52" i="96"/>
  <c r="M40" i="96"/>
  <c r="S68" i="50"/>
  <c r="Q26" i="96"/>
  <c r="Q45" i="96"/>
  <c r="Q79" i="96"/>
  <c r="R68" i="50"/>
  <c r="Q50" i="96"/>
  <c r="M73" i="96"/>
  <c r="Q84" i="96"/>
  <c r="S68" i="51"/>
  <c r="Q28" i="96"/>
  <c r="R68" i="51"/>
  <c r="T68" i="50"/>
  <c r="M72" i="96"/>
  <c r="Q25" i="96"/>
  <c r="S68" i="23"/>
  <c r="M67" i="23" s="1"/>
  <c r="AK18" i="21" s="1"/>
  <c r="R68" i="49"/>
  <c r="J67" i="49" s="1"/>
  <c r="AE18" i="21" s="1"/>
  <c r="S68" i="109"/>
  <c r="M67" i="109" s="1"/>
  <c r="EE18" i="21" s="1"/>
  <c r="S68" i="48"/>
  <c r="M67" i="48" s="1"/>
  <c r="BJ18" i="21" s="1"/>
  <c r="T68" i="75"/>
  <c r="P67" i="75" s="1"/>
  <c r="EW18" i="21" s="1"/>
  <c r="S68" i="33"/>
  <c r="M67" i="33" s="1"/>
  <c r="AU18" i="21" s="1"/>
  <c r="R68" i="73"/>
  <c r="J67" i="73" s="1"/>
  <c r="DA18" i="21" s="1"/>
  <c r="R68" i="75"/>
  <c r="J67" i="75" s="1"/>
  <c r="DC18" i="21" s="1"/>
  <c r="R68" i="72"/>
  <c r="J67" i="72" s="1"/>
  <c r="CZ18" i="21" s="1"/>
  <c r="R68" i="109"/>
  <c r="J67" i="109" s="1"/>
  <c r="DH18" i="21" s="1"/>
  <c r="S68" i="76"/>
  <c r="M67" i="76" s="1"/>
  <c r="EA18" i="21" s="1"/>
  <c r="M71" i="96"/>
  <c r="T68" i="31"/>
  <c r="P67" i="31" s="1"/>
  <c r="BY18" i="21" s="1"/>
  <c r="S68" i="75"/>
  <c r="M67" i="75" s="1"/>
  <c r="DZ18" i="21" s="1"/>
  <c r="S68" i="30"/>
  <c r="M67" i="30" s="1"/>
  <c r="AR18" i="21" s="1"/>
  <c r="R68" i="36"/>
  <c r="J67" i="36" s="1"/>
  <c r="R18" i="21" s="1"/>
  <c r="S68" i="34"/>
  <c r="M67" i="34" s="1"/>
  <c r="AV18" i="21" s="1"/>
  <c r="S68" i="74"/>
  <c r="M67" i="74" s="1"/>
  <c r="DY18" i="21" s="1"/>
  <c r="T68" i="26"/>
  <c r="P67" i="26" s="1"/>
  <c r="BT18" i="21" s="1"/>
  <c r="T68" i="45"/>
  <c r="P67" i="45" s="1"/>
  <c r="CM18" i="21" s="1"/>
  <c r="T68" i="32"/>
  <c r="P67" i="32" s="1"/>
  <c r="BZ18" i="21" s="1"/>
  <c r="R68" i="29"/>
  <c r="J67" i="29" s="1"/>
  <c r="K18" i="21" s="1"/>
  <c r="S68" i="47"/>
  <c r="M67" i="47" s="1"/>
  <c r="BI18" i="21" s="1"/>
  <c r="T68" i="23"/>
  <c r="P67" i="23" s="1"/>
  <c r="BQ18" i="21" s="1"/>
  <c r="R68" i="31"/>
  <c r="J67" i="31" s="1"/>
  <c r="M18" i="21" s="1"/>
  <c r="T68" i="28"/>
  <c r="P67" i="28" s="1"/>
  <c r="BV18" i="21" s="1"/>
  <c r="T68" i="41"/>
  <c r="P67" i="41" s="1"/>
  <c r="CI18" i="21" s="1"/>
  <c r="M67" i="81"/>
  <c r="EG18" i="21" s="1"/>
  <c r="T68" i="43"/>
  <c r="P67" i="43" s="1"/>
  <c r="CK18" i="21" s="1"/>
  <c r="S68" i="27"/>
  <c r="M67" i="27" s="1"/>
  <c r="AO18" i="21" s="1"/>
  <c r="R68" i="25"/>
  <c r="J67" i="25" s="1"/>
  <c r="G18" i="21" s="1"/>
  <c r="T68" i="29"/>
  <c r="P67" i="29" s="1"/>
  <c r="BW18" i="21" s="1"/>
  <c r="T68" i="74"/>
  <c r="P67" i="74" s="1"/>
  <c r="EV18" i="21" s="1"/>
  <c r="M39" i="96"/>
  <c r="R68" i="34"/>
  <c r="J67" i="34" s="1"/>
  <c r="P18" i="21" s="1"/>
  <c r="R68" i="71"/>
  <c r="J67" i="71" s="1"/>
  <c r="CY18" i="21" s="1"/>
  <c r="S68" i="37"/>
  <c r="M67" i="37" s="1"/>
  <c r="AY18" i="21" s="1"/>
  <c r="P24" i="20" s="1"/>
  <c r="S68" i="43"/>
  <c r="M67" i="43" s="1"/>
  <c r="BE18" i="21" s="1"/>
  <c r="T68" i="38"/>
  <c r="P67" i="38" s="1"/>
  <c r="CF18" i="21" s="1"/>
  <c r="R68" i="48"/>
  <c r="J67" i="48" s="1"/>
  <c r="AD18" i="21" s="1"/>
  <c r="T68" i="42"/>
  <c r="P67" i="42" s="1"/>
  <c r="CJ18" i="21" s="1"/>
  <c r="T68" i="27"/>
  <c r="P67" i="27" s="1"/>
  <c r="BU18" i="21" s="1"/>
  <c r="R68" i="46"/>
  <c r="J67" i="46" s="1"/>
  <c r="AB18" i="21" s="1"/>
  <c r="R68" i="38"/>
  <c r="J67" i="38" s="1"/>
  <c r="T18" i="21" s="1"/>
  <c r="S68" i="49"/>
  <c r="M67" i="49" s="1"/>
  <c r="BK18" i="21" s="1"/>
  <c r="R68" i="27"/>
  <c r="J67" i="27" s="1"/>
  <c r="I18" i="21" s="1"/>
  <c r="T68" i="80"/>
  <c r="P67" i="80" s="1"/>
  <c r="FC18" i="21" s="1"/>
  <c r="R68" i="74"/>
  <c r="J67" i="74" s="1"/>
  <c r="DB18" i="21" s="1"/>
  <c r="T68" i="46"/>
  <c r="P67" i="46" s="1"/>
  <c r="CN18" i="21" s="1"/>
  <c r="R68" i="70"/>
  <c r="J67" i="70" s="1"/>
  <c r="CX18" i="21" s="1"/>
  <c r="J67" i="22"/>
  <c r="D18" i="21" s="1"/>
  <c r="R68" i="37"/>
  <c r="J67" i="37" s="1"/>
  <c r="S18" i="21" s="1"/>
  <c r="S68" i="26"/>
  <c r="M67" i="26" s="1"/>
  <c r="AN18" i="21" s="1"/>
  <c r="T68" i="44"/>
  <c r="P67" i="44" s="1"/>
  <c r="CL18" i="21" s="1"/>
  <c r="S68" i="39"/>
  <c r="M67" i="39" s="1"/>
  <c r="BA18" i="21" s="1"/>
  <c r="D61" i="29"/>
  <c r="S68" i="24"/>
  <c r="M67" i="24" s="1"/>
  <c r="AL18" i="21" s="1"/>
  <c r="T68" i="25"/>
  <c r="P67" i="25" s="1"/>
  <c r="BS18" i="21" s="1"/>
  <c r="R68" i="40"/>
  <c r="J67" i="40" s="1"/>
  <c r="V18" i="21" s="1"/>
  <c r="R68" i="23"/>
  <c r="J67" i="23" s="1"/>
  <c r="E18" i="21" s="1"/>
  <c r="S68" i="44"/>
  <c r="M67" i="44" s="1"/>
  <c r="BF18" i="21" s="1"/>
  <c r="T68" i="33"/>
  <c r="P67" i="33" s="1"/>
  <c r="CA18" i="21" s="1"/>
  <c r="R68" i="43"/>
  <c r="J67" i="43" s="1"/>
  <c r="Y18" i="21" s="1"/>
  <c r="D35" i="35"/>
  <c r="D61" i="26"/>
  <c r="S68" i="80"/>
  <c r="M67" i="80" s="1"/>
  <c r="EF18" i="21" s="1"/>
  <c r="M67" i="22"/>
  <c r="AJ18" i="21" s="1"/>
  <c r="R68" i="80"/>
  <c r="J67" i="80" s="1"/>
  <c r="DI18" i="21" s="1"/>
  <c r="D61" i="33"/>
  <c r="J67" i="35"/>
  <c r="Q18" i="21" s="1"/>
  <c r="T68" i="22"/>
  <c r="P67" i="22" s="1"/>
  <c r="BP18" i="21" s="1"/>
  <c r="S68" i="42"/>
  <c r="M67" i="42" s="1"/>
  <c r="BD18" i="21" s="1"/>
  <c r="D35" i="30"/>
  <c r="D35" i="48"/>
  <c r="D35" i="36"/>
  <c r="R68" i="30"/>
  <c r="J67" i="30" s="1"/>
  <c r="L18" i="21" s="1"/>
  <c r="R68" i="41"/>
  <c r="J67" i="41" s="1"/>
  <c r="W18" i="21" s="1"/>
  <c r="T68" i="47"/>
  <c r="P67" i="47" s="1"/>
  <c r="CO18" i="21" s="1"/>
  <c r="D61" i="47"/>
  <c r="D35" i="51"/>
  <c r="T68" i="76"/>
  <c r="P67" i="76" s="1"/>
  <c r="EX18" i="21" s="1"/>
  <c r="R68" i="26"/>
  <c r="J67" i="26" s="1"/>
  <c r="H18" i="21" s="1"/>
  <c r="D35" i="29"/>
  <c r="G39" i="29" s="1"/>
  <c r="D35" i="32"/>
  <c r="S68" i="25"/>
  <c r="M67" i="25" s="1"/>
  <c r="AM18" i="21" s="1"/>
  <c r="D35" i="39"/>
  <c r="R68" i="28"/>
  <c r="J67" i="28" s="1"/>
  <c r="J18" i="21" s="1"/>
  <c r="S68" i="38"/>
  <c r="M67" i="38" s="1"/>
  <c r="AZ18" i="21" s="1"/>
  <c r="T68" i="34"/>
  <c r="P67" i="34" s="1"/>
  <c r="CB18" i="21" s="1"/>
  <c r="D61" i="31"/>
  <c r="D61" i="42"/>
  <c r="S68" i="29"/>
  <c r="M67" i="29" s="1"/>
  <c r="AQ18" i="21" s="1"/>
  <c r="P67" i="81"/>
  <c r="FD18" i="21" s="1"/>
  <c r="T68" i="37"/>
  <c r="P67" i="37" s="1"/>
  <c r="CE18" i="21" s="1"/>
  <c r="R68" i="32"/>
  <c r="J67" i="32" s="1"/>
  <c r="N18" i="21" s="1"/>
  <c r="D61" i="34"/>
  <c r="D35" i="43"/>
  <c r="T68" i="30"/>
  <c r="P67" i="30" s="1"/>
  <c r="BX18" i="21" s="1"/>
  <c r="D35" i="25"/>
  <c r="D61" i="45"/>
  <c r="S68" i="31"/>
  <c r="M67" i="31" s="1"/>
  <c r="AS18" i="21" s="1"/>
  <c r="R68" i="24"/>
  <c r="J67" i="24" s="1"/>
  <c r="F18" i="21" s="1"/>
  <c r="D61" i="25"/>
  <c r="R68" i="76"/>
  <c r="J67" i="76" s="1"/>
  <c r="DD18" i="21" s="1"/>
  <c r="D61" i="51"/>
  <c r="D61" i="27"/>
  <c r="D72" i="32"/>
  <c r="D35" i="50"/>
  <c r="G11" i="28"/>
  <c r="D30" i="39"/>
  <c r="D72" i="74"/>
  <c r="D30" i="48"/>
  <c r="D72" i="46"/>
  <c r="D24" i="31"/>
  <c r="D30" i="28"/>
  <c r="D30" i="43"/>
  <c r="D72" i="90"/>
  <c r="S68" i="28"/>
  <c r="M67" i="28" s="1"/>
  <c r="AP18" i="21" s="1"/>
  <c r="D61" i="30"/>
  <c r="G11" i="48"/>
  <c r="D35" i="47"/>
  <c r="I9" i="42"/>
  <c r="D30" i="44"/>
  <c r="D61" i="50"/>
  <c r="L9" i="42"/>
  <c r="BF7" i="21"/>
  <c r="CL7" i="21"/>
  <c r="Z7" i="21"/>
  <c r="I9" i="44"/>
  <c r="G64" i="44"/>
  <c r="G63" i="44"/>
  <c r="H48" i="15"/>
  <c r="P48" i="15" s="1"/>
  <c r="D72" i="77"/>
  <c r="D72" i="85"/>
  <c r="D72" i="87"/>
  <c r="D72" i="109"/>
  <c r="D72" i="25"/>
  <c r="D72" i="79"/>
  <c r="D72" i="83"/>
  <c r="D72" i="47"/>
  <c r="D72" i="37"/>
  <c r="D72" i="51"/>
  <c r="D72" i="27"/>
  <c r="D72" i="35"/>
  <c r="D72" i="86"/>
  <c r="D72" i="39"/>
  <c r="D72" i="22"/>
  <c r="D30" i="49"/>
  <c r="P7" i="41"/>
  <c r="D30" i="26"/>
  <c r="D61" i="39"/>
  <c r="D24" i="25"/>
  <c r="Q23" i="96"/>
  <c r="D24" i="46"/>
  <c r="D24" i="41"/>
  <c r="D24" i="43"/>
  <c r="D24" i="42"/>
  <c r="D24" i="51"/>
  <c r="D24" i="47"/>
  <c r="D24" i="38"/>
  <c r="D24" i="23"/>
  <c r="D24" i="50"/>
  <c r="D24" i="24"/>
  <c r="D24" i="44"/>
  <c r="D24" i="33"/>
  <c r="D24" i="26"/>
  <c r="D24" i="28"/>
  <c r="D24" i="32"/>
  <c r="D24" i="29"/>
  <c r="D24" i="22"/>
  <c r="D24" i="39"/>
  <c r="D24" i="40"/>
  <c r="D24" i="49"/>
  <c r="G11" i="49"/>
  <c r="D35" i="24"/>
  <c r="D72" i="73"/>
  <c r="L12" i="96"/>
  <c r="R68" i="45"/>
  <c r="J67" i="45" s="1"/>
  <c r="AA18" i="21" s="1"/>
  <c r="G11" i="40"/>
  <c r="D30" i="36"/>
  <c r="D72" i="89"/>
  <c r="D72" i="91"/>
  <c r="CJ7" i="21"/>
  <c r="X7" i="21"/>
  <c r="O9" i="42"/>
  <c r="I73" i="31"/>
  <c r="J71" i="31" s="1"/>
  <c r="M20" i="21" s="1"/>
  <c r="J13" i="15"/>
  <c r="M13" i="15" s="1"/>
  <c r="O74" i="40"/>
  <c r="P71" i="40" s="1"/>
  <c r="CH20" i="21" s="1"/>
  <c r="I74" i="40"/>
  <c r="L74" i="40"/>
  <c r="I73" i="40"/>
  <c r="G42" i="42"/>
  <c r="G39" i="42"/>
  <c r="G40" i="42"/>
  <c r="G41" i="42"/>
  <c r="G38" i="42"/>
  <c r="G37" i="42"/>
  <c r="D30" i="33"/>
  <c r="D30" i="32"/>
  <c r="CI48" i="21"/>
  <c r="D30" i="27"/>
  <c r="D35" i="44"/>
  <c r="CB7" i="21"/>
  <c r="AV7" i="21"/>
  <c r="P7" i="21"/>
  <c r="AK8" i="21"/>
  <c r="M7" i="23"/>
  <c r="D30" i="22"/>
  <c r="I30" i="22" s="1"/>
  <c r="G11" i="27"/>
  <c r="CA7" i="21"/>
  <c r="AU7" i="21"/>
  <c r="O7" i="21"/>
  <c r="I9" i="33"/>
  <c r="D24" i="30"/>
  <c r="G11" i="22"/>
  <c r="AM7" i="21"/>
  <c r="G7" i="21"/>
  <c r="BS7" i="21"/>
  <c r="I9" i="25"/>
  <c r="L9" i="25"/>
  <c r="D61" i="49"/>
  <c r="D61" i="32"/>
  <c r="D35" i="27"/>
  <c r="S68" i="32"/>
  <c r="M67" i="32" s="1"/>
  <c r="AT18" i="21" s="1"/>
  <c r="T68" i="48"/>
  <c r="P67" i="48" s="1"/>
  <c r="CP18" i="21" s="1"/>
  <c r="T68" i="39"/>
  <c r="P67" i="39" s="1"/>
  <c r="CG18" i="21" s="1"/>
  <c r="D72" i="41"/>
  <c r="D24" i="27"/>
  <c r="G11" i="44"/>
  <c r="T68" i="24"/>
  <c r="P67" i="24" s="1"/>
  <c r="BR18" i="21" s="1"/>
  <c r="D24" i="45"/>
  <c r="D35" i="46"/>
  <c r="G11" i="42"/>
  <c r="G11" i="30"/>
  <c r="D72" i="48"/>
  <c r="AW18" i="21"/>
  <c r="D72" i="43"/>
  <c r="CI7" i="21"/>
  <c r="BC7" i="21"/>
  <c r="W7" i="21"/>
  <c r="L9" i="41"/>
  <c r="K7" i="21"/>
  <c r="AQ7" i="21"/>
  <c r="BW7" i="21"/>
  <c r="D72" i="82"/>
  <c r="D35" i="34"/>
  <c r="G11" i="35"/>
  <c r="E7" i="21"/>
  <c r="BQ7" i="21"/>
  <c r="AK7" i="21"/>
  <c r="O9" i="23"/>
  <c r="G11" i="37"/>
  <c r="D61" i="46"/>
  <c r="I9" i="41"/>
  <c r="I9" i="29"/>
  <c r="D35" i="22"/>
  <c r="G36" i="22" s="1"/>
  <c r="I36" i="22" s="1"/>
  <c r="D72" i="44"/>
  <c r="D35" i="49"/>
  <c r="G11" i="38"/>
  <c r="S68" i="41"/>
  <c r="M67" i="41" s="1"/>
  <c r="BC18" i="21" s="1"/>
  <c r="D61" i="40"/>
  <c r="O9" i="33"/>
  <c r="O73" i="23"/>
  <c r="N70" i="41"/>
  <c r="P69" i="41" s="1"/>
  <c r="CI19" i="21" s="1"/>
  <c r="O30" i="40"/>
  <c r="G64" i="41"/>
  <c r="G63" i="41"/>
  <c r="G11" i="26"/>
  <c r="L73" i="72"/>
  <c r="D35" i="28"/>
  <c r="G5" i="14"/>
  <c r="G62" i="36"/>
  <c r="G9" i="26"/>
  <c r="D61" i="48"/>
  <c r="O9" i="44"/>
  <c r="D72" i="49"/>
  <c r="D61" i="35"/>
  <c r="D30" i="38"/>
  <c r="I9" i="23"/>
  <c r="G11" i="23"/>
  <c r="D72" i="45"/>
  <c r="D35" i="40"/>
  <c r="D72" i="26"/>
  <c r="D72" i="81"/>
  <c r="D30" i="34"/>
  <c r="I30" i="34" s="1"/>
  <c r="O9" i="27"/>
  <c r="R68" i="39"/>
  <c r="J67" i="39" s="1"/>
  <c r="U18" i="21" s="1"/>
  <c r="D61" i="37"/>
  <c r="D35" i="33"/>
  <c r="G11" i="33"/>
  <c r="D30" i="51"/>
  <c r="J24" i="15"/>
  <c r="M24" i="15" s="1"/>
  <c r="D30" i="41"/>
  <c r="D24" i="34"/>
  <c r="CD7" i="21"/>
  <c r="AX7" i="21"/>
  <c r="R7" i="21"/>
  <c r="R8" i="21"/>
  <c r="L9" i="36"/>
  <c r="H70" i="36"/>
  <c r="J69" i="36" s="1"/>
  <c r="R19" i="21" s="1"/>
  <c r="O11" i="50" l="1"/>
  <c r="T10" i="50" s="1"/>
  <c r="CS9" i="21" s="1"/>
  <c r="CS11" i="21" s="1"/>
  <c r="L11" i="50"/>
  <c r="O9" i="48"/>
  <c r="CD8" i="21"/>
  <c r="F9" i="8"/>
  <c r="L39" i="29"/>
  <c r="O39" i="29"/>
  <c r="I39" i="29"/>
  <c r="J7" i="48"/>
  <c r="O86" i="20"/>
  <c r="O118" i="20"/>
  <c r="G9" i="10"/>
  <c r="L11" i="20"/>
  <c r="G9" i="8"/>
  <c r="P7" i="29"/>
  <c r="P71" i="23"/>
  <c r="BQ20" i="21" s="1"/>
  <c r="AD7" i="21"/>
  <c r="N11" i="20" s="1"/>
  <c r="M118" i="20" s="1"/>
  <c r="AD8" i="21"/>
  <c r="AD48" i="21" s="1"/>
  <c r="CP7" i="21"/>
  <c r="L9" i="48"/>
  <c r="BJ8" i="21" s="1"/>
  <c r="BJ7" i="21"/>
  <c r="M7" i="29"/>
  <c r="I11" i="31"/>
  <c r="R10" i="31" s="1"/>
  <c r="M9" i="21" s="1"/>
  <c r="N70" i="29"/>
  <c r="P69" i="29" s="1"/>
  <c r="BW19" i="21" s="1"/>
  <c r="N70" i="36"/>
  <c r="P69" i="36" s="1"/>
  <c r="CD19" i="21" s="1"/>
  <c r="L30" i="42"/>
  <c r="I30" i="42"/>
  <c r="L11" i="31"/>
  <c r="S10" i="31" s="1"/>
  <c r="AS9" i="21" s="1"/>
  <c r="P70" i="96"/>
  <c r="T70" i="96" s="1"/>
  <c r="M71" i="72"/>
  <c r="DW20" i="21" s="1"/>
  <c r="P71" i="72"/>
  <c r="ET20" i="21" s="1"/>
  <c r="P71" i="38"/>
  <c r="CF20" i="21" s="1"/>
  <c r="M71" i="31"/>
  <c r="AS20" i="21" s="1"/>
  <c r="I30" i="40"/>
  <c r="J71" i="38"/>
  <c r="T20" i="21" s="1"/>
  <c r="P38" i="96"/>
  <c r="Q38" i="96" s="1"/>
  <c r="Q53" i="96"/>
  <c r="S89" i="20"/>
  <c r="S87" i="20"/>
  <c r="S84" i="20"/>
  <c r="S85" i="20"/>
  <c r="S88" i="20"/>
  <c r="S83" i="20"/>
  <c r="G37" i="33"/>
  <c r="G40" i="33"/>
  <c r="G42" i="33"/>
  <c r="G39" i="33"/>
  <c r="G41" i="33"/>
  <c r="G36" i="33"/>
  <c r="O75" i="14"/>
  <c r="O70" i="14"/>
  <c r="O79" i="14"/>
  <c r="O67" i="14"/>
  <c r="O43" i="14"/>
  <c r="O49" i="14"/>
  <c r="O63" i="14"/>
  <c r="O34" i="14"/>
  <c r="O77" i="14"/>
  <c r="O76" i="14"/>
  <c r="O41" i="14"/>
  <c r="O26" i="14"/>
  <c r="O44" i="14"/>
  <c r="O53" i="14"/>
  <c r="O39" i="14"/>
  <c r="O84" i="14"/>
  <c r="O80" i="14"/>
  <c r="O78" i="14"/>
  <c r="O61" i="14"/>
  <c r="O83" i="14"/>
  <c r="O62" i="14"/>
  <c r="O30" i="14"/>
  <c r="O68" i="14"/>
  <c r="O81" i="14"/>
  <c r="O54" i="14"/>
  <c r="O64" i="14"/>
  <c r="O51" i="14"/>
  <c r="O71" i="14"/>
  <c r="O47" i="14"/>
  <c r="O69" i="14"/>
  <c r="O57" i="14"/>
  <c r="O22" i="14"/>
  <c r="O58" i="14"/>
  <c r="O38" i="14"/>
  <c r="O82" i="14"/>
  <c r="O72" i="14"/>
  <c r="O33" i="14"/>
  <c r="O74" i="14"/>
  <c r="O73" i="14"/>
  <c r="O29" i="14"/>
  <c r="O56" i="14"/>
  <c r="O86" i="14"/>
  <c r="O40" i="14"/>
  <c r="O50" i="14"/>
  <c r="O32" i="14"/>
  <c r="O85" i="14"/>
  <c r="G51" i="47" s="1"/>
  <c r="O65" i="14"/>
  <c r="L64" i="96" s="1"/>
  <c r="M64" i="96" s="1"/>
  <c r="O59" i="14"/>
  <c r="O48" i="14"/>
  <c r="O66" i="14"/>
  <c r="L65" i="96" s="1"/>
  <c r="M65" i="96" s="1"/>
  <c r="O35" i="14"/>
  <c r="G48" i="39" s="1"/>
  <c r="O36" i="14"/>
  <c r="G48" i="45" s="1"/>
  <c r="O46" i="14"/>
  <c r="O37" i="14"/>
  <c r="G48" i="35" s="1"/>
  <c r="O28" i="14"/>
  <c r="O42" i="14"/>
  <c r="L33" i="96" s="1"/>
  <c r="M33" i="96" s="1"/>
  <c r="O27" i="14"/>
  <c r="G47" i="45" s="1"/>
  <c r="O25" i="14"/>
  <c r="G52" i="34" s="1"/>
  <c r="O24" i="14"/>
  <c r="G46" i="22" s="1"/>
  <c r="J46" i="22" s="1"/>
  <c r="G37" i="34"/>
  <c r="G39" i="34"/>
  <c r="G42" i="34"/>
  <c r="G41" i="34"/>
  <c r="G40" i="34"/>
  <c r="G36" i="34"/>
  <c r="I41" i="42"/>
  <c r="L41" i="42"/>
  <c r="O41" i="42"/>
  <c r="G42" i="28"/>
  <c r="G40" i="28"/>
  <c r="G39" i="28"/>
  <c r="G37" i="28"/>
  <c r="G41" i="28"/>
  <c r="G38" i="28"/>
  <c r="G36" i="28"/>
  <c r="I74" i="82"/>
  <c r="O74" i="82"/>
  <c r="L74" i="82"/>
  <c r="L73" i="82"/>
  <c r="I73" i="82"/>
  <c r="O73" i="82"/>
  <c r="I11" i="44"/>
  <c r="R10" i="44" s="1"/>
  <c r="Z9" i="21" s="1"/>
  <c r="O11" i="44"/>
  <c r="T10" i="44" s="1"/>
  <c r="CL9" i="21" s="1"/>
  <c r="L11" i="44"/>
  <c r="S10" i="44" s="1"/>
  <c r="BF9" i="21" s="1"/>
  <c r="BF11" i="21" s="1"/>
  <c r="O30" i="34"/>
  <c r="L30" i="34"/>
  <c r="O74" i="81"/>
  <c r="L74" i="81"/>
  <c r="I74" i="81"/>
  <c r="L73" i="81"/>
  <c r="O73" i="81"/>
  <c r="I73" i="81"/>
  <c r="O74" i="49"/>
  <c r="L74" i="49"/>
  <c r="I74" i="49"/>
  <c r="I73" i="49"/>
  <c r="L73" i="49"/>
  <c r="O73" i="49"/>
  <c r="O11" i="26"/>
  <c r="T10" i="26" s="1"/>
  <c r="BT9" i="21" s="1"/>
  <c r="L11" i="26"/>
  <c r="S10" i="26" s="1"/>
  <c r="AN9" i="21" s="1"/>
  <c r="I11" i="26"/>
  <c r="R10" i="26" s="1"/>
  <c r="H9" i="21" s="1"/>
  <c r="G63" i="40"/>
  <c r="G64" i="40"/>
  <c r="G62" i="40"/>
  <c r="K8" i="21"/>
  <c r="J7" i="29"/>
  <c r="H70" i="29"/>
  <c r="J69" i="29" s="1"/>
  <c r="K19" i="21" s="1"/>
  <c r="BQ8" i="21"/>
  <c r="N70" i="23"/>
  <c r="P69" i="23" s="1"/>
  <c r="BQ19" i="21" s="1"/>
  <c r="P7" i="23"/>
  <c r="O74" i="48"/>
  <c r="I74" i="48"/>
  <c r="L74" i="48"/>
  <c r="L73" i="48"/>
  <c r="I73" i="48"/>
  <c r="O73" i="48"/>
  <c r="L74" i="41"/>
  <c r="O74" i="41"/>
  <c r="I74" i="41"/>
  <c r="L73" i="41"/>
  <c r="O73" i="41"/>
  <c r="I73" i="41"/>
  <c r="G8" i="21"/>
  <c r="J7" i="25"/>
  <c r="H70" i="25"/>
  <c r="J69" i="25" s="1"/>
  <c r="G19" i="21" s="1"/>
  <c r="L42" i="42"/>
  <c r="O42" i="42"/>
  <c r="I42" i="42"/>
  <c r="I74" i="73"/>
  <c r="O74" i="73"/>
  <c r="L74" i="73"/>
  <c r="I73" i="73"/>
  <c r="O73" i="73"/>
  <c r="L73" i="73"/>
  <c r="G26" i="32"/>
  <c r="G25" i="32"/>
  <c r="G26" i="38"/>
  <c r="G25" i="38"/>
  <c r="G25" i="25"/>
  <c r="G26" i="25"/>
  <c r="L74" i="86"/>
  <c r="I74" i="86"/>
  <c r="O74" i="86"/>
  <c r="O73" i="86"/>
  <c r="L73" i="86"/>
  <c r="I73" i="86"/>
  <c r="O74" i="79"/>
  <c r="L74" i="79"/>
  <c r="I74" i="79"/>
  <c r="I73" i="79"/>
  <c r="O73" i="79"/>
  <c r="L73" i="79"/>
  <c r="O64" i="44"/>
  <c r="L64" i="44"/>
  <c r="I64" i="44"/>
  <c r="J7" i="42"/>
  <c r="H70" i="42"/>
  <c r="J69" i="42" s="1"/>
  <c r="X19" i="21" s="1"/>
  <c r="X8" i="21"/>
  <c r="G26" i="31"/>
  <c r="G25" i="31"/>
  <c r="I74" i="75"/>
  <c r="L74" i="75"/>
  <c r="O74" i="75"/>
  <c r="L73" i="75"/>
  <c r="O73" i="75"/>
  <c r="I73" i="75"/>
  <c r="G64" i="45"/>
  <c r="G63" i="45"/>
  <c r="G62" i="45"/>
  <c r="T24" i="20"/>
  <c r="G63" i="72"/>
  <c r="G64" i="72"/>
  <c r="G62" i="72"/>
  <c r="G39" i="48"/>
  <c r="G40" i="48"/>
  <c r="G42" i="48"/>
  <c r="G38" i="48"/>
  <c r="G41" i="48"/>
  <c r="G37" i="48"/>
  <c r="G36" i="48"/>
  <c r="G63" i="82"/>
  <c r="G64" i="82"/>
  <c r="G62" i="82"/>
  <c r="D33" i="46"/>
  <c r="D33" i="24"/>
  <c r="D33" i="48"/>
  <c r="D33" i="23"/>
  <c r="D33" i="47"/>
  <c r="D33" i="27"/>
  <c r="D33" i="38"/>
  <c r="D33" i="36"/>
  <c r="D33" i="40"/>
  <c r="D33" i="25"/>
  <c r="D33" i="45"/>
  <c r="D33" i="42"/>
  <c r="D33" i="41"/>
  <c r="D33" i="43"/>
  <c r="D33" i="32"/>
  <c r="D33" i="51"/>
  <c r="D33" i="30"/>
  <c r="D33" i="34"/>
  <c r="D33" i="33"/>
  <c r="D33" i="29"/>
  <c r="D33" i="49"/>
  <c r="D33" i="39"/>
  <c r="D33" i="44"/>
  <c r="D33" i="31"/>
  <c r="D33" i="35"/>
  <c r="D33" i="37"/>
  <c r="D33" i="28"/>
  <c r="D33" i="26"/>
  <c r="D33" i="22"/>
  <c r="D33" i="50"/>
  <c r="L15" i="96"/>
  <c r="T102" i="96" s="1"/>
  <c r="P109" i="96" s="1"/>
  <c r="G63" i="76"/>
  <c r="G64" i="76"/>
  <c r="G62" i="76"/>
  <c r="N24" i="20"/>
  <c r="J24" i="20"/>
  <c r="CO8" i="21"/>
  <c r="P7" i="47"/>
  <c r="N70" i="47"/>
  <c r="P69" i="47" s="1"/>
  <c r="CO19" i="21" s="1"/>
  <c r="G64" i="43"/>
  <c r="G63" i="43"/>
  <c r="G62" i="43"/>
  <c r="G63" i="87"/>
  <c r="G64" i="87"/>
  <c r="G62" i="87"/>
  <c r="G64" i="28"/>
  <c r="G63" i="28"/>
  <c r="G62" i="28"/>
  <c r="O30" i="31"/>
  <c r="L30" i="31"/>
  <c r="I30" i="31"/>
  <c r="I8" i="21"/>
  <c r="J7" i="27"/>
  <c r="H70" i="27"/>
  <c r="J69" i="27" s="1"/>
  <c r="I19" i="21" s="1"/>
  <c r="I63" i="36"/>
  <c r="O63" i="36"/>
  <c r="L63" i="36"/>
  <c r="I11" i="51"/>
  <c r="L11" i="51"/>
  <c r="O11" i="51"/>
  <c r="L64" i="23"/>
  <c r="O64" i="23"/>
  <c r="I64" i="23"/>
  <c r="M7" i="45"/>
  <c r="K70" i="45"/>
  <c r="M69" i="45" s="1"/>
  <c r="BG19" i="21" s="1"/>
  <c r="J25" i="20" s="1"/>
  <c r="BG8" i="21"/>
  <c r="J7" i="31"/>
  <c r="M8" i="21"/>
  <c r="H70" i="31"/>
  <c r="J69" i="31" s="1"/>
  <c r="M19" i="21" s="1"/>
  <c r="O37" i="23"/>
  <c r="L37" i="23"/>
  <c r="I37" i="23"/>
  <c r="BS48" i="21"/>
  <c r="BV8" i="21"/>
  <c r="P7" i="28"/>
  <c r="N70" i="28"/>
  <c r="P69" i="28" s="1"/>
  <c r="BV19" i="21" s="1"/>
  <c r="R11" i="20"/>
  <c r="H9" i="8"/>
  <c r="H9" i="10"/>
  <c r="AT8" i="21"/>
  <c r="H7" i="21"/>
  <c r="BT7" i="21"/>
  <c r="AN7" i="21"/>
  <c r="L9" i="26"/>
  <c r="I9" i="26"/>
  <c r="O9" i="26"/>
  <c r="O11" i="38"/>
  <c r="T10" i="38" s="1"/>
  <c r="CF9" i="21" s="1"/>
  <c r="L11" i="38"/>
  <c r="S10" i="38" s="1"/>
  <c r="AZ9" i="21" s="1"/>
  <c r="I11" i="38"/>
  <c r="R10" i="38" s="1"/>
  <c r="T9" i="21" s="1"/>
  <c r="J7" i="23"/>
  <c r="E8" i="21"/>
  <c r="H70" i="23"/>
  <c r="J69" i="23" s="1"/>
  <c r="E19" i="21" s="1"/>
  <c r="L30" i="22"/>
  <c r="O30" i="22"/>
  <c r="BU8" i="21"/>
  <c r="P7" i="27"/>
  <c r="N70" i="27"/>
  <c r="P69" i="27" s="1"/>
  <c r="BU19" i="21" s="1"/>
  <c r="G64" i="46"/>
  <c r="G63" i="46"/>
  <c r="G62" i="46"/>
  <c r="O8" i="21"/>
  <c r="J7" i="33"/>
  <c r="H70" i="33"/>
  <c r="J69" i="33" s="1"/>
  <c r="O19" i="21" s="1"/>
  <c r="L74" i="26"/>
  <c r="O74" i="26"/>
  <c r="I74" i="26"/>
  <c r="O73" i="26"/>
  <c r="I73" i="26"/>
  <c r="L73" i="26"/>
  <c r="I63" i="41"/>
  <c r="O63" i="41"/>
  <c r="L63" i="41"/>
  <c r="W8" i="21"/>
  <c r="J7" i="41"/>
  <c r="H70" i="41"/>
  <c r="J69" i="41" s="1"/>
  <c r="W19" i="21" s="1"/>
  <c r="E9" i="8"/>
  <c r="E9" i="10"/>
  <c r="J11" i="20"/>
  <c r="I11" i="30"/>
  <c r="R10" i="30" s="1"/>
  <c r="L9" i="21" s="1"/>
  <c r="L11" i="30"/>
  <c r="S10" i="30" s="1"/>
  <c r="AR9" i="21" s="1"/>
  <c r="O11" i="30"/>
  <c r="T10" i="30" s="1"/>
  <c r="BX9" i="21" s="1"/>
  <c r="O30" i="32"/>
  <c r="L30" i="32"/>
  <c r="I30" i="32"/>
  <c r="J71" i="40"/>
  <c r="V20" i="21" s="1"/>
  <c r="G40" i="24"/>
  <c r="G38" i="24"/>
  <c r="G37" i="24"/>
  <c r="G41" i="24"/>
  <c r="G39" i="24"/>
  <c r="G42" i="24"/>
  <c r="G36" i="24"/>
  <c r="G26" i="28"/>
  <c r="G25" i="28"/>
  <c r="G26" i="47"/>
  <c r="G25" i="47"/>
  <c r="G64" i="39"/>
  <c r="G63" i="39"/>
  <c r="G62" i="39"/>
  <c r="L74" i="35"/>
  <c r="I74" i="35"/>
  <c r="O74" i="35"/>
  <c r="L73" i="35"/>
  <c r="O73" i="35"/>
  <c r="I73" i="35"/>
  <c r="L74" i="25"/>
  <c r="O74" i="25"/>
  <c r="I74" i="25"/>
  <c r="L73" i="25"/>
  <c r="I73" i="25"/>
  <c r="O73" i="25"/>
  <c r="Z8" i="21"/>
  <c r="J7" i="44"/>
  <c r="H70" i="44"/>
  <c r="J69" i="44" s="1"/>
  <c r="Z19" i="21" s="1"/>
  <c r="G39" i="47"/>
  <c r="G37" i="47"/>
  <c r="G38" i="47"/>
  <c r="G42" i="47"/>
  <c r="G41" i="47"/>
  <c r="G40" i="47"/>
  <c r="G36" i="47"/>
  <c r="L74" i="46"/>
  <c r="O74" i="46"/>
  <c r="I74" i="46"/>
  <c r="L73" i="46"/>
  <c r="O73" i="46"/>
  <c r="I73" i="46"/>
  <c r="G64" i="27"/>
  <c r="G63" i="27"/>
  <c r="G62" i="27"/>
  <c r="G40" i="25"/>
  <c r="G38" i="25"/>
  <c r="G42" i="25"/>
  <c r="G39" i="25"/>
  <c r="G41" i="25"/>
  <c r="G37" i="25"/>
  <c r="G36" i="25"/>
  <c r="D31" i="34"/>
  <c r="D31" i="35"/>
  <c r="D31" i="41"/>
  <c r="D31" i="36"/>
  <c r="D31" i="43"/>
  <c r="D31" i="50"/>
  <c r="D31" i="42"/>
  <c r="D31" i="32"/>
  <c r="D31" i="27"/>
  <c r="D31" i="45"/>
  <c r="D31" i="51"/>
  <c r="D31" i="23"/>
  <c r="D31" i="30"/>
  <c r="D31" i="28"/>
  <c r="D31" i="25"/>
  <c r="D31" i="44"/>
  <c r="D31" i="31"/>
  <c r="D31" i="26"/>
  <c r="D31" i="29"/>
  <c r="D31" i="49"/>
  <c r="D31" i="47"/>
  <c r="D31" i="48"/>
  <c r="D31" i="33"/>
  <c r="D31" i="22"/>
  <c r="D31" i="24"/>
  <c r="D31" i="39"/>
  <c r="D31" i="38"/>
  <c r="D31" i="37"/>
  <c r="D31" i="46"/>
  <c r="D31" i="40"/>
  <c r="L13" i="96"/>
  <c r="T100" i="96" s="1"/>
  <c r="P107" i="96" s="1"/>
  <c r="G38" i="30"/>
  <c r="G37" i="30"/>
  <c r="G39" i="30"/>
  <c r="G41" i="30"/>
  <c r="G42" i="30"/>
  <c r="G40" i="30"/>
  <c r="G36" i="30"/>
  <c r="G64" i="71"/>
  <c r="G63" i="71"/>
  <c r="G62" i="71"/>
  <c r="G64" i="85"/>
  <c r="G63" i="85"/>
  <c r="G62" i="85"/>
  <c r="G63" i="73"/>
  <c r="G64" i="73"/>
  <c r="G62" i="73"/>
  <c r="N19" i="15"/>
  <c r="G64" i="81"/>
  <c r="G63" i="81"/>
  <c r="G62" i="81"/>
  <c r="G40" i="31"/>
  <c r="G39" i="31"/>
  <c r="G38" i="31"/>
  <c r="G42" i="31"/>
  <c r="G41" i="31"/>
  <c r="G37" i="31"/>
  <c r="G36" i="31"/>
  <c r="J71" i="23"/>
  <c r="E20" i="21" s="1"/>
  <c r="L30" i="25"/>
  <c r="O30" i="25"/>
  <c r="I30" i="25"/>
  <c r="O74" i="42"/>
  <c r="L74" i="42"/>
  <c r="I74" i="42"/>
  <c r="L73" i="42"/>
  <c r="I73" i="42"/>
  <c r="O73" i="42"/>
  <c r="M7" i="27"/>
  <c r="K70" i="27"/>
  <c r="M69" i="27" s="1"/>
  <c r="AO19" i="21" s="1"/>
  <c r="AO8" i="21"/>
  <c r="G64" i="109"/>
  <c r="G63" i="109"/>
  <c r="G62" i="109"/>
  <c r="I10" i="32"/>
  <c r="J7" i="32" s="1"/>
  <c r="O10" i="32"/>
  <c r="N70" i="32" s="1"/>
  <c r="P69" i="32" s="1"/>
  <c r="BZ19" i="21" s="1"/>
  <c r="L10" i="32"/>
  <c r="I11" i="43"/>
  <c r="R10" i="43" s="1"/>
  <c r="Y9" i="21" s="1"/>
  <c r="L11" i="43"/>
  <c r="S10" i="43" s="1"/>
  <c r="BE9" i="21" s="1"/>
  <c r="V13" i="20" s="1"/>
  <c r="O11" i="43"/>
  <c r="T10" i="43" s="1"/>
  <c r="CK9" i="21" s="1"/>
  <c r="BE8" i="21"/>
  <c r="M7" i="43"/>
  <c r="K70" i="43"/>
  <c r="M69" i="43" s="1"/>
  <c r="BE19" i="21" s="1"/>
  <c r="V25" i="20" s="1"/>
  <c r="D8" i="21"/>
  <c r="H70" i="22"/>
  <c r="J69" i="22" s="1"/>
  <c r="D19" i="21" s="1"/>
  <c r="CM8" i="21"/>
  <c r="P7" i="45"/>
  <c r="N70" i="45"/>
  <c r="P69" i="45" s="1"/>
  <c r="CM19" i="21" s="1"/>
  <c r="BY8" i="21"/>
  <c r="P7" i="31"/>
  <c r="N70" i="31"/>
  <c r="P69" i="31" s="1"/>
  <c r="BY19" i="21" s="1"/>
  <c r="L39" i="23"/>
  <c r="O39" i="23"/>
  <c r="I39" i="23"/>
  <c r="M7" i="30"/>
  <c r="K70" i="30"/>
  <c r="M69" i="30" s="1"/>
  <c r="AR19" i="21" s="1"/>
  <c r="AR8" i="21"/>
  <c r="G64" i="32"/>
  <c r="G63" i="32"/>
  <c r="G62" i="32"/>
  <c r="G25" i="34"/>
  <c r="G26" i="34"/>
  <c r="CA8" i="21"/>
  <c r="P7" i="33"/>
  <c r="N70" i="33"/>
  <c r="P69" i="33" s="1"/>
  <c r="CA19" i="21" s="1"/>
  <c r="G64" i="49"/>
  <c r="G63" i="49"/>
  <c r="G62" i="49"/>
  <c r="AX8" i="21"/>
  <c r="M7" i="36"/>
  <c r="K70" i="36"/>
  <c r="M69" i="36" s="1"/>
  <c r="AX19" i="21" s="1"/>
  <c r="L30" i="51"/>
  <c r="I30" i="51"/>
  <c r="O30" i="51"/>
  <c r="P7" i="44"/>
  <c r="CL8" i="21"/>
  <c r="N70" i="44"/>
  <c r="P69" i="44" s="1"/>
  <c r="CL19" i="21" s="1"/>
  <c r="R48" i="21"/>
  <c r="O11" i="33"/>
  <c r="T10" i="33" s="1"/>
  <c r="CA9" i="21" s="1"/>
  <c r="L11" i="33"/>
  <c r="S10" i="33" s="1"/>
  <c r="AU9" i="21" s="1"/>
  <c r="AU11" i="21" s="1"/>
  <c r="I11" i="33"/>
  <c r="R10" i="33" s="1"/>
  <c r="O9" i="21" s="1"/>
  <c r="G42" i="40"/>
  <c r="G40" i="40"/>
  <c r="G41" i="40"/>
  <c r="G39" i="40"/>
  <c r="G38" i="40"/>
  <c r="G37" i="40"/>
  <c r="G36" i="40"/>
  <c r="G64" i="48"/>
  <c r="G63" i="48"/>
  <c r="G62" i="48"/>
  <c r="I64" i="41"/>
  <c r="L64" i="41"/>
  <c r="O64" i="41"/>
  <c r="D32" i="34"/>
  <c r="D32" i="29"/>
  <c r="D32" i="48"/>
  <c r="D32" i="30"/>
  <c r="D32" i="36"/>
  <c r="D32" i="46"/>
  <c r="D32" i="27"/>
  <c r="D32" i="44"/>
  <c r="D32" i="37"/>
  <c r="D32" i="51"/>
  <c r="D32" i="32"/>
  <c r="D32" i="41"/>
  <c r="D32" i="23"/>
  <c r="D32" i="24"/>
  <c r="D32" i="42"/>
  <c r="D32" i="39"/>
  <c r="D32" i="22"/>
  <c r="D32" i="31"/>
  <c r="D32" i="28"/>
  <c r="D32" i="50"/>
  <c r="D32" i="38"/>
  <c r="D32" i="33"/>
  <c r="D32" i="40"/>
  <c r="D32" i="47"/>
  <c r="D32" i="49"/>
  <c r="D32" i="35"/>
  <c r="D32" i="25"/>
  <c r="D32" i="43"/>
  <c r="D32" i="26"/>
  <c r="D32" i="45"/>
  <c r="L14" i="96"/>
  <c r="T101" i="96" s="1"/>
  <c r="P108" i="96" s="1"/>
  <c r="P7" i="48"/>
  <c r="CP8" i="21"/>
  <c r="N70" i="48"/>
  <c r="P69" i="48" s="1"/>
  <c r="CP19" i="21" s="1"/>
  <c r="M7" i="41"/>
  <c r="BC8" i="21"/>
  <c r="K70" i="41"/>
  <c r="M69" i="41" s="1"/>
  <c r="BC19" i="21" s="1"/>
  <c r="L11" i="42"/>
  <c r="S10" i="42" s="1"/>
  <c r="BD9" i="21" s="1"/>
  <c r="F11" i="10" s="1"/>
  <c r="O11" i="42"/>
  <c r="T10" i="42" s="1"/>
  <c r="CJ9" i="21" s="1"/>
  <c r="I11" i="42"/>
  <c r="R10" i="42" s="1"/>
  <c r="X9" i="21" s="1"/>
  <c r="I30" i="33"/>
  <c r="L30" i="33"/>
  <c r="O30" i="33"/>
  <c r="L74" i="91"/>
  <c r="I74" i="91"/>
  <c r="O74" i="91"/>
  <c r="I73" i="91"/>
  <c r="O73" i="91"/>
  <c r="L73" i="91"/>
  <c r="O11" i="49"/>
  <c r="T10" i="49" s="1"/>
  <c r="CQ9" i="21" s="1"/>
  <c r="L11" i="49"/>
  <c r="S10" i="49" s="1"/>
  <c r="BK9" i="21" s="1"/>
  <c r="I11" i="49"/>
  <c r="R10" i="49" s="1"/>
  <c r="AE9" i="21" s="1"/>
  <c r="G26" i="26"/>
  <c r="G25" i="26"/>
  <c r="G26" i="51"/>
  <c r="G25" i="51"/>
  <c r="I30" i="26"/>
  <c r="O30" i="26"/>
  <c r="L30" i="26"/>
  <c r="I74" i="27"/>
  <c r="O74" i="27"/>
  <c r="L74" i="27"/>
  <c r="I73" i="27"/>
  <c r="L73" i="27"/>
  <c r="O73" i="27"/>
  <c r="O74" i="109"/>
  <c r="L74" i="109"/>
  <c r="I74" i="109"/>
  <c r="I73" i="109"/>
  <c r="O73" i="109"/>
  <c r="L73" i="109"/>
  <c r="I11" i="48"/>
  <c r="R10" i="48" s="1"/>
  <c r="AD9" i="21" s="1"/>
  <c r="AD11" i="21" s="1"/>
  <c r="O11" i="48"/>
  <c r="T10" i="48" s="1"/>
  <c r="CP9" i="21" s="1"/>
  <c r="L11" i="48"/>
  <c r="S10" i="48" s="1"/>
  <c r="BJ9" i="21" s="1"/>
  <c r="I30" i="48"/>
  <c r="O30" i="48"/>
  <c r="L30" i="48"/>
  <c r="G64" i="51"/>
  <c r="G63" i="51"/>
  <c r="G62" i="51"/>
  <c r="G63" i="42"/>
  <c r="G64" i="42"/>
  <c r="G62" i="42"/>
  <c r="G42" i="51"/>
  <c r="G39" i="51"/>
  <c r="G41" i="51"/>
  <c r="G38" i="51"/>
  <c r="G40" i="51"/>
  <c r="G37" i="51"/>
  <c r="G36" i="51"/>
  <c r="G63" i="26"/>
  <c r="G64" i="26"/>
  <c r="G62" i="26"/>
  <c r="G63" i="74"/>
  <c r="G64" i="74"/>
  <c r="G62" i="74"/>
  <c r="G62" i="89"/>
  <c r="G64" i="89"/>
  <c r="G63" i="89"/>
  <c r="S10" i="50"/>
  <c r="BM9" i="21" s="1"/>
  <c r="BM11" i="21" s="1"/>
  <c r="CN8" i="21"/>
  <c r="N70" i="46"/>
  <c r="P69" i="46" s="1"/>
  <c r="CN19" i="21" s="1"/>
  <c r="P7" i="46"/>
  <c r="I74" i="71"/>
  <c r="O74" i="71"/>
  <c r="L74" i="71"/>
  <c r="L73" i="71"/>
  <c r="O73" i="71"/>
  <c r="I73" i="71"/>
  <c r="G26" i="37"/>
  <c r="I74" i="33"/>
  <c r="O74" i="33"/>
  <c r="L74" i="33"/>
  <c r="O73" i="33"/>
  <c r="I73" i="33"/>
  <c r="L73" i="33"/>
  <c r="O30" i="37"/>
  <c r="I30" i="37"/>
  <c r="L30" i="37"/>
  <c r="L30" i="50"/>
  <c r="O30" i="50"/>
  <c r="I30" i="50"/>
  <c r="I74" i="28"/>
  <c r="O74" i="28"/>
  <c r="L74" i="28"/>
  <c r="I73" i="28"/>
  <c r="L73" i="28"/>
  <c r="O73" i="28"/>
  <c r="I30" i="30"/>
  <c r="O30" i="30"/>
  <c r="L30" i="30"/>
  <c r="L11" i="46"/>
  <c r="S10" i="46" s="1"/>
  <c r="BH9" i="21" s="1"/>
  <c r="BH11" i="21" s="1"/>
  <c r="I11" i="46"/>
  <c r="R10" i="46" s="1"/>
  <c r="AB9" i="21" s="1"/>
  <c r="O11" i="46"/>
  <c r="T10" i="46" s="1"/>
  <c r="CN9" i="21" s="1"/>
  <c r="Y8" i="21"/>
  <c r="J7" i="43"/>
  <c r="H70" i="43"/>
  <c r="J69" i="43" s="1"/>
  <c r="Y19" i="21" s="1"/>
  <c r="BP8" i="21"/>
  <c r="N70" i="22"/>
  <c r="P69" i="22" s="1"/>
  <c r="BP19" i="21" s="1"/>
  <c r="J7" i="45"/>
  <c r="AA8" i="21"/>
  <c r="H70" i="45"/>
  <c r="J69" i="45" s="1"/>
  <c r="AA19" i="21" s="1"/>
  <c r="O38" i="23"/>
  <c r="L38" i="23"/>
  <c r="I38" i="23"/>
  <c r="J7" i="39"/>
  <c r="U8" i="21"/>
  <c r="H70" i="39"/>
  <c r="J69" i="39" s="1"/>
  <c r="U19" i="21" s="1"/>
  <c r="N8" i="21"/>
  <c r="L37" i="42"/>
  <c r="I37" i="42"/>
  <c r="O37" i="42"/>
  <c r="G26" i="49"/>
  <c r="G25" i="49"/>
  <c r="I74" i="51"/>
  <c r="L74" i="51"/>
  <c r="O74" i="51"/>
  <c r="L73" i="51"/>
  <c r="I73" i="51"/>
  <c r="O73" i="51"/>
  <c r="G64" i="30"/>
  <c r="G63" i="30"/>
  <c r="G62" i="30"/>
  <c r="L74" i="74"/>
  <c r="O74" i="74"/>
  <c r="I74" i="74"/>
  <c r="O73" i="74"/>
  <c r="I73" i="74"/>
  <c r="L73" i="74"/>
  <c r="G42" i="43"/>
  <c r="G40" i="43"/>
  <c r="G38" i="43"/>
  <c r="G39" i="43"/>
  <c r="G41" i="43"/>
  <c r="G37" i="43"/>
  <c r="G36" i="43"/>
  <c r="G63" i="31"/>
  <c r="G64" i="31"/>
  <c r="G62" i="31"/>
  <c r="G41" i="39"/>
  <c r="G42" i="39"/>
  <c r="G38" i="39"/>
  <c r="G37" i="39"/>
  <c r="G40" i="39"/>
  <c r="G39" i="39"/>
  <c r="G36" i="39"/>
  <c r="G64" i="47"/>
  <c r="G63" i="47"/>
  <c r="G62" i="47"/>
  <c r="G39" i="35"/>
  <c r="G38" i="35"/>
  <c r="G41" i="35"/>
  <c r="G40" i="35"/>
  <c r="G42" i="35"/>
  <c r="G37" i="35"/>
  <c r="G36" i="35"/>
  <c r="G64" i="80"/>
  <c r="G63" i="80"/>
  <c r="G62" i="80"/>
  <c r="G63" i="84"/>
  <c r="G64" i="84"/>
  <c r="G62" i="84"/>
  <c r="G63" i="90"/>
  <c r="G62" i="90"/>
  <c r="G64" i="90"/>
  <c r="BC29" i="21"/>
  <c r="BI29" i="21"/>
  <c r="AW29" i="21"/>
  <c r="BU29" i="21"/>
  <c r="T29" i="21"/>
  <c r="BQ29" i="21"/>
  <c r="BF29" i="21"/>
  <c r="BS29" i="21"/>
  <c r="CG29" i="21"/>
  <c r="BD29" i="21"/>
  <c r="BK29" i="21"/>
  <c r="BY29" i="21"/>
  <c r="AD29" i="21"/>
  <c r="AN29" i="21"/>
  <c r="BB29" i="21"/>
  <c r="H29" i="21"/>
  <c r="BV29" i="21"/>
  <c r="I29" i="21"/>
  <c r="BZ29" i="21"/>
  <c r="J29" i="21"/>
  <c r="BA29" i="21"/>
  <c r="AJ29" i="21"/>
  <c r="BH29" i="21"/>
  <c r="AU29" i="21"/>
  <c r="G29" i="21"/>
  <c r="M29" i="21"/>
  <c r="AQ29" i="21"/>
  <c r="CS29" i="21"/>
  <c r="AL29" i="21"/>
  <c r="CE29" i="21"/>
  <c r="P29" i="21"/>
  <c r="BR29" i="21"/>
  <c r="AK29" i="21"/>
  <c r="Z29" i="21"/>
  <c r="Q29" i="21"/>
  <c r="CJ29" i="21"/>
  <c r="AO29" i="21"/>
  <c r="AM29" i="21"/>
  <c r="CP29" i="21"/>
  <c r="F29" i="21"/>
  <c r="CK29" i="21"/>
  <c r="N29" i="21"/>
  <c r="CN29" i="21"/>
  <c r="L29" i="21"/>
  <c r="BP29" i="21"/>
  <c r="CC29" i="21"/>
  <c r="U29" i="21"/>
  <c r="AE29" i="21"/>
  <c r="O29" i="21"/>
  <c r="AB29" i="21"/>
  <c r="AA29" i="21"/>
  <c r="BM29" i="21"/>
  <c r="BE29" i="21"/>
  <c r="BJ29" i="21"/>
  <c r="CB29" i="21"/>
  <c r="AY29" i="21"/>
  <c r="AT29" i="21"/>
  <c r="BX29" i="21"/>
  <c r="CO29" i="21"/>
  <c r="CL29" i="21"/>
  <c r="K29" i="21"/>
  <c r="CH29" i="21"/>
  <c r="CR29" i="21"/>
  <c r="V29" i="21"/>
  <c r="AZ29" i="21"/>
  <c r="AG29" i="21"/>
  <c r="E29" i="21"/>
  <c r="CD29" i="21"/>
  <c r="Y29" i="21"/>
  <c r="CF29" i="21"/>
  <c r="CM29" i="21"/>
  <c r="AP29" i="21"/>
  <c r="CQ29" i="21"/>
  <c r="CI29" i="21"/>
  <c r="CA29" i="21"/>
  <c r="X29" i="21"/>
  <c r="D29" i="21"/>
  <c r="BG29" i="21"/>
  <c r="BW29" i="21"/>
  <c r="AF29" i="21"/>
  <c r="AS29" i="21"/>
  <c r="AX29" i="21"/>
  <c r="W29" i="21"/>
  <c r="AC29" i="21"/>
  <c r="BT29" i="21"/>
  <c r="AV29" i="21"/>
  <c r="AR29" i="21"/>
  <c r="R29" i="21"/>
  <c r="BL29" i="21"/>
  <c r="S29" i="21"/>
  <c r="AB8" i="21"/>
  <c r="H70" i="46"/>
  <c r="J69" i="46" s="1"/>
  <c r="AB19" i="21" s="1"/>
  <c r="J7" i="46"/>
  <c r="L74" i="30"/>
  <c r="O74" i="30"/>
  <c r="I74" i="30"/>
  <c r="L73" i="30"/>
  <c r="I73" i="30"/>
  <c r="O73" i="30"/>
  <c r="G37" i="45"/>
  <c r="G41" i="45"/>
  <c r="G38" i="45"/>
  <c r="G42" i="45"/>
  <c r="G40" i="45"/>
  <c r="G39" i="45"/>
  <c r="G36" i="45"/>
  <c r="O30" i="35"/>
  <c r="L30" i="35"/>
  <c r="I30" i="35"/>
  <c r="CB8" i="21"/>
  <c r="P7" i="34"/>
  <c r="N70" i="34"/>
  <c r="P69" i="34" s="1"/>
  <c r="CB19" i="21" s="1"/>
  <c r="O74" i="84"/>
  <c r="I74" i="84"/>
  <c r="L74" i="84"/>
  <c r="L73" i="84"/>
  <c r="O73" i="84"/>
  <c r="I73" i="84"/>
  <c r="I11" i="39"/>
  <c r="R10" i="39" s="1"/>
  <c r="U9" i="21" s="1"/>
  <c r="L11" i="39"/>
  <c r="S10" i="39" s="1"/>
  <c r="BA9" i="21" s="1"/>
  <c r="O11" i="39"/>
  <c r="T10" i="39" s="1"/>
  <c r="CG9" i="21" s="1"/>
  <c r="U118" i="20"/>
  <c r="U86" i="20"/>
  <c r="O40" i="23"/>
  <c r="L40" i="23"/>
  <c r="I40" i="23"/>
  <c r="P7" i="39"/>
  <c r="CG8" i="21"/>
  <c r="N70" i="39"/>
  <c r="P69" i="39" s="1"/>
  <c r="CG19" i="21" s="1"/>
  <c r="AQ48" i="21"/>
  <c r="V8" i="21"/>
  <c r="J7" i="40"/>
  <c r="H70" i="40"/>
  <c r="J69" i="40" s="1"/>
  <c r="V19" i="21" s="1"/>
  <c r="G38" i="46"/>
  <c r="G42" i="46"/>
  <c r="G37" i="46"/>
  <c r="G39" i="46"/>
  <c r="G41" i="46"/>
  <c r="G40" i="46"/>
  <c r="G36" i="46"/>
  <c r="G39" i="44"/>
  <c r="G40" i="44"/>
  <c r="G41" i="44"/>
  <c r="G38" i="44"/>
  <c r="G42" i="44"/>
  <c r="G37" i="44"/>
  <c r="G36" i="44"/>
  <c r="I74" i="89"/>
  <c r="L74" i="89"/>
  <c r="O74" i="89"/>
  <c r="I73" i="89"/>
  <c r="L73" i="89"/>
  <c r="O73" i="89"/>
  <c r="G26" i="33"/>
  <c r="G25" i="33"/>
  <c r="G25" i="42"/>
  <c r="G26" i="42"/>
  <c r="L74" i="87"/>
  <c r="O74" i="87"/>
  <c r="I74" i="87"/>
  <c r="I73" i="87"/>
  <c r="L73" i="87"/>
  <c r="O73" i="87"/>
  <c r="G64" i="37"/>
  <c r="G63" i="37"/>
  <c r="G62" i="37"/>
  <c r="L11" i="23"/>
  <c r="S10" i="23" s="1"/>
  <c r="AK9" i="21" s="1"/>
  <c r="AK11" i="21" s="1"/>
  <c r="O11" i="23"/>
  <c r="T10" i="23" s="1"/>
  <c r="BQ9" i="21" s="1"/>
  <c r="I11" i="23"/>
  <c r="R10" i="23" s="1"/>
  <c r="E9" i="21" s="1"/>
  <c r="O62" i="36"/>
  <c r="L62" i="36"/>
  <c r="I62" i="36"/>
  <c r="G39" i="49"/>
  <c r="G41" i="49"/>
  <c r="G37" i="49"/>
  <c r="G38" i="49"/>
  <c r="G40" i="49"/>
  <c r="G42" i="49"/>
  <c r="G36" i="49"/>
  <c r="I11" i="35"/>
  <c r="R10" i="35" s="1"/>
  <c r="Q9" i="21" s="1"/>
  <c r="L11" i="35"/>
  <c r="S10" i="35" s="1"/>
  <c r="AW9" i="21" s="1"/>
  <c r="O11" i="35"/>
  <c r="T10" i="35" s="1"/>
  <c r="CC9" i="21" s="1"/>
  <c r="G25" i="45"/>
  <c r="G26" i="45"/>
  <c r="G41" i="27"/>
  <c r="G42" i="27"/>
  <c r="G38" i="27"/>
  <c r="G40" i="27"/>
  <c r="G39" i="27"/>
  <c r="G37" i="27"/>
  <c r="G36" i="27"/>
  <c r="L11" i="22"/>
  <c r="S10" i="22" s="1"/>
  <c r="AJ9" i="21" s="1"/>
  <c r="O11" i="22"/>
  <c r="T10" i="22" s="1"/>
  <c r="BP9" i="21" s="1"/>
  <c r="I11" i="22"/>
  <c r="R10" i="22" s="1"/>
  <c r="D9" i="21" s="1"/>
  <c r="O11" i="27"/>
  <c r="T10" i="27" s="1"/>
  <c r="BU9" i="21" s="1"/>
  <c r="L11" i="27"/>
  <c r="S10" i="27" s="1"/>
  <c r="AO9" i="21" s="1"/>
  <c r="I11" i="27"/>
  <c r="R10" i="27" s="1"/>
  <c r="I9" i="21" s="1"/>
  <c r="O30" i="27"/>
  <c r="L30" i="27"/>
  <c r="I30" i="27"/>
  <c r="L38" i="42"/>
  <c r="I38" i="42"/>
  <c r="O38" i="42"/>
  <c r="L30" i="36"/>
  <c r="I30" i="36"/>
  <c r="O30" i="36"/>
  <c r="G26" i="40"/>
  <c r="G25" i="40"/>
  <c r="G26" i="44"/>
  <c r="G25" i="44"/>
  <c r="G26" i="43"/>
  <c r="G25" i="43"/>
  <c r="I74" i="37"/>
  <c r="L74" i="37"/>
  <c r="O74" i="37"/>
  <c r="L73" i="37"/>
  <c r="O73" i="37"/>
  <c r="I73" i="37"/>
  <c r="O74" i="85"/>
  <c r="I74" i="85"/>
  <c r="L74" i="85"/>
  <c r="I73" i="85"/>
  <c r="O73" i="85"/>
  <c r="L73" i="85"/>
  <c r="L30" i="39"/>
  <c r="O30" i="39"/>
  <c r="I30" i="39"/>
  <c r="G64" i="25"/>
  <c r="G63" i="25"/>
  <c r="G62" i="25"/>
  <c r="G63" i="34"/>
  <c r="G64" i="34"/>
  <c r="G62" i="34"/>
  <c r="G42" i="38"/>
  <c r="G39" i="38"/>
  <c r="G37" i="38"/>
  <c r="G38" i="38"/>
  <c r="G41" i="38"/>
  <c r="G40" i="38"/>
  <c r="G64" i="77"/>
  <c r="G63" i="77"/>
  <c r="G62" i="77"/>
  <c r="L24" i="20"/>
  <c r="G26" i="35"/>
  <c r="G25" i="35"/>
  <c r="O30" i="47"/>
  <c r="I30" i="47"/>
  <c r="L30" i="47"/>
  <c r="M71" i="40"/>
  <c r="BB20" i="21" s="1"/>
  <c r="L62" i="23"/>
  <c r="I62" i="23"/>
  <c r="O62" i="23"/>
  <c r="N8" i="15"/>
  <c r="I30" i="23"/>
  <c r="L30" i="23"/>
  <c r="O30" i="23"/>
  <c r="I74" i="78"/>
  <c r="L74" i="78"/>
  <c r="O74" i="78"/>
  <c r="L73" i="78"/>
  <c r="I73" i="78"/>
  <c r="O73" i="78"/>
  <c r="G63" i="24"/>
  <c r="G64" i="24"/>
  <c r="G62" i="24"/>
  <c r="O11" i="25"/>
  <c r="T10" i="25" s="1"/>
  <c r="BS9" i="21" s="1"/>
  <c r="BS11" i="21" s="1"/>
  <c r="L11" i="25"/>
  <c r="S10" i="25" s="1"/>
  <c r="AM9" i="21" s="1"/>
  <c r="I11" i="25"/>
  <c r="R10" i="25" s="1"/>
  <c r="G9" i="21" s="1"/>
  <c r="P7" i="43"/>
  <c r="CK8" i="21"/>
  <c r="N70" i="43"/>
  <c r="P69" i="43" s="1"/>
  <c r="CK19" i="21" s="1"/>
  <c r="AY8" i="21"/>
  <c r="P12" i="20" s="1"/>
  <c r="O119" i="20" s="1"/>
  <c r="M7" i="37"/>
  <c r="K70" i="37"/>
  <c r="M69" i="37" s="1"/>
  <c r="AY19" i="21" s="1"/>
  <c r="P25" i="20" s="1"/>
  <c r="O41" i="23"/>
  <c r="I41" i="23"/>
  <c r="L41" i="23"/>
  <c r="M7" i="49"/>
  <c r="BK8" i="21"/>
  <c r="K70" i="49"/>
  <c r="M69" i="49" s="1"/>
  <c r="BK19" i="21" s="1"/>
  <c r="BA8" i="21"/>
  <c r="K70" i="39"/>
  <c r="M69" i="39" s="1"/>
  <c r="BA19" i="21" s="1"/>
  <c r="M7" i="39"/>
  <c r="CH8" i="21"/>
  <c r="N70" i="40"/>
  <c r="P69" i="40" s="1"/>
  <c r="CH19" i="21" s="1"/>
  <c r="P7" i="40"/>
  <c r="BH48" i="21"/>
  <c r="O11" i="40"/>
  <c r="T10" i="40" s="1"/>
  <c r="CH9" i="21" s="1"/>
  <c r="L11" i="40"/>
  <c r="S10" i="40" s="1"/>
  <c r="BB9" i="21" s="1"/>
  <c r="I11" i="40"/>
  <c r="R10" i="40" s="1"/>
  <c r="V9" i="21" s="1"/>
  <c r="G26" i="39"/>
  <c r="G25" i="39"/>
  <c r="G26" i="24"/>
  <c r="G25" i="24"/>
  <c r="G26" i="41"/>
  <c r="G25" i="41"/>
  <c r="I30" i="49"/>
  <c r="L30" i="49"/>
  <c r="O30" i="49"/>
  <c r="L74" i="47"/>
  <c r="O74" i="47"/>
  <c r="I74" i="47"/>
  <c r="L73" i="47"/>
  <c r="I73" i="47"/>
  <c r="O73" i="47"/>
  <c r="L74" i="77"/>
  <c r="O74" i="77"/>
  <c r="I74" i="77"/>
  <c r="L73" i="77"/>
  <c r="O73" i="77"/>
  <c r="I73" i="77"/>
  <c r="M7" i="42"/>
  <c r="BD8" i="21"/>
  <c r="K70" i="42"/>
  <c r="M69" i="42" s="1"/>
  <c r="BD19" i="21" s="1"/>
  <c r="L74" i="90"/>
  <c r="O74" i="90"/>
  <c r="I74" i="90"/>
  <c r="L73" i="90"/>
  <c r="O73" i="90"/>
  <c r="I73" i="90"/>
  <c r="I11" i="28"/>
  <c r="R10" i="28" s="1"/>
  <c r="J9" i="21" s="1"/>
  <c r="O11" i="28"/>
  <c r="T10" i="28" s="1"/>
  <c r="BV9" i="21" s="1"/>
  <c r="L11" i="28"/>
  <c r="S10" i="28" s="1"/>
  <c r="AP9" i="21" s="1"/>
  <c r="G39" i="32"/>
  <c r="G41" i="32"/>
  <c r="G42" i="32"/>
  <c r="G37" i="32"/>
  <c r="G38" i="32"/>
  <c r="G36" i="32"/>
  <c r="G63" i="33"/>
  <c r="G64" i="33"/>
  <c r="G62" i="33"/>
  <c r="G63" i="29"/>
  <c r="G64" i="29"/>
  <c r="G62" i="29"/>
  <c r="V24" i="20"/>
  <c r="G40" i="41"/>
  <c r="G37" i="41"/>
  <c r="G41" i="41"/>
  <c r="G42" i="41"/>
  <c r="G38" i="41"/>
  <c r="G39" i="41"/>
  <c r="G36" i="41"/>
  <c r="G64" i="22"/>
  <c r="G63" i="22"/>
  <c r="G62" i="22"/>
  <c r="O11" i="24"/>
  <c r="T10" i="24" s="1"/>
  <c r="BR9" i="21" s="1"/>
  <c r="I11" i="24"/>
  <c r="R10" i="24" s="1"/>
  <c r="F9" i="21" s="1"/>
  <c r="L11" i="24"/>
  <c r="S10" i="24" s="1"/>
  <c r="AL9" i="21" s="1"/>
  <c r="L30" i="29"/>
  <c r="O30" i="29"/>
  <c r="I30" i="29"/>
  <c r="AV8" i="21"/>
  <c r="M7" i="34"/>
  <c r="K70" i="34"/>
  <c r="M69" i="34" s="1"/>
  <c r="AV19" i="21" s="1"/>
  <c r="G37" i="37"/>
  <c r="G41" i="37"/>
  <c r="G38" i="37"/>
  <c r="G39" i="37"/>
  <c r="G40" i="37"/>
  <c r="G42" i="37"/>
  <c r="G36" i="37"/>
  <c r="I36" i="37" s="1"/>
  <c r="L74" i="36"/>
  <c r="I74" i="36"/>
  <c r="O74" i="36"/>
  <c r="O73" i="36"/>
  <c r="L73" i="36"/>
  <c r="I73" i="36"/>
  <c r="I11" i="47"/>
  <c r="R10" i="47" s="1"/>
  <c r="AC9" i="21" s="1"/>
  <c r="AC11" i="21" s="1"/>
  <c r="O11" i="47"/>
  <c r="T10" i="47" s="1"/>
  <c r="CO9" i="21" s="1"/>
  <c r="L11" i="47"/>
  <c r="S10" i="47" s="1"/>
  <c r="BI9" i="21" s="1"/>
  <c r="L11" i="45"/>
  <c r="S10" i="45" s="1"/>
  <c r="BG9" i="21" s="1"/>
  <c r="O11" i="45"/>
  <c r="T10" i="45" s="1"/>
  <c r="CM9" i="21" s="1"/>
  <c r="I11" i="45"/>
  <c r="R10" i="45" s="1"/>
  <c r="AA9" i="21" s="1"/>
  <c r="O25" i="36"/>
  <c r="L25" i="36"/>
  <c r="I25" i="36"/>
  <c r="CE8" i="21"/>
  <c r="P7" i="37"/>
  <c r="N70" i="37"/>
  <c r="P69" i="37" s="1"/>
  <c r="CE19" i="21" s="1"/>
  <c r="F8" i="21"/>
  <c r="J7" i="24"/>
  <c r="H70" i="24"/>
  <c r="J69" i="24" s="1"/>
  <c r="F19" i="21" s="1"/>
  <c r="AU48" i="21"/>
  <c r="L42" i="23"/>
  <c r="I42" i="23"/>
  <c r="O42" i="23"/>
  <c r="AE8" i="21"/>
  <c r="H70" i="49"/>
  <c r="J69" i="49" s="1"/>
  <c r="AE19" i="21" s="1"/>
  <c r="J7" i="49"/>
  <c r="AW8" i="21"/>
  <c r="N12" i="20" s="1"/>
  <c r="K70" i="35"/>
  <c r="M69" i="35" s="1"/>
  <c r="AW19" i="21" s="1"/>
  <c r="R25" i="20" s="1"/>
  <c r="M7" i="35"/>
  <c r="M7" i="40"/>
  <c r="BB8" i="21"/>
  <c r="K70" i="40"/>
  <c r="M69" i="40" s="1"/>
  <c r="BB19" i="21" s="1"/>
  <c r="AC48" i="21"/>
  <c r="G26" i="30"/>
  <c r="G25" i="30"/>
  <c r="O74" i="44"/>
  <c r="I74" i="44"/>
  <c r="L74" i="44"/>
  <c r="O73" i="44"/>
  <c r="I73" i="44"/>
  <c r="L73" i="44"/>
  <c r="G26" i="22"/>
  <c r="G25" i="22"/>
  <c r="G26" i="50"/>
  <c r="G25" i="50"/>
  <c r="G26" i="46"/>
  <c r="G25" i="46"/>
  <c r="I74" i="22"/>
  <c r="O74" i="22"/>
  <c r="L74" i="22"/>
  <c r="L73" i="22"/>
  <c r="O73" i="22"/>
  <c r="I73" i="22"/>
  <c r="L74" i="83"/>
  <c r="O74" i="83"/>
  <c r="I74" i="83"/>
  <c r="L73" i="83"/>
  <c r="O73" i="83"/>
  <c r="I73" i="83"/>
  <c r="C49" i="15"/>
  <c r="G64" i="50"/>
  <c r="G63" i="50"/>
  <c r="G62" i="50"/>
  <c r="L30" i="43"/>
  <c r="I30" i="43"/>
  <c r="O30" i="43"/>
  <c r="G39" i="50"/>
  <c r="G37" i="50"/>
  <c r="G40" i="50"/>
  <c r="G42" i="50"/>
  <c r="G41" i="50"/>
  <c r="G38" i="50"/>
  <c r="G36" i="50"/>
  <c r="G63" i="79"/>
  <c r="G64" i="79"/>
  <c r="G62" i="79"/>
  <c r="G64" i="70"/>
  <c r="G63" i="70"/>
  <c r="G62" i="70"/>
  <c r="I74" i="50"/>
  <c r="O74" i="50"/>
  <c r="L74" i="50"/>
  <c r="I73" i="50"/>
  <c r="L73" i="50"/>
  <c r="O73" i="50"/>
  <c r="I74" i="76"/>
  <c r="L74" i="76"/>
  <c r="O74" i="76"/>
  <c r="L73" i="76"/>
  <c r="I73" i="76"/>
  <c r="O73" i="76"/>
  <c r="I30" i="46"/>
  <c r="O30" i="46"/>
  <c r="L30" i="46"/>
  <c r="M71" i="24"/>
  <c r="AL20" i="21" s="1"/>
  <c r="G26" i="48"/>
  <c r="G25" i="48"/>
  <c r="G37" i="26"/>
  <c r="G41" i="26"/>
  <c r="G42" i="26"/>
  <c r="G39" i="26"/>
  <c r="G40" i="26"/>
  <c r="G38" i="26"/>
  <c r="G36" i="26"/>
  <c r="I74" i="70"/>
  <c r="L74" i="70"/>
  <c r="O74" i="70"/>
  <c r="O73" i="70"/>
  <c r="L73" i="70"/>
  <c r="I73" i="70"/>
  <c r="L74" i="29"/>
  <c r="O74" i="29"/>
  <c r="I74" i="29"/>
  <c r="L73" i="29"/>
  <c r="I73" i="29"/>
  <c r="O73" i="29"/>
  <c r="O11" i="32"/>
  <c r="I11" i="32"/>
  <c r="L11" i="32"/>
  <c r="L26" i="36"/>
  <c r="I26" i="36"/>
  <c r="O26" i="36"/>
  <c r="H70" i="37"/>
  <c r="J69" i="37" s="1"/>
  <c r="S19" i="21" s="1"/>
  <c r="J7" i="37"/>
  <c r="S8" i="21"/>
  <c r="BR8" i="21"/>
  <c r="P7" i="24"/>
  <c r="N70" i="24"/>
  <c r="P69" i="24" s="1"/>
  <c r="BR19" i="21" s="1"/>
  <c r="J7" i="28"/>
  <c r="J8" i="21"/>
  <c r="H70" i="28"/>
  <c r="J69" i="28" s="1"/>
  <c r="J19" i="21" s="1"/>
  <c r="P7" i="49"/>
  <c r="CQ8" i="21"/>
  <c r="N70" i="49"/>
  <c r="P69" i="49" s="1"/>
  <c r="CQ19" i="21" s="1"/>
  <c r="Q8" i="21"/>
  <c r="J7" i="35"/>
  <c r="H70" i="35"/>
  <c r="J69" i="35" s="1"/>
  <c r="Q19" i="21" s="1"/>
  <c r="P7" i="30"/>
  <c r="BX8" i="21"/>
  <c r="N70" i="30"/>
  <c r="P69" i="30" s="1"/>
  <c r="BX19" i="21" s="1"/>
  <c r="L74" i="45"/>
  <c r="I74" i="45"/>
  <c r="O74" i="45"/>
  <c r="O73" i="45"/>
  <c r="L73" i="45"/>
  <c r="I73" i="45"/>
  <c r="O30" i="38"/>
  <c r="L30" i="38"/>
  <c r="I30" i="38"/>
  <c r="O74" i="43"/>
  <c r="L74" i="43"/>
  <c r="I74" i="43"/>
  <c r="L73" i="43"/>
  <c r="O73" i="43"/>
  <c r="I73" i="43"/>
  <c r="I40" i="42"/>
  <c r="O40" i="42"/>
  <c r="L40" i="42"/>
  <c r="L30" i="41"/>
  <c r="O30" i="41"/>
  <c r="I30" i="41"/>
  <c r="G63" i="35"/>
  <c r="G64" i="35"/>
  <c r="G62" i="35"/>
  <c r="G64" i="91"/>
  <c r="G63" i="91"/>
  <c r="G62" i="91"/>
  <c r="G40" i="22"/>
  <c r="G39" i="22"/>
  <c r="G42" i="22"/>
  <c r="G41" i="22"/>
  <c r="G38" i="22"/>
  <c r="G37" i="22"/>
  <c r="L11" i="37"/>
  <c r="S10" i="37" s="1"/>
  <c r="AY9" i="21" s="1"/>
  <c r="P13" i="20" s="1"/>
  <c r="O11" i="37"/>
  <c r="T10" i="37" s="1"/>
  <c r="CE9" i="21" s="1"/>
  <c r="I11" i="37"/>
  <c r="R10" i="37" s="1"/>
  <c r="S9" i="21" s="1"/>
  <c r="R24" i="20"/>
  <c r="G26" i="27"/>
  <c r="G25" i="27"/>
  <c r="M7" i="25"/>
  <c r="AM8" i="21"/>
  <c r="K70" i="25"/>
  <c r="M69" i="25" s="1"/>
  <c r="AM19" i="21" s="1"/>
  <c r="E10" i="10"/>
  <c r="AK48" i="21"/>
  <c r="J12" i="20"/>
  <c r="I39" i="42"/>
  <c r="O39" i="42"/>
  <c r="L39" i="42"/>
  <c r="P7" i="42"/>
  <c r="CJ8" i="21"/>
  <c r="N70" i="42"/>
  <c r="P69" i="42" s="1"/>
  <c r="CJ19" i="21" s="1"/>
  <c r="T99" i="96"/>
  <c r="P106" i="96" s="1"/>
  <c r="G26" i="29"/>
  <c r="G25" i="29"/>
  <c r="G26" i="23"/>
  <c r="G25" i="23"/>
  <c r="O74" i="39"/>
  <c r="I74" i="39"/>
  <c r="L74" i="39"/>
  <c r="I73" i="39"/>
  <c r="L73" i="39"/>
  <c r="O73" i="39"/>
  <c r="L63" i="44"/>
  <c r="M60" i="44" s="1"/>
  <c r="BF16" i="21" s="1"/>
  <c r="I63" i="44"/>
  <c r="O63" i="44"/>
  <c r="L30" i="44"/>
  <c r="I30" i="44"/>
  <c r="O30" i="44"/>
  <c r="O30" i="28"/>
  <c r="I30" i="28"/>
  <c r="L30" i="28"/>
  <c r="I74" i="32"/>
  <c r="L74" i="32"/>
  <c r="O74" i="32"/>
  <c r="O73" i="32"/>
  <c r="I73" i="32"/>
  <c r="L73" i="32"/>
  <c r="G63" i="83"/>
  <c r="G64" i="83"/>
  <c r="G62" i="83"/>
  <c r="G37" i="29"/>
  <c r="G41" i="29"/>
  <c r="G40" i="29"/>
  <c r="G38" i="29"/>
  <c r="G42" i="29"/>
  <c r="G36" i="29"/>
  <c r="G41" i="36"/>
  <c r="G37" i="36"/>
  <c r="G42" i="36"/>
  <c r="G39" i="36"/>
  <c r="G38" i="36"/>
  <c r="G40" i="36"/>
  <c r="G36" i="36"/>
  <c r="G63" i="78"/>
  <c r="G64" i="78"/>
  <c r="G62" i="78"/>
  <c r="J71" i="24"/>
  <c r="F20" i="21" s="1"/>
  <c r="G64" i="38"/>
  <c r="G63" i="38"/>
  <c r="G62" i="38"/>
  <c r="CD48" i="21"/>
  <c r="O74" i="34"/>
  <c r="I74" i="34"/>
  <c r="L74" i="34"/>
  <c r="I73" i="34"/>
  <c r="O73" i="34"/>
  <c r="L73" i="34"/>
  <c r="I11" i="36"/>
  <c r="L11" i="36"/>
  <c r="S10" i="36" s="1"/>
  <c r="AX9" i="21" s="1"/>
  <c r="O11" i="36"/>
  <c r="T10" i="36" s="1"/>
  <c r="CD9" i="21" s="1"/>
  <c r="CD11" i="21" s="1"/>
  <c r="CF7" i="21"/>
  <c r="AZ7" i="21"/>
  <c r="T7" i="21"/>
  <c r="L9" i="38"/>
  <c r="AZ8" i="21" s="1"/>
  <c r="O9" i="38"/>
  <c r="I9" i="38"/>
  <c r="I30" i="24"/>
  <c r="L30" i="24"/>
  <c r="O30" i="24"/>
  <c r="M71" i="23"/>
  <c r="AK20" i="21" s="1"/>
  <c r="BI8" i="21"/>
  <c r="M7" i="47"/>
  <c r="K70" i="47"/>
  <c r="M69" i="47" s="1"/>
  <c r="BI19" i="21" s="1"/>
  <c r="L11" i="29"/>
  <c r="S10" i="29" s="1"/>
  <c r="AQ9" i="21" s="1"/>
  <c r="AQ11" i="21" s="1"/>
  <c r="O11" i="29"/>
  <c r="T10" i="29" s="1"/>
  <c r="BW9" i="21" s="1"/>
  <c r="BW11" i="21" s="1"/>
  <c r="I11" i="29"/>
  <c r="R10" i="29" s="1"/>
  <c r="K9" i="21" s="1"/>
  <c r="I74" i="80"/>
  <c r="L74" i="80"/>
  <c r="O74" i="80"/>
  <c r="I73" i="80"/>
  <c r="L73" i="80"/>
  <c r="O73" i="80"/>
  <c r="I64" i="36"/>
  <c r="L64" i="36"/>
  <c r="O64" i="36"/>
  <c r="L11" i="34"/>
  <c r="S10" i="34" s="1"/>
  <c r="AV9" i="21" s="1"/>
  <c r="I11" i="34"/>
  <c r="R10" i="34" s="1"/>
  <c r="P9" i="21" s="1"/>
  <c r="P11" i="21" s="1"/>
  <c r="O11" i="34"/>
  <c r="T10" i="34" s="1"/>
  <c r="CB9" i="21" s="1"/>
  <c r="L63" i="23"/>
  <c r="I63" i="23"/>
  <c r="O63" i="23"/>
  <c r="AJ8" i="21"/>
  <c r="K70" i="22"/>
  <c r="M69" i="22" s="1"/>
  <c r="AJ19" i="21" s="1"/>
  <c r="M7" i="31"/>
  <c r="AS8" i="21"/>
  <c r="K70" i="31"/>
  <c r="M69" i="31" s="1"/>
  <c r="AS19" i="21" s="1"/>
  <c r="BF48" i="21"/>
  <c r="D9" i="8"/>
  <c r="D9" i="10"/>
  <c r="AL8" i="21"/>
  <c r="M7" i="24"/>
  <c r="K70" i="24"/>
  <c r="M69" i="24" s="1"/>
  <c r="AL19" i="21" s="1"/>
  <c r="I36" i="23"/>
  <c r="O36" i="23"/>
  <c r="L36" i="23"/>
  <c r="AP8" i="21"/>
  <c r="L12" i="20" s="1"/>
  <c r="K119" i="20" s="1"/>
  <c r="M7" i="28"/>
  <c r="K70" i="28"/>
  <c r="M69" i="28" s="1"/>
  <c r="AP19" i="21" s="1"/>
  <c r="L25" i="20" s="1"/>
  <c r="P48" i="21"/>
  <c r="CC8" i="21"/>
  <c r="P7" i="35"/>
  <c r="N70" i="35"/>
  <c r="P69" i="35" s="1"/>
  <c r="CC19" i="21" s="1"/>
  <c r="M71" i="38"/>
  <c r="AZ20" i="21" s="1"/>
  <c r="L8" i="21"/>
  <c r="J7" i="30"/>
  <c r="H70" i="30"/>
  <c r="J69" i="30" s="1"/>
  <c r="L19" i="21" s="1"/>
  <c r="BZ8" i="21"/>
  <c r="J52" i="34" l="1"/>
  <c r="P52" i="34"/>
  <c r="M52" i="34"/>
  <c r="E10" i="8"/>
  <c r="E11" i="21"/>
  <c r="AZ11" i="21"/>
  <c r="P7" i="32"/>
  <c r="T38" i="96"/>
  <c r="M60" i="41"/>
  <c r="BC16" i="21" s="1"/>
  <c r="K70" i="48"/>
  <c r="M69" i="48" s="1"/>
  <c r="BJ19" i="21" s="1"/>
  <c r="M7" i="48"/>
  <c r="Q70" i="96"/>
  <c r="P71" i="73"/>
  <c r="EU20" i="21" s="1"/>
  <c r="P110" i="96"/>
  <c r="T110" i="96" s="1"/>
  <c r="O15" i="20"/>
  <c r="O120" i="20"/>
  <c r="O67" i="20"/>
  <c r="P67" i="20" s="1"/>
  <c r="N13" i="20"/>
  <c r="M15" i="20" s="1"/>
  <c r="G11" i="10"/>
  <c r="L13" i="20"/>
  <c r="K118" i="20"/>
  <c r="K86" i="20"/>
  <c r="N25" i="20"/>
  <c r="X25" i="20" s="1"/>
  <c r="O88" i="20"/>
  <c r="O84" i="20"/>
  <c r="O87" i="20"/>
  <c r="O83" i="20"/>
  <c r="O85" i="20"/>
  <c r="O89" i="20"/>
  <c r="G11" i="8"/>
  <c r="FK20" i="21"/>
  <c r="M86" i="20"/>
  <c r="M88" i="20" s="1"/>
  <c r="J60" i="41"/>
  <c r="W16" i="21" s="1"/>
  <c r="J71" i="86"/>
  <c r="DN20" i="21" s="1"/>
  <c r="M71" i="79"/>
  <c r="ED20" i="21" s="1"/>
  <c r="P71" i="82"/>
  <c r="FE20" i="21" s="1"/>
  <c r="P71" i="85"/>
  <c r="FI20" i="21" s="1"/>
  <c r="P71" i="28"/>
  <c r="BV20" i="21" s="1"/>
  <c r="P71" i="27"/>
  <c r="BU20" i="21" s="1"/>
  <c r="P24" i="96"/>
  <c r="O24" i="96" s="1"/>
  <c r="P60" i="41"/>
  <c r="CI16" i="21" s="1"/>
  <c r="P60" i="44"/>
  <c r="CL16" i="21" s="1"/>
  <c r="H70" i="32"/>
  <c r="J69" i="32" s="1"/>
  <c r="N19" i="21" s="1"/>
  <c r="M71" i="84"/>
  <c r="EJ20" i="21" s="1"/>
  <c r="P71" i="47"/>
  <c r="CO20" i="21" s="1"/>
  <c r="P71" i="76"/>
  <c r="EX20" i="21" s="1"/>
  <c r="J71" i="50"/>
  <c r="AG20" i="21" s="1"/>
  <c r="P71" i="44"/>
  <c r="CL20" i="21" s="1"/>
  <c r="J71" i="90"/>
  <c r="DR20" i="21" s="1"/>
  <c r="M7" i="22"/>
  <c r="P71" i="32"/>
  <c r="BZ20" i="21" s="1"/>
  <c r="J71" i="22"/>
  <c r="D20" i="21" s="1"/>
  <c r="M71" i="85"/>
  <c r="EL20" i="21" s="1"/>
  <c r="M71" i="89"/>
  <c r="M71" i="91"/>
  <c r="J71" i="28"/>
  <c r="J20" i="21" s="1"/>
  <c r="M71" i="36"/>
  <c r="AX20" i="21" s="1"/>
  <c r="M71" i="32"/>
  <c r="AT20" i="21" s="1"/>
  <c r="EN20" i="21"/>
  <c r="J71" i="29"/>
  <c r="K20" i="21" s="1"/>
  <c r="J71" i="47"/>
  <c r="AC20" i="21" s="1"/>
  <c r="P34" i="23"/>
  <c r="BQ14" i="21" s="1"/>
  <c r="J71" i="37"/>
  <c r="S20" i="21" s="1"/>
  <c r="P71" i="42"/>
  <c r="CJ20" i="21" s="1"/>
  <c r="M34" i="42"/>
  <c r="BD14" i="21" s="1"/>
  <c r="F17" i="10" s="1"/>
  <c r="M71" i="42"/>
  <c r="BD20" i="21" s="1"/>
  <c r="J71" i="89"/>
  <c r="DS20" i="21" s="1"/>
  <c r="M71" i="28"/>
  <c r="AP20" i="21" s="1"/>
  <c r="M71" i="27"/>
  <c r="AO20" i="21" s="1"/>
  <c r="P71" i="91"/>
  <c r="P71" i="35"/>
  <c r="CC20" i="21" s="1"/>
  <c r="J60" i="44"/>
  <c r="Z16" i="21" s="1"/>
  <c r="M23" i="36"/>
  <c r="AX12" i="21" s="1"/>
  <c r="J71" i="36"/>
  <c r="R20" i="21" s="1"/>
  <c r="J71" i="78"/>
  <c r="DF20" i="21" s="1"/>
  <c r="J71" i="85"/>
  <c r="DO20" i="21" s="1"/>
  <c r="P71" i="84"/>
  <c r="FG20" i="21" s="1"/>
  <c r="P71" i="79"/>
  <c r="FA20" i="21" s="1"/>
  <c r="J71" i="82"/>
  <c r="DK20" i="21" s="1"/>
  <c r="M71" i="70"/>
  <c r="DU20" i="21" s="1"/>
  <c r="M71" i="83"/>
  <c r="EI20" i="21" s="1"/>
  <c r="M71" i="44"/>
  <c r="BF20" i="21" s="1"/>
  <c r="P23" i="36"/>
  <c r="CD12" i="21" s="1"/>
  <c r="J71" i="39"/>
  <c r="U20" i="21" s="1"/>
  <c r="M71" i="50"/>
  <c r="BM20" i="21" s="1"/>
  <c r="J71" i="30"/>
  <c r="L20" i="21" s="1"/>
  <c r="P71" i="30"/>
  <c r="BX20" i="21" s="1"/>
  <c r="P71" i="109"/>
  <c r="FB20" i="21" s="1"/>
  <c r="J71" i="75"/>
  <c r="DC20" i="21" s="1"/>
  <c r="J71" i="32"/>
  <c r="N20" i="21" s="1"/>
  <c r="M71" i="29"/>
  <c r="AQ20" i="21" s="1"/>
  <c r="P71" i="87"/>
  <c r="FJ20" i="21" s="1"/>
  <c r="M71" i="33"/>
  <c r="AU20" i="21" s="1"/>
  <c r="M71" i="26"/>
  <c r="AN20" i="21" s="1"/>
  <c r="P71" i="75"/>
  <c r="EW20" i="21" s="1"/>
  <c r="P71" i="43"/>
  <c r="CK20" i="21" s="1"/>
  <c r="J71" i="80"/>
  <c r="DI20" i="21" s="1"/>
  <c r="M71" i="76"/>
  <c r="EA20" i="21" s="1"/>
  <c r="J34" i="42"/>
  <c r="X14" i="21" s="1"/>
  <c r="P60" i="36"/>
  <c r="CD16" i="21" s="1"/>
  <c r="M71" i="87"/>
  <c r="EM20" i="21" s="1"/>
  <c r="J71" i="26"/>
  <c r="H20" i="21" s="1"/>
  <c r="J71" i="73"/>
  <c r="DA20" i="21" s="1"/>
  <c r="J71" i="81"/>
  <c r="DJ20" i="21" s="1"/>
  <c r="J71" i="45"/>
  <c r="AA20" i="21" s="1"/>
  <c r="J71" i="34"/>
  <c r="P20" i="21" s="1"/>
  <c r="P71" i="22"/>
  <c r="BP20" i="21" s="1"/>
  <c r="M71" i="77"/>
  <c r="EB20" i="21" s="1"/>
  <c r="P71" i="37"/>
  <c r="CE20" i="21" s="1"/>
  <c r="P71" i="89"/>
  <c r="M71" i="71"/>
  <c r="DV20" i="21" s="1"/>
  <c r="P71" i="26"/>
  <c r="BT20" i="21" s="1"/>
  <c r="M71" i="51"/>
  <c r="BN20" i="21" s="1"/>
  <c r="J71" i="42"/>
  <c r="X20" i="21" s="1"/>
  <c r="M71" i="48"/>
  <c r="BJ20" i="21" s="1"/>
  <c r="P71" i="78"/>
  <c r="EZ20" i="21" s="1"/>
  <c r="P34" i="42"/>
  <c r="CJ14" i="21" s="1"/>
  <c r="J71" i="44"/>
  <c r="Z20" i="21" s="1"/>
  <c r="AL11" i="21"/>
  <c r="AL48" i="21"/>
  <c r="O63" i="91"/>
  <c r="I63" i="91"/>
  <c r="L63" i="91"/>
  <c r="I25" i="46"/>
  <c r="L25" i="46"/>
  <c r="O25" i="46"/>
  <c r="O37" i="50"/>
  <c r="I37" i="50"/>
  <c r="L37" i="50"/>
  <c r="L40" i="41"/>
  <c r="I40" i="41"/>
  <c r="O40" i="41"/>
  <c r="BD48" i="21"/>
  <c r="F10" i="10"/>
  <c r="BD11" i="21"/>
  <c r="I62" i="35"/>
  <c r="O62" i="35"/>
  <c r="L62" i="35"/>
  <c r="L36" i="26"/>
  <c r="I36" i="26"/>
  <c r="O36" i="26"/>
  <c r="I63" i="79"/>
  <c r="L63" i="79"/>
  <c r="O63" i="79"/>
  <c r="BZ48" i="21"/>
  <c r="J34" i="23"/>
  <c r="E14" i="21" s="1"/>
  <c r="M71" i="80"/>
  <c r="EF20" i="21" s="1"/>
  <c r="CF8" i="21"/>
  <c r="P7" i="38"/>
  <c r="N70" i="38"/>
  <c r="P69" i="38" s="1"/>
  <c r="CF19" i="21" s="1"/>
  <c r="M71" i="34"/>
  <c r="AV20" i="21" s="1"/>
  <c r="O62" i="38"/>
  <c r="I62" i="38"/>
  <c r="L62" i="38"/>
  <c r="I62" i="78"/>
  <c r="L62" i="78"/>
  <c r="O62" i="78"/>
  <c r="O36" i="29"/>
  <c r="L36" i="29"/>
  <c r="I36" i="29"/>
  <c r="O63" i="83"/>
  <c r="L63" i="83"/>
  <c r="I63" i="83"/>
  <c r="P71" i="39"/>
  <c r="CG20" i="21" s="1"/>
  <c r="L26" i="23"/>
  <c r="I26" i="23"/>
  <c r="O26" i="23"/>
  <c r="L39" i="22"/>
  <c r="I39" i="22"/>
  <c r="O39" i="22"/>
  <c r="L63" i="35"/>
  <c r="O63" i="35"/>
  <c r="I63" i="35"/>
  <c r="CQ48" i="21"/>
  <c r="CQ11" i="21"/>
  <c r="S48" i="21"/>
  <c r="S11" i="21"/>
  <c r="J71" i="70"/>
  <c r="CX20" i="21" s="1"/>
  <c r="I40" i="26"/>
  <c r="L40" i="26"/>
  <c r="O40" i="26"/>
  <c r="I62" i="70"/>
  <c r="O62" i="70"/>
  <c r="L62" i="70"/>
  <c r="O36" i="50"/>
  <c r="L36" i="50"/>
  <c r="I36" i="50"/>
  <c r="P71" i="83"/>
  <c r="FF20" i="21" s="1"/>
  <c r="I26" i="22"/>
  <c r="O26" i="22"/>
  <c r="L26" i="22"/>
  <c r="BB11" i="21"/>
  <c r="BB48" i="21"/>
  <c r="AE48" i="21"/>
  <c r="AE11" i="21"/>
  <c r="F48" i="21"/>
  <c r="F11" i="21"/>
  <c r="O41" i="37"/>
  <c r="L41" i="37"/>
  <c r="I41" i="37"/>
  <c r="I39" i="41"/>
  <c r="L39" i="41"/>
  <c r="O39" i="41"/>
  <c r="I62" i="29"/>
  <c r="L62" i="29"/>
  <c r="O62" i="29"/>
  <c r="L36" i="32"/>
  <c r="O36" i="32"/>
  <c r="I36" i="32"/>
  <c r="M71" i="90"/>
  <c r="P71" i="77"/>
  <c r="EY20" i="21" s="1"/>
  <c r="I25" i="24"/>
  <c r="O25" i="24"/>
  <c r="L25" i="24"/>
  <c r="BA48" i="21"/>
  <c r="BA11" i="21"/>
  <c r="P60" i="23"/>
  <c r="BQ16" i="21" s="1"/>
  <c r="I25" i="35"/>
  <c r="O25" i="35"/>
  <c r="L25" i="35"/>
  <c r="I63" i="77"/>
  <c r="O63" i="77"/>
  <c r="L63" i="77"/>
  <c r="O39" i="38"/>
  <c r="I39" i="38"/>
  <c r="L39" i="38"/>
  <c r="L39" i="27"/>
  <c r="I39" i="27"/>
  <c r="O39" i="27"/>
  <c r="H11" i="8"/>
  <c r="H11" i="10"/>
  <c r="R13" i="20"/>
  <c r="O39" i="49"/>
  <c r="I39" i="49"/>
  <c r="L39" i="49"/>
  <c r="L63" i="37"/>
  <c r="O63" i="37"/>
  <c r="I63" i="37"/>
  <c r="O26" i="42"/>
  <c r="L26" i="42"/>
  <c r="I26" i="42"/>
  <c r="I39" i="44"/>
  <c r="O39" i="44"/>
  <c r="L39" i="44"/>
  <c r="L37" i="46"/>
  <c r="O37" i="46"/>
  <c r="I37" i="46"/>
  <c r="O42" i="45"/>
  <c r="I42" i="45"/>
  <c r="L42" i="45"/>
  <c r="L39" i="35"/>
  <c r="I39" i="35"/>
  <c r="O39" i="35"/>
  <c r="I37" i="39"/>
  <c r="O37" i="39"/>
  <c r="L37" i="39"/>
  <c r="I37" i="43"/>
  <c r="O37" i="43"/>
  <c r="L37" i="43"/>
  <c r="J71" i="74"/>
  <c r="DB20" i="21" s="1"/>
  <c r="P71" i="51"/>
  <c r="CT20" i="21" s="1"/>
  <c r="BP48" i="21"/>
  <c r="BP11" i="21"/>
  <c r="P71" i="33"/>
  <c r="CA20" i="21" s="1"/>
  <c r="O62" i="74"/>
  <c r="I62" i="74"/>
  <c r="L62" i="74"/>
  <c r="O63" i="26"/>
  <c r="I63" i="26"/>
  <c r="L63" i="26"/>
  <c r="O42" i="51"/>
  <c r="I42" i="51"/>
  <c r="L42" i="51"/>
  <c r="L64" i="51"/>
  <c r="I64" i="51"/>
  <c r="O64" i="51"/>
  <c r="O25" i="26"/>
  <c r="I25" i="26"/>
  <c r="L25" i="26"/>
  <c r="I32" i="47"/>
  <c r="L32" i="47"/>
  <c r="O32" i="47"/>
  <c r="O32" i="39"/>
  <c r="L32" i="39"/>
  <c r="I32" i="39"/>
  <c r="O32" i="44"/>
  <c r="I32" i="44"/>
  <c r="L32" i="44"/>
  <c r="O38" i="40"/>
  <c r="L38" i="40"/>
  <c r="I38" i="40"/>
  <c r="CA48" i="21"/>
  <c r="CA11" i="21"/>
  <c r="BJ48" i="21"/>
  <c r="BJ11" i="21"/>
  <c r="J7" i="22"/>
  <c r="S10" i="32"/>
  <c r="AT9" i="21" s="1"/>
  <c r="AT11" i="21" s="1"/>
  <c r="O39" i="31"/>
  <c r="I39" i="31"/>
  <c r="L39" i="31"/>
  <c r="I39" i="30"/>
  <c r="L39" i="30"/>
  <c r="O39" i="30"/>
  <c r="O31" i="38"/>
  <c r="I31" i="38"/>
  <c r="L31" i="38"/>
  <c r="O31" i="29"/>
  <c r="L31" i="29"/>
  <c r="I31" i="29"/>
  <c r="I31" i="51"/>
  <c r="L31" i="51"/>
  <c r="O31" i="51"/>
  <c r="O31" i="41"/>
  <c r="L31" i="41"/>
  <c r="I31" i="41"/>
  <c r="I42" i="25"/>
  <c r="O42" i="25"/>
  <c r="L42" i="25"/>
  <c r="M71" i="46"/>
  <c r="BH20" i="21" s="1"/>
  <c r="I38" i="47"/>
  <c r="L38" i="47"/>
  <c r="O38" i="47"/>
  <c r="M71" i="25"/>
  <c r="AM20" i="21" s="1"/>
  <c r="L26" i="28"/>
  <c r="I26" i="28"/>
  <c r="O26" i="28"/>
  <c r="I86" i="20"/>
  <c r="X11" i="20"/>
  <c r="I118" i="20"/>
  <c r="BU48" i="21"/>
  <c r="BU11" i="21"/>
  <c r="M7" i="32"/>
  <c r="M48" i="21"/>
  <c r="M11" i="21"/>
  <c r="T10" i="51"/>
  <c r="CT9" i="21" s="1"/>
  <c r="CT11" i="21" s="1"/>
  <c r="L64" i="28"/>
  <c r="I64" i="28"/>
  <c r="O64" i="28"/>
  <c r="I33" i="44"/>
  <c r="O33" i="44"/>
  <c r="L33" i="44"/>
  <c r="L33" i="32"/>
  <c r="O33" i="32"/>
  <c r="I33" i="32"/>
  <c r="O33" i="38"/>
  <c r="L33" i="38"/>
  <c r="I33" i="38"/>
  <c r="L64" i="82"/>
  <c r="I64" i="82"/>
  <c r="O64" i="82"/>
  <c r="I39" i="48"/>
  <c r="L39" i="48"/>
  <c r="O39" i="48"/>
  <c r="L63" i="45"/>
  <c r="I63" i="45"/>
  <c r="O63" i="45"/>
  <c r="O25" i="31"/>
  <c r="I25" i="31"/>
  <c r="L25" i="31"/>
  <c r="P71" i="86"/>
  <c r="FH20" i="21" s="1"/>
  <c r="O25" i="32"/>
  <c r="I25" i="32"/>
  <c r="L25" i="32"/>
  <c r="M71" i="41"/>
  <c r="BC20" i="21" s="1"/>
  <c r="O62" i="40"/>
  <c r="L62" i="40"/>
  <c r="I62" i="40"/>
  <c r="J71" i="49"/>
  <c r="AE20" i="21" s="1"/>
  <c r="O41" i="28"/>
  <c r="I41" i="28"/>
  <c r="L41" i="28"/>
  <c r="L36" i="34"/>
  <c r="O36" i="34"/>
  <c r="I36" i="34"/>
  <c r="J47" i="45"/>
  <c r="M47" i="45"/>
  <c r="P47" i="45"/>
  <c r="G48" i="50"/>
  <c r="G49" i="51"/>
  <c r="G50" i="31"/>
  <c r="G50" i="27"/>
  <c r="G50" i="36"/>
  <c r="G50" i="42"/>
  <c r="G50" i="30"/>
  <c r="G53" i="41"/>
  <c r="G50" i="24"/>
  <c r="G50" i="44"/>
  <c r="G50" i="43"/>
  <c r="G50" i="34"/>
  <c r="G50" i="25"/>
  <c r="G50" i="33"/>
  <c r="G51" i="35"/>
  <c r="G51" i="32"/>
  <c r="G50" i="23"/>
  <c r="G50" i="40"/>
  <c r="G50" i="26"/>
  <c r="G50" i="29"/>
  <c r="G50" i="38"/>
  <c r="G51" i="39"/>
  <c r="G50" i="22"/>
  <c r="G50" i="28"/>
  <c r="G50" i="37"/>
  <c r="J48" i="21"/>
  <c r="J11" i="21"/>
  <c r="O41" i="26"/>
  <c r="L41" i="26"/>
  <c r="I41" i="26"/>
  <c r="I63" i="50"/>
  <c r="O63" i="50"/>
  <c r="L63" i="50"/>
  <c r="O39" i="32"/>
  <c r="L39" i="32"/>
  <c r="I39" i="32"/>
  <c r="AS48" i="21"/>
  <c r="AS11" i="21"/>
  <c r="M7" i="38"/>
  <c r="K70" i="38"/>
  <c r="M69" i="38" s="1"/>
  <c r="AZ19" i="21" s="1"/>
  <c r="P71" i="34"/>
  <c r="CB20" i="21" s="1"/>
  <c r="L63" i="38"/>
  <c r="I63" i="38"/>
  <c r="O63" i="38"/>
  <c r="I64" i="78"/>
  <c r="L64" i="78"/>
  <c r="O64" i="78"/>
  <c r="O36" i="36"/>
  <c r="I36" i="36"/>
  <c r="L36" i="36"/>
  <c r="I42" i="29"/>
  <c r="O42" i="29"/>
  <c r="L42" i="29"/>
  <c r="M71" i="39"/>
  <c r="BA20" i="21" s="1"/>
  <c r="L25" i="29"/>
  <c r="O25" i="29"/>
  <c r="I25" i="29"/>
  <c r="I40" i="22"/>
  <c r="L40" i="22"/>
  <c r="O40" i="22"/>
  <c r="M71" i="43"/>
  <c r="BE20" i="21" s="1"/>
  <c r="M71" i="45"/>
  <c r="BG20" i="21" s="1"/>
  <c r="J26" i="20" s="1"/>
  <c r="BX48" i="21"/>
  <c r="BX11" i="21"/>
  <c r="L39" i="26"/>
  <c r="I39" i="26"/>
  <c r="O39" i="26"/>
  <c r="P71" i="50"/>
  <c r="CS20" i="21" s="1"/>
  <c r="O63" i="70"/>
  <c r="I63" i="70"/>
  <c r="L63" i="70"/>
  <c r="O38" i="50"/>
  <c r="L38" i="50"/>
  <c r="I38" i="50"/>
  <c r="O25" i="30"/>
  <c r="I25" i="30"/>
  <c r="L25" i="30"/>
  <c r="L37" i="37"/>
  <c r="I37" i="37"/>
  <c r="O37" i="37"/>
  <c r="I38" i="41"/>
  <c r="L38" i="41"/>
  <c r="O38" i="41"/>
  <c r="I64" i="29"/>
  <c r="O64" i="29"/>
  <c r="L64" i="29"/>
  <c r="O38" i="32"/>
  <c r="L38" i="32"/>
  <c r="I38" i="32"/>
  <c r="L26" i="24"/>
  <c r="O26" i="24"/>
  <c r="I26" i="24"/>
  <c r="J60" i="23"/>
  <c r="E16" i="21" s="1"/>
  <c r="I26" i="35"/>
  <c r="O26" i="35"/>
  <c r="L26" i="35"/>
  <c r="L64" i="77"/>
  <c r="I64" i="77"/>
  <c r="O64" i="77"/>
  <c r="I42" i="38"/>
  <c r="O42" i="38"/>
  <c r="L42" i="38"/>
  <c r="I25" i="43"/>
  <c r="O25" i="43"/>
  <c r="L25" i="43"/>
  <c r="O40" i="27"/>
  <c r="I40" i="27"/>
  <c r="L40" i="27"/>
  <c r="J60" i="36"/>
  <c r="R16" i="21" s="1"/>
  <c r="I64" i="37"/>
  <c r="L64" i="37"/>
  <c r="O64" i="37"/>
  <c r="O25" i="42"/>
  <c r="L25" i="42"/>
  <c r="I25" i="42"/>
  <c r="M119" i="20"/>
  <c r="O42" i="46"/>
  <c r="I42" i="46"/>
  <c r="L42" i="46"/>
  <c r="J71" i="84"/>
  <c r="DM20" i="21" s="1"/>
  <c r="CB48" i="21"/>
  <c r="CB11" i="21"/>
  <c r="I38" i="45"/>
  <c r="L38" i="45"/>
  <c r="O38" i="45"/>
  <c r="L38" i="39"/>
  <c r="O38" i="39"/>
  <c r="I38" i="39"/>
  <c r="O41" i="43"/>
  <c r="L41" i="43"/>
  <c r="I41" i="43"/>
  <c r="P71" i="74"/>
  <c r="EV20" i="21" s="1"/>
  <c r="J71" i="51"/>
  <c r="AH20" i="21" s="1"/>
  <c r="O63" i="89"/>
  <c r="I63" i="89"/>
  <c r="L63" i="89"/>
  <c r="L64" i="74"/>
  <c r="O64" i="74"/>
  <c r="I64" i="74"/>
  <c r="J71" i="109"/>
  <c r="DH20" i="21" s="1"/>
  <c r="L26" i="26"/>
  <c r="O26" i="26"/>
  <c r="I26" i="26"/>
  <c r="I32" i="40"/>
  <c r="O32" i="40"/>
  <c r="L32" i="40"/>
  <c r="O32" i="42"/>
  <c r="L32" i="42"/>
  <c r="I32" i="42"/>
  <c r="I32" i="27"/>
  <c r="L32" i="27"/>
  <c r="O32" i="27"/>
  <c r="O39" i="40"/>
  <c r="I39" i="40"/>
  <c r="L39" i="40"/>
  <c r="L26" i="34"/>
  <c r="O26" i="34"/>
  <c r="I26" i="34"/>
  <c r="D11" i="21"/>
  <c r="D48" i="21"/>
  <c r="T10" i="32"/>
  <c r="BZ9" i="21" s="1"/>
  <c r="BZ11" i="21" s="1"/>
  <c r="L40" i="31"/>
  <c r="I40" i="31"/>
  <c r="O40" i="31"/>
  <c r="L62" i="85"/>
  <c r="I62" i="85"/>
  <c r="O62" i="85"/>
  <c r="L37" i="30"/>
  <c r="I37" i="30"/>
  <c r="O37" i="30"/>
  <c r="O31" i="39"/>
  <c r="L31" i="39"/>
  <c r="I31" i="39"/>
  <c r="O31" i="26"/>
  <c r="L31" i="26"/>
  <c r="I31" i="26"/>
  <c r="L31" i="45"/>
  <c r="I31" i="45"/>
  <c r="O31" i="45"/>
  <c r="I31" i="35"/>
  <c r="L31" i="35"/>
  <c r="O31" i="35"/>
  <c r="L38" i="25"/>
  <c r="O38" i="25"/>
  <c r="I38" i="25"/>
  <c r="I37" i="47"/>
  <c r="O37" i="47"/>
  <c r="L37" i="47"/>
  <c r="L36" i="24"/>
  <c r="I36" i="24"/>
  <c r="O36" i="24"/>
  <c r="K70" i="32"/>
  <c r="M69" i="32" s="1"/>
  <c r="AT19" i="21" s="1"/>
  <c r="BV48" i="21"/>
  <c r="BV11" i="21"/>
  <c r="S10" i="51"/>
  <c r="BN9" i="21" s="1"/>
  <c r="I48" i="21"/>
  <c r="I11" i="21"/>
  <c r="O62" i="87"/>
  <c r="I62" i="87"/>
  <c r="L62" i="87"/>
  <c r="L33" i="50"/>
  <c r="I33" i="50"/>
  <c r="O33" i="50"/>
  <c r="L33" i="39"/>
  <c r="O33" i="39"/>
  <c r="I33" i="39"/>
  <c r="L33" i="43"/>
  <c r="I33" i="43"/>
  <c r="O33" i="43"/>
  <c r="O33" i="27"/>
  <c r="L33" i="27"/>
  <c r="I33" i="27"/>
  <c r="O63" i="82"/>
  <c r="I63" i="82"/>
  <c r="L63" i="82"/>
  <c r="I64" i="45"/>
  <c r="L64" i="45"/>
  <c r="O64" i="45"/>
  <c r="I26" i="31"/>
  <c r="L26" i="31"/>
  <c r="O26" i="31"/>
  <c r="L26" i="32"/>
  <c r="I26" i="32"/>
  <c r="O26" i="32"/>
  <c r="L64" i="40"/>
  <c r="O64" i="40"/>
  <c r="I64" i="40"/>
  <c r="O37" i="28"/>
  <c r="I37" i="28"/>
  <c r="L37" i="28"/>
  <c r="L40" i="34"/>
  <c r="I40" i="34"/>
  <c r="O40" i="34"/>
  <c r="G57" i="28"/>
  <c r="G57" i="38"/>
  <c r="G57" i="25"/>
  <c r="G57" i="26"/>
  <c r="G57" i="40"/>
  <c r="G57" i="41"/>
  <c r="G57" i="43"/>
  <c r="G57" i="32"/>
  <c r="G57" i="42"/>
  <c r="G57" i="22"/>
  <c r="G57" i="29"/>
  <c r="G57" i="23"/>
  <c r="G57" i="30"/>
  <c r="G57" i="24"/>
  <c r="G57" i="31"/>
  <c r="G57" i="34"/>
  <c r="G57" i="44"/>
  <c r="G57" i="39"/>
  <c r="G57" i="27"/>
  <c r="G57" i="33"/>
  <c r="G50" i="41"/>
  <c r="G48" i="51"/>
  <c r="I38" i="36"/>
  <c r="O38" i="36"/>
  <c r="L38" i="36"/>
  <c r="L42" i="50"/>
  <c r="O42" i="50"/>
  <c r="I42" i="50"/>
  <c r="O41" i="41"/>
  <c r="L41" i="41"/>
  <c r="I41" i="41"/>
  <c r="O42" i="36"/>
  <c r="I42" i="36"/>
  <c r="L42" i="36"/>
  <c r="L64" i="79"/>
  <c r="I64" i="79"/>
  <c r="O64" i="79"/>
  <c r="L25" i="50"/>
  <c r="O25" i="50"/>
  <c r="I25" i="50"/>
  <c r="I63" i="22"/>
  <c r="O63" i="22"/>
  <c r="L63" i="22"/>
  <c r="BI48" i="21"/>
  <c r="BI11" i="21"/>
  <c r="O64" i="38"/>
  <c r="L64" i="38"/>
  <c r="I64" i="38"/>
  <c r="O63" i="78"/>
  <c r="L63" i="78"/>
  <c r="I63" i="78"/>
  <c r="I40" i="36"/>
  <c r="O40" i="36"/>
  <c r="L40" i="36"/>
  <c r="O38" i="29"/>
  <c r="L38" i="29"/>
  <c r="I38" i="29"/>
  <c r="O26" i="29"/>
  <c r="L26" i="29"/>
  <c r="I26" i="29"/>
  <c r="AM48" i="21"/>
  <c r="AM11" i="21"/>
  <c r="D11" i="8"/>
  <c r="D11" i="10"/>
  <c r="I62" i="91"/>
  <c r="O62" i="91"/>
  <c r="L62" i="91"/>
  <c r="P71" i="45"/>
  <c r="CM20" i="21" s="1"/>
  <c r="P71" i="29"/>
  <c r="BW20" i="21" s="1"/>
  <c r="P71" i="70"/>
  <c r="ER20" i="21" s="1"/>
  <c r="I42" i="26"/>
  <c r="O42" i="26"/>
  <c r="L42" i="26"/>
  <c r="L64" i="70"/>
  <c r="O64" i="70"/>
  <c r="I64" i="70"/>
  <c r="L41" i="50"/>
  <c r="O41" i="50"/>
  <c r="I41" i="50"/>
  <c r="L62" i="50"/>
  <c r="O62" i="50"/>
  <c r="I62" i="50"/>
  <c r="I26" i="30"/>
  <c r="O26" i="30"/>
  <c r="L26" i="30"/>
  <c r="I42" i="41"/>
  <c r="L42" i="41"/>
  <c r="O42" i="41"/>
  <c r="O63" i="29"/>
  <c r="I63" i="29"/>
  <c r="L63" i="29"/>
  <c r="O37" i="32"/>
  <c r="L37" i="32"/>
  <c r="I37" i="32"/>
  <c r="L25" i="39"/>
  <c r="I25" i="39"/>
  <c r="O25" i="39"/>
  <c r="BK48" i="21"/>
  <c r="BK11" i="21"/>
  <c r="L62" i="24"/>
  <c r="O62" i="24"/>
  <c r="I62" i="24"/>
  <c r="M60" i="23"/>
  <c r="AK16" i="21" s="1"/>
  <c r="O62" i="34"/>
  <c r="I62" i="34"/>
  <c r="L62" i="34"/>
  <c r="L26" i="43"/>
  <c r="I26" i="43"/>
  <c r="O26" i="43"/>
  <c r="O38" i="27"/>
  <c r="L38" i="27"/>
  <c r="I38" i="27"/>
  <c r="L36" i="49"/>
  <c r="I36" i="49"/>
  <c r="O36" i="49"/>
  <c r="M60" i="36"/>
  <c r="AX16" i="21" s="1"/>
  <c r="L25" i="33"/>
  <c r="I25" i="33"/>
  <c r="O25" i="33"/>
  <c r="O36" i="44"/>
  <c r="L36" i="44"/>
  <c r="I36" i="44"/>
  <c r="L38" i="46"/>
  <c r="O38" i="46"/>
  <c r="I38" i="46"/>
  <c r="O41" i="45"/>
  <c r="I41" i="45"/>
  <c r="L41" i="45"/>
  <c r="L64" i="90"/>
  <c r="M60" i="90" s="1"/>
  <c r="I64" i="90"/>
  <c r="J60" i="90" s="1"/>
  <c r="O64" i="90"/>
  <c r="P60" i="90" s="1"/>
  <c r="I62" i="84"/>
  <c r="O62" i="84"/>
  <c r="L62" i="84"/>
  <c r="O36" i="35"/>
  <c r="L36" i="35"/>
  <c r="I36" i="35"/>
  <c r="I62" i="47"/>
  <c r="L62" i="47"/>
  <c r="O62" i="47"/>
  <c r="L42" i="39"/>
  <c r="O42" i="39"/>
  <c r="I42" i="39"/>
  <c r="O39" i="43"/>
  <c r="I39" i="43"/>
  <c r="L39" i="43"/>
  <c r="I64" i="89"/>
  <c r="J60" i="89" s="1"/>
  <c r="L64" i="89"/>
  <c r="M60" i="89" s="1"/>
  <c r="O64" i="89"/>
  <c r="P60" i="89" s="1"/>
  <c r="L63" i="74"/>
  <c r="O63" i="74"/>
  <c r="I63" i="74"/>
  <c r="L36" i="51"/>
  <c r="O36" i="51"/>
  <c r="I36" i="51"/>
  <c r="L62" i="42"/>
  <c r="O62" i="42"/>
  <c r="I62" i="42"/>
  <c r="O32" i="45"/>
  <c r="L32" i="45"/>
  <c r="I32" i="45"/>
  <c r="I32" i="33"/>
  <c r="L32" i="33"/>
  <c r="O32" i="33"/>
  <c r="I32" i="24"/>
  <c r="L32" i="24"/>
  <c r="O32" i="24"/>
  <c r="O32" i="46"/>
  <c r="I32" i="46"/>
  <c r="L32" i="46"/>
  <c r="O41" i="40"/>
  <c r="L41" i="40"/>
  <c r="I41" i="40"/>
  <c r="AX48" i="21"/>
  <c r="AX11" i="21"/>
  <c r="O25" i="34"/>
  <c r="I25" i="34"/>
  <c r="L25" i="34"/>
  <c r="AR48" i="21"/>
  <c r="AR11" i="21"/>
  <c r="R10" i="32"/>
  <c r="N9" i="21" s="1"/>
  <c r="N11" i="21" s="1"/>
  <c r="I62" i="81"/>
  <c r="L62" i="81"/>
  <c r="O62" i="81"/>
  <c r="O62" i="73"/>
  <c r="I62" i="73"/>
  <c r="L62" i="73"/>
  <c r="L63" i="85"/>
  <c r="I63" i="85"/>
  <c r="O63" i="85"/>
  <c r="L38" i="30"/>
  <c r="I38" i="30"/>
  <c r="O38" i="30"/>
  <c r="I31" i="24"/>
  <c r="O31" i="24"/>
  <c r="L31" i="24"/>
  <c r="I31" i="31"/>
  <c r="O31" i="31"/>
  <c r="L31" i="31"/>
  <c r="I31" i="27"/>
  <c r="L31" i="27"/>
  <c r="O31" i="27"/>
  <c r="I31" i="34"/>
  <c r="O31" i="34"/>
  <c r="L31" i="34"/>
  <c r="O40" i="25"/>
  <c r="L40" i="25"/>
  <c r="I40" i="25"/>
  <c r="O39" i="47"/>
  <c r="I39" i="47"/>
  <c r="L39" i="47"/>
  <c r="O62" i="39"/>
  <c r="I62" i="39"/>
  <c r="L62" i="39"/>
  <c r="O42" i="24"/>
  <c r="I42" i="24"/>
  <c r="L42" i="24"/>
  <c r="O11" i="21"/>
  <c r="O48" i="21"/>
  <c r="BT8" i="21"/>
  <c r="P7" i="26"/>
  <c r="N70" i="26"/>
  <c r="P69" i="26" s="1"/>
  <c r="BT19" i="21" s="1"/>
  <c r="F10" i="8"/>
  <c r="AT48" i="21"/>
  <c r="BG48" i="21"/>
  <c r="BG11" i="21"/>
  <c r="R10" i="51"/>
  <c r="AH9" i="21" s="1"/>
  <c r="AH11" i="21" s="1"/>
  <c r="L64" i="87"/>
  <c r="O64" i="87"/>
  <c r="I64" i="87"/>
  <c r="CO48" i="21"/>
  <c r="CO11" i="21"/>
  <c r="L33" i="22"/>
  <c r="I33" i="22"/>
  <c r="O33" i="22"/>
  <c r="I33" i="49"/>
  <c r="L33" i="49"/>
  <c r="O33" i="49"/>
  <c r="L33" i="41"/>
  <c r="I33" i="41"/>
  <c r="O33" i="41"/>
  <c r="O33" i="47"/>
  <c r="L33" i="47"/>
  <c r="I33" i="47"/>
  <c r="L36" i="48"/>
  <c r="O36" i="48"/>
  <c r="I36" i="48"/>
  <c r="O62" i="72"/>
  <c r="L62" i="72"/>
  <c r="I62" i="72"/>
  <c r="X48" i="21"/>
  <c r="X11" i="21"/>
  <c r="J71" i="79"/>
  <c r="DG20" i="21" s="1"/>
  <c r="M71" i="73"/>
  <c r="DX20" i="21" s="1"/>
  <c r="I63" i="40"/>
  <c r="L63" i="40"/>
  <c r="O63" i="40"/>
  <c r="M71" i="82"/>
  <c r="EH20" i="21" s="1"/>
  <c r="I39" i="28"/>
  <c r="O39" i="28"/>
  <c r="L39" i="28"/>
  <c r="L41" i="34"/>
  <c r="I41" i="34"/>
  <c r="O41" i="34"/>
  <c r="G47" i="35"/>
  <c r="G47" i="39"/>
  <c r="G47" i="41"/>
  <c r="L32" i="96"/>
  <c r="M32" i="96" s="1"/>
  <c r="G48" i="49"/>
  <c r="G48" i="48"/>
  <c r="L36" i="33"/>
  <c r="O36" i="33"/>
  <c r="I36" i="33"/>
  <c r="L48" i="21"/>
  <c r="L11" i="21"/>
  <c r="L36" i="22"/>
  <c r="O36" i="22"/>
  <c r="L26" i="39"/>
  <c r="I26" i="39"/>
  <c r="O26" i="39"/>
  <c r="CH11" i="21"/>
  <c r="CH48" i="21"/>
  <c r="D10" i="10"/>
  <c r="D10" i="8"/>
  <c r="AY48" i="21"/>
  <c r="AY11" i="21"/>
  <c r="L64" i="24"/>
  <c r="I64" i="24"/>
  <c r="O64" i="24"/>
  <c r="O64" i="34"/>
  <c r="L64" i="34"/>
  <c r="I64" i="34"/>
  <c r="O25" i="44"/>
  <c r="L25" i="44"/>
  <c r="I25" i="44"/>
  <c r="I42" i="27"/>
  <c r="O42" i="27"/>
  <c r="L42" i="27"/>
  <c r="I42" i="49"/>
  <c r="L42" i="49"/>
  <c r="O42" i="49"/>
  <c r="I26" i="33"/>
  <c r="O26" i="33"/>
  <c r="L26" i="33"/>
  <c r="I37" i="44"/>
  <c r="O37" i="44"/>
  <c r="L37" i="44"/>
  <c r="U87" i="20"/>
  <c r="U83" i="20"/>
  <c r="U84" i="20"/>
  <c r="U89" i="20"/>
  <c r="U88" i="20"/>
  <c r="U85" i="20"/>
  <c r="O37" i="45"/>
  <c r="L37" i="45"/>
  <c r="I37" i="45"/>
  <c r="I62" i="90"/>
  <c r="L62" i="90"/>
  <c r="O62" i="90"/>
  <c r="I64" i="84"/>
  <c r="O64" i="84"/>
  <c r="L64" i="84"/>
  <c r="L37" i="35"/>
  <c r="O37" i="35"/>
  <c r="I37" i="35"/>
  <c r="L63" i="47"/>
  <c r="I63" i="47"/>
  <c r="O63" i="47"/>
  <c r="L41" i="39"/>
  <c r="O41" i="39"/>
  <c r="I41" i="39"/>
  <c r="O38" i="43"/>
  <c r="I38" i="43"/>
  <c r="L38" i="43"/>
  <c r="U11" i="21"/>
  <c r="U48" i="21"/>
  <c r="Y48" i="21"/>
  <c r="Y11" i="21"/>
  <c r="O62" i="89"/>
  <c r="I62" i="89"/>
  <c r="L62" i="89"/>
  <c r="L37" i="51"/>
  <c r="O37" i="51"/>
  <c r="I37" i="51"/>
  <c r="O64" i="42"/>
  <c r="L64" i="42"/>
  <c r="I64" i="42"/>
  <c r="O32" i="26"/>
  <c r="I32" i="26"/>
  <c r="L32" i="26"/>
  <c r="L32" i="38"/>
  <c r="I32" i="38"/>
  <c r="O32" i="38"/>
  <c r="O32" i="23"/>
  <c r="I32" i="23"/>
  <c r="L32" i="23"/>
  <c r="O32" i="36"/>
  <c r="I32" i="36"/>
  <c r="L32" i="36"/>
  <c r="I62" i="48"/>
  <c r="L62" i="48"/>
  <c r="O62" i="48"/>
  <c r="L40" i="40"/>
  <c r="O40" i="40"/>
  <c r="I40" i="40"/>
  <c r="CL48" i="21"/>
  <c r="CL11" i="21"/>
  <c r="I62" i="49"/>
  <c r="L62" i="49"/>
  <c r="O62" i="49"/>
  <c r="I62" i="32"/>
  <c r="L62" i="32"/>
  <c r="O62" i="32"/>
  <c r="BY48" i="21"/>
  <c r="BY11" i="21"/>
  <c r="I62" i="109"/>
  <c r="O62" i="109"/>
  <c r="L62" i="109"/>
  <c r="O36" i="31"/>
  <c r="I36" i="31"/>
  <c r="L36" i="31"/>
  <c r="I63" i="81"/>
  <c r="O63" i="81"/>
  <c r="L63" i="81"/>
  <c r="O64" i="73"/>
  <c r="I64" i="73"/>
  <c r="L64" i="73"/>
  <c r="O64" i="85"/>
  <c r="L64" i="85"/>
  <c r="I64" i="85"/>
  <c r="I31" i="22"/>
  <c r="L31" i="22"/>
  <c r="O31" i="22"/>
  <c r="I31" i="44"/>
  <c r="O31" i="44"/>
  <c r="L31" i="44"/>
  <c r="L31" i="32"/>
  <c r="O31" i="32"/>
  <c r="I31" i="32"/>
  <c r="O62" i="27"/>
  <c r="L62" i="27"/>
  <c r="I62" i="27"/>
  <c r="O63" i="39"/>
  <c r="L63" i="39"/>
  <c r="I63" i="39"/>
  <c r="I39" i="24"/>
  <c r="L39" i="24"/>
  <c r="O39" i="24"/>
  <c r="L62" i="46"/>
  <c r="I62" i="46"/>
  <c r="O62" i="46"/>
  <c r="H8" i="21"/>
  <c r="J7" i="26"/>
  <c r="H70" i="26"/>
  <c r="J69" i="26" s="1"/>
  <c r="H19" i="21" s="1"/>
  <c r="O63" i="87"/>
  <c r="I63" i="87"/>
  <c r="L63" i="87"/>
  <c r="W24" i="20"/>
  <c r="X24" i="20"/>
  <c r="O33" i="26"/>
  <c r="L33" i="26"/>
  <c r="I33" i="26"/>
  <c r="O33" i="29"/>
  <c r="I33" i="29"/>
  <c r="L33" i="29"/>
  <c r="L33" i="42"/>
  <c r="O33" i="42"/>
  <c r="I33" i="42"/>
  <c r="L33" i="23"/>
  <c r="I33" i="23"/>
  <c r="O33" i="23"/>
  <c r="I37" i="48"/>
  <c r="L37" i="48"/>
  <c r="O37" i="48"/>
  <c r="L64" i="72"/>
  <c r="I64" i="72"/>
  <c r="O64" i="72"/>
  <c r="I40" i="28"/>
  <c r="L40" i="28"/>
  <c r="O40" i="28"/>
  <c r="L42" i="34"/>
  <c r="I42" i="34"/>
  <c r="O42" i="34"/>
  <c r="P48" i="35"/>
  <c r="J48" i="35"/>
  <c r="M48" i="35"/>
  <c r="M51" i="47"/>
  <c r="J51" i="47"/>
  <c r="P51" i="47"/>
  <c r="G49" i="46"/>
  <c r="G49" i="47"/>
  <c r="G49" i="48"/>
  <c r="G49" i="49"/>
  <c r="I41" i="33"/>
  <c r="L41" i="33"/>
  <c r="O41" i="33"/>
  <c r="L36" i="38"/>
  <c r="O36" i="38"/>
  <c r="AP48" i="21"/>
  <c r="G10" i="10"/>
  <c r="AP11" i="21"/>
  <c r="G10" i="8"/>
  <c r="AJ48" i="21"/>
  <c r="AJ11" i="21"/>
  <c r="L39" i="36"/>
  <c r="I39" i="36"/>
  <c r="O39" i="36"/>
  <c r="I41" i="29"/>
  <c r="O41" i="29"/>
  <c r="L41" i="29"/>
  <c r="DQ20" i="21"/>
  <c r="I119" i="20"/>
  <c r="O25" i="27"/>
  <c r="I25" i="27"/>
  <c r="L25" i="27"/>
  <c r="I37" i="22"/>
  <c r="L37" i="22"/>
  <c r="O37" i="22"/>
  <c r="I64" i="91"/>
  <c r="O64" i="91"/>
  <c r="L64" i="91"/>
  <c r="I37" i="26"/>
  <c r="L37" i="26"/>
  <c r="O37" i="26"/>
  <c r="J71" i="76"/>
  <c r="DD20" i="21" s="1"/>
  <c r="I62" i="79"/>
  <c r="L62" i="79"/>
  <c r="O62" i="79"/>
  <c r="O40" i="50"/>
  <c r="I40" i="50"/>
  <c r="L40" i="50"/>
  <c r="L64" i="50"/>
  <c r="I64" i="50"/>
  <c r="O64" i="50"/>
  <c r="O26" i="46"/>
  <c r="L26" i="46"/>
  <c r="I26" i="46"/>
  <c r="H10" i="8"/>
  <c r="H10" i="10"/>
  <c r="AW48" i="21"/>
  <c r="AW11" i="21"/>
  <c r="R12" i="20"/>
  <c r="J23" i="36"/>
  <c r="I42" i="37"/>
  <c r="L42" i="37"/>
  <c r="O42" i="37"/>
  <c r="AV48" i="21"/>
  <c r="AV11" i="21"/>
  <c r="I62" i="22"/>
  <c r="O62" i="22"/>
  <c r="L62" i="22"/>
  <c r="I37" i="41"/>
  <c r="O37" i="41"/>
  <c r="L37" i="41"/>
  <c r="L62" i="33"/>
  <c r="O62" i="33"/>
  <c r="I62" i="33"/>
  <c r="I41" i="32"/>
  <c r="L41" i="32"/>
  <c r="O41" i="32"/>
  <c r="O63" i="24"/>
  <c r="L63" i="24"/>
  <c r="I63" i="24"/>
  <c r="L40" i="38"/>
  <c r="I40" i="38"/>
  <c r="O40" i="38"/>
  <c r="L63" i="34"/>
  <c r="I63" i="34"/>
  <c r="O63" i="34"/>
  <c r="M71" i="37"/>
  <c r="AY20" i="21" s="1"/>
  <c r="P26" i="20" s="1"/>
  <c r="L26" i="44"/>
  <c r="O26" i="44"/>
  <c r="I26" i="44"/>
  <c r="I41" i="27"/>
  <c r="O41" i="27"/>
  <c r="L41" i="27"/>
  <c r="O40" i="49"/>
  <c r="I40" i="49"/>
  <c r="L40" i="49"/>
  <c r="J71" i="87"/>
  <c r="DP20" i="21" s="1"/>
  <c r="O42" i="44"/>
  <c r="L42" i="44"/>
  <c r="I42" i="44"/>
  <c r="I36" i="46"/>
  <c r="L36" i="46"/>
  <c r="O36" i="46"/>
  <c r="CG48" i="21"/>
  <c r="CG11" i="21"/>
  <c r="I63" i="90"/>
  <c r="O63" i="90"/>
  <c r="L63" i="90"/>
  <c r="O63" i="84"/>
  <c r="L63" i="84"/>
  <c r="I63" i="84"/>
  <c r="L42" i="35"/>
  <c r="O42" i="35"/>
  <c r="I42" i="35"/>
  <c r="L64" i="47"/>
  <c r="I64" i="47"/>
  <c r="O64" i="47"/>
  <c r="I62" i="31"/>
  <c r="O62" i="31"/>
  <c r="L62" i="31"/>
  <c r="O40" i="43"/>
  <c r="I40" i="43"/>
  <c r="L40" i="43"/>
  <c r="AA48" i="21"/>
  <c r="AA11" i="21"/>
  <c r="I25" i="37"/>
  <c r="O25" i="37"/>
  <c r="L25" i="37"/>
  <c r="I40" i="51"/>
  <c r="O40" i="51"/>
  <c r="L40" i="51"/>
  <c r="O63" i="42"/>
  <c r="I63" i="42"/>
  <c r="L63" i="42"/>
  <c r="BC48" i="21"/>
  <c r="BC11" i="21"/>
  <c r="L32" i="43"/>
  <c r="O32" i="43"/>
  <c r="I32" i="43"/>
  <c r="O32" i="50"/>
  <c r="I32" i="50"/>
  <c r="L32" i="50"/>
  <c r="L32" i="41"/>
  <c r="O32" i="41"/>
  <c r="I32" i="41"/>
  <c r="I32" i="30"/>
  <c r="L32" i="30"/>
  <c r="O32" i="30"/>
  <c r="L63" i="48"/>
  <c r="O63" i="48"/>
  <c r="I63" i="48"/>
  <c r="L42" i="40"/>
  <c r="O42" i="40"/>
  <c r="I42" i="40"/>
  <c r="O63" i="49"/>
  <c r="I63" i="49"/>
  <c r="L63" i="49"/>
  <c r="I63" i="32"/>
  <c r="L63" i="32"/>
  <c r="O63" i="32"/>
  <c r="BE48" i="21"/>
  <c r="V12" i="20"/>
  <c r="BE11" i="21"/>
  <c r="I63" i="109"/>
  <c r="O63" i="109"/>
  <c r="L63" i="109"/>
  <c r="L37" i="31"/>
  <c r="I37" i="31"/>
  <c r="O37" i="31"/>
  <c r="O64" i="81"/>
  <c r="L64" i="81"/>
  <c r="I64" i="81"/>
  <c r="L63" i="73"/>
  <c r="I63" i="73"/>
  <c r="O63" i="73"/>
  <c r="I62" i="71"/>
  <c r="O62" i="71"/>
  <c r="L62" i="71"/>
  <c r="O36" i="30"/>
  <c r="I36" i="30"/>
  <c r="L36" i="30"/>
  <c r="O31" i="33"/>
  <c r="L31" i="33"/>
  <c r="I31" i="33"/>
  <c r="O31" i="25"/>
  <c r="I31" i="25"/>
  <c r="L31" i="25"/>
  <c r="I31" i="42"/>
  <c r="L31" i="42"/>
  <c r="O31" i="42"/>
  <c r="I36" i="25"/>
  <c r="O36" i="25"/>
  <c r="L36" i="25"/>
  <c r="L63" i="27"/>
  <c r="I63" i="27"/>
  <c r="O63" i="27"/>
  <c r="I36" i="47"/>
  <c r="L36" i="47"/>
  <c r="O36" i="47"/>
  <c r="J71" i="35"/>
  <c r="Q20" i="21" s="1"/>
  <c r="L64" i="39"/>
  <c r="I64" i="39"/>
  <c r="O64" i="39"/>
  <c r="O41" i="24"/>
  <c r="I41" i="24"/>
  <c r="L41" i="24"/>
  <c r="O63" i="46"/>
  <c r="I63" i="46"/>
  <c r="L63" i="46"/>
  <c r="M7" i="26"/>
  <c r="AN8" i="21"/>
  <c r="K70" i="26"/>
  <c r="M69" i="26" s="1"/>
  <c r="AN19" i="21" s="1"/>
  <c r="O62" i="43"/>
  <c r="L62" i="43"/>
  <c r="I62" i="43"/>
  <c r="I62" i="76"/>
  <c r="O62" i="76"/>
  <c r="L62" i="76"/>
  <c r="O33" i="28"/>
  <c r="I33" i="28"/>
  <c r="L33" i="28"/>
  <c r="L33" i="33"/>
  <c r="I33" i="33"/>
  <c r="O33" i="33"/>
  <c r="L33" i="45"/>
  <c r="I33" i="45"/>
  <c r="O33" i="45"/>
  <c r="L33" i="48"/>
  <c r="I33" i="48"/>
  <c r="O33" i="48"/>
  <c r="I41" i="48"/>
  <c r="O41" i="48"/>
  <c r="L41" i="48"/>
  <c r="O63" i="72"/>
  <c r="L63" i="72"/>
  <c r="I63" i="72"/>
  <c r="M71" i="75"/>
  <c r="DZ20" i="21" s="1"/>
  <c r="L26" i="25"/>
  <c r="I26" i="25"/>
  <c r="O26" i="25"/>
  <c r="P71" i="48"/>
  <c r="CP20" i="21" s="1"/>
  <c r="BQ48" i="21"/>
  <c r="BQ11" i="21"/>
  <c r="L42" i="28"/>
  <c r="I42" i="28"/>
  <c r="O42" i="28"/>
  <c r="O39" i="34"/>
  <c r="L39" i="34"/>
  <c r="I39" i="34"/>
  <c r="G49" i="31"/>
  <c r="G49" i="27"/>
  <c r="G50" i="39"/>
  <c r="G49" i="33"/>
  <c r="G50" i="45"/>
  <c r="G51" i="46"/>
  <c r="G49" i="42"/>
  <c r="G51" i="48"/>
  <c r="G52" i="49"/>
  <c r="G49" i="29"/>
  <c r="G53" i="47"/>
  <c r="G51" i="41"/>
  <c r="G49" i="37"/>
  <c r="G49" i="36"/>
  <c r="G49" i="43"/>
  <c r="G50" i="35"/>
  <c r="G49" i="24"/>
  <c r="G49" i="22"/>
  <c r="G49" i="23"/>
  <c r="G49" i="34"/>
  <c r="G49" i="28"/>
  <c r="G49" i="40"/>
  <c r="G49" i="38"/>
  <c r="G49" i="30"/>
  <c r="G49" i="26"/>
  <c r="G49" i="25"/>
  <c r="G49" i="44"/>
  <c r="G50" i="32"/>
  <c r="L69" i="96"/>
  <c r="M69" i="96" s="1"/>
  <c r="G47" i="51"/>
  <c r="G47" i="22"/>
  <c r="G47" i="46"/>
  <c r="G48" i="32"/>
  <c r="G47" i="44"/>
  <c r="G47" i="23"/>
  <c r="G47" i="24"/>
  <c r="G47" i="29"/>
  <c r="G47" i="30"/>
  <c r="G47" i="25"/>
  <c r="G47" i="28"/>
  <c r="G47" i="43"/>
  <c r="G47" i="38"/>
  <c r="G48" i="41"/>
  <c r="G47" i="50"/>
  <c r="G47" i="36"/>
  <c r="G47" i="26"/>
  <c r="G47" i="33"/>
  <c r="G47" i="40"/>
  <c r="G47" i="27"/>
  <c r="G47" i="42"/>
  <c r="G47" i="37"/>
  <c r="G47" i="31"/>
  <c r="G47" i="34"/>
  <c r="G47" i="47"/>
  <c r="G47" i="49"/>
  <c r="G47" i="48"/>
  <c r="O39" i="33"/>
  <c r="L39" i="33"/>
  <c r="I39" i="33"/>
  <c r="L64" i="33"/>
  <c r="O64" i="33"/>
  <c r="I64" i="33"/>
  <c r="CK48" i="21"/>
  <c r="CK11" i="21"/>
  <c r="L41" i="38"/>
  <c r="O41" i="38"/>
  <c r="I41" i="38"/>
  <c r="I62" i="25"/>
  <c r="L62" i="25"/>
  <c r="O62" i="25"/>
  <c r="L25" i="40"/>
  <c r="I25" i="40"/>
  <c r="O25" i="40"/>
  <c r="L26" i="45"/>
  <c r="O26" i="45"/>
  <c r="I26" i="45"/>
  <c r="I38" i="49"/>
  <c r="O38" i="49"/>
  <c r="L38" i="49"/>
  <c r="EP20" i="21"/>
  <c r="O38" i="44"/>
  <c r="I38" i="44"/>
  <c r="L38" i="44"/>
  <c r="I40" i="46"/>
  <c r="L40" i="46"/>
  <c r="O40" i="46"/>
  <c r="L36" i="45"/>
  <c r="O36" i="45"/>
  <c r="I36" i="45"/>
  <c r="I62" i="80"/>
  <c r="L62" i="80"/>
  <c r="O62" i="80"/>
  <c r="I40" i="35"/>
  <c r="O40" i="35"/>
  <c r="L40" i="35"/>
  <c r="I36" i="39"/>
  <c r="O36" i="39"/>
  <c r="L36" i="39"/>
  <c r="L64" i="31"/>
  <c r="I64" i="31"/>
  <c r="O64" i="31"/>
  <c r="O42" i="43"/>
  <c r="L42" i="43"/>
  <c r="I42" i="43"/>
  <c r="O62" i="30"/>
  <c r="L62" i="30"/>
  <c r="I62" i="30"/>
  <c r="I26" i="37"/>
  <c r="O26" i="37"/>
  <c r="L26" i="37"/>
  <c r="L38" i="51"/>
  <c r="O38" i="51"/>
  <c r="I38" i="51"/>
  <c r="I32" i="25"/>
  <c r="L32" i="25"/>
  <c r="O32" i="25"/>
  <c r="O32" i="28"/>
  <c r="L32" i="28"/>
  <c r="I32" i="28"/>
  <c r="L32" i="32"/>
  <c r="I32" i="32"/>
  <c r="O32" i="32"/>
  <c r="L32" i="48"/>
  <c r="O32" i="48"/>
  <c r="I32" i="48"/>
  <c r="L64" i="48"/>
  <c r="O64" i="48"/>
  <c r="I64" i="48"/>
  <c r="O64" i="49"/>
  <c r="L64" i="49"/>
  <c r="I64" i="49"/>
  <c r="L64" i="32"/>
  <c r="I64" i="32"/>
  <c r="O64" i="32"/>
  <c r="L64" i="109"/>
  <c r="I64" i="109"/>
  <c r="O64" i="109"/>
  <c r="I41" i="31"/>
  <c r="O41" i="31"/>
  <c r="L41" i="31"/>
  <c r="O63" i="71"/>
  <c r="I63" i="71"/>
  <c r="L63" i="71"/>
  <c r="O40" i="30"/>
  <c r="L40" i="30"/>
  <c r="I40" i="30"/>
  <c r="I31" i="40"/>
  <c r="L31" i="40"/>
  <c r="O31" i="40"/>
  <c r="L31" i="48"/>
  <c r="I31" i="48"/>
  <c r="O31" i="48"/>
  <c r="I31" i="28"/>
  <c r="L31" i="28"/>
  <c r="O31" i="28"/>
  <c r="I31" i="50"/>
  <c r="L31" i="50"/>
  <c r="O31" i="50"/>
  <c r="O37" i="25"/>
  <c r="I37" i="25"/>
  <c r="L37" i="25"/>
  <c r="L64" i="27"/>
  <c r="I64" i="27"/>
  <c r="O64" i="27"/>
  <c r="L40" i="47"/>
  <c r="I40" i="47"/>
  <c r="O40" i="47"/>
  <c r="Z48" i="21"/>
  <c r="Z11" i="21"/>
  <c r="O25" i="47"/>
  <c r="I25" i="47"/>
  <c r="L25" i="47"/>
  <c r="I37" i="24"/>
  <c r="L37" i="24"/>
  <c r="O37" i="24"/>
  <c r="W48" i="21"/>
  <c r="W11" i="21"/>
  <c r="O64" i="46"/>
  <c r="I64" i="46"/>
  <c r="L64" i="46"/>
  <c r="E48" i="21"/>
  <c r="Q86" i="20"/>
  <c r="Q118" i="20"/>
  <c r="O63" i="43"/>
  <c r="I63" i="43"/>
  <c r="L63" i="43"/>
  <c r="O64" i="76"/>
  <c r="L64" i="76"/>
  <c r="I64" i="76"/>
  <c r="O33" i="37"/>
  <c r="L33" i="37"/>
  <c r="I33" i="37"/>
  <c r="I33" i="34"/>
  <c r="L33" i="34"/>
  <c r="O33" i="34"/>
  <c r="O33" i="25"/>
  <c r="I33" i="25"/>
  <c r="L33" i="25"/>
  <c r="I33" i="24"/>
  <c r="L33" i="24"/>
  <c r="O33" i="24"/>
  <c r="L38" i="48"/>
  <c r="O38" i="48"/>
  <c r="I38" i="48"/>
  <c r="O25" i="25"/>
  <c r="I25" i="25"/>
  <c r="L25" i="25"/>
  <c r="G48" i="21"/>
  <c r="G11" i="21"/>
  <c r="J71" i="48"/>
  <c r="AD20" i="21" s="1"/>
  <c r="P71" i="81"/>
  <c r="FD20" i="21" s="1"/>
  <c r="O37" i="34"/>
  <c r="L37" i="34"/>
  <c r="I37" i="34"/>
  <c r="P48" i="45"/>
  <c r="J48" i="45"/>
  <c r="M48" i="45"/>
  <c r="G48" i="34"/>
  <c r="G49" i="41"/>
  <c r="G48" i="47"/>
  <c r="G48" i="46"/>
  <c r="L42" i="33"/>
  <c r="O42" i="33"/>
  <c r="I42" i="33"/>
  <c r="L37" i="29"/>
  <c r="I37" i="29"/>
  <c r="O37" i="29"/>
  <c r="O38" i="22"/>
  <c r="L38" i="22"/>
  <c r="I38" i="22"/>
  <c r="O25" i="48"/>
  <c r="I25" i="48"/>
  <c r="L25" i="48"/>
  <c r="I40" i="37"/>
  <c r="O40" i="37"/>
  <c r="L40" i="37"/>
  <c r="O37" i="36"/>
  <c r="I37" i="36"/>
  <c r="L37" i="36"/>
  <c r="CJ48" i="21"/>
  <c r="CJ11" i="21"/>
  <c r="I26" i="50"/>
  <c r="L26" i="50"/>
  <c r="O26" i="50"/>
  <c r="L39" i="37"/>
  <c r="I39" i="37"/>
  <c r="O39" i="37"/>
  <c r="I64" i="22"/>
  <c r="L64" i="22"/>
  <c r="O64" i="22"/>
  <c r="I63" i="33"/>
  <c r="L63" i="33"/>
  <c r="O63" i="33"/>
  <c r="O25" i="41"/>
  <c r="I25" i="41"/>
  <c r="L25" i="41"/>
  <c r="O38" i="38"/>
  <c r="I38" i="38"/>
  <c r="L38" i="38"/>
  <c r="L63" i="25"/>
  <c r="I63" i="25"/>
  <c r="O63" i="25"/>
  <c r="O26" i="40"/>
  <c r="I26" i="40"/>
  <c r="L26" i="40"/>
  <c r="I36" i="27"/>
  <c r="L36" i="27"/>
  <c r="O36" i="27"/>
  <c r="L25" i="45"/>
  <c r="I25" i="45"/>
  <c r="O25" i="45"/>
  <c r="L37" i="49"/>
  <c r="I37" i="49"/>
  <c r="O37" i="49"/>
  <c r="E11" i="10"/>
  <c r="E11" i="8"/>
  <c r="J13" i="20"/>
  <c r="I41" i="44"/>
  <c r="O41" i="44"/>
  <c r="L41" i="44"/>
  <c r="L41" i="46"/>
  <c r="I41" i="46"/>
  <c r="O41" i="46"/>
  <c r="L39" i="45"/>
  <c r="O39" i="45"/>
  <c r="I39" i="45"/>
  <c r="AB48" i="21"/>
  <c r="AB11" i="21"/>
  <c r="I63" i="80"/>
  <c r="L63" i="80"/>
  <c r="O63" i="80"/>
  <c r="I41" i="35"/>
  <c r="L41" i="35"/>
  <c r="O41" i="35"/>
  <c r="O39" i="39"/>
  <c r="I39" i="39"/>
  <c r="L39" i="39"/>
  <c r="O63" i="31"/>
  <c r="L63" i="31"/>
  <c r="I63" i="31"/>
  <c r="O63" i="30"/>
  <c r="I63" i="30"/>
  <c r="L63" i="30"/>
  <c r="L25" i="49"/>
  <c r="O25" i="49"/>
  <c r="I25" i="49"/>
  <c r="N48" i="21"/>
  <c r="J71" i="71"/>
  <c r="CY20" i="21" s="1"/>
  <c r="CN48" i="21"/>
  <c r="CN11" i="21"/>
  <c r="O62" i="26"/>
  <c r="L62" i="26"/>
  <c r="I62" i="26"/>
  <c r="L41" i="51"/>
  <c r="O41" i="51"/>
  <c r="I41" i="51"/>
  <c r="L62" i="51"/>
  <c r="I62" i="51"/>
  <c r="O62" i="51"/>
  <c r="O25" i="51"/>
  <c r="I25" i="51"/>
  <c r="L25" i="51"/>
  <c r="O32" i="35"/>
  <c r="I32" i="35"/>
  <c r="L32" i="35"/>
  <c r="I32" i="31"/>
  <c r="L32" i="31"/>
  <c r="O32" i="31"/>
  <c r="I32" i="51"/>
  <c r="O32" i="51"/>
  <c r="L32" i="51"/>
  <c r="O32" i="29"/>
  <c r="I32" i="29"/>
  <c r="L32" i="29"/>
  <c r="I36" i="40"/>
  <c r="O36" i="40"/>
  <c r="L36" i="40"/>
  <c r="CM48" i="21"/>
  <c r="CM11" i="21"/>
  <c r="U120" i="20"/>
  <c r="U67" i="20"/>
  <c r="V67" i="20" s="1"/>
  <c r="AO48" i="21"/>
  <c r="AO11" i="21"/>
  <c r="I42" i="31"/>
  <c r="L42" i="31"/>
  <c r="O42" i="31"/>
  <c r="I64" i="71"/>
  <c r="L64" i="71"/>
  <c r="O64" i="71"/>
  <c r="I42" i="30"/>
  <c r="L42" i="30"/>
  <c r="O42" i="30"/>
  <c r="O31" i="46"/>
  <c r="L31" i="46"/>
  <c r="I31" i="46"/>
  <c r="I31" i="47"/>
  <c r="O31" i="47"/>
  <c r="L31" i="47"/>
  <c r="O31" i="30"/>
  <c r="L31" i="30"/>
  <c r="I31" i="30"/>
  <c r="O31" i="43"/>
  <c r="L31" i="43"/>
  <c r="I31" i="43"/>
  <c r="I41" i="25"/>
  <c r="O41" i="25"/>
  <c r="L41" i="25"/>
  <c r="J71" i="46"/>
  <c r="AB20" i="21" s="1"/>
  <c r="L41" i="47"/>
  <c r="I41" i="47"/>
  <c r="O41" i="47"/>
  <c r="P71" i="25"/>
  <c r="BS20" i="21" s="1"/>
  <c r="M71" i="35"/>
  <c r="AW20" i="21" s="1"/>
  <c r="R26" i="20" s="1"/>
  <c r="O26" i="47"/>
  <c r="I26" i="47"/>
  <c r="L26" i="47"/>
  <c r="L38" i="24"/>
  <c r="O38" i="24"/>
  <c r="I38" i="24"/>
  <c r="L62" i="28"/>
  <c r="O62" i="28"/>
  <c r="I62" i="28"/>
  <c r="L64" i="43"/>
  <c r="O64" i="43"/>
  <c r="I64" i="43"/>
  <c r="L63" i="76"/>
  <c r="I63" i="76"/>
  <c r="O63" i="76"/>
  <c r="I33" i="35"/>
  <c r="L33" i="35"/>
  <c r="O33" i="35"/>
  <c r="L33" i="30"/>
  <c r="O33" i="30"/>
  <c r="I33" i="30"/>
  <c r="L33" i="40"/>
  <c r="I33" i="40"/>
  <c r="O33" i="40"/>
  <c r="L33" i="46"/>
  <c r="O33" i="46"/>
  <c r="I33" i="46"/>
  <c r="L42" i="48"/>
  <c r="I42" i="48"/>
  <c r="O42" i="48"/>
  <c r="O25" i="38"/>
  <c r="L25" i="38"/>
  <c r="I25" i="38"/>
  <c r="J71" i="41"/>
  <c r="W20" i="21" s="1"/>
  <c r="P71" i="49"/>
  <c r="CQ20" i="21" s="1"/>
  <c r="M71" i="81"/>
  <c r="EG20" i="21" s="1"/>
  <c r="O36" i="28"/>
  <c r="I36" i="28"/>
  <c r="L36" i="28"/>
  <c r="L36" i="96"/>
  <c r="M36" i="96" s="1"/>
  <c r="G47" i="32"/>
  <c r="L37" i="96"/>
  <c r="M37" i="96" s="1"/>
  <c r="G46" i="43"/>
  <c r="G46" i="47"/>
  <c r="G46" i="29"/>
  <c r="G46" i="23"/>
  <c r="G46" i="39"/>
  <c r="G46" i="37"/>
  <c r="G46" i="28"/>
  <c r="L67" i="96"/>
  <c r="M67" i="96" s="1"/>
  <c r="G46" i="35"/>
  <c r="G46" i="24"/>
  <c r="G46" i="26"/>
  <c r="G46" i="46"/>
  <c r="G46" i="51"/>
  <c r="G46" i="33"/>
  <c r="G46" i="34"/>
  <c r="G46" i="25"/>
  <c r="G46" i="49"/>
  <c r="G46" i="48"/>
  <c r="G46" i="31"/>
  <c r="L68" i="96"/>
  <c r="M68" i="96" s="1"/>
  <c r="G46" i="36"/>
  <c r="L35" i="96"/>
  <c r="M35" i="96" s="1"/>
  <c r="G46" i="50"/>
  <c r="L66" i="96"/>
  <c r="M66" i="96" s="1"/>
  <c r="G46" i="40"/>
  <c r="G46" i="38"/>
  <c r="G46" i="30"/>
  <c r="G46" i="42"/>
  <c r="G46" i="27"/>
  <c r="G46" i="41"/>
  <c r="G46" i="44"/>
  <c r="G46" i="45"/>
  <c r="M48" i="39"/>
  <c r="P48" i="39"/>
  <c r="J48" i="39"/>
  <c r="G48" i="27"/>
  <c r="G49" i="32"/>
  <c r="G48" i="24"/>
  <c r="G48" i="26"/>
  <c r="G48" i="25"/>
  <c r="G48" i="33"/>
  <c r="G48" i="42"/>
  <c r="G48" i="38"/>
  <c r="G50" i="46"/>
  <c r="G48" i="40"/>
  <c r="G49" i="45"/>
  <c r="G52" i="47"/>
  <c r="G48" i="22"/>
  <c r="G52" i="41"/>
  <c r="G48" i="29"/>
  <c r="G48" i="23"/>
  <c r="G48" i="43"/>
  <c r="G48" i="31"/>
  <c r="G48" i="28"/>
  <c r="G48" i="36"/>
  <c r="G49" i="35"/>
  <c r="G51" i="49"/>
  <c r="G48" i="37"/>
  <c r="G50" i="48"/>
  <c r="G49" i="39"/>
  <c r="G48" i="44"/>
  <c r="G48" i="30"/>
  <c r="G52" i="46"/>
  <c r="G53" i="49"/>
  <c r="G54" i="47"/>
  <c r="G52" i="48"/>
  <c r="L40" i="33"/>
  <c r="O40" i="33"/>
  <c r="I40" i="33"/>
  <c r="I40" i="29"/>
  <c r="L40" i="29"/>
  <c r="O40" i="29"/>
  <c r="CE48" i="21"/>
  <c r="CE11" i="21"/>
  <c r="O36" i="37"/>
  <c r="L36" i="37"/>
  <c r="L42" i="32"/>
  <c r="O42" i="32"/>
  <c r="I42" i="32"/>
  <c r="I26" i="27"/>
  <c r="L26" i="27"/>
  <c r="O26" i="27"/>
  <c r="Q48" i="21"/>
  <c r="Q11" i="21"/>
  <c r="M34" i="23"/>
  <c r="AK14" i="21" s="1"/>
  <c r="O62" i="83"/>
  <c r="I62" i="83"/>
  <c r="L62" i="83"/>
  <c r="L41" i="22"/>
  <c r="I41" i="22"/>
  <c r="O41" i="22"/>
  <c r="L26" i="48"/>
  <c r="O26" i="48"/>
  <c r="I26" i="48"/>
  <c r="I39" i="50"/>
  <c r="L39" i="50"/>
  <c r="O39" i="50"/>
  <c r="CC48" i="21"/>
  <c r="CC11" i="21"/>
  <c r="P71" i="80"/>
  <c r="FC20" i="21" s="1"/>
  <c r="T8" i="21"/>
  <c r="J7" i="38"/>
  <c r="H70" i="38"/>
  <c r="J69" i="38" s="1"/>
  <c r="T19" i="21" s="1"/>
  <c r="R10" i="36"/>
  <c r="R9" i="21" s="1"/>
  <c r="R11" i="21" s="1"/>
  <c r="I41" i="36"/>
  <c r="O41" i="36"/>
  <c r="L41" i="36"/>
  <c r="I64" i="83"/>
  <c r="O64" i="83"/>
  <c r="L64" i="83"/>
  <c r="O25" i="23"/>
  <c r="I25" i="23"/>
  <c r="L25" i="23"/>
  <c r="I42" i="22"/>
  <c r="L42" i="22"/>
  <c r="O42" i="22"/>
  <c r="O64" i="35"/>
  <c r="L64" i="35"/>
  <c r="I64" i="35"/>
  <c r="J71" i="43"/>
  <c r="Y20" i="21" s="1"/>
  <c r="BR48" i="21"/>
  <c r="BR11" i="21"/>
  <c r="O38" i="26"/>
  <c r="I38" i="26"/>
  <c r="L38" i="26"/>
  <c r="J71" i="83"/>
  <c r="DL20" i="21" s="1"/>
  <c r="M71" i="22"/>
  <c r="AJ20" i="21" s="1"/>
  <c r="L25" i="22"/>
  <c r="I25" i="22"/>
  <c r="O25" i="22"/>
  <c r="P71" i="36"/>
  <c r="CD20" i="21" s="1"/>
  <c r="O38" i="37"/>
  <c r="I38" i="37"/>
  <c r="L38" i="37"/>
  <c r="O36" i="41"/>
  <c r="L36" i="41"/>
  <c r="I36" i="41"/>
  <c r="P71" i="90"/>
  <c r="J71" i="77"/>
  <c r="DE20" i="21" s="1"/>
  <c r="M71" i="47"/>
  <c r="BI20" i="21" s="1"/>
  <c r="I26" i="41"/>
  <c r="O26" i="41"/>
  <c r="L26" i="41"/>
  <c r="M71" i="78"/>
  <c r="EC20" i="21" s="1"/>
  <c r="AV28" i="21"/>
  <c r="BI28" i="21"/>
  <c r="CO28" i="21"/>
  <c r="U28" i="21"/>
  <c r="AC28" i="21"/>
  <c r="D28" i="21"/>
  <c r="AR28" i="21"/>
  <c r="CC28" i="21"/>
  <c r="BS28" i="21"/>
  <c r="L28" i="21"/>
  <c r="F28" i="21"/>
  <c r="W28" i="21"/>
  <c r="J28" i="21"/>
  <c r="BF28" i="21"/>
  <c r="BZ28" i="21"/>
  <c r="X28" i="21"/>
  <c r="BB28" i="21"/>
  <c r="CJ28" i="21"/>
  <c r="CA28" i="21"/>
  <c r="BG28" i="21"/>
  <c r="CP28" i="21"/>
  <c r="CM28" i="21"/>
  <c r="CI28" i="21"/>
  <c r="K28" i="21"/>
  <c r="AB28" i="21"/>
  <c r="BM28" i="21"/>
  <c r="BC28" i="21"/>
  <c r="P28" i="21"/>
  <c r="N28" i="21"/>
  <c r="AN28" i="21"/>
  <c r="CF28" i="21"/>
  <c r="Q28" i="21"/>
  <c r="BE28" i="21"/>
  <c r="CH28" i="21"/>
  <c r="S28" i="21"/>
  <c r="AY28" i="21"/>
  <c r="I28" i="21"/>
  <c r="E28" i="21"/>
  <c r="AJ28" i="21"/>
  <c r="BP28" i="21"/>
  <c r="T28" i="21"/>
  <c r="AK28" i="21"/>
  <c r="BA28" i="21"/>
  <c r="BR28" i="21"/>
  <c r="AX28" i="21"/>
  <c r="AW28" i="21"/>
  <c r="AZ28" i="21"/>
  <c r="AT28" i="21"/>
  <c r="CL28" i="21"/>
  <c r="AE28" i="21"/>
  <c r="BY28" i="21"/>
  <c r="AU28" i="21"/>
  <c r="CB28" i="21"/>
  <c r="AQ28" i="21"/>
  <c r="BH28" i="21"/>
  <c r="CE28" i="21"/>
  <c r="AM28" i="21"/>
  <c r="CK28" i="21"/>
  <c r="AS28" i="21"/>
  <c r="AA28" i="21"/>
  <c r="H28" i="21"/>
  <c r="BJ28" i="21"/>
  <c r="AO28" i="21"/>
  <c r="V28" i="21"/>
  <c r="M28" i="21"/>
  <c r="AP28" i="21"/>
  <c r="CS28" i="21"/>
  <c r="AD28" i="21"/>
  <c r="BW28" i="21"/>
  <c r="Y28" i="21"/>
  <c r="AF28" i="21"/>
  <c r="BT28" i="21"/>
  <c r="BX28" i="21"/>
  <c r="R28" i="21"/>
  <c r="CD28" i="21"/>
  <c r="BK28" i="21"/>
  <c r="CR28" i="21"/>
  <c r="AL28" i="21"/>
  <c r="BV28" i="21"/>
  <c r="CN28" i="21"/>
  <c r="AG28" i="21"/>
  <c r="Z28" i="21"/>
  <c r="CG28" i="21"/>
  <c r="BD28" i="21"/>
  <c r="BU28" i="21"/>
  <c r="O28" i="21"/>
  <c r="BL28" i="21"/>
  <c r="G28" i="21"/>
  <c r="BQ28" i="21"/>
  <c r="CQ28" i="21"/>
  <c r="I62" i="77"/>
  <c r="L62" i="77"/>
  <c r="O62" i="77"/>
  <c r="P60" i="77" s="1"/>
  <c r="I37" i="38"/>
  <c r="L37" i="38"/>
  <c r="O37" i="38"/>
  <c r="O64" i="25"/>
  <c r="I64" i="25"/>
  <c r="L64" i="25"/>
  <c r="L37" i="27"/>
  <c r="O37" i="27"/>
  <c r="I37" i="27"/>
  <c r="I41" i="49"/>
  <c r="L41" i="49"/>
  <c r="O41" i="49"/>
  <c r="L62" i="37"/>
  <c r="I62" i="37"/>
  <c r="J60" i="37" s="1"/>
  <c r="S16" i="21" s="1"/>
  <c r="O62" i="37"/>
  <c r="I40" i="44"/>
  <c r="O40" i="44"/>
  <c r="L40" i="44"/>
  <c r="L39" i="46"/>
  <c r="I39" i="46"/>
  <c r="O39" i="46"/>
  <c r="V48" i="21"/>
  <c r="V11" i="21"/>
  <c r="L40" i="45"/>
  <c r="I40" i="45"/>
  <c r="O40" i="45"/>
  <c r="M71" i="30"/>
  <c r="AR20" i="21" s="1"/>
  <c r="L64" i="80"/>
  <c r="I64" i="80"/>
  <c r="O64" i="80"/>
  <c r="I38" i="35"/>
  <c r="L38" i="35"/>
  <c r="O38" i="35"/>
  <c r="L40" i="39"/>
  <c r="O40" i="39"/>
  <c r="I40" i="39"/>
  <c r="I36" i="43"/>
  <c r="L36" i="43"/>
  <c r="O36" i="43"/>
  <c r="M71" i="74"/>
  <c r="DY20" i="21" s="1"/>
  <c r="I64" i="30"/>
  <c r="O64" i="30"/>
  <c r="L64" i="30"/>
  <c r="O26" i="49"/>
  <c r="L26" i="49"/>
  <c r="I26" i="49"/>
  <c r="P7" i="22"/>
  <c r="J71" i="33"/>
  <c r="O20" i="21" s="1"/>
  <c r="P71" i="71"/>
  <c r="ES20" i="21" s="1"/>
  <c r="L64" i="26"/>
  <c r="I64" i="26"/>
  <c r="O64" i="26"/>
  <c r="I39" i="51"/>
  <c r="O39" i="51"/>
  <c r="L39" i="51"/>
  <c r="L63" i="51"/>
  <c r="O63" i="51"/>
  <c r="I63" i="51"/>
  <c r="M71" i="109"/>
  <c r="EE20" i="21" s="1"/>
  <c r="J71" i="27"/>
  <c r="I20" i="21" s="1"/>
  <c r="I26" i="51"/>
  <c r="O26" i="51"/>
  <c r="L26" i="51"/>
  <c r="J71" i="91"/>
  <c r="CP48" i="21"/>
  <c r="CP11" i="21"/>
  <c r="L32" i="49"/>
  <c r="O32" i="49"/>
  <c r="I32" i="49"/>
  <c r="L32" i="22"/>
  <c r="I32" i="22"/>
  <c r="O32" i="22"/>
  <c r="O32" i="37"/>
  <c r="L32" i="37"/>
  <c r="I32" i="37"/>
  <c r="L32" i="34"/>
  <c r="O32" i="34"/>
  <c r="I32" i="34"/>
  <c r="I37" i="40"/>
  <c r="L37" i="40"/>
  <c r="O37" i="40"/>
  <c r="O38" i="31"/>
  <c r="I38" i="31"/>
  <c r="L38" i="31"/>
  <c r="O41" i="30"/>
  <c r="I41" i="30"/>
  <c r="L41" i="30"/>
  <c r="O31" i="37"/>
  <c r="I31" i="37"/>
  <c r="L31" i="37"/>
  <c r="L31" i="49"/>
  <c r="I31" i="49"/>
  <c r="O31" i="49"/>
  <c r="I31" i="23"/>
  <c r="L31" i="23"/>
  <c r="O31" i="23"/>
  <c r="O31" i="36"/>
  <c r="L31" i="36"/>
  <c r="I31" i="36"/>
  <c r="I39" i="25"/>
  <c r="L39" i="25"/>
  <c r="O39" i="25"/>
  <c r="P71" i="46"/>
  <c r="CN20" i="21" s="1"/>
  <c r="L42" i="47"/>
  <c r="I42" i="47"/>
  <c r="O42" i="47"/>
  <c r="J71" i="25"/>
  <c r="G20" i="21" s="1"/>
  <c r="I25" i="28"/>
  <c r="O25" i="28"/>
  <c r="P23" i="28" s="1"/>
  <c r="L25" i="28"/>
  <c r="L40" i="24"/>
  <c r="O40" i="24"/>
  <c r="I40" i="24"/>
  <c r="I63" i="28"/>
  <c r="O63" i="28"/>
  <c r="L63" i="28"/>
  <c r="O33" i="31"/>
  <c r="I33" i="31"/>
  <c r="L33" i="31"/>
  <c r="L33" i="51"/>
  <c r="I33" i="51"/>
  <c r="O33" i="51"/>
  <c r="L33" i="36"/>
  <c r="I33" i="36"/>
  <c r="O33" i="36"/>
  <c r="O62" i="82"/>
  <c r="L62" i="82"/>
  <c r="M60" i="82" s="1"/>
  <c r="I62" i="82"/>
  <c r="L40" i="48"/>
  <c r="I40" i="48"/>
  <c r="O40" i="48"/>
  <c r="I62" i="45"/>
  <c r="L62" i="45"/>
  <c r="O62" i="45"/>
  <c r="M71" i="86"/>
  <c r="EK20" i="21" s="1"/>
  <c r="L26" i="38"/>
  <c r="I26" i="38"/>
  <c r="O26" i="38"/>
  <c r="P71" i="41"/>
  <c r="CI20" i="21" s="1"/>
  <c r="K48" i="21"/>
  <c r="K11" i="21"/>
  <c r="M71" i="49"/>
  <c r="BK20" i="21" s="1"/>
  <c r="O38" i="28"/>
  <c r="L38" i="28"/>
  <c r="I38" i="28"/>
  <c r="G51" i="33"/>
  <c r="G51" i="27"/>
  <c r="G51" i="22"/>
  <c r="G51" i="44"/>
  <c r="G51" i="36"/>
  <c r="G51" i="34"/>
  <c r="G51" i="28"/>
  <c r="G51" i="25"/>
  <c r="G51" i="26"/>
  <c r="G51" i="37"/>
  <c r="G51" i="24"/>
  <c r="G51" i="38"/>
  <c r="G51" i="29"/>
  <c r="G51" i="42"/>
  <c r="G52" i="39"/>
  <c r="G51" i="43"/>
  <c r="G51" i="31"/>
  <c r="G51" i="40"/>
  <c r="G51" i="23"/>
  <c r="G51" i="30"/>
  <c r="G54" i="41"/>
  <c r="L31" i="96"/>
  <c r="M31" i="96" s="1"/>
  <c r="G46" i="32"/>
  <c r="G50" i="49"/>
  <c r="G50" i="47"/>
  <c r="L37" i="33"/>
  <c r="O37" i="33"/>
  <c r="I37" i="33"/>
  <c r="EO16" i="21" l="1"/>
  <c r="EO60" i="21" s="1"/>
  <c r="FL16" i="21"/>
  <c r="FL60" i="21" s="1"/>
  <c r="DR16" i="21"/>
  <c r="DR60" i="21" s="1"/>
  <c r="FM16" i="21"/>
  <c r="FM60" i="21" s="1"/>
  <c r="EP16" i="21"/>
  <c r="EP60" i="21" s="1"/>
  <c r="DS16" i="21"/>
  <c r="DS60" i="21" s="1"/>
  <c r="P23" i="25"/>
  <c r="J27" i="34"/>
  <c r="P13" i="21" s="1"/>
  <c r="J75" i="90"/>
  <c r="J1" i="90" s="1"/>
  <c r="P75" i="89"/>
  <c r="P1" i="89" s="1"/>
  <c r="M75" i="89"/>
  <c r="M1" i="89" s="1"/>
  <c r="J60" i="77"/>
  <c r="J75" i="77" s="1"/>
  <c r="J23" i="22"/>
  <c r="D12" i="21" s="1"/>
  <c r="M23" i="23"/>
  <c r="AK12" i="21" s="1"/>
  <c r="P60" i="45"/>
  <c r="CM16" i="21" s="1"/>
  <c r="M23" i="28"/>
  <c r="L26" i="20"/>
  <c r="P23" i="34"/>
  <c r="CB12" i="21" s="1"/>
  <c r="P23" i="42"/>
  <c r="CJ12" i="21" s="1"/>
  <c r="J23" i="25"/>
  <c r="G12" i="21" s="1"/>
  <c r="M67" i="20"/>
  <c r="N67" i="20" s="1"/>
  <c r="M120" i="20"/>
  <c r="P27" i="29"/>
  <c r="BW13" i="21" s="1"/>
  <c r="J75" i="89"/>
  <c r="J1" i="89" s="1"/>
  <c r="F11" i="8"/>
  <c r="K87" i="20"/>
  <c r="K83" i="20"/>
  <c r="K88" i="20"/>
  <c r="K85" i="20"/>
  <c r="K84" i="20"/>
  <c r="K89" i="20"/>
  <c r="K15" i="20"/>
  <c r="K120" i="20"/>
  <c r="K67" i="20"/>
  <c r="L67" i="20" s="1"/>
  <c r="O48" i="20"/>
  <c r="J27" i="24"/>
  <c r="F13" i="21" s="1"/>
  <c r="M60" i="77"/>
  <c r="EB16" i="21" s="1"/>
  <c r="P60" i="74"/>
  <c r="J27" i="42"/>
  <c r="X13" i="21" s="1"/>
  <c r="M27" i="47"/>
  <c r="BI13" i="21" s="1"/>
  <c r="P27" i="44"/>
  <c r="CL13" i="21" s="1"/>
  <c r="J27" i="44"/>
  <c r="Z13" i="21" s="1"/>
  <c r="M27" i="23"/>
  <c r="AK13" i="21" s="1"/>
  <c r="E16" i="10" s="1"/>
  <c r="J60" i="82"/>
  <c r="J75" i="82" s="1"/>
  <c r="M60" i="76"/>
  <c r="P60" i="76"/>
  <c r="J60" i="76"/>
  <c r="J60" i="74"/>
  <c r="M60" i="74"/>
  <c r="J27" i="33"/>
  <c r="O13" i="21" s="1"/>
  <c r="P27" i="26"/>
  <c r="BT13" i="21" s="1"/>
  <c r="P27" i="34"/>
  <c r="CB13" i="21" s="1"/>
  <c r="M85" i="20"/>
  <c r="M84" i="20"/>
  <c r="M87" i="20"/>
  <c r="M83" i="20"/>
  <c r="M89" i="20"/>
  <c r="T24" i="96"/>
  <c r="P34" i="43"/>
  <c r="CK14" i="21" s="1"/>
  <c r="Q24" i="96"/>
  <c r="P23" i="23"/>
  <c r="BQ12" i="21" s="1"/>
  <c r="M27" i="30"/>
  <c r="AR13" i="21" s="1"/>
  <c r="M27" i="38"/>
  <c r="AZ13" i="21" s="1"/>
  <c r="P60" i="37"/>
  <c r="CE16" i="21" s="1"/>
  <c r="M60" i="45"/>
  <c r="BG16" i="21" s="1"/>
  <c r="J28" i="20" s="1"/>
  <c r="M27" i="44"/>
  <c r="BF13" i="21" s="1"/>
  <c r="J23" i="42"/>
  <c r="X12" i="21" s="1"/>
  <c r="M23" i="25"/>
  <c r="AM12" i="21" s="1"/>
  <c r="M23" i="34"/>
  <c r="AV12" i="21" s="1"/>
  <c r="M23" i="42"/>
  <c r="BD12" i="21" s="1"/>
  <c r="J60" i="45"/>
  <c r="AA16" i="21" s="1"/>
  <c r="J23" i="28"/>
  <c r="J12" i="21" s="1"/>
  <c r="J27" i="41"/>
  <c r="W13" i="21" s="1"/>
  <c r="J34" i="41"/>
  <c r="W14" i="21" s="1"/>
  <c r="J27" i="43"/>
  <c r="Y13" i="21" s="1"/>
  <c r="M27" i="50"/>
  <c r="BM13" i="21" s="1"/>
  <c r="J27" i="50"/>
  <c r="AG13" i="21" s="1"/>
  <c r="M27" i="29"/>
  <c r="AQ13" i="21" s="1"/>
  <c r="M27" i="43"/>
  <c r="BE13" i="21" s="1"/>
  <c r="V22" i="20" s="1"/>
  <c r="M27" i="27"/>
  <c r="AO13" i="21" s="1"/>
  <c r="J27" i="26"/>
  <c r="H13" i="21" s="1"/>
  <c r="P27" i="49"/>
  <c r="CQ13" i="21" s="1"/>
  <c r="J27" i="25"/>
  <c r="G13" i="21" s="1"/>
  <c r="P27" i="43"/>
  <c r="CK13" i="21" s="1"/>
  <c r="P27" i="27"/>
  <c r="BU13" i="21" s="1"/>
  <c r="M23" i="43"/>
  <c r="BE12" i="21" s="1"/>
  <c r="P27" i="38"/>
  <c r="CF13" i="21" s="1"/>
  <c r="M27" i="46"/>
  <c r="BH13" i="21" s="1"/>
  <c r="P27" i="46"/>
  <c r="CN13" i="21" s="1"/>
  <c r="J23" i="45"/>
  <c r="AA12" i="21" s="1"/>
  <c r="P27" i="41"/>
  <c r="CI13" i="21" s="1"/>
  <c r="P27" i="39"/>
  <c r="CG13" i="21" s="1"/>
  <c r="J27" i="27"/>
  <c r="I13" i="21" s="1"/>
  <c r="J27" i="36"/>
  <c r="R13" i="21" s="1"/>
  <c r="M27" i="33"/>
  <c r="AU13" i="21" s="1"/>
  <c r="M27" i="22"/>
  <c r="AJ13" i="21" s="1"/>
  <c r="P27" i="47"/>
  <c r="CO13" i="21" s="1"/>
  <c r="X12" i="20"/>
  <c r="M34" i="43"/>
  <c r="BE14" i="21" s="1"/>
  <c r="V23" i="20" s="1"/>
  <c r="M27" i="49"/>
  <c r="BK13" i="21" s="1"/>
  <c r="J34" i="43"/>
  <c r="Y14" i="21" s="1"/>
  <c r="J27" i="30"/>
  <c r="L13" i="21" s="1"/>
  <c r="P27" i="36"/>
  <c r="CD13" i="21" s="1"/>
  <c r="J27" i="37"/>
  <c r="S13" i="21" s="1"/>
  <c r="M27" i="28"/>
  <c r="AP13" i="21" s="1"/>
  <c r="P27" i="33"/>
  <c r="CA13" i="21" s="1"/>
  <c r="P27" i="23"/>
  <c r="BQ13" i="21" s="1"/>
  <c r="M27" i="42"/>
  <c r="BD13" i="21" s="1"/>
  <c r="F16" i="10" s="1"/>
  <c r="M27" i="51"/>
  <c r="BN13" i="21" s="1"/>
  <c r="P34" i="41"/>
  <c r="CI14" i="21" s="1"/>
  <c r="P60" i="79"/>
  <c r="FA16" i="21" s="1"/>
  <c r="M27" i="26"/>
  <c r="AN13" i="21" s="1"/>
  <c r="M27" i="39"/>
  <c r="BA13" i="21" s="1"/>
  <c r="P29" i="96"/>
  <c r="Q29" i="96" s="1"/>
  <c r="M23" i="22"/>
  <c r="AJ12" i="21" s="1"/>
  <c r="P60" i="82"/>
  <c r="P75" i="82" s="1"/>
  <c r="J27" i="23"/>
  <c r="E13" i="21" s="1"/>
  <c r="E16" i="8" s="1"/>
  <c r="P60" i="83"/>
  <c r="P75" i="83" s="1"/>
  <c r="P34" i="37"/>
  <c r="CE14" i="21" s="1"/>
  <c r="J27" i="47"/>
  <c r="AC13" i="21" s="1"/>
  <c r="J27" i="35"/>
  <c r="Q13" i="21" s="1"/>
  <c r="J27" i="48"/>
  <c r="AD13" i="21" s="1"/>
  <c r="M60" i="79"/>
  <c r="M75" i="79" s="1"/>
  <c r="M27" i="36"/>
  <c r="AX13" i="21" s="1"/>
  <c r="M27" i="37"/>
  <c r="AY13" i="21" s="1"/>
  <c r="D16" i="10" s="1"/>
  <c r="M60" i="37"/>
  <c r="AY16" i="21" s="1"/>
  <c r="J23" i="23"/>
  <c r="E12" i="21" s="1"/>
  <c r="J34" i="37"/>
  <c r="S14" i="21" s="1"/>
  <c r="J27" i="46"/>
  <c r="AB13" i="21" s="1"/>
  <c r="P27" i="35"/>
  <c r="CC13" i="21" s="1"/>
  <c r="P27" i="50"/>
  <c r="CS13" i="21" s="1"/>
  <c r="M27" i="48"/>
  <c r="BJ13" i="21" s="1"/>
  <c r="M27" i="25"/>
  <c r="AM13" i="21" s="1"/>
  <c r="J27" i="32"/>
  <c r="N13" i="21" s="1"/>
  <c r="J27" i="22"/>
  <c r="D13" i="21" s="1"/>
  <c r="P27" i="51"/>
  <c r="CT13" i="21" s="1"/>
  <c r="M23" i="41"/>
  <c r="BC12" i="21" s="1"/>
  <c r="P23" i="40"/>
  <c r="CH12" i="21" s="1"/>
  <c r="P27" i="32"/>
  <c r="BZ13" i="21" s="1"/>
  <c r="P23" i="29"/>
  <c r="P27" i="37"/>
  <c r="CE13" i="21" s="1"/>
  <c r="J27" i="51"/>
  <c r="AH13" i="21" s="1"/>
  <c r="P27" i="25"/>
  <c r="BS13" i="21" s="1"/>
  <c r="M27" i="32"/>
  <c r="AT13" i="21" s="1"/>
  <c r="M23" i="29"/>
  <c r="AQ12" i="21" s="1"/>
  <c r="P23" i="31"/>
  <c r="BY12" i="21" s="1"/>
  <c r="J27" i="29"/>
  <c r="K13" i="21" s="1"/>
  <c r="P62" i="96"/>
  <c r="T62" i="96" s="1"/>
  <c r="P27" i="31"/>
  <c r="BY13" i="21" s="1"/>
  <c r="P27" i="28"/>
  <c r="BV13" i="21" s="1"/>
  <c r="P23" i="22"/>
  <c r="BP12" i="21" s="1"/>
  <c r="P27" i="30"/>
  <c r="BX13" i="21" s="1"/>
  <c r="M27" i="31"/>
  <c r="AS13" i="21" s="1"/>
  <c r="P27" i="24"/>
  <c r="BR13" i="21" s="1"/>
  <c r="FM20" i="21"/>
  <c r="FM21" i="21" s="1"/>
  <c r="J60" i="79"/>
  <c r="DG16" i="21" s="1"/>
  <c r="J23" i="34"/>
  <c r="P12" i="21" s="1"/>
  <c r="M34" i="41"/>
  <c r="BC14" i="21" s="1"/>
  <c r="J75" i="75"/>
  <c r="J27" i="31"/>
  <c r="M13" i="21" s="1"/>
  <c r="J27" i="28"/>
  <c r="J13" i="21" s="1"/>
  <c r="M27" i="34"/>
  <c r="AV13" i="21" s="1"/>
  <c r="J27" i="39"/>
  <c r="U13" i="21" s="1"/>
  <c r="M27" i="41"/>
  <c r="BC13" i="21" s="1"/>
  <c r="J27" i="49"/>
  <c r="AE13" i="21" s="1"/>
  <c r="M27" i="35"/>
  <c r="AW13" i="21" s="1"/>
  <c r="P27" i="48"/>
  <c r="CP13" i="21" s="1"/>
  <c r="P27" i="22"/>
  <c r="BP13" i="21" s="1"/>
  <c r="M27" i="24"/>
  <c r="AL13" i="21" s="1"/>
  <c r="J27" i="38"/>
  <c r="T13" i="21" s="1"/>
  <c r="J51" i="23"/>
  <c r="P51" i="23"/>
  <c r="M51" i="23"/>
  <c r="M51" i="40"/>
  <c r="J51" i="40"/>
  <c r="P51" i="40"/>
  <c r="BV12" i="21"/>
  <c r="J51" i="43"/>
  <c r="P51" i="43"/>
  <c r="M51" i="43"/>
  <c r="P46" i="32"/>
  <c r="J46" i="32"/>
  <c r="M46" i="32"/>
  <c r="P52" i="39"/>
  <c r="M52" i="39"/>
  <c r="J52" i="39"/>
  <c r="P51" i="28"/>
  <c r="J51" i="28"/>
  <c r="M51" i="28"/>
  <c r="P75" i="90"/>
  <c r="P1" i="90" s="1"/>
  <c r="FL20" i="21"/>
  <c r="M60" i="83"/>
  <c r="M54" i="47"/>
  <c r="J54" i="47"/>
  <c r="P54" i="47"/>
  <c r="M51" i="49"/>
  <c r="J51" i="49"/>
  <c r="P51" i="49"/>
  <c r="M52" i="41"/>
  <c r="J52" i="41"/>
  <c r="P52" i="41"/>
  <c r="J48" i="33"/>
  <c r="P48" i="33"/>
  <c r="M48" i="33"/>
  <c r="P46" i="40"/>
  <c r="J46" i="40"/>
  <c r="M46" i="40"/>
  <c r="M46" i="48"/>
  <c r="J46" i="48"/>
  <c r="P46" i="48"/>
  <c r="M46" i="24"/>
  <c r="P46" i="24"/>
  <c r="J46" i="24"/>
  <c r="J46" i="47"/>
  <c r="M46" i="47"/>
  <c r="P46" i="47"/>
  <c r="J60" i="26"/>
  <c r="H16" i="21" s="1"/>
  <c r="J23" i="49"/>
  <c r="P23" i="48"/>
  <c r="J23" i="47"/>
  <c r="J27" i="40"/>
  <c r="V13" i="21" s="1"/>
  <c r="P60" i="80"/>
  <c r="J23" i="40"/>
  <c r="M47" i="47"/>
  <c r="J47" i="47"/>
  <c r="P47" i="47"/>
  <c r="M47" i="26"/>
  <c r="J47" i="26"/>
  <c r="P47" i="26"/>
  <c r="P47" i="30"/>
  <c r="J47" i="30"/>
  <c r="M47" i="30"/>
  <c r="P47" i="51"/>
  <c r="M47" i="51"/>
  <c r="J47" i="51"/>
  <c r="P49" i="40"/>
  <c r="J49" i="40"/>
  <c r="M49" i="40"/>
  <c r="J49" i="36"/>
  <c r="P49" i="36"/>
  <c r="M49" i="36"/>
  <c r="J51" i="46"/>
  <c r="P51" i="46"/>
  <c r="M51" i="46"/>
  <c r="P34" i="47"/>
  <c r="CO14" i="21" s="1"/>
  <c r="J34" i="25"/>
  <c r="G14" i="21" s="1"/>
  <c r="J60" i="31"/>
  <c r="M16" i="21" s="1"/>
  <c r="M34" i="31"/>
  <c r="AS14" i="21" s="1"/>
  <c r="M23" i="44"/>
  <c r="P34" i="48"/>
  <c r="CP14" i="21" s="1"/>
  <c r="J60" i="47"/>
  <c r="AC16" i="21" s="1"/>
  <c r="M23" i="33"/>
  <c r="J23" i="39"/>
  <c r="J60" i="91"/>
  <c r="M23" i="50"/>
  <c r="M57" i="44"/>
  <c r="P57" i="44"/>
  <c r="J57" i="44"/>
  <c r="J57" i="42"/>
  <c r="P57" i="42"/>
  <c r="M57" i="42"/>
  <c r="M57" i="28"/>
  <c r="J57" i="28"/>
  <c r="P57" i="28"/>
  <c r="J27" i="45"/>
  <c r="M60" i="85"/>
  <c r="M23" i="30"/>
  <c r="M50" i="22"/>
  <c r="P50" i="22"/>
  <c r="J50" i="22"/>
  <c r="J51" i="35"/>
  <c r="M51" i="35"/>
  <c r="P51" i="35"/>
  <c r="M50" i="30"/>
  <c r="P50" i="30"/>
  <c r="J50" i="30"/>
  <c r="P23" i="32"/>
  <c r="P23" i="26"/>
  <c r="M23" i="35"/>
  <c r="J23" i="24"/>
  <c r="M34" i="32"/>
  <c r="AT14" i="21" s="1"/>
  <c r="M60" i="70"/>
  <c r="J60" i="38"/>
  <c r="T16" i="21" s="1"/>
  <c r="M50" i="49"/>
  <c r="P50" i="49"/>
  <c r="J50" i="49"/>
  <c r="P51" i="42"/>
  <c r="J51" i="42"/>
  <c r="M51" i="42"/>
  <c r="P51" i="34"/>
  <c r="J51" i="34"/>
  <c r="M51" i="34"/>
  <c r="M75" i="82"/>
  <c r="EH16" i="21"/>
  <c r="J60" i="83"/>
  <c r="J53" i="49"/>
  <c r="M53" i="49"/>
  <c r="P53" i="49"/>
  <c r="P49" i="35"/>
  <c r="J49" i="35"/>
  <c r="M49" i="35"/>
  <c r="M48" i="22"/>
  <c r="P48" i="22"/>
  <c r="J48" i="22"/>
  <c r="J48" i="25"/>
  <c r="P48" i="25"/>
  <c r="M48" i="25"/>
  <c r="P46" i="45"/>
  <c r="M46" i="45"/>
  <c r="J46" i="45"/>
  <c r="M46" i="49"/>
  <c r="J46" i="49"/>
  <c r="P46" i="49"/>
  <c r="P46" i="35"/>
  <c r="M46" i="35"/>
  <c r="J46" i="35"/>
  <c r="P46" i="43"/>
  <c r="M46" i="43"/>
  <c r="J46" i="43"/>
  <c r="M60" i="26"/>
  <c r="AN16" i="21" s="1"/>
  <c r="P23" i="49"/>
  <c r="X13" i="20"/>
  <c r="I120" i="20"/>
  <c r="I67" i="20"/>
  <c r="J67" i="20" s="1"/>
  <c r="M23" i="45"/>
  <c r="DR21" i="21"/>
  <c r="P23" i="47"/>
  <c r="J60" i="30"/>
  <c r="L16" i="21" s="1"/>
  <c r="M60" i="80"/>
  <c r="M23" i="40"/>
  <c r="P47" i="34"/>
  <c r="M47" i="34"/>
  <c r="J47" i="34"/>
  <c r="J47" i="36"/>
  <c r="P47" i="36"/>
  <c r="M47" i="36"/>
  <c r="J47" i="29"/>
  <c r="M47" i="29"/>
  <c r="P47" i="29"/>
  <c r="P49" i="28"/>
  <c r="M49" i="28"/>
  <c r="J49" i="28"/>
  <c r="M49" i="37"/>
  <c r="P49" i="37"/>
  <c r="J49" i="37"/>
  <c r="P50" i="45"/>
  <c r="M50" i="45"/>
  <c r="J50" i="45"/>
  <c r="M34" i="47"/>
  <c r="BI14" i="21" s="1"/>
  <c r="P27" i="42"/>
  <c r="P34" i="46"/>
  <c r="CN14" i="21" s="1"/>
  <c r="P60" i="46"/>
  <c r="CN16" i="21" s="1"/>
  <c r="J34" i="31"/>
  <c r="M14" i="21" s="1"/>
  <c r="P60" i="32"/>
  <c r="BZ16" i="21" s="1"/>
  <c r="P23" i="44"/>
  <c r="M47" i="41"/>
  <c r="P47" i="41"/>
  <c r="J47" i="41"/>
  <c r="M34" i="48"/>
  <c r="BJ14" i="21" s="1"/>
  <c r="J60" i="42"/>
  <c r="X16" i="21" s="1"/>
  <c r="J34" i="35"/>
  <c r="Q14" i="21" s="1"/>
  <c r="J60" i="24"/>
  <c r="F16" i="21" s="1"/>
  <c r="M23" i="39"/>
  <c r="P57" i="34"/>
  <c r="J57" i="34"/>
  <c r="M57" i="34"/>
  <c r="M57" i="32"/>
  <c r="J57" i="32"/>
  <c r="P57" i="32"/>
  <c r="M27" i="45"/>
  <c r="BG13" i="21" s="1"/>
  <c r="J23" i="30"/>
  <c r="M51" i="39"/>
  <c r="P51" i="39"/>
  <c r="J51" i="39"/>
  <c r="P50" i="33"/>
  <c r="J50" i="33"/>
  <c r="M50" i="33"/>
  <c r="J50" i="42"/>
  <c r="M50" i="42"/>
  <c r="P50" i="42"/>
  <c r="P23" i="35"/>
  <c r="P60" i="29"/>
  <c r="BW16" i="21" s="1"/>
  <c r="P60" i="70"/>
  <c r="J34" i="29"/>
  <c r="K14" i="21" s="1"/>
  <c r="P60" i="38"/>
  <c r="CF16" i="21" s="1"/>
  <c r="M60" i="35"/>
  <c r="AW16" i="21" s="1"/>
  <c r="R28" i="20" s="1"/>
  <c r="P23" i="46"/>
  <c r="J54" i="41"/>
  <c r="M54" i="41"/>
  <c r="P54" i="41"/>
  <c r="J51" i="36"/>
  <c r="M51" i="36"/>
  <c r="P51" i="36"/>
  <c r="P52" i="46"/>
  <c r="J52" i="46"/>
  <c r="M52" i="46"/>
  <c r="J48" i="36"/>
  <c r="P48" i="36"/>
  <c r="M48" i="36"/>
  <c r="M52" i="47"/>
  <c r="P52" i="47"/>
  <c r="J52" i="47"/>
  <c r="J48" i="26"/>
  <c r="P48" i="26"/>
  <c r="M48" i="26"/>
  <c r="P46" i="44"/>
  <c r="J46" i="44"/>
  <c r="M46" i="44"/>
  <c r="P46" i="50"/>
  <c r="M46" i="50"/>
  <c r="J46" i="50"/>
  <c r="M46" i="25"/>
  <c r="P46" i="25"/>
  <c r="J46" i="25"/>
  <c r="P60" i="51"/>
  <c r="CT16" i="21" s="1"/>
  <c r="P60" i="26"/>
  <c r="BT16" i="21" s="1"/>
  <c r="M23" i="49"/>
  <c r="P34" i="27"/>
  <c r="BU14" i="21" s="1"/>
  <c r="M60" i="30"/>
  <c r="AR16" i="21" s="1"/>
  <c r="M34" i="39"/>
  <c r="BA14" i="21" s="1"/>
  <c r="J60" i="80"/>
  <c r="P47" i="31"/>
  <c r="M47" i="31"/>
  <c r="J47" i="31"/>
  <c r="J47" i="50"/>
  <c r="M47" i="50"/>
  <c r="P47" i="50"/>
  <c r="P47" i="24"/>
  <c r="J47" i="24"/>
  <c r="M47" i="24"/>
  <c r="P50" i="32"/>
  <c r="J50" i="32"/>
  <c r="M50" i="32"/>
  <c r="J49" i="34"/>
  <c r="P49" i="34"/>
  <c r="M49" i="34"/>
  <c r="M51" i="41"/>
  <c r="J51" i="41"/>
  <c r="P51" i="41"/>
  <c r="J49" i="33"/>
  <c r="P49" i="33"/>
  <c r="M49" i="33"/>
  <c r="AN48" i="21"/>
  <c r="AN11" i="21"/>
  <c r="J34" i="47"/>
  <c r="AC14" i="21" s="1"/>
  <c r="M34" i="30"/>
  <c r="AR14" i="21" s="1"/>
  <c r="M34" i="46"/>
  <c r="BH14" i="21" s="1"/>
  <c r="M60" i="22"/>
  <c r="AJ16" i="21" s="1"/>
  <c r="R12" i="21"/>
  <c r="J60" i="46"/>
  <c r="AB16" i="21" s="1"/>
  <c r="P34" i="31"/>
  <c r="BY14" i="21" s="1"/>
  <c r="M60" i="32"/>
  <c r="AT16" i="21" s="1"/>
  <c r="J34" i="33"/>
  <c r="O14" i="21" s="1"/>
  <c r="J47" i="39"/>
  <c r="P47" i="39"/>
  <c r="M47" i="39"/>
  <c r="M60" i="73"/>
  <c r="P60" i="42"/>
  <c r="CJ16" i="21" s="1"/>
  <c r="M34" i="35"/>
  <c r="AW14" i="21" s="1"/>
  <c r="P60" i="24"/>
  <c r="BR16" i="21" s="1"/>
  <c r="P57" i="31"/>
  <c r="J57" i="31"/>
  <c r="M57" i="31"/>
  <c r="P57" i="43"/>
  <c r="J57" i="43"/>
  <c r="M57" i="43"/>
  <c r="I11" i="8"/>
  <c r="BN11" i="21"/>
  <c r="P23" i="30"/>
  <c r="J50" i="38"/>
  <c r="M50" i="38"/>
  <c r="P50" i="38"/>
  <c r="P50" i="25"/>
  <c r="M50" i="25"/>
  <c r="J50" i="25"/>
  <c r="M50" i="36"/>
  <c r="P50" i="36"/>
  <c r="J50" i="36"/>
  <c r="J34" i="34"/>
  <c r="P14" i="21" s="1"/>
  <c r="J60" i="40"/>
  <c r="V16" i="21" s="1"/>
  <c r="Q120" i="20"/>
  <c r="Q67" i="20"/>
  <c r="R67" i="20" s="1"/>
  <c r="J23" i="35"/>
  <c r="M75" i="90"/>
  <c r="EO20" i="21"/>
  <c r="M60" i="29"/>
  <c r="AQ16" i="21" s="1"/>
  <c r="J60" i="70"/>
  <c r="M34" i="29"/>
  <c r="AQ14" i="21" s="1"/>
  <c r="P60" i="35"/>
  <c r="CC16" i="21" s="1"/>
  <c r="M23" i="46"/>
  <c r="J51" i="29"/>
  <c r="P51" i="29"/>
  <c r="M51" i="29"/>
  <c r="P51" i="30"/>
  <c r="J51" i="30"/>
  <c r="M51" i="30"/>
  <c r="M51" i="38"/>
  <c r="P51" i="38"/>
  <c r="J51" i="38"/>
  <c r="M51" i="44"/>
  <c r="J51" i="44"/>
  <c r="P51" i="44"/>
  <c r="P75" i="77"/>
  <c r="EY16" i="21"/>
  <c r="M34" i="37"/>
  <c r="AY14" i="21" s="1"/>
  <c r="P23" i="20" s="1"/>
  <c r="P48" i="30"/>
  <c r="J48" i="30"/>
  <c r="M48" i="30"/>
  <c r="P48" i="28"/>
  <c r="M48" i="28"/>
  <c r="J48" i="28"/>
  <c r="J49" i="45"/>
  <c r="M49" i="45"/>
  <c r="P49" i="45"/>
  <c r="J48" i="24"/>
  <c r="M48" i="24"/>
  <c r="P48" i="24"/>
  <c r="M46" i="41"/>
  <c r="J46" i="41"/>
  <c r="P46" i="41"/>
  <c r="P46" i="22"/>
  <c r="M46" i="22"/>
  <c r="P46" i="34"/>
  <c r="J46" i="34"/>
  <c r="M46" i="34"/>
  <c r="J46" i="28"/>
  <c r="P46" i="28"/>
  <c r="M46" i="28"/>
  <c r="P47" i="32"/>
  <c r="M47" i="32"/>
  <c r="J47" i="32"/>
  <c r="J60" i="51"/>
  <c r="AH16" i="21" s="1"/>
  <c r="M34" i="27"/>
  <c r="AO14" i="21" s="1"/>
  <c r="M48" i="46"/>
  <c r="J48" i="46"/>
  <c r="P48" i="46"/>
  <c r="BS12" i="21"/>
  <c r="P60" i="30"/>
  <c r="BX16" i="21" s="1"/>
  <c r="P34" i="39"/>
  <c r="CG14" i="21" s="1"/>
  <c r="J34" i="45"/>
  <c r="AA14" i="21" s="1"/>
  <c r="P60" i="25"/>
  <c r="BS16" i="21" s="1"/>
  <c r="P47" i="37"/>
  <c r="M47" i="37"/>
  <c r="J47" i="37"/>
  <c r="M48" i="41"/>
  <c r="J48" i="41"/>
  <c r="P48" i="41"/>
  <c r="M47" i="23"/>
  <c r="P47" i="23"/>
  <c r="J47" i="23"/>
  <c r="J49" i="44"/>
  <c r="P49" i="44"/>
  <c r="M49" i="44"/>
  <c r="M49" i="23"/>
  <c r="P49" i="23"/>
  <c r="J49" i="23"/>
  <c r="J53" i="47"/>
  <c r="P53" i="47"/>
  <c r="M53" i="47"/>
  <c r="P50" i="39"/>
  <c r="J50" i="39"/>
  <c r="M50" i="39"/>
  <c r="J34" i="30"/>
  <c r="L14" i="21" s="1"/>
  <c r="J34" i="46"/>
  <c r="AB14" i="21" s="1"/>
  <c r="P60" i="22"/>
  <c r="BP16" i="21" s="1"/>
  <c r="M49" i="49"/>
  <c r="J49" i="49"/>
  <c r="P49" i="49"/>
  <c r="M60" i="46"/>
  <c r="BH16" i="21" s="1"/>
  <c r="J60" i="27"/>
  <c r="I16" i="21" s="1"/>
  <c r="M60" i="109"/>
  <c r="J60" i="32"/>
  <c r="N16" i="21" s="1"/>
  <c r="P34" i="33"/>
  <c r="CA14" i="21" s="1"/>
  <c r="J47" i="35"/>
  <c r="P47" i="35"/>
  <c r="M47" i="35"/>
  <c r="J60" i="73"/>
  <c r="M60" i="42"/>
  <c r="BD16" i="21" s="1"/>
  <c r="P34" i="35"/>
  <c r="CC14" i="21" s="1"/>
  <c r="J34" i="44"/>
  <c r="Z14" i="21" s="1"/>
  <c r="P34" i="49"/>
  <c r="CQ14" i="21" s="1"/>
  <c r="M60" i="24"/>
  <c r="AL16" i="21" s="1"/>
  <c r="J60" i="50"/>
  <c r="AG16" i="21" s="1"/>
  <c r="M48" i="51"/>
  <c r="J48" i="51"/>
  <c r="P48" i="51"/>
  <c r="P57" i="24"/>
  <c r="M57" i="24"/>
  <c r="J57" i="24"/>
  <c r="P57" i="41"/>
  <c r="M57" i="41"/>
  <c r="J57" i="41"/>
  <c r="P34" i="24"/>
  <c r="BR14" i="21" s="1"/>
  <c r="J23" i="29"/>
  <c r="M34" i="36"/>
  <c r="AX14" i="21" s="1"/>
  <c r="P50" i="29"/>
  <c r="M50" i="29"/>
  <c r="J50" i="29"/>
  <c r="J50" i="34"/>
  <c r="M50" i="34"/>
  <c r="P50" i="34"/>
  <c r="J50" i="27"/>
  <c r="M50" i="27"/>
  <c r="P50" i="27"/>
  <c r="P34" i="34"/>
  <c r="CB14" i="21" s="1"/>
  <c r="M60" i="40"/>
  <c r="BB16" i="21" s="1"/>
  <c r="M23" i="31"/>
  <c r="J60" i="29"/>
  <c r="K16" i="21" s="1"/>
  <c r="P34" i="29"/>
  <c r="BW14" i="21" s="1"/>
  <c r="J60" i="35"/>
  <c r="Q16" i="21" s="1"/>
  <c r="J23" i="46"/>
  <c r="P51" i="22"/>
  <c r="M51" i="22"/>
  <c r="J51" i="22"/>
  <c r="AP12" i="21"/>
  <c r="L21" i="20" s="1"/>
  <c r="M75" i="77"/>
  <c r="T48" i="21"/>
  <c r="T11" i="21"/>
  <c r="E17" i="8"/>
  <c r="E17" i="10"/>
  <c r="J48" i="44"/>
  <c r="M48" i="44"/>
  <c r="P48" i="44"/>
  <c r="M48" i="31"/>
  <c r="J48" i="31"/>
  <c r="P48" i="31"/>
  <c r="M48" i="40"/>
  <c r="P48" i="40"/>
  <c r="J48" i="40"/>
  <c r="J49" i="32"/>
  <c r="P49" i="32"/>
  <c r="M49" i="32"/>
  <c r="J46" i="27"/>
  <c r="M46" i="27"/>
  <c r="P46" i="27"/>
  <c r="P46" i="33"/>
  <c r="M46" i="33"/>
  <c r="J46" i="33"/>
  <c r="J46" i="37"/>
  <c r="P46" i="37"/>
  <c r="M46" i="37"/>
  <c r="J23" i="38"/>
  <c r="M60" i="51"/>
  <c r="BN16" i="21" s="1"/>
  <c r="J34" i="27"/>
  <c r="I14" i="21" s="1"/>
  <c r="J48" i="47"/>
  <c r="P48" i="47"/>
  <c r="M48" i="47"/>
  <c r="Q83" i="20"/>
  <c r="Q88" i="20"/>
  <c r="Q84" i="20"/>
  <c r="Q89" i="20"/>
  <c r="Q87" i="20"/>
  <c r="Q85" i="20"/>
  <c r="J34" i="39"/>
  <c r="U14" i="21" s="1"/>
  <c r="P34" i="45"/>
  <c r="CM14" i="21" s="1"/>
  <c r="M60" i="25"/>
  <c r="AM16" i="21" s="1"/>
  <c r="P47" i="42"/>
  <c r="M47" i="42"/>
  <c r="J47" i="42"/>
  <c r="P47" i="38"/>
  <c r="M47" i="38"/>
  <c r="J47" i="38"/>
  <c r="P47" i="44"/>
  <c r="M47" i="44"/>
  <c r="J47" i="44"/>
  <c r="J49" i="25"/>
  <c r="P49" i="25"/>
  <c r="M49" i="25"/>
  <c r="J49" i="22"/>
  <c r="M49" i="22"/>
  <c r="P49" i="22"/>
  <c r="M49" i="29"/>
  <c r="P49" i="29"/>
  <c r="J49" i="29"/>
  <c r="J49" i="27"/>
  <c r="P49" i="27"/>
  <c r="M49" i="27"/>
  <c r="J60" i="43"/>
  <c r="Y16" i="21" s="1"/>
  <c r="P34" i="30"/>
  <c r="BX14" i="21" s="1"/>
  <c r="M23" i="37"/>
  <c r="J60" i="33"/>
  <c r="O16" i="21" s="1"/>
  <c r="J60" i="22"/>
  <c r="D16" i="21" s="1"/>
  <c r="Q119" i="20"/>
  <c r="Q15" i="20"/>
  <c r="M23" i="27"/>
  <c r="J34" i="38"/>
  <c r="T14" i="21" s="1"/>
  <c r="M49" i="48"/>
  <c r="P49" i="48"/>
  <c r="J49" i="48"/>
  <c r="M60" i="27"/>
  <c r="AO16" i="21" s="1"/>
  <c r="P60" i="109"/>
  <c r="P60" i="49"/>
  <c r="CQ16" i="21" s="1"/>
  <c r="P60" i="48"/>
  <c r="CP16" i="21" s="1"/>
  <c r="M34" i="33"/>
  <c r="AU14" i="21" s="1"/>
  <c r="J60" i="72"/>
  <c r="BT48" i="21"/>
  <c r="BT11" i="21"/>
  <c r="M60" i="39"/>
  <c r="BA16" i="21" s="1"/>
  <c r="P60" i="73"/>
  <c r="J34" i="51"/>
  <c r="AH14" i="21" s="1"/>
  <c r="M60" i="84"/>
  <c r="M34" i="44"/>
  <c r="BF14" i="21" s="1"/>
  <c r="J34" i="49"/>
  <c r="AE14" i="21" s="1"/>
  <c r="P60" i="50"/>
  <c r="CS16" i="21" s="1"/>
  <c r="M50" i="41"/>
  <c r="P50" i="41"/>
  <c r="J50" i="41"/>
  <c r="J57" i="30"/>
  <c r="P57" i="30"/>
  <c r="M57" i="30"/>
  <c r="P57" i="40"/>
  <c r="J57" i="40"/>
  <c r="M57" i="40"/>
  <c r="J34" i="24"/>
  <c r="F14" i="21" s="1"/>
  <c r="BW12" i="21"/>
  <c r="J34" i="36"/>
  <c r="R14" i="21" s="1"/>
  <c r="J50" i="26"/>
  <c r="P50" i="26"/>
  <c r="M50" i="26"/>
  <c r="P50" i="43"/>
  <c r="J50" i="43"/>
  <c r="M50" i="43"/>
  <c r="J50" i="31"/>
  <c r="M50" i="31"/>
  <c r="P50" i="31"/>
  <c r="M34" i="34"/>
  <c r="AV14" i="21" s="1"/>
  <c r="P60" i="40"/>
  <c r="CH16" i="21" s="1"/>
  <c r="J23" i="31"/>
  <c r="P60" i="78"/>
  <c r="M51" i="24"/>
  <c r="P51" i="24"/>
  <c r="J51" i="24"/>
  <c r="M51" i="37"/>
  <c r="J51" i="37"/>
  <c r="P51" i="37"/>
  <c r="P49" i="39"/>
  <c r="M49" i="39"/>
  <c r="J49" i="39"/>
  <c r="J48" i="43"/>
  <c r="P48" i="43"/>
  <c r="M48" i="43"/>
  <c r="J50" i="46"/>
  <c r="P50" i="46"/>
  <c r="M50" i="46"/>
  <c r="P48" i="27"/>
  <c r="J48" i="27"/>
  <c r="M48" i="27"/>
  <c r="M46" i="42"/>
  <c r="J46" i="42"/>
  <c r="P46" i="42"/>
  <c r="P46" i="36"/>
  <c r="J46" i="36"/>
  <c r="M46" i="36"/>
  <c r="J46" i="51"/>
  <c r="P46" i="51"/>
  <c r="M46" i="51"/>
  <c r="M46" i="39"/>
  <c r="J46" i="39"/>
  <c r="P46" i="39"/>
  <c r="M34" i="28"/>
  <c r="AP14" i="21" s="1"/>
  <c r="M23" i="38"/>
  <c r="J60" i="28"/>
  <c r="J16" i="21" s="1"/>
  <c r="M34" i="40"/>
  <c r="BB14" i="21" s="1"/>
  <c r="M23" i="51"/>
  <c r="J49" i="41"/>
  <c r="M49" i="41"/>
  <c r="P49" i="41"/>
  <c r="T26" i="20"/>
  <c r="M34" i="45"/>
  <c r="BG14" i="21" s="1"/>
  <c r="J23" i="20" s="1"/>
  <c r="EP21" i="21"/>
  <c r="J60" i="25"/>
  <c r="G16" i="21" s="1"/>
  <c r="M47" i="27"/>
  <c r="P47" i="27"/>
  <c r="J47" i="27"/>
  <c r="P47" i="43"/>
  <c r="J47" i="43"/>
  <c r="M47" i="43"/>
  <c r="P48" i="32"/>
  <c r="M48" i="32"/>
  <c r="J48" i="32"/>
  <c r="P49" i="26"/>
  <c r="M49" i="26"/>
  <c r="J49" i="26"/>
  <c r="P49" i="24"/>
  <c r="M49" i="24"/>
  <c r="J49" i="24"/>
  <c r="M52" i="49"/>
  <c r="P52" i="49"/>
  <c r="J52" i="49"/>
  <c r="P49" i="31"/>
  <c r="J49" i="31"/>
  <c r="M49" i="31"/>
  <c r="M60" i="43"/>
  <c r="BE16" i="21" s="1"/>
  <c r="V28" i="20" s="1"/>
  <c r="M60" i="71"/>
  <c r="U119" i="20"/>
  <c r="U15" i="20"/>
  <c r="P23" i="37"/>
  <c r="P60" i="33"/>
  <c r="CA16" i="21" s="1"/>
  <c r="J23" i="27"/>
  <c r="P34" i="38"/>
  <c r="CF14" i="21" s="1"/>
  <c r="P49" i="47"/>
  <c r="J49" i="47"/>
  <c r="M49" i="47"/>
  <c r="P60" i="27"/>
  <c r="BU16" i="21" s="1"/>
  <c r="J60" i="109"/>
  <c r="M60" i="49"/>
  <c r="BK16" i="21" s="1"/>
  <c r="M60" i="48"/>
  <c r="BJ16" i="21" s="1"/>
  <c r="P34" i="22"/>
  <c r="BP14" i="21" s="1"/>
  <c r="M48" i="48"/>
  <c r="J48" i="48"/>
  <c r="P48" i="48"/>
  <c r="M60" i="72"/>
  <c r="J60" i="39"/>
  <c r="U16" i="21" s="1"/>
  <c r="P60" i="81"/>
  <c r="P34" i="51"/>
  <c r="CT14" i="21" s="1"/>
  <c r="P60" i="84"/>
  <c r="P34" i="44"/>
  <c r="CL14" i="21" s="1"/>
  <c r="M34" i="49"/>
  <c r="BK14" i="21" s="1"/>
  <c r="M60" i="34"/>
  <c r="AV16" i="21" s="1"/>
  <c r="M60" i="50"/>
  <c r="BM16" i="21" s="1"/>
  <c r="P57" i="33"/>
  <c r="M57" i="33"/>
  <c r="J57" i="33"/>
  <c r="P57" i="23"/>
  <c r="J57" i="23"/>
  <c r="M57" i="23"/>
  <c r="P57" i="26"/>
  <c r="J57" i="26"/>
  <c r="M57" i="26"/>
  <c r="M60" i="87"/>
  <c r="M34" i="24"/>
  <c r="AL14" i="21" s="1"/>
  <c r="P34" i="36"/>
  <c r="J50" i="40"/>
  <c r="P50" i="40"/>
  <c r="M50" i="40"/>
  <c r="J50" i="44"/>
  <c r="P50" i="44"/>
  <c r="M50" i="44"/>
  <c r="P49" i="51"/>
  <c r="J49" i="51"/>
  <c r="M49" i="51"/>
  <c r="J34" i="50"/>
  <c r="AG14" i="21" s="1"/>
  <c r="M60" i="78"/>
  <c r="CF48" i="21"/>
  <c r="CF11" i="21"/>
  <c r="P34" i="26"/>
  <c r="BT14" i="21" s="1"/>
  <c r="J51" i="27"/>
  <c r="M51" i="27"/>
  <c r="P51" i="27"/>
  <c r="DE16" i="21"/>
  <c r="M50" i="47"/>
  <c r="J50" i="47"/>
  <c r="P50" i="47"/>
  <c r="M51" i="31"/>
  <c r="P51" i="31"/>
  <c r="J51" i="31"/>
  <c r="J51" i="26"/>
  <c r="P51" i="26"/>
  <c r="M51" i="26"/>
  <c r="M51" i="33"/>
  <c r="J51" i="33"/>
  <c r="P51" i="33"/>
  <c r="M50" i="48"/>
  <c r="J50" i="48"/>
  <c r="P50" i="48"/>
  <c r="J48" i="23"/>
  <c r="M48" i="23"/>
  <c r="P48" i="23"/>
  <c r="J48" i="38"/>
  <c r="P48" i="38"/>
  <c r="M48" i="38"/>
  <c r="J46" i="30"/>
  <c r="P46" i="30"/>
  <c r="M46" i="30"/>
  <c r="M46" i="46"/>
  <c r="P46" i="46"/>
  <c r="J46" i="46"/>
  <c r="J46" i="23"/>
  <c r="M46" i="23"/>
  <c r="P46" i="23"/>
  <c r="J34" i="28"/>
  <c r="J14" i="21" s="1"/>
  <c r="P23" i="38"/>
  <c r="P60" i="28"/>
  <c r="BV16" i="21" s="1"/>
  <c r="P34" i="40"/>
  <c r="CH14" i="21" s="1"/>
  <c r="J23" i="51"/>
  <c r="DS21" i="21"/>
  <c r="J23" i="41"/>
  <c r="M23" i="48"/>
  <c r="P48" i="34"/>
  <c r="J48" i="34"/>
  <c r="M48" i="34"/>
  <c r="N26" i="20"/>
  <c r="P27" i="40"/>
  <c r="CH13" i="21" s="1"/>
  <c r="M47" i="48"/>
  <c r="J47" i="48"/>
  <c r="P47" i="48"/>
  <c r="J47" i="40"/>
  <c r="P47" i="40"/>
  <c r="M47" i="40"/>
  <c r="J47" i="28"/>
  <c r="M47" i="28"/>
  <c r="P47" i="28"/>
  <c r="J47" i="46"/>
  <c r="P47" i="46"/>
  <c r="M47" i="46"/>
  <c r="J49" i="30"/>
  <c r="M49" i="30"/>
  <c r="P49" i="30"/>
  <c r="M50" i="35"/>
  <c r="J50" i="35"/>
  <c r="P50" i="35"/>
  <c r="P51" i="48"/>
  <c r="M51" i="48"/>
  <c r="J51" i="48"/>
  <c r="P60" i="43"/>
  <c r="CK16" i="21" s="1"/>
  <c r="M34" i="25"/>
  <c r="AM14" i="21" s="1"/>
  <c r="P60" i="71"/>
  <c r="J23" i="37"/>
  <c r="M60" i="31"/>
  <c r="AS16" i="21" s="1"/>
  <c r="M60" i="33"/>
  <c r="AU16" i="21" s="1"/>
  <c r="P23" i="27"/>
  <c r="M34" i="38"/>
  <c r="AZ14" i="21" s="1"/>
  <c r="P49" i="46"/>
  <c r="J49" i="46"/>
  <c r="M49" i="46"/>
  <c r="J60" i="49"/>
  <c r="AE16" i="21" s="1"/>
  <c r="J60" i="48"/>
  <c r="AD16" i="21" s="1"/>
  <c r="N28" i="20" s="1"/>
  <c r="J34" i="22"/>
  <c r="D14" i="21" s="1"/>
  <c r="J48" i="49"/>
  <c r="M48" i="49"/>
  <c r="P48" i="49"/>
  <c r="P60" i="72"/>
  <c r="P60" i="39"/>
  <c r="CG16" i="21" s="1"/>
  <c r="M60" i="81"/>
  <c r="M34" i="51"/>
  <c r="BN14" i="21" s="1"/>
  <c r="P60" i="47"/>
  <c r="CO16" i="21" s="1"/>
  <c r="J60" i="84"/>
  <c r="P23" i="33"/>
  <c r="J60" i="34"/>
  <c r="P16" i="21" s="1"/>
  <c r="M60" i="91"/>
  <c r="J23" i="50"/>
  <c r="J57" i="27"/>
  <c r="P57" i="27"/>
  <c r="M57" i="27"/>
  <c r="P57" i="29"/>
  <c r="J57" i="29"/>
  <c r="M57" i="29"/>
  <c r="P57" i="25"/>
  <c r="M57" i="25"/>
  <c r="J57" i="25"/>
  <c r="J60" i="87"/>
  <c r="P60" i="85"/>
  <c r="P23" i="43"/>
  <c r="V26" i="20"/>
  <c r="J50" i="37"/>
  <c r="M50" i="37"/>
  <c r="P50" i="37"/>
  <c r="J50" i="23"/>
  <c r="M50" i="23"/>
  <c r="P50" i="23"/>
  <c r="J50" i="24"/>
  <c r="M50" i="24"/>
  <c r="P50" i="24"/>
  <c r="P48" i="50"/>
  <c r="J48" i="50"/>
  <c r="M48" i="50"/>
  <c r="M23" i="32"/>
  <c r="M23" i="26"/>
  <c r="M23" i="24"/>
  <c r="J34" i="32"/>
  <c r="N14" i="21" s="1"/>
  <c r="M34" i="50"/>
  <c r="BM14" i="21" s="1"/>
  <c r="J60" i="78"/>
  <c r="J34" i="26"/>
  <c r="H14" i="21" s="1"/>
  <c r="P51" i="25"/>
  <c r="J51" i="25"/>
  <c r="M51" i="25"/>
  <c r="J52" i="48"/>
  <c r="M52" i="48"/>
  <c r="P52" i="48"/>
  <c r="P48" i="37"/>
  <c r="J48" i="37"/>
  <c r="M48" i="37"/>
  <c r="M48" i="29"/>
  <c r="J48" i="29"/>
  <c r="P48" i="29"/>
  <c r="P48" i="42"/>
  <c r="J48" i="42"/>
  <c r="M48" i="42"/>
  <c r="P46" i="38"/>
  <c r="M46" i="38"/>
  <c r="J46" i="38"/>
  <c r="P46" i="31"/>
  <c r="M46" i="31"/>
  <c r="J46" i="31"/>
  <c r="M46" i="26"/>
  <c r="J46" i="26"/>
  <c r="P46" i="26"/>
  <c r="M46" i="29"/>
  <c r="J46" i="29"/>
  <c r="P46" i="29"/>
  <c r="P34" i="28"/>
  <c r="BV14" i="21" s="1"/>
  <c r="M60" i="28"/>
  <c r="AP16" i="21" s="1"/>
  <c r="J34" i="40"/>
  <c r="V14" i="21" s="1"/>
  <c r="P23" i="51"/>
  <c r="P23" i="45"/>
  <c r="P23" i="41"/>
  <c r="J23" i="48"/>
  <c r="M23" i="47"/>
  <c r="M27" i="40"/>
  <c r="BB13" i="21" s="1"/>
  <c r="P47" i="49"/>
  <c r="M47" i="49"/>
  <c r="J47" i="49"/>
  <c r="P47" i="33"/>
  <c r="J47" i="33"/>
  <c r="M47" i="33"/>
  <c r="M47" i="25"/>
  <c r="P47" i="25"/>
  <c r="J47" i="25"/>
  <c r="M47" i="22"/>
  <c r="J47" i="22"/>
  <c r="P47" i="22"/>
  <c r="J49" i="38"/>
  <c r="M49" i="38"/>
  <c r="P49" i="38"/>
  <c r="J49" i="43"/>
  <c r="P49" i="43"/>
  <c r="M49" i="43"/>
  <c r="M49" i="42"/>
  <c r="P49" i="42"/>
  <c r="J49" i="42"/>
  <c r="P34" i="25"/>
  <c r="BS14" i="21" s="1"/>
  <c r="J60" i="71"/>
  <c r="P60" i="31"/>
  <c r="BY16" i="21" s="1"/>
  <c r="I15" i="20"/>
  <c r="H48" i="21"/>
  <c r="H11" i="21"/>
  <c r="J23" i="44"/>
  <c r="M34" i="22"/>
  <c r="AJ14" i="21" s="1"/>
  <c r="J34" i="48"/>
  <c r="AD14" i="21" s="1"/>
  <c r="J60" i="81"/>
  <c r="M60" i="47"/>
  <c r="BI16" i="21" s="1"/>
  <c r="J23" i="33"/>
  <c r="P60" i="34"/>
  <c r="CB16" i="21" s="1"/>
  <c r="P23" i="39"/>
  <c r="P60" i="91"/>
  <c r="P23" i="50"/>
  <c r="P57" i="39"/>
  <c r="M57" i="39"/>
  <c r="J57" i="39"/>
  <c r="M57" i="22"/>
  <c r="P57" i="22"/>
  <c r="J57" i="22"/>
  <c r="M57" i="38"/>
  <c r="P57" i="38"/>
  <c r="J57" i="38"/>
  <c r="P60" i="87"/>
  <c r="P27" i="45"/>
  <c r="CM13" i="21" s="1"/>
  <c r="J60" i="85"/>
  <c r="M48" i="20"/>
  <c r="J23" i="43"/>
  <c r="AZ48" i="21"/>
  <c r="M50" i="28"/>
  <c r="J50" i="28"/>
  <c r="P50" i="28"/>
  <c r="M51" i="32"/>
  <c r="J51" i="32"/>
  <c r="P51" i="32"/>
  <c r="P53" i="41"/>
  <c r="M53" i="41"/>
  <c r="J53" i="41"/>
  <c r="J23" i="32"/>
  <c r="I89" i="20"/>
  <c r="I88" i="20"/>
  <c r="I87" i="20"/>
  <c r="I84" i="20"/>
  <c r="I83" i="20"/>
  <c r="I85" i="20"/>
  <c r="J23" i="26"/>
  <c r="P23" i="24"/>
  <c r="P34" i="32"/>
  <c r="BZ14" i="21" s="1"/>
  <c r="P34" i="50"/>
  <c r="CS14" i="21" s="1"/>
  <c r="M60" i="38"/>
  <c r="AZ16" i="21" s="1"/>
  <c r="M34" i="26"/>
  <c r="AN14" i="21" s="1"/>
  <c r="M1" i="90" l="1"/>
  <c r="K1" i="90" s="1"/>
  <c r="N1" i="89"/>
  <c r="J43" i="22"/>
  <c r="D15" i="21" s="1"/>
  <c r="D21" i="21" s="1"/>
  <c r="K1" i="89"/>
  <c r="P43" i="96"/>
  <c r="H16" i="8"/>
  <c r="T29" i="96"/>
  <c r="T43" i="96" s="1"/>
  <c r="N23" i="20"/>
  <c r="G17" i="8"/>
  <c r="I17" i="8"/>
  <c r="F17" i="8"/>
  <c r="G17" i="10"/>
  <c r="L23" i="20"/>
  <c r="F16" i="8"/>
  <c r="K48" i="20"/>
  <c r="N22" i="20"/>
  <c r="H16" i="10"/>
  <c r="J22" i="20"/>
  <c r="G16" i="10"/>
  <c r="L22" i="20"/>
  <c r="D16" i="8"/>
  <c r="P22" i="20"/>
  <c r="I16" i="8"/>
  <c r="G16" i="8"/>
  <c r="DK16" i="21"/>
  <c r="DK60" i="21" s="1"/>
  <c r="R22" i="20"/>
  <c r="Q43" i="96"/>
  <c r="J75" i="79"/>
  <c r="P75" i="79"/>
  <c r="FE16" i="21"/>
  <c r="FE21" i="21" s="1"/>
  <c r="DC16" i="21"/>
  <c r="DC21" i="21" s="1"/>
  <c r="FF16" i="21"/>
  <c r="FF60" i="21" s="1"/>
  <c r="J43" i="31"/>
  <c r="M15" i="21" s="1"/>
  <c r="M60" i="21" s="1"/>
  <c r="ED16" i="21"/>
  <c r="ED21" i="21" s="1"/>
  <c r="J21" i="57" s="1"/>
  <c r="M43" i="36"/>
  <c r="AX15" i="21" s="1"/>
  <c r="Q62" i="96"/>
  <c r="M43" i="46"/>
  <c r="BH15" i="21" s="1"/>
  <c r="P43" i="36"/>
  <c r="CD15" i="21" s="1"/>
  <c r="J43" i="29"/>
  <c r="K15" i="21" s="1"/>
  <c r="K60" i="21" s="1"/>
  <c r="P43" i="39"/>
  <c r="CG15" i="21" s="1"/>
  <c r="CG60" i="21" s="1"/>
  <c r="J43" i="39"/>
  <c r="U15" i="21" s="1"/>
  <c r="P43" i="45"/>
  <c r="CM15" i="21" s="1"/>
  <c r="CM60" i="21" s="1"/>
  <c r="M43" i="30"/>
  <c r="AR15" i="21" s="1"/>
  <c r="AR60" i="21" s="1"/>
  <c r="M43" i="26"/>
  <c r="AN15" i="21" s="1"/>
  <c r="P75" i="72"/>
  <c r="P1" i="72" s="1"/>
  <c r="ET16" i="21"/>
  <c r="AL12" i="21"/>
  <c r="P75" i="71"/>
  <c r="P1" i="71" s="1"/>
  <c r="ES16" i="21"/>
  <c r="DE60" i="21"/>
  <c r="DE21" i="21"/>
  <c r="M43" i="23"/>
  <c r="M75" i="78"/>
  <c r="EC16" i="21"/>
  <c r="P75" i="84"/>
  <c r="FG16" i="21"/>
  <c r="M75" i="71"/>
  <c r="M1" i="71" s="1"/>
  <c r="DV16" i="21"/>
  <c r="P43" i="51"/>
  <c r="CT15" i="21" s="1"/>
  <c r="DQ16" i="21"/>
  <c r="J75" i="72"/>
  <c r="J1" i="72" s="1"/>
  <c r="CZ16" i="21"/>
  <c r="P43" i="37"/>
  <c r="CE15" i="21" s="1"/>
  <c r="EK16" i="21"/>
  <c r="P43" i="34"/>
  <c r="Q12" i="21"/>
  <c r="BK12" i="21"/>
  <c r="M43" i="50"/>
  <c r="BM15" i="21" s="1"/>
  <c r="ER16" i="21"/>
  <c r="P75" i="70"/>
  <c r="J43" i="49"/>
  <c r="AE15" i="21" s="1"/>
  <c r="BT12" i="21"/>
  <c r="P75" i="80"/>
  <c r="FC16" i="21"/>
  <c r="J43" i="48"/>
  <c r="AD15" i="21" s="1"/>
  <c r="H12" i="21"/>
  <c r="CS12" i="21"/>
  <c r="M43" i="29"/>
  <c r="AT12" i="21"/>
  <c r="M75" i="91"/>
  <c r="M1" i="91" s="1"/>
  <c r="BU12" i="21"/>
  <c r="J43" i="23"/>
  <c r="CD14" i="21"/>
  <c r="EM16" i="21"/>
  <c r="J43" i="51"/>
  <c r="AH15" i="21" s="1"/>
  <c r="J43" i="37"/>
  <c r="S15" i="21" s="1"/>
  <c r="AS12" i="21"/>
  <c r="F15" i="10"/>
  <c r="M43" i="22"/>
  <c r="AJ15" i="21" s="1"/>
  <c r="AJ21" i="21" s="1"/>
  <c r="EY60" i="21"/>
  <c r="EY21" i="21"/>
  <c r="J75" i="76"/>
  <c r="DD16" i="21"/>
  <c r="P43" i="50"/>
  <c r="CS15" i="21" s="1"/>
  <c r="BB12" i="21"/>
  <c r="BG12" i="21"/>
  <c r="J21" i="20" s="1"/>
  <c r="J43" i="43"/>
  <c r="Y15" i="21" s="1"/>
  <c r="M43" i="49"/>
  <c r="BK15" i="21" s="1"/>
  <c r="P75" i="75"/>
  <c r="EW16" i="21"/>
  <c r="EH60" i="21"/>
  <c r="M19" i="57" s="1"/>
  <c r="EH21" i="21"/>
  <c r="M21" i="57" s="1"/>
  <c r="BM12" i="21"/>
  <c r="M75" i="76"/>
  <c r="EA16" i="21"/>
  <c r="P43" i="47"/>
  <c r="CO15" i="21" s="1"/>
  <c r="M43" i="48"/>
  <c r="BJ15" i="21" s="1"/>
  <c r="M75" i="75"/>
  <c r="DZ16" i="21"/>
  <c r="DO16" i="21"/>
  <c r="BI12" i="21"/>
  <c r="J75" i="81"/>
  <c r="DJ16" i="21"/>
  <c r="J43" i="38"/>
  <c r="J75" i="38" s="1"/>
  <c r="E15" i="10"/>
  <c r="E15" i="8"/>
  <c r="N12" i="21"/>
  <c r="CI12" i="21"/>
  <c r="M43" i="38"/>
  <c r="AZ15" i="21" s="1"/>
  <c r="AH12" i="21"/>
  <c r="P75" i="91"/>
  <c r="P1" i="91" s="1"/>
  <c r="P43" i="26"/>
  <c r="BT15" i="21" s="1"/>
  <c r="J75" i="78"/>
  <c r="DF16" i="21"/>
  <c r="J43" i="46"/>
  <c r="AB15" i="21" s="1"/>
  <c r="FK16" i="21"/>
  <c r="EP24" i="21"/>
  <c r="EP59" i="21" s="1"/>
  <c r="EP22" i="21"/>
  <c r="AZ12" i="21"/>
  <c r="J43" i="33"/>
  <c r="O15" i="21" s="1"/>
  <c r="G15" i="10"/>
  <c r="J75" i="70"/>
  <c r="J1" i="70" s="1"/>
  <c r="CX16" i="21"/>
  <c r="BX12" i="21"/>
  <c r="M75" i="73"/>
  <c r="DX16" i="21"/>
  <c r="M43" i="44"/>
  <c r="BF15" i="21" s="1"/>
  <c r="L12" i="21"/>
  <c r="M75" i="80"/>
  <c r="EF16" i="21"/>
  <c r="M43" i="43"/>
  <c r="J43" i="45"/>
  <c r="AA15" i="21" s="1"/>
  <c r="J75" i="83"/>
  <c r="DL16" i="21"/>
  <c r="BZ12" i="21"/>
  <c r="J75" i="91"/>
  <c r="J1" i="91" s="1"/>
  <c r="AC12" i="21"/>
  <c r="M43" i="47"/>
  <c r="BI15" i="21" s="1"/>
  <c r="M43" i="40"/>
  <c r="BB15" i="21" s="1"/>
  <c r="M75" i="83"/>
  <c r="EI16" i="21"/>
  <c r="M43" i="32"/>
  <c r="AT15" i="21" s="1"/>
  <c r="M75" i="81"/>
  <c r="EG16" i="21"/>
  <c r="J75" i="71"/>
  <c r="J1" i="71" s="1"/>
  <c r="CY16" i="21"/>
  <c r="CM12" i="21"/>
  <c r="P43" i="38"/>
  <c r="CF15" i="21" s="1"/>
  <c r="CK12" i="21"/>
  <c r="CG12" i="21"/>
  <c r="CT12" i="21"/>
  <c r="J43" i="26"/>
  <c r="CA12" i="21"/>
  <c r="BJ12" i="21"/>
  <c r="P43" i="46"/>
  <c r="CN15" i="21" s="1"/>
  <c r="J43" i="36"/>
  <c r="R15" i="21" s="1"/>
  <c r="P75" i="74"/>
  <c r="EV16" i="21"/>
  <c r="P75" i="73"/>
  <c r="EU16" i="21"/>
  <c r="AO12" i="21"/>
  <c r="M43" i="33"/>
  <c r="AU15" i="21" s="1"/>
  <c r="M43" i="28"/>
  <c r="M75" i="28" s="1"/>
  <c r="P43" i="22"/>
  <c r="BP15" i="21" s="1"/>
  <c r="BP21" i="21" s="1"/>
  <c r="D17" i="10"/>
  <c r="D17" i="8"/>
  <c r="J43" i="44"/>
  <c r="Z15" i="21" s="1"/>
  <c r="CC12" i="21"/>
  <c r="CJ13" i="21"/>
  <c r="P43" i="43"/>
  <c r="CK15" i="21" s="1"/>
  <c r="M43" i="45"/>
  <c r="BG15" i="21" s="1"/>
  <c r="U12" i="21"/>
  <c r="FM24" i="21"/>
  <c r="FM59" i="21" s="1"/>
  <c r="FM22" i="21"/>
  <c r="CP12" i="21"/>
  <c r="J43" i="47"/>
  <c r="AC15" i="21" s="1"/>
  <c r="J43" i="40"/>
  <c r="V15" i="21" s="1"/>
  <c r="J43" i="32"/>
  <c r="N15" i="21" s="1"/>
  <c r="J75" i="84"/>
  <c r="DM16" i="21"/>
  <c r="P75" i="81"/>
  <c r="FD16" i="21"/>
  <c r="CE12" i="21"/>
  <c r="P75" i="109"/>
  <c r="FB16" i="21"/>
  <c r="DG60" i="21"/>
  <c r="DG21" i="21"/>
  <c r="P43" i="33"/>
  <c r="CA15" i="21" s="1"/>
  <c r="P43" i="28"/>
  <c r="BV15" i="21" s="1"/>
  <c r="P43" i="41"/>
  <c r="CI15" i="21" s="1"/>
  <c r="M75" i="74"/>
  <c r="DY16" i="21"/>
  <c r="J43" i="25"/>
  <c r="P43" i="44"/>
  <c r="CL15" i="21" s="1"/>
  <c r="P75" i="46"/>
  <c r="CN12" i="21"/>
  <c r="BA12" i="21"/>
  <c r="CO12" i="21"/>
  <c r="J43" i="35"/>
  <c r="Q15" i="21" s="1"/>
  <c r="M75" i="70"/>
  <c r="DU16" i="21"/>
  <c r="AR12" i="21"/>
  <c r="J43" i="24"/>
  <c r="F15" i="21" s="1"/>
  <c r="P43" i="40"/>
  <c r="CH15" i="21" s="1"/>
  <c r="P43" i="32"/>
  <c r="BZ15" i="21" s="1"/>
  <c r="Y12" i="21"/>
  <c r="DP16" i="21"/>
  <c r="DN16" i="21"/>
  <c r="AY12" i="21"/>
  <c r="P21" i="20" s="1"/>
  <c r="EN16" i="21"/>
  <c r="J43" i="28"/>
  <c r="J15" i="21" s="1"/>
  <c r="J21" i="21" s="1"/>
  <c r="J43" i="41"/>
  <c r="W15" i="21" s="1"/>
  <c r="FH16" i="21"/>
  <c r="P43" i="25"/>
  <c r="BS15" i="21" s="1"/>
  <c r="CL12" i="21"/>
  <c r="CQ12" i="21"/>
  <c r="M43" i="35"/>
  <c r="AW15" i="21" s="1"/>
  <c r="EL16" i="21"/>
  <c r="AU12" i="21"/>
  <c r="BF12" i="21"/>
  <c r="P43" i="24"/>
  <c r="BR15" i="21" s="1"/>
  <c r="V21" i="20"/>
  <c r="U48" i="20"/>
  <c r="P43" i="42"/>
  <c r="X15" i="20"/>
  <c r="I48" i="20"/>
  <c r="W15" i="20"/>
  <c r="AD12" i="21"/>
  <c r="M43" i="31"/>
  <c r="AS15" i="21" s="1"/>
  <c r="AN12" i="21"/>
  <c r="J75" i="109"/>
  <c r="DH16" i="21"/>
  <c r="I12" i="21"/>
  <c r="M43" i="39"/>
  <c r="BA15" i="21" s="1"/>
  <c r="J43" i="42"/>
  <c r="P75" i="78"/>
  <c r="EZ16" i="21"/>
  <c r="T12" i="21"/>
  <c r="M43" i="27"/>
  <c r="AO15" i="21" s="1"/>
  <c r="EB60" i="21"/>
  <c r="EB21" i="21"/>
  <c r="J75" i="74"/>
  <c r="DB16" i="21"/>
  <c r="K12" i="21"/>
  <c r="J75" i="73"/>
  <c r="J1" i="73" s="1"/>
  <c r="DA16" i="21"/>
  <c r="M75" i="109"/>
  <c r="EE16" i="21"/>
  <c r="M43" i="34"/>
  <c r="AV15" i="21" s="1"/>
  <c r="AV21" i="21" s="1"/>
  <c r="M43" i="41"/>
  <c r="BH12" i="21"/>
  <c r="EO21" i="21"/>
  <c r="M43" i="25"/>
  <c r="AM15" i="21" s="1"/>
  <c r="AM21" i="21" s="1"/>
  <c r="P75" i="76"/>
  <c r="EX16" i="21"/>
  <c r="P43" i="35"/>
  <c r="CC15" i="21" s="1"/>
  <c r="F12" i="21"/>
  <c r="AA13" i="21"/>
  <c r="AE12" i="21"/>
  <c r="M43" i="24"/>
  <c r="AL15" i="21" s="1"/>
  <c r="N1" i="90"/>
  <c r="FI16" i="21"/>
  <c r="S12" i="21"/>
  <c r="O12" i="21"/>
  <c r="W12" i="21"/>
  <c r="CF12" i="21"/>
  <c r="G15" i="8"/>
  <c r="P43" i="27"/>
  <c r="BU15" i="21" s="1"/>
  <c r="DS24" i="21"/>
  <c r="DS59" i="21" s="1"/>
  <c r="DS22" i="21"/>
  <c r="P43" i="30"/>
  <c r="BX15" i="21" s="1"/>
  <c r="BR12" i="21"/>
  <c r="FJ16" i="21"/>
  <c r="Z12" i="21"/>
  <c r="P43" i="29"/>
  <c r="P43" i="31"/>
  <c r="AG12" i="21"/>
  <c r="X26" i="20"/>
  <c r="W26" i="20"/>
  <c r="P43" i="23"/>
  <c r="J43" i="30"/>
  <c r="L15" i="21" s="1"/>
  <c r="M75" i="72"/>
  <c r="M1" i="72" s="1"/>
  <c r="DW16" i="21"/>
  <c r="BN12" i="21"/>
  <c r="M43" i="51"/>
  <c r="BN15" i="21" s="1"/>
  <c r="M43" i="42"/>
  <c r="M12" i="21"/>
  <c r="EJ16" i="21"/>
  <c r="M75" i="84"/>
  <c r="Q48" i="20"/>
  <c r="M43" i="37"/>
  <c r="AY15" i="21" s="1"/>
  <c r="P27" i="20" s="1"/>
  <c r="J43" i="27"/>
  <c r="I15" i="21" s="1"/>
  <c r="AB12" i="21"/>
  <c r="J43" i="34"/>
  <c r="R23" i="20"/>
  <c r="H17" i="10"/>
  <c r="H17" i="8"/>
  <c r="FA60" i="21"/>
  <c r="FA21" i="21"/>
  <c r="J75" i="80"/>
  <c r="DI16" i="21"/>
  <c r="J43" i="50"/>
  <c r="AG15" i="21" s="1"/>
  <c r="DR24" i="21"/>
  <c r="DR59" i="21" s="1"/>
  <c r="DR22" i="21"/>
  <c r="P43" i="49"/>
  <c r="CQ15" i="21" s="1"/>
  <c r="AW12" i="21"/>
  <c r="V12" i="21"/>
  <c r="P43" i="48"/>
  <c r="CP15" i="21" s="1"/>
  <c r="FL21" i="21"/>
  <c r="FF21" i="21" l="1"/>
  <c r="FF22" i="21" s="1"/>
  <c r="DK21" i="21"/>
  <c r="DK24" i="21" s="1"/>
  <c r="DK59" i="21" s="1"/>
  <c r="J75" i="48"/>
  <c r="J75" i="31"/>
  <c r="J75" i="40"/>
  <c r="AA21" i="21"/>
  <c r="AA24" i="21" s="1"/>
  <c r="AA59" i="21" s="1"/>
  <c r="M75" i="22"/>
  <c r="L16" i="8"/>
  <c r="L16" i="10"/>
  <c r="X23" i="20"/>
  <c r="M75" i="44"/>
  <c r="J75" i="33"/>
  <c r="M75" i="46"/>
  <c r="AZ21" i="21"/>
  <c r="AZ22" i="21" s="1"/>
  <c r="X22" i="20"/>
  <c r="J75" i="44"/>
  <c r="AX60" i="21"/>
  <c r="FE60" i="21"/>
  <c r="AX21" i="21"/>
  <c r="AX22" i="21" s="1"/>
  <c r="H28" i="6" s="1"/>
  <c r="M28" i="6" s="1"/>
  <c r="M75" i="36"/>
  <c r="P75" i="45"/>
  <c r="DC60" i="21"/>
  <c r="ED60" i="21"/>
  <c r="J75" i="41"/>
  <c r="M75" i="48"/>
  <c r="J75" i="49"/>
  <c r="J75" i="37"/>
  <c r="P75" i="47"/>
  <c r="P75" i="39"/>
  <c r="P75" i="38"/>
  <c r="M75" i="30"/>
  <c r="BH60" i="21"/>
  <c r="M75" i="26"/>
  <c r="CD60" i="21"/>
  <c r="CD21" i="21"/>
  <c r="CD22" i="21" s="1"/>
  <c r="AN60" i="21"/>
  <c r="M75" i="33"/>
  <c r="P75" i="37"/>
  <c r="M75" i="50"/>
  <c r="P75" i="24"/>
  <c r="J75" i="43"/>
  <c r="J75" i="28"/>
  <c r="J75" i="29"/>
  <c r="J75" i="51"/>
  <c r="P75" i="44"/>
  <c r="P75" i="22"/>
  <c r="J75" i="24"/>
  <c r="U60" i="21"/>
  <c r="J75" i="39"/>
  <c r="J75" i="22"/>
  <c r="M75" i="25"/>
  <c r="M75" i="51"/>
  <c r="CS21" i="21"/>
  <c r="CS22" i="21" s="1"/>
  <c r="M75" i="38"/>
  <c r="P75" i="26"/>
  <c r="P75" i="36"/>
  <c r="AV24" i="21"/>
  <c r="AV59" i="21" s="1"/>
  <c r="AV22" i="21"/>
  <c r="AM24" i="21"/>
  <c r="AM59" i="21" s="1"/>
  <c r="AM22" i="21"/>
  <c r="J24" i="21"/>
  <c r="J59" i="21" s="1"/>
  <c r="J22" i="21"/>
  <c r="AL60" i="21"/>
  <c r="X15" i="21"/>
  <c r="J75" i="42"/>
  <c r="CH60" i="21"/>
  <c r="BV60" i="21"/>
  <c r="DM60" i="21"/>
  <c r="DM21" i="21"/>
  <c r="AC60" i="21"/>
  <c r="P75" i="35"/>
  <c r="P75" i="33"/>
  <c r="CG21" i="21"/>
  <c r="BE15" i="21"/>
  <c r="M75" i="43"/>
  <c r="CX60" i="21"/>
  <c r="CX21" i="21"/>
  <c r="O60" i="21"/>
  <c r="DF60" i="21"/>
  <c r="DF21" i="21"/>
  <c r="AH21" i="21"/>
  <c r="J75" i="32"/>
  <c r="T15" i="21"/>
  <c r="T21" i="21" s="1"/>
  <c r="BI21" i="21"/>
  <c r="BV21" i="21"/>
  <c r="BJ60" i="21"/>
  <c r="Y60" i="21"/>
  <c r="EY24" i="21"/>
  <c r="EY59" i="21" s="1"/>
  <c r="EY22" i="21"/>
  <c r="P75" i="50"/>
  <c r="CE60" i="21"/>
  <c r="ES60" i="21"/>
  <c r="ES21" i="21"/>
  <c r="BZ60" i="21"/>
  <c r="CN21" i="21"/>
  <c r="AP15" i="21"/>
  <c r="L27" i="20" s="1"/>
  <c r="EU60" i="21"/>
  <c r="EU21" i="21"/>
  <c r="CM21" i="21"/>
  <c r="AB60" i="21"/>
  <c r="N21" i="21"/>
  <c r="DW21" i="21"/>
  <c r="DW60" i="21"/>
  <c r="FJ60" i="21"/>
  <c r="W21" i="21"/>
  <c r="FI60" i="21"/>
  <c r="CC60" i="21"/>
  <c r="K21" i="21"/>
  <c r="AO60" i="21"/>
  <c r="BA60" i="21"/>
  <c r="CQ21" i="21"/>
  <c r="DP60" i="21"/>
  <c r="F60" i="21"/>
  <c r="CO21" i="21"/>
  <c r="U21" i="21"/>
  <c r="Z60" i="21"/>
  <c r="D24" i="21"/>
  <c r="D59" i="21" s="1"/>
  <c r="D22" i="21"/>
  <c r="H15" i="21"/>
  <c r="H21" i="21" s="1"/>
  <c r="CY60" i="21"/>
  <c r="CY21" i="21"/>
  <c r="BB60" i="21"/>
  <c r="EF21" i="21"/>
  <c r="EF60" i="21"/>
  <c r="F19" i="58" s="1"/>
  <c r="BF60" i="21"/>
  <c r="DJ60" i="21"/>
  <c r="DJ21" i="21"/>
  <c r="M75" i="47"/>
  <c r="CO60" i="21"/>
  <c r="EH24" i="21"/>
  <c r="EH59" i="21" s="1"/>
  <c r="M20" i="57" s="1"/>
  <c r="EH22" i="21"/>
  <c r="M22" i="57" s="1"/>
  <c r="AS21" i="21"/>
  <c r="AT21" i="21"/>
  <c r="F15" i="8"/>
  <c r="AE60" i="21"/>
  <c r="BK21" i="21"/>
  <c r="CZ60" i="21"/>
  <c r="CZ21" i="21"/>
  <c r="I15" i="8"/>
  <c r="BN21" i="21"/>
  <c r="DS25" i="21"/>
  <c r="E64" i="6"/>
  <c r="BH21" i="21"/>
  <c r="AN21" i="21"/>
  <c r="AU21" i="21"/>
  <c r="P75" i="49"/>
  <c r="FH60" i="21"/>
  <c r="J75" i="45"/>
  <c r="CL60" i="21"/>
  <c r="FB60" i="21"/>
  <c r="FB21" i="21"/>
  <c r="P75" i="48"/>
  <c r="BG60" i="21"/>
  <c r="CN60" i="21"/>
  <c r="BI60" i="21"/>
  <c r="BZ21" i="21"/>
  <c r="DX60" i="21"/>
  <c r="DX21" i="21"/>
  <c r="H64" i="6"/>
  <c r="M64" i="6" s="1"/>
  <c r="EP25" i="21"/>
  <c r="AZ60" i="21"/>
  <c r="DO60" i="21"/>
  <c r="EA60" i="21"/>
  <c r="K19" i="57" s="1"/>
  <c r="EA21" i="21"/>
  <c r="K21" i="57" s="1"/>
  <c r="M75" i="45"/>
  <c r="CS60" i="21"/>
  <c r="M75" i="31"/>
  <c r="M75" i="32"/>
  <c r="J75" i="26"/>
  <c r="AD60" i="21"/>
  <c r="N27" i="20"/>
  <c r="M75" i="49"/>
  <c r="CB15" i="21"/>
  <c r="P75" i="34"/>
  <c r="DV60" i="21"/>
  <c r="DV21" i="21"/>
  <c r="EO24" i="21"/>
  <c r="EO59" i="21" s="1"/>
  <c r="EO22" i="21"/>
  <c r="CI60" i="21"/>
  <c r="CC21" i="21"/>
  <c r="CA21" i="21"/>
  <c r="BM60" i="21"/>
  <c r="CT60" i="21"/>
  <c r="DI60" i="21"/>
  <c r="DI21" i="21"/>
  <c r="H15" i="8"/>
  <c r="H15" i="10"/>
  <c r="R21" i="20"/>
  <c r="AW21" i="21"/>
  <c r="FL24" i="21"/>
  <c r="FL59" i="21" s="1"/>
  <c r="FL22" i="21"/>
  <c r="M21" i="21"/>
  <c r="CQ60" i="21"/>
  <c r="P15" i="21"/>
  <c r="J75" i="34"/>
  <c r="J75" i="46"/>
  <c r="J75" i="50"/>
  <c r="BU60" i="21"/>
  <c r="AE21" i="21"/>
  <c r="EE60" i="21"/>
  <c r="H19" i="57" s="1"/>
  <c r="EE21" i="21"/>
  <c r="H21" i="57" s="1"/>
  <c r="DB60" i="21"/>
  <c r="DB21" i="21"/>
  <c r="I21" i="21"/>
  <c r="W48" i="20"/>
  <c r="X48" i="20"/>
  <c r="BR60" i="21"/>
  <c r="BS60" i="21"/>
  <c r="D15" i="10"/>
  <c r="AY21" i="21"/>
  <c r="D15" i="8"/>
  <c r="BA21" i="21"/>
  <c r="G15" i="21"/>
  <c r="J75" i="25"/>
  <c r="W23" i="20"/>
  <c r="CE21" i="21"/>
  <c r="CP21" i="21"/>
  <c r="CK60" i="21"/>
  <c r="AU60" i="21"/>
  <c r="EV60" i="21"/>
  <c r="EV21" i="21"/>
  <c r="P75" i="51"/>
  <c r="CK21" i="21"/>
  <c r="P75" i="32"/>
  <c r="D60" i="21"/>
  <c r="BT60" i="21"/>
  <c r="BG21" i="21"/>
  <c r="DD60" i="21"/>
  <c r="DD21" i="21"/>
  <c r="AJ60" i="21"/>
  <c r="S60" i="21"/>
  <c r="E15" i="21"/>
  <c r="J75" i="23"/>
  <c r="AQ15" i="21"/>
  <c r="M75" i="29"/>
  <c r="ER60" i="21"/>
  <c r="ER21" i="21"/>
  <c r="J75" i="36"/>
  <c r="BS21" i="21"/>
  <c r="AY60" i="21"/>
  <c r="BX60" i="21"/>
  <c r="F21" i="21"/>
  <c r="BF21" i="21"/>
  <c r="V60" i="21"/>
  <c r="DC24" i="21"/>
  <c r="DC59" i="21" s="1"/>
  <c r="DC22" i="21"/>
  <c r="CP60" i="21"/>
  <c r="AB21" i="21"/>
  <c r="BD15" i="21"/>
  <c r="M75" i="42"/>
  <c r="BY15" i="21"/>
  <c r="P75" i="31"/>
  <c r="O21" i="21"/>
  <c r="EX60" i="21"/>
  <c r="EX21" i="21"/>
  <c r="BP24" i="21"/>
  <c r="BP59" i="21" s="1"/>
  <c r="BP22" i="21"/>
  <c r="J75" i="27"/>
  <c r="AS60" i="21"/>
  <c r="W60" i="21"/>
  <c r="M75" i="37"/>
  <c r="M75" i="39"/>
  <c r="DY21" i="21"/>
  <c r="L21" i="57" s="1"/>
  <c r="DY60" i="21"/>
  <c r="N60" i="21"/>
  <c r="L17" i="8"/>
  <c r="BJ21" i="21"/>
  <c r="CT21" i="21"/>
  <c r="P75" i="43"/>
  <c r="EG21" i="21"/>
  <c r="P21" i="57" s="1"/>
  <c r="EG60" i="21"/>
  <c r="P75" i="28"/>
  <c r="J75" i="47"/>
  <c r="DL60" i="21"/>
  <c r="DL21" i="21"/>
  <c r="FK60" i="21"/>
  <c r="FK21" i="21"/>
  <c r="P75" i="40"/>
  <c r="CI21" i="21"/>
  <c r="EW60" i="21"/>
  <c r="L28" i="20"/>
  <c r="EW21" i="21"/>
  <c r="P75" i="25"/>
  <c r="M75" i="34"/>
  <c r="CH21" i="21"/>
  <c r="FC60" i="21"/>
  <c r="FC21" i="21"/>
  <c r="DQ60" i="21"/>
  <c r="DQ21" i="21"/>
  <c r="FG60" i="21"/>
  <c r="FG21" i="21"/>
  <c r="AK15" i="21"/>
  <c r="M75" i="23"/>
  <c r="AL21" i="21"/>
  <c r="AG60" i="21"/>
  <c r="Z21" i="21"/>
  <c r="S21" i="21"/>
  <c r="AW60" i="21"/>
  <c r="R27" i="20"/>
  <c r="EN60" i="21"/>
  <c r="EN21" i="21"/>
  <c r="DU21" i="21"/>
  <c r="DU60" i="21"/>
  <c r="BK60" i="21"/>
  <c r="AG21" i="21"/>
  <c r="ED24" i="21"/>
  <c r="ED59" i="21" s="1"/>
  <c r="H21" i="58"/>
  <c r="ED22" i="21"/>
  <c r="J22" i="57" s="1"/>
  <c r="BN60" i="21"/>
  <c r="L60" i="21"/>
  <c r="BW15" i="21"/>
  <c r="P75" i="29"/>
  <c r="DA60" i="21"/>
  <c r="DA21" i="21"/>
  <c r="EZ60" i="21"/>
  <c r="EZ21" i="21"/>
  <c r="DH60" i="21"/>
  <c r="DH21" i="21"/>
  <c r="EL60" i="21"/>
  <c r="J60" i="21"/>
  <c r="AR21" i="21"/>
  <c r="CA60" i="21"/>
  <c r="FM25" i="21"/>
  <c r="K64" i="6"/>
  <c r="L17" i="10"/>
  <c r="AO21" i="21"/>
  <c r="R60" i="21"/>
  <c r="CF60" i="21"/>
  <c r="AT60" i="21"/>
  <c r="AC21" i="21"/>
  <c r="J75" i="30"/>
  <c r="P75" i="41"/>
  <c r="DZ60" i="21"/>
  <c r="DZ21" i="21"/>
  <c r="BB21" i="21"/>
  <c r="AH60" i="21"/>
  <c r="BU21" i="21"/>
  <c r="Q21" i="21"/>
  <c r="DE24" i="21"/>
  <c r="DE59" i="21" s="1"/>
  <c r="DE22" i="21"/>
  <c r="M75" i="24"/>
  <c r="AV60" i="21"/>
  <c r="AA60" i="21"/>
  <c r="BX21" i="21"/>
  <c r="FE24" i="21"/>
  <c r="FE59" i="21" s="1"/>
  <c r="FE22" i="21"/>
  <c r="EC60" i="21"/>
  <c r="EC21" i="21"/>
  <c r="M75" i="35"/>
  <c r="FA24" i="21"/>
  <c r="FA59" i="21" s="1"/>
  <c r="FA22" i="21"/>
  <c r="E63" i="6"/>
  <c r="DR25" i="21"/>
  <c r="V21" i="21"/>
  <c r="I60" i="21"/>
  <c r="EJ60" i="21"/>
  <c r="EJ21" i="21"/>
  <c r="O21" i="57" s="1"/>
  <c r="BQ15" i="21"/>
  <c r="P75" i="23"/>
  <c r="BR21" i="21"/>
  <c r="AJ24" i="21"/>
  <c r="AJ59" i="21" s="1"/>
  <c r="AJ22" i="21"/>
  <c r="CF21" i="21"/>
  <c r="AM60" i="21"/>
  <c r="BC15" i="21"/>
  <c r="M75" i="41"/>
  <c r="EB24" i="21"/>
  <c r="EB59" i="21" s="1"/>
  <c r="EB22" i="21"/>
  <c r="AD21" i="21"/>
  <c r="N21" i="20"/>
  <c r="CJ15" i="21"/>
  <c r="P75" i="42"/>
  <c r="CL21" i="21"/>
  <c r="DN60" i="21"/>
  <c r="Y21" i="21"/>
  <c r="Q60" i="21"/>
  <c r="DG24" i="21"/>
  <c r="DG59" i="21" s="1"/>
  <c r="DG22" i="21"/>
  <c r="FD60" i="21"/>
  <c r="FD21" i="21"/>
  <c r="T28" i="20"/>
  <c r="BP60" i="21"/>
  <c r="M75" i="27"/>
  <c r="EI60" i="21"/>
  <c r="EI21" i="21"/>
  <c r="N21" i="57" s="1"/>
  <c r="L21" i="21"/>
  <c r="P75" i="30"/>
  <c r="BM21" i="21"/>
  <c r="M75" i="40"/>
  <c r="R21" i="21"/>
  <c r="P28" i="20"/>
  <c r="EM60" i="21"/>
  <c r="P75" i="27"/>
  <c r="BT21" i="21"/>
  <c r="J75" i="35"/>
  <c r="EK60" i="21"/>
  <c r="Q19" i="57" s="1"/>
  <c r="ET60" i="21"/>
  <c r="ET21" i="21"/>
  <c r="FF24" i="21" l="1"/>
  <c r="FF59" i="21" s="1"/>
  <c r="DK22" i="21"/>
  <c r="E57" i="6" s="1"/>
  <c r="D19" i="58"/>
  <c r="AA22" i="21"/>
  <c r="I18" i="8"/>
  <c r="F18" i="8"/>
  <c r="G18" i="8"/>
  <c r="G19" i="8"/>
  <c r="E19" i="58"/>
  <c r="P19" i="57"/>
  <c r="CD24" i="21"/>
  <c r="CD59" i="21" s="1"/>
  <c r="AX24" i="21"/>
  <c r="D19" i="57"/>
  <c r="F19" i="57"/>
  <c r="R19" i="57"/>
  <c r="G19" i="57"/>
  <c r="N19" i="57"/>
  <c r="E19" i="57"/>
  <c r="L19" i="57"/>
  <c r="J20" i="57"/>
  <c r="G19" i="58"/>
  <c r="O19" i="57"/>
  <c r="H19" i="58"/>
  <c r="J19" i="57"/>
  <c r="I19" i="57"/>
  <c r="CS24" i="21"/>
  <c r="CS59" i="21" s="1"/>
  <c r="X21" i="20"/>
  <c r="G20" i="8"/>
  <c r="L15" i="8"/>
  <c r="BC60" i="21"/>
  <c r="BC21" i="21"/>
  <c r="G21" i="58"/>
  <c r="EJ24" i="21"/>
  <c r="EJ59" i="21" s="1"/>
  <c r="EJ22" i="21"/>
  <c r="O22" i="57" s="1"/>
  <c r="BU24" i="21"/>
  <c r="BU59" i="21" s="1"/>
  <c r="BU22" i="21"/>
  <c r="DA24" i="21"/>
  <c r="DA59" i="21" s="1"/>
  <c r="DA22" i="21"/>
  <c r="S24" i="21"/>
  <c r="S59" i="21" s="1"/>
  <c r="S22" i="21"/>
  <c r="DQ24" i="21"/>
  <c r="DQ59" i="21" s="1"/>
  <c r="DQ22" i="21"/>
  <c r="CI24" i="21"/>
  <c r="CI59" i="21" s="1"/>
  <c r="CI22" i="21"/>
  <c r="CT24" i="21"/>
  <c r="CT59" i="21" s="1"/>
  <c r="CT22" i="21"/>
  <c r="EX24" i="21"/>
  <c r="EX59" i="21" s="1"/>
  <c r="EX22" i="21"/>
  <c r="BY60" i="21"/>
  <c r="BY21" i="21"/>
  <c r="BS24" i="21"/>
  <c r="BS59" i="21" s="1"/>
  <c r="BS22" i="21"/>
  <c r="EV24" i="21"/>
  <c r="EV59" i="21" s="1"/>
  <c r="EV22" i="21"/>
  <c r="R30" i="20"/>
  <c r="AW24" i="21"/>
  <c r="H20" i="10" s="1"/>
  <c r="AW22" i="21"/>
  <c r="K29" i="6"/>
  <c r="H60" i="21"/>
  <c r="ES24" i="21"/>
  <c r="ES59" i="21" s="1"/>
  <c r="ES22" i="21"/>
  <c r="E20" i="6"/>
  <c r="R24" i="21"/>
  <c r="R59" i="21" s="1"/>
  <c r="R22" i="21"/>
  <c r="CL24" i="21"/>
  <c r="CL59" i="21" s="1"/>
  <c r="CL22" i="21"/>
  <c r="AZ24" i="21"/>
  <c r="AZ59" i="21" s="1"/>
  <c r="Q24" i="21"/>
  <c r="Q59" i="21" s="1"/>
  <c r="Q22" i="21"/>
  <c r="E27" i="6" s="1"/>
  <c r="F21" i="57"/>
  <c r="P30" i="20"/>
  <c r="N30" i="20"/>
  <c r="AD24" i="21"/>
  <c r="AD22" i="21"/>
  <c r="E52" i="6"/>
  <c r="EN24" i="21"/>
  <c r="EN59" i="21" s="1"/>
  <c r="EN22" i="21"/>
  <c r="Z24" i="21"/>
  <c r="Z59" i="21" s="1"/>
  <c r="Z22" i="21"/>
  <c r="AL24" i="21"/>
  <c r="AL59" i="21" s="1"/>
  <c r="AL22" i="21"/>
  <c r="F24" i="21"/>
  <c r="F59" i="21" s="1"/>
  <c r="F22" i="21"/>
  <c r="BA24" i="21"/>
  <c r="BA59" i="21" s="1"/>
  <c r="BA22" i="21"/>
  <c r="CB60" i="21"/>
  <c r="CB21" i="21"/>
  <c r="AN24" i="21"/>
  <c r="AN59" i="21" s="1"/>
  <c r="AN22" i="21"/>
  <c r="AS24" i="21"/>
  <c r="AS59" i="21" s="1"/>
  <c r="AS22" i="21"/>
  <c r="DJ24" i="21"/>
  <c r="DJ59" i="21" s="1"/>
  <c r="DJ22" i="21"/>
  <c r="E14" i="6"/>
  <c r="N24" i="21"/>
  <c r="N59" i="21" s="1"/>
  <c r="N22" i="21"/>
  <c r="AH24" i="21"/>
  <c r="AH59" i="21" s="1"/>
  <c r="AH22" i="21"/>
  <c r="CF24" i="21"/>
  <c r="CF59" i="21" s="1"/>
  <c r="CF22" i="21"/>
  <c r="E54" i="6"/>
  <c r="K54" i="6"/>
  <c r="K57" i="6"/>
  <c r="AC24" i="21"/>
  <c r="AC59" i="21" s="1"/>
  <c r="AC22" i="21"/>
  <c r="DH24" i="21"/>
  <c r="DH59" i="21" s="1"/>
  <c r="DH22" i="21"/>
  <c r="H22" i="58"/>
  <c r="H54" i="6"/>
  <c r="M54" i="6" s="1"/>
  <c r="BJ24" i="21"/>
  <c r="BJ59" i="21" s="1"/>
  <c r="BJ22" i="21"/>
  <c r="E21" i="57"/>
  <c r="DY24" i="21"/>
  <c r="DY59" i="21" s="1"/>
  <c r="DY22" i="21"/>
  <c r="L22" i="57" s="1"/>
  <c r="E50" i="6"/>
  <c r="ER24" i="21"/>
  <c r="ER59" i="21" s="1"/>
  <c r="ER22" i="21"/>
  <c r="E60" i="21"/>
  <c r="E21" i="21"/>
  <c r="CE24" i="21"/>
  <c r="CE59" i="21" s="1"/>
  <c r="CE22" i="21"/>
  <c r="EE24" i="21"/>
  <c r="EE59" i="21" s="1"/>
  <c r="H20" i="57" s="1"/>
  <c r="EE22" i="21"/>
  <c r="H22" i="57" s="1"/>
  <c r="M24" i="21"/>
  <c r="M59" i="21" s="1"/>
  <c r="M22" i="21"/>
  <c r="BZ24" i="21"/>
  <c r="BZ59" i="21" s="1"/>
  <c r="BZ22" i="21"/>
  <c r="CZ24" i="21"/>
  <c r="CZ59" i="21" s="1"/>
  <c r="CZ22" i="21"/>
  <c r="H24" i="21"/>
  <c r="H59" i="21" s="1"/>
  <c r="H22" i="21"/>
  <c r="K52" i="6"/>
  <c r="BV24" i="21"/>
  <c r="BV59" i="21" s="1"/>
  <c r="BV22" i="21"/>
  <c r="DF24" i="21"/>
  <c r="DF59" i="21" s="1"/>
  <c r="DF22" i="21"/>
  <c r="X60" i="21"/>
  <c r="X21" i="21"/>
  <c r="L24" i="21"/>
  <c r="L59" i="21" s="1"/>
  <c r="L22" i="21"/>
  <c r="H52" i="6"/>
  <c r="M52" i="6" s="1"/>
  <c r="BR24" i="21"/>
  <c r="BR59" i="21" s="1"/>
  <c r="BR22" i="21"/>
  <c r="AO24" i="21"/>
  <c r="AO59" i="21" s="1"/>
  <c r="AO22" i="21"/>
  <c r="FK24" i="21"/>
  <c r="FK59" i="21" s="1"/>
  <c r="FK22" i="21"/>
  <c r="BD60" i="21"/>
  <c r="F18" i="10" s="1"/>
  <c r="BD21" i="21"/>
  <c r="BG24" i="21"/>
  <c r="BG59" i="21" s="1"/>
  <c r="BG22" i="21"/>
  <c r="AY24" i="21"/>
  <c r="AY59" i="21" s="1"/>
  <c r="AY22" i="21"/>
  <c r="EO25" i="21"/>
  <c r="H63" i="6"/>
  <c r="M63" i="6" s="1"/>
  <c r="T24" i="21"/>
  <c r="T59" i="21" s="1"/>
  <c r="T22" i="21"/>
  <c r="H57" i="6"/>
  <c r="M57" i="6" s="1"/>
  <c r="CO24" i="21"/>
  <c r="CO59" i="21" s="1"/>
  <c r="CO22" i="21"/>
  <c r="CQ24" i="21"/>
  <c r="CQ59" i="21" s="1"/>
  <c r="CQ22" i="21"/>
  <c r="AP60" i="21"/>
  <c r="G18" i="10" s="1"/>
  <c r="AP21" i="21"/>
  <c r="L30" i="20" s="1"/>
  <c r="DM24" i="21"/>
  <c r="DM59" i="21" s="1"/>
  <c r="DM22" i="21"/>
  <c r="K58" i="6"/>
  <c r="AR24" i="21"/>
  <c r="AR59" i="21" s="1"/>
  <c r="AR22" i="21"/>
  <c r="AK60" i="21"/>
  <c r="J27" i="20"/>
  <c r="AK21" i="21"/>
  <c r="FC24" i="21"/>
  <c r="FC59" i="21" s="1"/>
  <c r="FC22" i="21"/>
  <c r="EW22" i="21"/>
  <c r="EW24" i="21"/>
  <c r="O24" i="21"/>
  <c r="O59" i="21" s="1"/>
  <c r="O22" i="21"/>
  <c r="AB24" i="21"/>
  <c r="AB59" i="21" s="1"/>
  <c r="AB22" i="21"/>
  <c r="D18" i="10"/>
  <c r="D18" i="8"/>
  <c r="CA24" i="21"/>
  <c r="CA59" i="21" s="1"/>
  <c r="CA22" i="21"/>
  <c r="AU24" i="21"/>
  <c r="AU59" i="21" s="1"/>
  <c r="AU22" i="21"/>
  <c r="CY24" i="21"/>
  <c r="CY59" i="21" s="1"/>
  <c r="CY22" i="21"/>
  <c r="K24" i="21"/>
  <c r="K59" i="21" s="1"/>
  <c r="K22" i="21"/>
  <c r="W24" i="21"/>
  <c r="W59" i="21" s="1"/>
  <c r="W22" i="21"/>
  <c r="DW24" i="21"/>
  <c r="DW59" i="21" s="1"/>
  <c r="DW22" i="21"/>
  <c r="D21" i="58"/>
  <c r="CN24" i="21"/>
  <c r="CN59" i="21" s="1"/>
  <c r="CN22" i="21"/>
  <c r="BI24" i="21"/>
  <c r="BI59" i="21" s="1"/>
  <c r="BI22" i="21"/>
  <c r="BE60" i="21"/>
  <c r="V27" i="20"/>
  <c r="BE21" i="21"/>
  <c r="X28" i="20"/>
  <c r="K14" i="6"/>
  <c r="CK24" i="21"/>
  <c r="CK59" i="21" s="1"/>
  <c r="CK22" i="21"/>
  <c r="L15" i="10"/>
  <c r="I24" i="21"/>
  <c r="I59" i="21" s="1"/>
  <c r="I22" i="21"/>
  <c r="AE24" i="21"/>
  <c r="AE59" i="21" s="1"/>
  <c r="AE22" i="21"/>
  <c r="DI24" i="21"/>
  <c r="DI59" i="21" s="1"/>
  <c r="DI22" i="21"/>
  <c r="DV24" i="21"/>
  <c r="DV59" i="21" s="1"/>
  <c r="DV22" i="21"/>
  <c r="BK24" i="21"/>
  <c r="BK59" i="21" s="1"/>
  <c r="BK22" i="21"/>
  <c r="CM24" i="21"/>
  <c r="CM59" i="21" s="1"/>
  <c r="CM22" i="21"/>
  <c r="H17" i="6"/>
  <c r="M17" i="6" s="1"/>
  <c r="H26" i="6"/>
  <c r="M26" i="6" s="1"/>
  <c r="G21" i="8"/>
  <c r="H14" i="6"/>
  <c r="M14" i="6" s="1"/>
  <c r="BQ60" i="21"/>
  <c r="BQ21" i="21"/>
  <c r="EG24" i="21"/>
  <c r="EG59" i="21" s="1"/>
  <c r="E21" i="58"/>
  <c r="EG22" i="21"/>
  <c r="P22" i="57" s="1"/>
  <c r="K63" i="6"/>
  <c r="FL25" i="21"/>
  <c r="CC24" i="21"/>
  <c r="CC59" i="21" s="1"/>
  <c r="CC22" i="21"/>
  <c r="BN24" i="21"/>
  <c r="BN59" i="21" s="1"/>
  <c r="BN22" i="21"/>
  <c r="AT24" i="21"/>
  <c r="AT59" i="21" s="1"/>
  <c r="AT22" i="21"/>
  <c r="T60" i="21"/>
  <c r="CG24" i="21"/>
  <c r="CG59" i="21" s="1"/>
  <c r="CG22" i="21"/>
  <c r="BB24" i="21"/>
  <c r="BB59" i="21" s="1"/>
  <c r="BB22" i="21"/>
  <c r="BT24" i="21"/>
  <c r="BT59" i="21" s="1"/>
  <c r="BT22" i="21"/>
  <c r="G21" i="57"/>
  <c r="EI24" i="21"/>
  <c r="EI59" i="21" s="1"/>
  <c r="EI22" i="21"/>
  <c r="N22" i="57" s="1"/>
  <c r="V24" i="21"/>
  <c r="V59" i="21" s="1"/>
  <c r="V22" i="21"/>
  <c r="EZ24" i="21"/>
  <c r="EZ59" i="21" s="1"/>
  <c r="EZ22" i="21"/>
  <c r="BW60" i="21"/>
  <c r="BW21" i="21"/>
  <c r="H18" i="10"/>
  <c r="H18" i="8"/>
  <c r="FG24" i="21"/>
  <c r="FG59" i="21" s="1"/>
  <c r="FG22" i="21"/>
  <c r="ET24" i="21"/>
  <c r="ET59" i="21" s="1"/>
  <c r="ET22" i="21"/>
  <c r="BM24" i="21"/>
  <c r="BM59" i="21" s="1"/>
  <c r="BM22" i="21"/>
  <c r="FD22" i="21"/>
  <c r="T30" i="20"/>
  <c r="FD24" i="21"/>
  <c r="Y24" i="21"/>
  <c r="Y59" i="21" s="1"/>
  <c r="Y22" i="21"/>
  <c r="CJ60" i="21"/>
  <c r="CJ21" i="21"/>
  <c r="EC24" i="21"/>
  <c r="EC59" i="21" s="1"/>
  <c r="I21" i="57"/>
  <c r="EC22" i="21"/>
  <c r="BX24" i="21"/>
  <c r="BX59" i="21" s="1"/>
  <c r="BX22" i="21"/>
  <c r="DZ24" i="21"/>
  <c r="DZ59" i="21" s="1"/>
  <c r="DZ22" i="21"/>
  <c r="AG24" i="21"/>
  <c r="AG59" i="21" s="1"/>
  <c r="AG22" i="21"/>
  <c r="DU24" i="21"/>
  <c r="DU59" i="21" s="1"/>
  <c r="D21" i="57"/>
  <c r="DU22" i="21"/>
  <c r="CH24" i="21"/>
  <c r="CH59" i="21" s="1"/>
  <c r="CH22" i="21"/>
  <c r="DL24" i="21"/>
  <c r="DL59" i="21" s="1"/>
  <c r="DL22" i="21"/>
  <c r="BF24" i="21"/>
  <c r="BF59" i="21" s="1"/>
  <c r="BF22" i="21"/>
  <c r="AQ60" i="21"/>
  <c r="AQ21" i="21"/>
  <c r="DD24" i="21"/>
  <c r="DD59" i="21" s="1"/>
  <c r="DD22" i="21"/>
  <c r="CP24" i="21"/>
  <c r="CP59" i="21" s="1"/>
  <c r="CP22" i="21"/>
  <c r="G60" i="21"/>
  <c r="G21" i="21"/>
  <c r="DB24" i="21"/>
  <c r="DB59" i="21" s="1"/>
  <c r="DB22" i="21"/>
  <c r="P60" i="21"/>
  <c r="P21" i="21"/>
  <c r="EA24" i="21"/>
  <c r="EA59" i="21" s="1"/>
  <c r="K20" i="57" s="1"/>
  <c r="EA22" i="21"/>
  <c r="K22" i="57" s="1"/>
  <c r="DX24" i="21"/>
  <c r="DX59" i="21" s="1"/>
  <c r="DX22" i="21"/>
  <c r="FB22" i="21"/>
  <c r="FB24" i="21"/>
  <c r="FB59" i="21" s="1"/>
  <c r="BH24" i="21"/>
  <c r="BH59" i="21" s="1"/>
  <c r="BH22" i="21"/>
  <c r="F21" i="58"/>
  <c r="EF24" i="21"/>
  <c r="EF59" i="21" s="1"/>
  <c r="F20" i="58" s="1"/>
  <c r="EF22" i="21"/>
  <c r="U24" i="21"/>
  <c r="U59" i="21" s="1"/>
  <c r="U22" i="21"/>
  <c r="EU24" i="21"/>
  <c r="EU59" i="21" s="1"/>
  <c r="EU22" i="21"/>
  <c r="CX24" i="21"/>
  <c r="CX59" i="21" s="1"/>
  <c r="CX22" i="21"/>
  <c r="E37" i="6" l="1"/>
  <c r="K20" i="58"/>
  <c r="J20" i="58"/>
  <c r="I20" i="58"/>
  <c r="H20" i="58"/>
  <c r="I19" i="8"/>
  <c r="F19" i="8"/>
  <c r="D20" i="58"/>
  <c r="AX59" i="21"/>
  <c r="E20" i="58"/>
  <c r="P20" i="57"/>
  <c r="N19" i="58"/>
  <c r="G20" i="58"/>
  <c r="O20" i="57"/>
  <c r="U19" i="57"/>
  <c r="D20" i="57"/>
  <c r="E20" i="57"/>
  <c r="L20" i="57"/>
  <c r="G20" i="57"/>
  <c r="N20" i="57"/>
  <c r="I20" i="57"/>
  <c r="H20" i="8"/>
  <c r="D20" i="10"/>
  <c r="I20" i="8"/>
  <c r="D20" i="8"/>
  <c r="U21" i="57"/>
  <c r="K48" i="6"/>
  <c r="K40" i="6"/>
  <c r="E41" i="6"/>
  <c r="E21" i="6"/>
  <c r="H25" i="6"/>
  <c r="M25" i="6" s="1"/>
  <c r="EW59" i="21"/>
  <c r="E18" i="8"/>
  <c r="L18" i="8" s="1"/>
  <c r="E18" i="10"/>
  <c r="L18" i="10" s="1"/>
  <c r="E59" i="6"/>
  <c r="E30" i="6"/>
  <c r="D21" i="8"/>
  <c r="D21" i="10"/>
  <c r="H29" i="6"/>
  <c r="M29" i="6" s="1"/>
  <c r="BD24" i="21"/>
  <c r="BD59" i="21" s="1"/>
  <c r="F19" i="10" s="1"/>
  <c r="BD22" i="21"/>
  <c r="E22" i="57"/>
  <c r="H49" i="6"/>
  <c r="M49" i="6" s="1"/>
  <c r="E39" i="6"/>
  <c r="CB24" i="21"/>
  <c r="CB59" i="21" s="1"/>
  <c r="CB22" i="21"/>
  <c r="M35" i="20"/>
  <c r="M74" i="20" s="1"/>
  <c r="AD59" i="21"/>
  <c r="O123" i="20"/>
  <c r="O32" i="20"/>
  <c r="G22" i="58"/>
  <c r="H59" i="6"/>
  <c r="M59" i="6" s="1"/>
  <c r="I22" i="57"/>
  <c r="H53" i="6"/>
  <c r="M53" i="6" s="1"/>
  <c r="K56" i="6"/>
  <c r="K59" i="6"/>
  <c r="K53" i="6"/>
  <c r="F21" i="8"/>
  <c r="H24" i="6"/>
  <c r="M24" i="6" s="1"/>
  <c r="K27" i="6"/>
  <c r="K37" i="6"/>
  <c r="N21" i="58"/>
  <c r="E38" i="6"/>
  <c r="K45" i="6"/>
  <c r="H23" i="6"/>
  <c r="M23" i="6" s="1"/>
  <c r="EN25" i="21"/>
  <c r="H23" i="58" s="1"/>
  <c r="M123" i="20"/>
  <c r="M32" i="20"/>
  <c r="H30" i="6"/>
  <c r="M30" i="6" s="1"/>
  <c r="H21" i="10"/>
  <c r="H21" i="8"/>
  <c r="H27" i="6"/>
  <c r="M27" i="6" s="1"/>
  <c r="K51" i="6"/>
  <c r="E48" i="6"/>
  <c r="E31" i="6"/>
  <c r="D22" i="58"/>
  <c r="H47" i="6"/>
  <c r="M47" i="6" s="1"/>
  <c r="K50" i="6"/>
  <c r="K39" i="6"/>
  <c r="H19" i="6"/>
  <c r="M19" i="6" s="1"/>
  <c r="K20" i="6"/>
  <c r="E43" i="6"/>
  <c r="K17" i="6"/>
  <c r="DQ25" i="21"/>
  <c r="S123" i="20"/>
  <c r="S32" i="20"/>
  <c r="H32" i="6"/>
  <c r="M32" i="6" s="1"/>
  <c r="E22" i="58"/>
  <c r="H56" i="6"/>
  <c r="M56" i="6" s="1"/>
  <c r="E49" i="6"/>
  <c r="D22" i="57"/>
  <c r="H45" i="6"/>
  <c r="M45" i="6" s="1"/>
  <c r="CJ24" i="21"/>
  <c r="CJ59" i="21" s="1"/>
  <c r="CJ22" i="21"/>
  <c r="G22" i="57"/>
  <c r="H58" i="6"/>
  <c r="M58" i="6" s="1"/>
  <c r="F22" i="58"/>
  <c r="H55" i="6"/>
  <c r="M55" i="6" s="1"/>
  <c r="H51" i="6"/>
  <c r="M51" i="6" s="1"/>
  <c r="E51" i="6"/>
  <c r="K31" i="6"/>
  <c r="BQ24" i="21"/>
  <c r="BQ59" i="21" s="1"/>
  <c r="BQ22" i="21"/>
  <c r="E45" i="6"/>
  <c r="E58" i="6"/>
  <c r="H50" i="6"/>
  <c r="M50" i="6" s="1"/>
  <c r="F20" i="8"/>
  <c r="H46" i="6"/>
  <c r="M46" i="6" s="1"/>
  <c r="E19" i="6"/>
  <c r="H39" i="6"/>
  <c r="M39" i="6" s="1"/>
  <c r="E46" i="6"/>
  <c r="K25" i="6"/>
  <c r="K55" i="6"/>
  <c r="H22" i="6"/>
  <c r="M22" i="6" s="1"/>
  <c r="AP24" i="21"/>
  <c r="AP59" i="21" s="1"/>
  <c r="G19" i="10" s="1"/>
  <c r="AP22" i="21"/>
  <c r="FK25" i="21"/>
  <c r="E18" i="6"/>
  <c r="K24" i="6"/>
  <c r="K28" i="6"/>
  <c r="H31" i="6"/>
  <c r="M31" i="6" s="1"/>
  <c r="H16" i="6"/>
  <c r="M16" i="6" s="1"/>
  <c r="Q35" i="20"/>
  <c r="Q74" i="20" s="1"/>
  <c r="AW59" i="21"/>
  <c r="K43" i="6"/>
  <c r="BC24" i="21"/>
  <c r="BC59" i="21" s="1"/>
  <c r="BC22" i="21"/>
  <c r="G24" i="21"/>
  <c r="G59" i="21" s="1"/>
  <c r="G22" i="21"/>
  <c r="E35" i="6"/>
  <c r="H41" i="6"/>
  <c r="M41" i="6" s="1"/>
  <c r="E25" i="6"/>
  <c r="D19" i="10"/>
  <c r="D19" i="8"/>
  <c r="X24" i="21"/>
  <c r="X59" i="21" s="1"/>
  <c r="X22" i="21"/>
  <c r="H40" i="6"/>
  <c r="M40" i="6" s="1"/>
  <c r="H18" i="6"/>
  <c r="M18" i="6" s="1"/>
  <c r="K36" i="6"/>
  <c r="Q123" i="20"/>
  <c r="Q32" i="20"/>
  <c r="E29" i="6"/>
  <c r="K19" i="6"/>
  <c r="H48" i="6"/>
  <c r="M48" i="6" s="1"/>
  <c r="H36" i="6"/>
  <c r="M36" i="6" s="1"/>
  <c r="AQ24" i="21"/>
  <c r="AQ59" i="21" s="1"/>
  <c r="AQ22" i="21"/>
  <c r="K18" i="6"/>
  <c r="I21" i="8"/>
  <c r="H43" i="6"/>
  <c r="M43" i="6" s="1"/>
  <c r="E55" i="6"/>
  <c r="E33" i="6"/>
  <c r="H37" i="6"/>
  <c r="M37" i="6" s="1"/>
  <c r="E22" i="6"/>
  <c r="E23" i="6"/>
  <c r="K30" i="6"/>
  <c r="E24" i="6"/>
  <c r="K46" i="6"/>
  <c r="BY24" i="21"/>
  <c r="BY59" i="21" s="1"/>
  <c r="BY22" i="21"/>
  <c r="K47" i="6"/>
  <c r="H38" i="6"/>
  <c r="M38" i="6" s="1"/>
  <c r="P24" i="21"/>
  <c r="P59" i="21" s="1"/>
  <c r="P22" i="21"/>
  <c r="K32" i="6"/>
  <c r="K22" i="6"/>
  <c r="BW24" i="21"/>
  <c r="BW59" i="21" s="1"/>
  <c r="BW22" i="21"/>
  <c r="E32" i="6"/>
  <c r="K38" i="6"/>
  <c r="J30" i="20"/>
  <c r="AK24" i="21"/>
  <c r="AK22" i="21"/>
  <c r="K16" i="6"/>
  <c r="E24" i="21"/>
  <c r="E59" i="21" s="1"/>
  <c r="E22" i="21"/>
  <c r="E56" i="6"/>
  <c r="E36" i="6"/>
  <c r="O35" i="20"/>
  <c r="O74" i="20" s="1"/>
  <c r="K33" i="6"/>
  <c r="S35" i="20"/>
  <c r="S74" i="20" s="1"/>
  <c r="FD59" i="21"/>
  <c r="K35" i="6"/>
  <c r="V30" i="20"/>
  <c r="BE24" i="21"/>
  <c r="BE22" i="21"/>
  <c r="K123" i="20"/>
  <c r="K32" i="20"/>
  <c r="X27" i="20"/>
  <c r="K41" i="6"/>
  <c r="E53" i="6"/>
  <c r="E47" i="6"/>
  <c r="E16" i="6"/>
  <c r="E40" i="6"/>
  <c r="F22" i="57"/>
  <c r="E28" i="6"/>
  <c r="K49" i="6"/>
  <c r="K23" i="58" l="1"/>
  <c r="J23" i="58"/>
  <c r="I23" i="58"/>
  <c r="K35" i="20"/>
  <c r="K74" i="20" s="1"/>
  <c r="N20" i="58"/>
  <c r="F20" i="57"/>
  <c r="U20" i="57" s="1"/>
  <c r="G20" i="10"/>
  <c r="E15" i="6"/>
  <c r="K34" i="6"/>
  <c r="DQ36" i="21"/>
  <c r="L22" i="58"/>
  <c r="N22" i="58"/>
  <c r="E21" i="10"/>
  <c r="E21" i="8"/>
  <c r="J21" i="8" s="1"/>
  <c r="H15" i="6"/>
  <c r="M15" i="6" s="1"/>
  <c r="H21" i="6"/>
  <c r="M21" i="6" s="1"/>
  <c r="K26" i="6"/>
  <c r="F20" i="10"/>
  <c r="I35" i="20"/>
  <c r="AK59" i="21"/>
  <c r="K21" i="6"/>
  <c r="EN36" i="21"/>
  <c r="L86" i="20"/>
  <c r="L33" i="20"/>
  <c r="K124" i="20"/>
  <c r="S145" i="20" s="1"/>
  <c r="R86" i="20"/>
  <c r="R33" i="20"/>
  <c r="Q124" i="20"/>
  <c r="V145" i="20" s="1"/>
  <c r="U35" i="20"/>
  <c r="U74" i="20" s="1"/>
  <c r="BE59" i="21"/>
  <c r="U123" i="20"/>
  <c r="U32" i="20"/>
  <c r="I123" i="20"/>
  <c r="X30" i="20"/>
  <c r="I32" i="20"/>
  <c r="K23" i="6"/>
  <c r="K15" i="6"/>
  <c r="P86" i="20"/>
  <c r="P33" i="20"/>
  <c r="O124" i="20"/>
  <c r="U145" i="20" s="1"/>
  <c r="H35" i="6"/>
  <c r="M35" i="6" s="1"/>
  <c r="E20" i="10"/>
  <c r="E26" i="6"/>
  <c r="G21" i="10"/>
  <c r="H20" i="6"/>
  <c r="M20" i="6" s="1"/>
  <c r="T86" i="20"/>
  <c r="T33" i="20"/>
  <c r="S124" i="20"/>
  <c r="W145" i="20" s="1"/>
  <c r="E34" i="6"/>
  <c r="H33" i="6"/>
  <c r="M33" i="6" s="1"/>
  <c r="FK36" i="21"/>
  <c r="U22" i="57"/>
  <c r="N86" i="20"/>
  <c r="N33" i="20"/>
  <c r="M124" i="20"/>
  <c r="T145" i="20" s="1"/>
  <c r="F21" i="10"/>
  <c r="H34" i="6"/>
  <c r="M34" i="6" s="1"/>
  <c r="E20" i="8"/>
  <c r="L20" i="8" s="1"/>
  <c r="E17" i="6"/>
  <c r="H19" i="8"/>
  <c r="H19" i="10"/>
  <c r="L20" i="10" l="1"/>
  <c r="EN54" i="21"/>
  <c r="DQ54" i="21"/>
  <c r="FK54" i="21"/>
  <c r="L21" i="8"/>
  <c r="L21" i="10"/>
  <c r="J21" i="10"/>
  <c r="X32" i="20"/>
  <c r="J86" i="20"/>
  <c r="J33" i="20"/>
  <c r="I124" i="20"/>
  <c r="R145" i="20" s="1"/>
  <c r="W32" i="20"/>
  <c r="V33" i="20"/>
  <c r="V86" i="20"/>
  <c r="U124" i="20"/>
  <c r="X145" i="20" s="1"/>
  <c r="E19" i="10"/>
  <c r="L19" i="10" s="1"/>
  <c r="E19" i="8"/>
  <c r="L19" i="8" s="1"/>
  <c r="X35" i="20"/>
  <c r="W35" i="20"/>
  <c r="W74" i="20" s="1"/>
  <c r="I74" i="20"/>
  <c r="L84" i="20"/>
  <c r="L83" i="20"/>
  <c r="L88" i="20"/>
  <c r="L87" i="20"/>
  <c r="L85" i="20"/>
  <c r="L89" i="20"/>
  <c r="EN42" i="21"/>
  <c r="EN39" i="21"/>
  <c r="DQ42" i="21"/>
  <c r="DQ39" i="21"/>
  <c r="P88" i="20"/>
  <c r="P83" i="20"/>
  <c r="P84" i="20"/>
  <c r="P85" i="20"/>
  <c r="P89" i="20"/>
  <c r="P87" i="20"/>
  <c r="R84" i="20"/>
  <c r="R87" i="20"/>
  <c r="R83" i="20"/>
  <c r="R88" i="20"/>
  <c r="R89" i="20"/>
  <c r="R85" i="20"/>
  <c r="N85" i="20"/>
  <c r="N83" i="20"/>
  <c r="N89" i="20"/>
  <c r="N88" i="20"/>
  <c r="N87" i="20"/>
  <c r="N84" i="20"/>
  <c r="FK39" i="21"/>
  <c r="FK42" i="21"/>
  <c r="T85" i="20"/>
  <c r="T87" i="20"/>
  <c r="T84" i="20"/>
  <c r="T88" i="20"/>
  <c r="T83" i="20"/>
  <c r="T89" i="20"/>
  <c r="J85" i="20" l="1"/>
  <c r="J83" i="20"/>
  <c r="J87" i="20"/>
  <c r="J84" i="20"/>
  <c r="J89" i="20"/>
  <c r="J88" i="20"/>
  <c r="V87" i="20"/>
  <c r="V83" i="20"/>
  <c r="V85" i="20"/>
  <c r="V88" i="20"/>
  <c r="V84" i="20"/>
  <c r="V89" i="20"/>
  <c r="W124" i="20"/>
  <c r="X86" i="20"/>
  <c r="X33" i="20"/>
  <c r="W33" i="20"/>
  <c r="X89" i="20" l="1"/>
  <c r="X88" i="20"/>
  <c r="X83" i="20"/>
  <c r="X87" i="20"/>
  <c r="X84" i="20"/>
  <c r="X85" i="20"/>
  <c r="EN58" i="21" l="1"/>
  <c r="EN50" i="21"/>
  <c r="FK58" i="21"/>
  <c r="FK50" i="21"/>
  <c r="DQ58" i="21"/>
  <c r="DQ50" i="21"/>
  <c r="D16" i="96" l="1"/>
  <c r="P89" i="96" l="1"/>
  <c r="P74" i="96"/>
  <c r="P44" i="96"/>
  <c r="AN33" i="21"/>
  <c r="CM33" i="21"/>
  <c r="CJ33" i="21"/>
  <c r="I33" i="21"/>
  <c r="AQ33" i="21"/>
  <c r="AD33" i="21"/>
  <c r="D33" i="21"/>
  <c r="BA33" i="21"/>
  <c r="BU33" i="21"/>
  <c r="H33" i="21"/>
  <c r="CD33" i="21"/>
  <c r="V33" i="21"/>
  <c r="K33" i="21"/>
  <c r="CH33" i="21"/>
  <c r="CQ33" i="21"/>
  <c r="AS33" i="21"/>
  <c r="AM33" i="21"/>
  <c r="CE33" i="21"/>
  <c r="BT33" i="21"/>
  <c r="AE33" i="21"/>
  <c r="BF33" i="21"/>
  <c r="X33" i="21"/>
  <c r="BX33" i="21"/>
  <c r="Y33" i="21"/>
  <c r="AB33" i="21"/>
  <c r="BE33" i="21"/>
  <c r="CP33" i="21"/>
  <c r="Q33" i="21"/>
  <c r="U33" i="21"/>
  <c r="BY33" i="21"/>
  <c r="F33" i="21"/>
  <c r="CI33" i="21"/>
  <c r="BH33" i="21"/>
  <c r="CR33" i="21"/>
  <c r="BC33" i="21"/>
  <c r="AK33" i="21"/>
  <c r="BQ33" i="21"/>
  <c r="O33" i="21"/>
  <c r="T33" i="21"/>
  <c r="BP33" i="21"/>
  <c r="CS33" i="21"/>
  <c r="CN33" i="21"/>
  <c r="M33" i="21"/>
  <c r="J33" i="21"/>
  <c r="S33" i="21"/>
  <c r="AW33" i="21"/>
  <c r="BM33" i="21"/>
  <c r="AO33" i="21"/>
  <c r="BL33" i="21"/>
  <c r="BB33" i="21"/>
  <c r="G33" i="21"/>
  <c r="CL33" i="21"/>
  <c r="BW33" i="21"/>
  <c r="BZ33" i="21"/>
  <c r="P33" i="21"/>
  <c r="BR33" i="21"/>
  <c r="AL33" i="21"/>
  <c r="CK33" i="21"/>
  <c r="AP33" i="21"/>
  <c r="CC33" i="21"/>
  <c r="E33" i="21"/>
  <c r="W33" i="21"/>
  <c r="BJ33" i="21"/>
  <c r="BS33" i="21"/>
  <c r="AU33" i="21"/>
  <c r="AC33" i="21"/>
  <c r="CG33" i="21"/>
  <c r="CB33" i="21"/>
  <c r="AG33" i="21"/>
  <c r="AY33" i="21"/>
  <c r="N33" i="21"/>
  <c r="BV33" i="21"/>
  <c r="AF33" i="21"/>
  <c r="BD33" i="21"/>
  <c r="CO33" i="21"/>
  <c r="AR33" i="21"/>
  <c r="Z33" i="21"/>
  <c r="AT33" i="21"/>
  <c r="AA33" i="21"/>
  <c r="R33" i="21"/>
  <c r="AJ33" i="21"/>
  <c r="BI33" i="21"/>
  <c r="AZ33" i="21"/>
  <c r="AV33" i="21"/>
  <c r="CA33" i="21"/>
  <c r="BK33" i="21"/>
  <c r="L33" i="21"/>
  <c r="AX33" i="21"/>
  <c r="CF33" i="21"/>
  <c r="BG33" i="21"/>
  <c r="E189" i="18"/>
  <c r="F189" i="18" s="1"/>
  <c r="C32" i="21"/>
  <c r="G40" i="20"/>
  <c r="M40" i="20" l="1"/>
  <c r="S40" i="20"/>
  <c r="I40" i="20"/>
  <c r="Q40" i="20"/>
  <c r="O40" i="20"/>
  <c r="K40" i="20"/>
  <c r="U40" i="20"/>
  <c r="BH32" i="21"/>
  <c r="AJ32" i="21"/>
  <c r="BP32" i="21"/>
  <c r="R32" i="21"/>
  <c r="BN32" i="21"/>
  <c r="BW32" i="21"/>
  <c r="AM32" i="21"/>
  <c r="AX32" i="21"/>
  <c r="AE32" i="21"/>
  <c r="Y32" i="21"/>
  <c r="BR32" i="21"/>
  <c r="BU32" i="21"/>
  <c r="CA32" i="21"/>
  <c r="X32" i="21"/>
  <c r="AU32" i="21"/>
  <c r="BQ32" i="21"/>
  <c r="M32" i="21"/>
  <c r="CT32" i="21"/>
  <c r="J32" i="21"/>
  <c r="BF32" i="21"/>
  <c r="BA32" i="21"/>
  <c r="E32" i="21"/>
  <c r="BG32" i="21"/>
  <c r="BM32" i="21"/>
  <c r="CD32" i="21"/>
  <c r="AW32" i="21"/>
  <c r="CB32" i="21"/>
  <c r="BD32" i="21"/>
  <c r="CH32" i="21"/>
  <c r="CK32" i="21"/>
  <c r="AL32" i="21"/>
  <c r="AB32" i="21"/>
  <c r="CP32" i="21"/>
  <c r="BV32" i="21"/>
  <c r="CI32" i="21"/>
  <c r="CF32" i="21"/>
  <c r="CO32" i="21"/>
  <c r="K32" i="21"/>
  <c r="I32" i="21"/>
  <c r="O32" i="21"/>
  <c r="CC32" i="21"/>
  <c r="Z32" i="21"/>
  <c r="CN32" i="21"/>
  <c r="BB32" i="21"/>
  <c r="AK32" i="21"/>
  <c r="AD32" i="21"/>
  <c r="BI32" i="21"/>
  <c r="CM32" i="21"/>
  <c r="CG32" i="21"/>
  <c r="CS32" i="21"/>
  <c r="AT32" i="21"/>
  <c r="D32" i="21"/>
  <c r="CL32" i="21"/>
  <c r="AR32" i="21"/>
  <c r="AV32" i="21"/>
  <c r="P32" i="21"/>
  <c r="AF32" i="21"/>
  <c r="CQ32" i="21"/>
  <c r="V32" i="21"/>
  <c r="AN32" i="21"/>
  <c r="BT32" i="21"/>
  <c r="AY32" i="21"/>
  <c r="G32" i="21"/>
  <c r="Q32" i="21"/>
  <c r="AC32" i="21"/>
  <c r="AG32" i="21"/>
  <c r="BJ32" i="21"/>
  <c r="BS32" i="21"/>
  <c r="U32" i="21"/>
  <c r="AQ32" i="21"/>
  <c r="N32" i="21"/>
  <c r="AZ32" i="21"/>
  <c r="BC32" i="21"/>
  <c r="CJ32" i="21"/>
  <c r="W32" i="21"/>
  <c r="CE32" i="21"/>
  <c r="BK32" i="21"/>
  <c r="AO32" i="21"/>
  <c r="BE32" i="21"/>
  <c r="AS32" i="21"/>
  <c r="BZ32" i="21"/>
  <c r="H32" i="21"/>
  <c r="T32" i="21"/>
  <c r="BY32" i="21"/>
  <c r="AP32" i="21"/>
  <c r="AA32" i="21"/>
  <c r="S32" i="21"/>
  <c r="DX32" i="21"/>
  <c r="BL32" i="21"/>
  <c r="F32" i="21"/>
  <c r="FI32" i="21"/>
  <c r="ER32" i="21"/>
  <c r="DL32" i="21"/>
  <c r="CR32" i="21"/>
  <c r="FE32" i="21"/>
  <c r="DN32" i="21"/>
  <c r="DK32" i="21"/>
  <c r="EC32" i="21"/>
  <c r="EU32" i="21"/>
  <c r="EV32" i="21"/>
  <c r="L32" i="21"/>
  <c r="BX32" i="21"/>
  <c r="FJ32" i="21"/>
  <c r="FD32" i="21"/>
  <c r="DU32" i="21"/>
  <c r="FG32" i="21"/>
  <c r="EL32" i="21"/>
  <c r="CZ32" i="21"/>
  <c r="DE32" i="21"/>
  <c r="EN32" i="21"/>
  <c r="CY32" i="21"/>
  <c r="ET32" i="21"/>
  <c r="FM32" i="21"/>
  <c r="DP32" i="21"/>
  <c r="DZ32" i="21"/>
  <c r="DO32" i="21"/>
  <c r="DI32" i="21"/>
  <c r="DH32" i="21"/>
  <c r="EK32" i="21"/>
  <c r="EY32" i="21"/>
  <c r="DV32" i="21"/>
  <c r="FF32" i="21"/>
  <c r="FA32" i="21"/>
  <c r="FH32" i="21"/>
  <c r="EF32" i="21"/>
  <c r="DC32" i="21"/>
  <c r="FK32" i="21"/>
  <c r="DW32" i="21"/>
  <c r="DA32" i="21"/>
  <c r="EA32" i="21"/>
  <c r="EX32" i="21"/>
  <c r="AH32" i="21"/>
  <c r="EZ32" i="21"/>
  <c r="DD32" i="21"/>
  <c r="EE32" i="21"/>
  <c r="DR32" i="21"/>
  <c r="DQ32" i="21"/>
  <c r="EO32" i="21"/>
  <c r="ED32" i="21"/>
  <c r="ES32" i="21"/>
  <c r="EP32" i="21"/>
  <c r="EH32" i="21"/>
  <c r="DM32" i="21"/>
  <c r="FL32" i="21"/>
  <c r="DS32" i="21"/>
  <c r="CX32" i="21"/>
  <c r="DG32" i="21"/>
  <c r="DB32" i="21"/>
  <c r="EG32" i="21"/>
  <c r="EB32" i="21"/>
  <c r="EM32" i="21"/>
  <c r="EW32" i="21"/>
  <c r="FC32" i="21"/>
  <c r="EJ32" i="21"/>
  <c r="EI32" i="21"/>
  <c r="FB32" i="21"/>
  <c r="DJ32" i="21"/>
  <c r="DY32" i="21"/>
  <c r="DF32" i="21"/>
  <c r="P47" i="96"/>
  <c r="Q44" i="96"/>
  <c r="Q47" i="96" s="1"/>
  <c r="T44" i="96"/>
  <c r="T47" i="96" s="1"/>
  <c r="Q74" i="96"/>
  <c r="T74" i="96"/>
  <c r="F190" i="18"/>
  <c r="H189" i="18"/>
  <c r="H190" i="18" s="1"/>
  <c r="Q89" i="96"/>
  <c r="T89" i="96"/>
  <c r="FC47" i="21" l="1"/>
  <c r="FC34" i="21"/>
  <c r="DV47" i="21"/>
  <c r="DV34" i="21"/>
  <c r="FM34" i="21"/>
  <c r="FM47" i="21"/>
  <c r="DU34" i="21"/>
  <c r="DU47" i="21"/>
  <c r="DK47" i="21"/>
  <c r="DK34" i="21"/>
  <c r="BL34" i="21"/>
  <c r="BL47" i="21"/>
  <c r="BZ34" i="21"/>
  <c r="BZ47" i="21"/>
  <c r="BC34" i="21"/>
  <c r="BC47" i="21"/>
  <c r="AC34" i="21"/>
  <c r="AC47" i="21"/>
  <c r="AF34" i="21"/>
  <c r="AF47" i="21"/>
  <c r="CG34" i="21"/>
  <c r="CG47" i="21"/>
  <c r="CC34" i="21"/>
  <c r="CC47" i="21"/>
  <c r="CP34" i="21"/>
  <c r="CP47" i="21"/>
  <c r="CD34" i="21"/>
  <c r="CD47" i="21"/>
  <c r="M34" i="21"/>
  <c r="M47" i="21"/>
  <c r="AE34" i="21"/>
  <c r="AE47" i="21"/>
  <c r="BH34" i="21"/>
  <c r="BH47" i="21"/>
  <c r="Q48" i="96"/>
  <c r="Q55" i="96"/>
  <c r="Q75" i="96" s="1"/>
  <c r="EW47" i="21"/>
  <c r="EW34" i="21"/>
  <c r="EY47" i="21"/>
  <c r="EY34" i="21"/>
  <c r="DN34" i="21"/>
  <c r="DN47" i="21"/>
  <c r="DX47" i="21"/>
  <c r="DX34" i="21"/>
  <c r="AS34" i="21"/>
  <c r="AS47" i="21"/>
  <c r="AZ34" i="21"/>
  <c r="AZ47" i="21"/>
  <c r="Q34" i="21"/>
  <c r="Q47" i="21"/>
  <c r="P34" i="21"/>
  <c r="P47" i="21"/>
  <c r="CM34" i="21"/>
  <c r="CM47" i="21"/>
  <c r="O34" i="21"/>
  <c r="O47" i="21"/>
  <c r="AB34" i="21"/>
  <c r="AB47" i="21"/>
  <c r="BM34" i="21"/>
  <c r="BM47" i="21"/>
  <c r="BQ34" i="21"/>
  <c r="BQ47" i="21"/>
  <c r="AX34" i="21"/>
  <c r="AX47" i="21"/>
  <c r="U129" i="20"/>
  <c r="DS47" i="21"/>
  <c r="DS34" i="21"/>
  <c r="FL47" i="21"/>
  <c r="FL34" i="21"/>
  <c r="DF47" i="21"/>
  <c r="DF34" i="21"/>
  <c r="EK47" i="21"/>
  <c r="EK34" i="21"/>
  <c r="CY47" i="21"/>
  <c r="CY34" i="21"/>
  <c r="FE47" i="21"/>
  <c r="FE34" i="21"/>
  <c r="S34" i="21"/>
  <c r="S47" i="21"/>
  <c r="BE34" i="21"/>
  <c r="BE47" i="21"/>
  <c r="N34" i="21"/>
  <c r="N47" i="21"/>
  <c r="G34" i="21"/>
  <c r="G47" i="21"/>
  <c r="AV34" i="21"/>
  <c r="AV47" i="21"/>
  <c r="BI34" i="21"/>
  <c r="BI47" i="21"/>
  <c r="I34" i="21"/>
  <c r="I47" i="21"/>
  <c r="AL34" i="21"/>
  <c r="AL47" i="21"/>
  <c r="BG34" i="21"/>
  <c r="BG47" i="21"/>
  <c r="AU34" i="21"/>
  <c r="AU47" i="21"/>
  <c r="AM34" i="21"/>
  <c r="AM47" i="21"/>
  <c r="K129" i="20"/>
  <c r="DA34" i="21"/>
  <c r="DA47" i="21"/>
  <c r="FJ47" i="21"/>
  <c r="FJ34" i="21"/>
  <c r="DY47" i="21"/>
  <c r="DY34" i="21"/>
  <c r="EB34" i="21"/>
  <c r="EB47" i="21"/>
  <c r="EH47" i="21"/>
  <c r="EH34" i="21"/>
  <c r="DD47" i="21"/>
  <c r="DD34" i="21"/>
  <c r="DC47" i="21"/>
  <c r="DC34" i="21"/>
  <c r="DH47" i="21"/>
  <c r="DH34" i="21"/>
  <c r="EN47" i="21"/>
  <c r="EN34" i="21"/>
  <c r="BX34" i="21"/>
  <c r="BX47" i="21"/>
  <c r="CR34" i="21"/>
  <c r="CR47" i="21"/>
  <c r="AA34" i="21"/>
  <c r="AA47" i="21"/>
  <c r="AO34" i="21"/>
  <c r="AO47" i="21"/>
  <c r="AQ34" i="21"/>
  <c r="AQ47" i="21"/>
  <c r="AY34" i="21"/>
  <c r="AY47" i="21"/>
  <c r="AR34" i="21"/>
  <c r="AR47" i="21"/>
  <c r="AD34" i="21"/>
  <c r="AD47" i="21"/>
  <c r="K34" i="21"/>
  <c r="K47" i="21"/>
  <c r="CK34" i="21"/>
  <c r="CK47" i="21"/>
  <c r="E34" i="21"/>
  <c r="E47" i="21"/>
  <c r="X34" i="21"/>
  <c r="X47" i="21"/>
  <c r="BW34" i="21"/>
  <c r="BW47" i="21"/>
  <c r="O129" i="20"/>
  <c r="P48" i="96"/>
  <c r="P55" i="96"/>
  <c r="ET47" i="21"/>
  <c r="ET34" i="21"/>
  <c r="EE47" i="21"/>
  <c r="EE34" i="21"/>
  <c r="EP47" i="21"/>
  <c r="EP34" i="21"/>
  <c r="DI47" i="21"/>
  <c r="DI34" i="21"/>
  <c r="DE34" i="21"/>
  <c r="DE47" i="21"/>
  <c r="L34" i="21"/>
  <c r="L47" i="21"/>
  <c r="BK34" i="21"/>
  <c r="BK47" i="21"/>
  <c r="U34" i="21"/>
  <c r="U47" i="21"/>
  <c r="BT34" i="21"/>
  <c r="BT47" i="21"/>
  <c r="CL34" i="21"/>
  <c r="CL47" i="21"/>
  <c r="AK34" i="21"/>
  <c r="AK47" i="21"/>
  <c r="CO34" i="21"/>
  <c r="CO47" i="21"/>
  <c r="CH34" i="21"/>
  <c r="CH47" i="21"/>
  <c r="BA34" i="21"/>
  <c r="BA47" i="21"/>
  <c r="CA34" i="21"/>
  <c r="CA47" i="21"/>
  <c r="BN34" i="21"/>
  <c r="BN47" i="21"/>
  <c r="Q129" i="20"/>
  <c r="DQ47" i="21"/>
  <c r="DQ34" i="21"/>
  <c r="DW47" i="21"/>
  <c r="DW34" i="21"/>
  <c r="DM47" i="21"/>
  <c r="DM34" i="21"/>
  <c r="EG47" i="21"/>
  <c r="EG34" i="21"/>
  <c r="EF47" i="21"/>
  <c r="EF34" i="21"/>
  <c r="DL47" i="21"/>
  <c r="DL34" i="21"/>
  <c r="FB47" i="21"/>
  <c r="FB34" i="21"/>
  <c r="DB47" i="21"/>
  <c r="DB34" i="21"/>
  <c r="ES47" i="21"/>
  <c r="ES34" i="21"/>
  <c r="AH47" i="21"/>
  <c r="AH34" i="21"/>
  <c r="FH47" i="21"/>
  <c r="FH34" i="21"/>
  <c r="DO47" i="21"/>
  <c r="DO34" i="21"/>
  <c r="CZ47" i="21"/>
  <c r="CZ34" i="21"/>
  <c r="EV47" i="21"/>
  <c r="EV34" i="21"/>
  <c r="ER47" i="21"/>
  <c r="ER34" i="21"/>
  <c r="BY34" i="21"/>
  <c r="BY47" i="21"/>
  <c r="CE34" i="21"/>
  <c r="CE47" i="21"/>
  <c r="BS34" i="21"/>
  <c r="BS47" i="21"/>
  <c r="AN34" i="21"/>
  <c r="AN47" i="21"/>
  <c r="D34" i="21"/>
  <c r="D47" i="21"/>
  <c r="BB34" i="21"/>
  <c r="BB47" i="21"/>
  <c r="CF34" i="21"/>
  <c r="CF47" i="21"/>
  <c r="BD34" i="21"/>
  <c r="BD47" i="21"/>
  <c r="BF34" i="21"/>
  <c r="BF47" i="21"/>
  <c r="BU34" i="21"/>
  <c r="BU47" i="21"/>
  <c r="R34" i="21"/>
  <c r="R47" i="21"/>
  <c r="I129" i="20"/>
  <c r="X40" i="20"/>
  <c r="W40" i="20"/>
  <c r="DR47" i="21"/>
  <c r="DR34" i="21"/>
  <c r="FK47" i="21"/>
  <c r="FK34" i="21"/>
  <c r="DJ47" i="21"/>
  <c r="DJ34" i="21"/>
  <c r="EZ47" i="21"/>
  <c r="EZ34" i="21"/>
  <c r="AP34" i="21"/>
  <c r="AP47" i="21"/>
  <c r="EI47" i="21"/>
  <c r="EI34" i="21"/>
  <c r="DG34" i="21"/>
  <c r="DG47" i="21"/>
  <c r="ED47" i="21"/>
  <c r="ED34" i="21"/>
  <c r="EX47" i="21"/>
  <c r="EX34" i="21"/>
  <c r="FA34" i="21"/>
  <c r="FA47" i="21"/>
  <c r="DZ47" i="21"/>
  <c r="DZ34" i="21"/>
  <c r="EL47" i="21"/>
  <c r="EL34" i="21"/>
  <c r="EU47" i="21"/>
  <c r="EU34" i="21"/>
  <c r="FI47" i="21"/>
  <c r="FI34" i="21"/>
  <c r="T34" i="21"/>
  <c r="T47" i="21"/>
  <c r="W34" i="21"/>
  <c r="W47" i="21"/>
  <c r="BJ34" i="21"/>
  <c r="BJ47" i="21"/>
  <c r="V34" i="21"/>
  <c r="V47" i="21"/>
  <c r="AT34" i="21"/>
  <c r="AT47" i="21"/>
  <c r="CN34" i="21"/>
  <c r="CN47" i="21"/>
  <c r="CI34" i="21"/>
  <c r="CI47" i="21"/>
  <c r="CB34" i="21"/>
  <c r="CB47" i="21"/>
  <c r="J34" i="21"/>
  <c r="J47" i="21"/>
  <c r="BR34" i="21"/>
  <c r="BR47" i="21"/>
  <c r="BP34" i="21"/>
  <c r="BP47" i="21"/>
  <c r="S129" i="20"/>
  <c r="FD47" i="21"/>
  <c r="FD34" i="21"/>
  <c r="EM47" i="21"/>
  <c r="EM34" i="21"/>
  <c r="T48" i="96"/>
  <c r="T55" i="96"/>
  <c r="T75" i="96" s="1"/>
  <c r="EJ47" i="21"/>
  <c r="EJ34" i="21"/>
  <c r="CX47" i="21"/>
  <c r="CX34" i="21"/>
  <c r="EO47" i="21"/>
  <c r="EO34" i="21"/>
  <c r="EA47" i="21"/>
  <c r="EA34" i="21"/>
  <c r="FF47" i="21"/>
  <c r="FF34" i="21"/>
  <c r="DP47" i="21"/>
  <c r="DP34" i="21"/>
  <c r="FG34" i="21"/>
  <c r="FG47" i="21"/>
  <c r="EC47" i="21"/>
  <c r="EC34" i="21"/>
  <c r="F34" i="21"/>
  <c r="F47" i="21"/>
  <c r="H34" i="21"/>
  <c r="H47" i="21"/>
  <c r="CJ34" i="21"/>
  <c r="CJ47" i="21"/>
  <c r="AG34" i="21"/>
  <c r="AG47" i="21"/>
  <c r="CQ34" i="21"/>
  <c r="CQ47" i="21"/>
  <c r="CS34" i="21"/>
  <c r="CS47" i="21"/>
  <c r="Z34" i="21"/>
  <c r="Z47" i="21"/>
  <c r="BV34" i="21"/>
  <c r="BV47" i="21"/>
  <c r="AW34" i="21"/>
  <c r="AW47" i="21"/>
  <c r="CT34" i="21"/>
  <c r="CT47" i="21"/>
  <c r="Y34" i="21"/>
  <c r="Y47" i="21"/>
  <c r="AJ34" i="21"/>
  <c r="AJ47" i="21"/>
  <c r="M129" i="20"/>
  <c r="T76" i="96" l="1"/>
  <c r="T80" i="96"/>
  <c r="EO35" i="21"/>
  <c r="EO49" i="21"/>
  <c r="BP35" i="21"/>
  <c r="BP49" i="21"/>
  <c r="CI35" i="21"/>
  <c r="CI49" i="21"/>
  <c r="BJ49" i="21"/>
  <c r="BJ35" i="21"/>
  <c r="AP35" i="21"/>
  <c r="AP49" i="21"/>
  <c r="CZ49" i="21"/>
  <c r="CZ35" i="21"/>
  <c r="ES49" i="21"/>
  <c r="ES35" i="21"/>
  <c r="DW35" i="21"/>
  <c r="DW49" i="21"/>
  <c r="BN35" i="21"/>
  <c r="BN49" i="21"/>
  <c r="CO49" i="21"/>
  <c r="CO35" i="21"/>
  <c r="U49" i="21"/>
  <c r="U35" i="21"/>
  <c r="DH49" i="21"/>
  <c r="DH35" i="21"/>
  <c r="BG49" i="21"/>
  <c r="BG35" i="21"/>
  <c r="AV35" i="21"/>
  <c r="AV49" i="21"/>
  <c r="S35" i="21"/>
  <c r="S49" i="21"/>
  <c r="EY49" i="21"/>
  <c r="EY35" i="21"/>
  <c r="EZ49" i="21"/>
  <c r="EZ35" i="21"/>
  <c r="BU49" i="21"/>
  <c r="BU35" i="21"/>
  <c r="BB49" i="21"/>
  <c r="BB35" i="21"/>
  <c r="CE49" i="21"/>
  <c r="CE35" i="21"/>
  <c r="EF49" i="21"/>
  <c r="EF35" i="21"/>
  <c r="EP49" i="21"/>
  <c r="EP35" i="21"/>
  <c r="E49" i="21"/>
  <c r="E35" i="21"/>
  <c r="AR49" i="21"/>
  <c r="AR35" i="21"/>
  <c r="AA49" i="21"/>
  <c r="AA35" i="21"/>
  <c r="EB49" i="21"/>
  <c r="EB35" i="21"/>
  <c r="FE35" i="21"/>
  <c r="FE49" i="21"/>
  <c r="FL49" i="21"/>
  <c r="FL35" i="21"/>
  <c r="AX49" i="21"/>
  <c r="AX35" i="21"/>
  <c r="O49" i="21"/>
  <c r="O35" i="21"/>
  <c r="AZ49" i="21"/>
  <c r="AZ35" i="21"/>
  <c r="AE49" i="21"/>
  <c r="AE35" i="21"/>
  <c r="CC49" i="21"/>
  <c r="CC35" i="21"/>
  <c r="BC35" i="21"/>
  <c r="BC49" i="21"/>
  <c r="DU49" i="21"/>
  <c r="DU35" i="21"/>
  <c r="FG49" i="21"/>
  <c r="FG35" i="21"/>
  <c r="ED35" i="21"/>
  <c r="ED49" i="21"/>
  <c r="CX49" i="21"/>
  <c r="CX35" i="21"/>
  <c r="FD35" i="21"/>
  <c r="FD49" i="21"/>
  <c r="BR35" i="21"/>
  <c r="BR49" i="21"/>
  <c r="CN49" i="21"/>
  <c r="CN35" i="21"/>
  <c r="W35" i="21"/>
  <c r="W49" i="21"/>
  <c r="DB35" i="21"/>
  <c r="DB49" i="21"/>
  <c r="DQ49" i="21"/>
  <c r="DQ53" i="21" s="1"/>
  <c r="DQ57" i="21" s="1"/>
  <c r="DQ35" i="21"/>
  <c r="DQ38" i="21" s="1"/>
  <c r="DQ44" i="21" s="1"/>
  <c r="DQ45" i="21" s="1"/>
  <c r="DQ46" i="21" s="1"/>
  <c r="CA35" i="21"/>
  <c r="CA49" i="21"/>
  <c r="AK49" i="21"/>
  <c r="AK35" i="21"/>
  <c r="BK49" i="21"/>
  <c r="BK35" i="21"/>
  <c r="DC49" i="21"/>
  <c r="DC35" i="21"/>
  <c r="DY35" i="21"/>
  <c r="DY49" i="21"/>
  <c r="AL49" i="21"/>
  <c r="AL35" i="21"/>
  <c r="G35" i="21"/>
  <c r="G49" i="21"/>
  <c r="EW35" i="21"/>
  <c r="EW49" i="21"/>
  <c r="H35" i="21"/>
  <c r="H49" i="21"/>
  <c r="DZ49" i="21"/>
  <c r="DZ35" i="21"/>
  <c r="DJ49" i="21"/>
  <c r="DJ35" i="21"/>
  <c r="W129" i="20"/>
  <c r="BF49" i="21"/>
  <c r="BF35" i="21"/>
  <c r="D35" i="21"/>
  <c r="D49" i="21"/>
  <c r="BY49" i="21"/>
  <c r="BY35" i="21"/>
  <c r="EG49" i="21"/>
  <c r="EG35" i="21"/>
  <c r="EE49" i="21"/>
  <c r="EE35" i="21"/>
  <c r="CK35" i="21"/>
  <c r="CK49" i="21"/>
  <c r="AY49" i="21"/>
  <c r="AY35" i="21"/>
  <c r="CR49" i="21"/>
  <c r="CR35" i="21"/>
  <c r="CY49" i="21"/>
  <c r="CY35" i="21"/>
  <c r="DS35" i="21"/>
  <c r="DS49" i="21"/>
  <c r="BQ35" i="21"/>
  <c r="BQ49" i="21"/>
  <c r="CM49" i="21"/>
  <c r="CM35" i="21"/>
  <c r="AS49" i="21"/>
  <c r="AS35" i="21"/>
  <c r="M49" i="21"/>
  <c r="M35" i="21"/>
  <c r="CG49" i="21"/>
  <c r="CG35" i="21"/>
  <c r="BZ35" i="21"/>
  <c r="BZ49" i="21"/>
  <c r="FM35" i="21"/>
  <c r="FM49" i="21"/>
  <c r="Z35" i="21"/>
  <c r="Z49" i="21"/>
  <c r="CS35" i="21"/>
  <c r="CS49" i="21"/>
  <c r="AT49" i="21"/>
  <c r="AT35" i="21"/>
  <c r="T35" i="21"/>
  <c r="T49" i="21"/>
  <c r="DG49" i="21"/>
  <c r="DG35" i="21"/>
  <c r="ER35" i="21"/>
  <c r="ER49" i="21"/>
  <c r="FB49" i="21"/>
  <c r="FB35" i="21"/>
  <c r="BA49" i="21"/>
  <c r="BA35" i="21"/>
  <c r="CL49" i="21"/>
  <c r="CL35" i="21"/>
  <c r="L49" i="21"/>
  <c r="L35" i="21"/>
  <c r="DD49" i="21"/>
  <c r="DD35" i="21"/>
  <c r="AM49" i="21"/>
  <c r="AM35" i="21"/>
  <c r="I49" i="21"/>
  <c r="I35" i="21"/>
  <c r="N49" i="21"/>
  <c r="N35" i="21"/>
  <c r="DX35" i="21"/>
  <c r="DX49" i="21"/>
  <c r="Q57" i="96"/>
  <c r="Q60" i="96"/>
  <c r="Q56" i="96"/>
  <c r="Q58" i="96" s="1"/>
  <c r="DV35" i="21"/>
  <c r="DV49" i="21"/>
  <c r="EJ49" i="21"/>
  <c r="EJ35" i="21"/>
  <c r="AW49" i="21"/>
  <c r="AW35" i="21"/>
  <c r="EI49" i="21"/>
  <c r="EI35" i="21"/>
  <c r="FK49" i="21"/>
  <c r="FK53" i="21" s="1"/>
  <c r="FK57" i="21" s="1"/>
  <c r="FK35" i="21"/>
  <c r="FK38" i="21" s="1"/>
  <c r="FK44" i="21" s="1"/>
  <c r="FK45" i="21" s="1"/>
  <c r="FK46" i="21" s="1"/>
  <c r="BD35" i="21"/>
  <c r="BD49" i="21"/>
  <c r="AN49" i="21"/>
  <c r="AN35" i="21"/>
  <c r="ET35" i="21"/>
  <c r="ET49" i="21"/>
  <c r="BW49" i="21"/>
  <c r="BW35" i="21"/>
  <c r="K35" i="21"/>
  <c r="K49" i="21"/>
  <c r="AQ49" i="21"/>
  <c r="AQ35" i="21"/>
  <c r="BX49" i="21"/>
  <c r="BX35" i="21"/>
  <c r="BM49" i="21"/>
  <c r="BM35" i="21"/>
  <c r="P35" i="21"/>
  <c r="P49" i="21"/>
  <c r="CD49" i="21"/>
  <c r="CD35" i="21"/>
  <c r="AF49" i="21"/>
  <c r="AF35" i="21"/>
  <c r="BL49" i="21"/>
  <c r="BL53" i="21" s="1"/>
  <c r="BL57" i="21" s="1"/>
  <c r="BL35" i="21"/>
  <c r="BL38" i="21" s="1"/>
  <c r="BL44" i="21" s="1"/>
  <c r="BL45" i="21" s="1"/>
  <c r="BL46" i="21" s="1"/>
  <c r="CJ49" i="21"/>
  <c r="CJ35" i="21"/>
  <c r="J35" i="21"/>
  <c r="J49" i="21"/>
  <c r="F35" i="21"/>
  <c r="F49" i="21"/>
  <c r="EC35" i="21"/>
  <c r="EC49" i="21"/>
  <c r="EA49" i="21"/>
  <c r="EA35" i="21"/>
  <c r="T60" i="96"/>
  <c r="T56" i="96"/>
  <c r="CB35" i="21"/>
  <c r="CB49" i="21"/>
  <c r="V35" i="21"/>
  <c r="V49" i="21"/>
  <c r="FA35" i="21"/>
  <c r="FA49" i="21"/>
  <c r="EV35" i="21"/>
  <c r="EV49" i="21"/>
  <c r="AH49" i="21"/>
  <c r="AH35" i="21"/>
  <c r="Q77" i="96"/>
  <c r="Q80" i="96"/>
  <c r="Q76" i="96"/>
  <c r="Q78" i="96" s="1"/>
  <c r="DM49" i="21"/>
  <c r="DM35" i="21"/>
  <c r="CH35" i="21"/>
  <c r="CH49" i="21"/>
  <c r="BT49" i="21"/>
  <c r="BT35" i="21"/>
  <c r="DE35" i="21"/>
  <c r="DE49" i="21"/>
  <c r="EN35" i="21"/>
  <c r="EN38" i="21" s="1"/>
  <c r="EN44" i="21" s="1"/>
  <c r="EN45" i="21" s="1"/>
  <c r="EN46" i="21" s="1"/>
  <c r="EN49" i="21"/>
  <c r="EN53" i="21" s="1"/>
  <c r="EN57" i="21" s="1"/>
  <c r="EH49" i="21"/>
  <c r="EH35" i="21"/>
  <c r="AU35" i="21"/>
  <c r="AU49" i="21"/>
  <c r="BI35" i="21"/>
  <c r="BI49" i="21"/>
  <c r="BE49" i="21"/>
  <c r="BE35" i="21"/>
  <c r="DK49" i="21"/>
  <c r="DK35" i="21"/>
  <c r="FC49" i="21"/>
  <c r="FC35" i="21"/>
  <c r="Y35" i="21"/>
  <c r="Y49" i="21"/>
  <c r="CT35" i="21"/>
  <c r="CT49" i="21"/>
  <c r="FF49" i="21"/>
  <c r="FF35" i="21"/>
  <c r="CQ49" i="21"/>
  <c r="CQ35" i="21"/>
  <c r="AJ49" i="21"/>
  <c r="AJ35" i="21"/>
  <c r="BV35" i="21"/>
  <c r="BV49" i="21"/>
  <c r="AG35" i="21"/>
  <c r="AG49" i="21"/>
  <c r="EU35" i="21"/>
  <c r="EU49" i="21"/>
  <c r="EX49" i="21"/>
  <c r="EX35" i="21"/>
  <c r="DR49" i="21"/>
  <c r="DR35" i="21"/>
  <c r="R35" i="21"/>
  <c r="R49" i="21"/>
  <c r="CF49" i="21"/>
  <c r="CF35" i="21"/>
  <c r="BS35" i="21"/>
  <c r="BS49" i="21"/>
  <c r="DL35" i="21"/>
  <c r="DL49" i="21"/>
  <c r="DI49" i="21"/>
  <c r="DI35" i="21"/>
  <c r="P57" i="96"/>
  <c r="P56" i="96"/>
  <c r="P58" i="96" s="1"/>
  <c r="P60" i="96"/>
  <c r="P75" i="96"/>
  <c r="X49" i="21"/>
  <c r="X35" i="21"/>
  <c r="AD35" i="21"/>
  <c r="AD49" i="21"/>
  <c r="AO35" i="21"/>
  <c r="AO49" i="21"/>
  <c r="DA49" i="21"/>
  <c r="DA35" i="21"/>
  <c r="DF49" i="21"/>
  <c r="DF35" i="21"/>
  <c r="AB35" i="21"/>
  <c r="AB49" i="21"/>
  <c r="Q49" i="21"/>
  <c r="Q35" i="21"/>
  <c r="BH49" i="21"/>
  <c r="BH35" i="21"/>
  <c r="CP49" i="21"/>
  <c r="CP35" i="21"/>
  <c r="AC35" i="21"/>
  <c r="AC49" i="21"/>
  <c r="FL38" i="21" l="1"/>
  <c r="FL39" i="21" s="1"/>
  <c r="FL36" i="21"/>
  <c r="FL53" i="21"/>
  <c r="FL50" i="21"/>
  <c r="EO53" i="21"/>
  <c r="EO50" i="21"/>
  <c r="EO38" i="21"/>
  <c r="EO39" i="21" s="1"/>
  <c r="EO36" i="21"/>
  <c r="DR53" i="21"/>
  <c r="DR50" i="21"/>
  <c r="DR38" i="21"/>
  <c r="DR39" i="21" s="1"/>
  <c r="DR36" i="21"/>
  <c r="FM53" i="21"/>
  <c r="FM50" i="21"/>
  <c r="FM38" i="21"/>
  <c r="FM39" i="21" s="1"/>
  <c r="FM36" i="21"/>
  <c r="DS53" i="21"/>
  <c r="DS50" i="21"/>
  <c r="DS38" i="21"/>
  <c r="DS39" i="21" s="1"/>
  <c r="DS36" i="21"/>
  <c r="CR53" i="21"/>
  <c r="CR50" i="21"/>
  <c r="CR38" i="21"/>
  <c r="CR36" i="21"/>
  <c r="AF53" i="21"/>
  <c r="AF50" i="21"/>
  <c r="AF38" i="21"/>
  <c r="AF36" i="21"/>
  <c r="EP38" i="21"/>
  <c r="EP39" i="21" s="1"/>
  <c r="EP36" i="21"/>
  <c r="EP53" i="21"/>
  <c r="EP50" i="21"/>
  <c r="DA36" i="21"/>
  <c r="P77" i="96"/>
  <c r="P80" i="96"/>
  <c r="P76" i="96"/>
  <c r="P78" i="96" s="1"/>
  <c r="BS50" i="21"/>
  <c r="EX36" i="21"/>
  <c r="AJ36" i="21"/>
  <c r="Y50" i="21"/>
  <c r="BE36" i="21"/>
  <c r="AH50" i="21"/>
  <c r="CB36" i="21"/>
  <c r="F36" i="21"/>
  <c r="BM50" i="21"/>
  <c r="K36" i="21"/>
  <c r="BD36" i="21"/>
  <c r="AW50" i="21"/>
  <c r="DX50" i="21"/>
  <c r="BA36" i="21"/>
  <c r="DG36" i="21"/>
  <c r="CS50" i="21"/>
  <c r="CG36" i="21"/>
  <c r="BQ50" i="21"/>
  <c r="AY36" i="21"/>
  <c r="BY36" i="21"/>
  <c r="DJ36" i="21"/>
  <c r="G50" i="21"/>
  <c r="BK36" i="21"/>
  <c r="DB50" i="21"/>
  <c r="W50" i="21"/>
  <c r="CX36" i="21"/>
  <c r="DU36" i="21"/>
  <c r="AZ36" i="21"/>
  <c r="FE50" i="21"/>
  <c r="E36" i="21"/>
  <c r="CE36" i="21"/>
  <c r="BG36" i="21"/>
  <c r="CO36" i="21"/>
  <c r="CZ36" i="21"/>
  <c r="BP50" i="21"/>
  <c r="EX50" i="21"/>
  <c r="BE50" i="21"/>
  <c r="EV50" i="21"/>
  <c r="J50" i="21"/>
  <c r="BW36" i="21"/>
  <c r="EJ36" i="21"/>
  <c r="DX36" i="21"/>
  <c r="BA50" i="21"/>
  <c r="DG50" i="21"/>
  <c r="CS36" i="21"/>
  <c r="CG50" i="21"/>
  <c r="BQ36" i="21"/>
  <c r="AY50" i="21"/>
  <c r="BY50" i="21"/>
  <c r="DJ50" i="21"/>
  <c r="G36" i="21"/>
  <c r="BK50" i="21"/>
  <c r="DB36" i="21"/>
  <c r="W36" i="21"/>
  <c r="CX50" i="21"/>
  <c r="DU50" i="21"/>
  <c r="AZ50" i="21"/>
  <c r="FE36" i="21"/>
  <c r="E50" i="21"/>
  <c r="CE50" i="21"/>
  <c r="BG50" i="21"/>
  <c r="CO50" i="21"/>
  <c r="CZ50" i="21"/>
  <c r="BP36" i="21"/>
  <c r="AJ50" i="21"/>
  <c r="EU50" i="21"/>
  <c r="FC36" i="21"/>
  <c r="BI50" i="21"/>
  <c r="DE50" i="21"/>
  <c r="DM36" i="21"/>
  <c r="EV36" i="21"/>
  <c r="J36" i="21"/>
  <c r="BW50" i="21"/>
  <c r="EJ50" i="21"/>
  <c r="N36" i="21"/>
  <c r="DD36" i="21"/>
  <c r="FB36" i="21"/>
  <c r="T50" i="21"/>
  <c r="Z50" i="21"/>
  <c r="M36" i="21"/>
  <c r="CK50" i="21"/>
  <c r="D50" i="21"/>
  <c r="DZ36" i="21"/>
  <c r="AL36" i="21"/>
  <c r="AK36" i="21"/>
  <c r="CN36" i="21"/>
  <c r="BC50" i="21"/>
  <c r="O36" i="21"/>
  <c r="EB36" i="21"/>
  <c r="BB36" i="21"/>
  <c r="EY36" i="21"/>
  <c r="BN50" i="21"/>
  <c r="AP50" i="21"/>
  <c r="DA50" i="21"/>
  <c r="Y36" i="21"/>
  <c r="AC50" i="21"/>
  <c r="AO50" i="21"/>
  <c r="CF36" i="21"/>
  <c r="CQ36" i="21"/>
  <c r="AC36" i="21"/>
  <c r="Q50" i="21"/>
  <c r="AO36" i="21"/>
  <c r="CF50" i="21"/>
  <c r="EU36" i="21"/>
  <c r="CQ50" i="21"/>
  <c r="FC50" i="21"/>
  <c r="BI36" i="21"/>
  <c r="DE36" i="21"/>
  <c r="DM50" i="21"/>
  <c r="FA50" i="21"/>
  <c r="EA36" i="21"/>
  <c r="CD36" i="21"/>
  <c r="BX36" i="21"/>
  <c r="ET50" i="21"/>
  <c r="EI36" i="21"/>
  <c r="DV50" i="21"/>
  <c r="N50" i="21"/>
  <c r="DD50" i="21"/>
  <c r="FB50" i="21"/>
  <c r="T36" i="21"/>
  <c r="Z36" i="21"/>
  <c r="M50" i="21"/>
  <c r="DS44" i="21"/>
  <c r="DS45" i="21" s="1"/>
  <c r="DS46" i="21" s="1"/>
  <c r="CK36" i="21"/>
  <c r="D36" i="21"/>
  <c r="DZ50" i="21"/>
  <c r="AL50" i="21"/>
  <c r="AK50" i="21"/>
  <c r="CN50" i="21"/>
  <c r="BC36" i="21"/>
  <c r="O50" i="21"/>
  <c r="EB50" i="21"/>
  <c r="BB50" i="21"/>
  <c r="EY50" i="21"/>
  <c r="BN36" i="21"/>
  <c r="AP36" i="21"/>
  <c r="Q36" i="21"/>
  <c r="CP36" i="21"/>
  <c r="AB50" i="21"/>
  <c r="AD50" i="21"/>
  <c r="DI36" i="21"/>
  <c r="R50" i="21"/>
  <c r="AG50" i="21"/>
  <c r="FF36" i="21"/>
  <c r="DK36" i="21"/>
  <c r="AU50" i="21"/>
  <c r="BT36" i="21"/>
  <c r="FA36" i="21"/>
  <c r="EA50" i="21"/>
  <c r="CD50" i="21"/>
  <c r="BX50" i="21"/>
  <c r="ET36" i="21"/>
  <c r="EI50" i="21"/>
  <c r="DV36" i="21"/>
  <c r="I36" i="21"/>
  <c r="L36" i="21"/>
  <c r="AT36" i="21"/>
  <c r="AS36" i="21"/>
  <c r="CY36" i="21"/>
  <c r="EE36" i="21"/>
  <c r="BF36" i="21"/>
  <c r="H50" i="21"/>
  <c r="DY50" i="21"/>
  <c r="CA50" i="21"/>
  <c r="BR50" i="21"/>
  <c r="ED50" i="21"/>
  <c r="CC36" i="21"/>
  <c r="AX36" i="21"/>
  <c r="AA36" i="21"/>
  <c r="BU36" i="21"/>
  <c r="S50" i="21"/>
  <c r="DH36" i="21"/>
  <c r="DW50" i="21"/>
  <c r="BJ36" i="21"/>
  <c r="CP50" i="21"/>
  <c r="DI50" i="21"/>
  <c r="R36" i="21"/>
  <c r="AG36" i="21"/>
  <c r="FF50" i="21"/>
  <c r="DK50" i="21"/>
  <c r="AU36" i="21"/>
  <c r="BT50" i="21"/>
  <c r="Q81" i="96"/>
  <c r="Q83" i="96" s="1"/>
  <c r="Q82" i="96"/>
  <c r="Q90" i="96"/>
  <c r="V50" i="21"/>
  <c r="EC50" i="21"/>
  <c r="CJ36" i="21"/>
  <c r="P50" i="21"/>
  <c r="AQ36" i="21"/>
  <c r="AN36" i="21"/>
  <c r="I50" i="21"/>
  <c r="L50" i="21"/>
  <c r="AT50" i="21"/>
  <c r="FM42" i="21"/>
  <c r="AS50" i="21"/>
  <c r="CY50" i="21"/>
  <c r="EE50" i="21"/>
  <c r="BF50" i="21"/>
  <c r="H36" i="21"/>
  <c r="DY36" i="21"/>
  <c r="CA36" i="21"/>
  <c r="BR36" i="21"/>
  <c r="ED36" i="21"/>
  <c r="CC50" i="21"/>
  <c r="AX50" i="21"/>
  <c r="AA50" i="21"/>
  <c r="BU50" i="21"/>
  <c r="S36" i="21"/>
  <c r="DH50" i="21"/>
  <c r="DW36" i="21"/>
  <c r="BJ50" i="21"/>
  <c r="AB36" i="21"/>
  <c r="AD36" i="21"/>
  <c r="BH36" i="21"/>
  <c r="DF36" i="21"/>
  <c r="X36" i="21"/>
  <c r="DL50" i="21"/>
  <c r="DR42" i="21"/>
  <c r="DR44" i="21"/>
  <c r="DR45" i="21" s="1"/>
  <c r="DR46" i="21" s="1"/>
  <c r="BV50" i="21"/>
  <c r="CT50" i="21"/>
  <c r="EH36" i="21"/>
  <c r="CH50" i="21"/>
  <c r="V36" i="21"/>
  <c r="EC36" i="21"/>
  <c r="CJ50" i="21"/>
  <c r="P36" i="21"/>
  <c r="AQ50" i="21"/>
  <c r="AN50" i="21"/>
  <c r="AM36" i="21"/>
  <c r="CL36" i="21"/>
  <c r="ER50" i="21"/>
  <c r="BZ50" i="21"/>
  <c r="CM36" i="21"/>
  <c r="EG36" i="21"/>
  <c r="EW50" i="21"/>
  <c r="DC36" i="21"/>
  <c r="FD50" i="21"/>
  <c r="FG36" i="21"/>
  <c r="AE36" i="21"/>
  <c r="FL42" i="21"/>
  <c r="FL44" i="21"/>
  <c r="FL45" i="21" s="1"/>
  <c r="FL46" i="21" s="1"/>
  <c r="AR36" i="21"/>
  <c r="EF36" i="21"/>
  <c r="EZ36" i="21"/>
  <c r="AV50" i="21"/>
  <c r="U36" i="21"/>
  <c r="ES36" i="21"/>
  <c r="CI50" i="21"/>
  <c r="T81" i="96"/>
  <c r="T90" i="96"/>
  <c r="T91" i="96" s="1"/>
  <c r="BS36" i="21"/>
  <c r="BH50" i="21"/>
  <c r="DF50" i="21"/>
  <c r="X50" i="21"/>
  <c r="DL36" i="21"/>
  <c r="BV36" i="21"/>
  <c r="CT36" i="21"/>
  <c r="EH50" i="21"/>
  <c r="CH36" i="21"/>
  <c r="AH36" i="21"/>
  <c r="CB50" i="21"/>
  <c r="F50" i="21"/>
  <c r="BM36" i="21"/>
  <c r="K50" i="21"/>
  <c r="BD50" i="21"/>
  <c r="AW36" i="21"/>
  <c r="AM50" i="21"/>
  <c r="CL50" i="21"/>
  <c r="ER36" i="21"/>
  <c r="BZ36" i="21"/>
  <c r="CM50" i="21"/>
  <c r="EG50" i="21"/>
  <c r="EW36" i="21"/>
  <c r="DC50" i="21"/>
  <c r="FD36" i="21"/>
  <c r="FG50" i="21"/>
  <c r="AE50" i="21"/>
  <c r="AR50" i="21"/>
  <c r="EF50" i="21"/>
  <c r="EZ50" i="21"/>
  <c r="AV36" i="21"/>
  <c r="U50" i="21"/>
  <c r="ES50" i="21"/>
  <c r="CI36" i="21"/>
  <c r="FM44" i="21" l="1"/>
  <c r="FM45" i="21" s="1"/>
  <c r="FM46" i="21" s="1"/>
  <c r="EO44" i="21"/>
  <c r="EO45" i="21" s="1"/>
  <c r="EO46" i="21" s="1"/>
  <c r="EO42" i="21"/>
  <c r="FL57" i="21"/>
  <c r="FL58" i="21" s="1"/>
  <c r="FL54" i="21"/>
  <c r="EO57" i="21"/>
  <c r="EO58" i="21" s="1"/>
  <c r="EO54" i="21"/>
  <c r="DR57" i="21"/>
  <c r="DR58" i="21" s="1"/>
  <c r="DR54" i="21"/>
  <c r="FM57" i="21"/>
  <c r="FM58" i="21" s="1"/>
  <c r="FM54" i="21"/>
  <c r="DS42" i="21"/>
  <c r="DS57" i="21"/>
  <c r="DS58" i="21" s="1"/>
  <c r="DS54" i="21"/>
  <c r="CR44" i="21"/>
  <c r="CR45" i="21" s="1"/>
  <c r="CR46" i="21" s="1"/>
  <c r="CR39" i="21"/>
  <c r="CR57" i="21"/>
  <c r="CR58" i="21" s="1"/>
  <c r="CR54" i="21"/>
  <c r="AF44" i="21"/>
  <c r="AF45" i="21" s="1"/>
  <c r="AF46" i="21" s="1"/>
  <c r="AF39" i="21"/>
  <c r="AF57" i="21"/>
  <c r="AF58" i="21" s="1"/>
  <c r="AF54" i="21"/>
  <c r="EP42" i="21"/>
  <c r="EP44" i="21"/>
  <c r="EP45" i="21" s="1"/>
  <c r="EP46" i="21" s="1"/>
  <c r="EP57" i="21"/>
  <c r="EP58" i="21" s="1"/>
  <c r="EP54" i="21"/>
  <c r="Q92" i="96"/>
  <c r="Q91" i="96"/>
  <c r="Q93" i="96" s="1"/>
  <c r="P82" i="96"/>
  <c r="P81" i="96"/>
  <c r="P83" i="96" s="1"/>
  <c r="P90" i="96"/>
  <c r="P92" i="96" l="1"/>
  <c r="P91" i="96"/>
  <c r="P93" i="96" s="1"/>
  <c r="O43" i="60" l="1"/>
  <c r="G9" i="85" s="1"/>
  <c r="O44" i="60"/>
  <c r="G9" i="86" s="1"/>
  <c r="O25" i="60"/>
  <c r="G9" i="87" s="1"/>
  <c r="FJ7" i="21" s="1"/>
  <c r="FH7" i="21" l="1"/>
  <c r="EK7" i="21"/>
  <c r="Q10" i="57" s="1"/>
  <c r="L9" i="86"/>
  <c r="M7" i="86" s="1"/>
  <c r="I9" i="86"/>
  <c r="J7" i="86" s="1"/>
  <c r="FI7" i="21"/>
  <c r="O9" i="85"/>
  <c r="DO7" i="21"/>
  <c r="I9" i="85"/>
  <c r="O9" i="87"/>
  <c r="N70" i="87" s="1"/>
  <c r="P69" i="87" s="1"/>
  <c r="P75" i="87" s="1"/>
  <c r="EM7" i="21"/>
  <c r="R10" i="57" s="1"/>
  <c r="I9" i="87"/>
  <c r="L9" i="87"/>
  <c r="M7" i="87" s="1"/>
  <c r="O9" i="86"/>
  <c r="DP7" i="21"/>
  <c r="EL7" i="21"/>
  <c r="DN7" i="21"/>
  <c r="L9" i="85"/>
  <c r="Y13" i="86" l="1"/>
  <c r="K70" i="87"/>
  <c r="M69" i="87" s="1"/>
  <c r="EM19" i="21" s="1"/>
  <c r="EM8" i="21"/>
  <c r="R11" i="57" s="1"/>
  <c r="FJ8" i="21"/>
  <c r="FJ11" i="21" s="1"/>
  <c r="FJ19" i="21"/>
  <c r="FJ21" i="21" s="1"/>
  <c r="EK8" i="21"/>
  <c r="Q11" i="57" s="1"/>
  <c r="P7" i="87"/>
  <c r="K70" i="86"/>
  <c r="M69" i="86" s="1"/>
  <c r="M75" i="86" s="1"/>
  <c r="P7" i="85"/>
  <c r="FI8" i="21"/>
  <c r="N70" i="85"/>
  <c r="P69" i="85" s="1"/>
  <c r="DO8" i="21"/>
  <c r="J7" i="85"/>
  <c r="H70" i="86"/>
  <c r="J69" i="86" s="1"/>
  <c r="DN19" i="21" s="1"/>
  <c r="DN8" i="21"/>
  <c r="H70" i="85"/>
  <c r="J69" i="85" s="1"/>
  <c r="DO19" i="21" s="1"/>
  <c r="H70" i="87"/>
  <c r="J69" i="87" s="1"/>
  <c r="DP8" i="21"/>
  <c r="J7" i="87"/>
  <c r="M7" i="85"/>
  <c r="EL8" i="21"/>
  <c r="K70" i="85"/>
  <c r="M69" i="85" s="1"/>
  <c r="P7" i="86"/>
  <c r="FH8" i="21"/>
  <c r="N70" i="86"/>
  <c r="P69" i="86" s="1"/>
  <c r="M75" i="87"/>
  <c r="X13" i="86"/>
  <c r="H30" i="86" s="1"/>
  <c r="I30" i="86" s="1"/>
  <c r="J27" i="86" s="1"/>
  <c r="X13" i="85" l="1"/>
  <c r="H30" i="85" s="1"/>
  <c r="I30" i="85" s="1"/>
  <c r="J27" i="85" s="1"/>
  <c r="DO13" i="21" s="1"/>
  <c r="Z13" i="85"/>
  <c r="EM48" i="21"/>
  <c r="EM11" i="21"/>
  <c r="FJ48" i="21"/>
  <c r="EK48" i="21"/>
  <c r="EK11" i="21"/>
  <c r="EK19" i="21"/>
  <c r="EK21" i="21" s="1"/>
  <c r="DO21" i="21"/>
  <c r="DO24" i="21" s="1"/>
  <c r="DO59" i="21" s="1"/>
  <c r="DP48" i="21"/>
  <c r="DP11" i="21"/>
  <c r="FI48" i="21"/>
  <c r="FI11" i="21"/>
  <c r="J75" i="87"/>
  <c r="DP19" i="21"/>
  <c r="DP21" i="21" s="1"/>
  <c r="DP24" i="21" s="1"/>
  <c r="DP59" i="21" s="1"/>
  <c r="FI19" i="21"/>
  <c r="FI21" i="21" s="1"/>
  <c r="FI24" i="21" s="1"/>
  <c r="FI59" i="21" s="1"/>
  <c r="P75" i="85"/>
  <c r="DN48" i="21"/>
  <c r="DN11" i="21"/>
  <c r="DO48" i="21"/>
  <c r="DO11" i="21"/>
  <c r="FJ22" i="21"/>
  <c r="K62" i="6" s="1"/>
  <c r="FJ24" i="21"/>
  <c r="FJ59" i="21" s="1"/>
  <c r="J75" i="86"/>
  <c r="DN13" i="21"/>
  <c r="DN21" i="21" s="1"/>
  <c r="P75" i="86"/>
  <c r="FH19" i="21"/>
  <c r="EL19" i="21"/>
  <c r="M75" i="85"/>
  <c r="EM21" i="21"/>
  <c r="FH48" i="21"/>
  <c r="FH11" i="21"/>
  <c r="EL48" i="21"/>
  <c r="EL11" i="21"/>
  <c r="Z13" i="86"/>
  <c r="Y13" i="85"/>
  <c r="J75" i="85" l="1"/>
  <c r="EM22" i="21"/>
  <c r="R22" i="57" s="1"/>
  <c r="DP49" i="21"/>
  <c r="DO22" i="21"/>
  <c r="E61" i="6" s="1"/>
  <c r="FI22" i="21"/>
  <c r="DP22" i="21"/>
  <c r="FJ49" i="21"/>
  <c r="FJ50" i="21" s="1"/>
  <c r="DO49" i="21"/>
  <c r="DN24" i="21"/>
  <c r="DN59" i="21" s="1"/>
  <c r="DN22" i="21"/>
  <c r="EK24" i="21"/>
  <c r="EK59" i="21" s="1"/>
  <c r="Q20" i="57" s="1"/>
  <c r="Q21" i="57"/>
  <c r="EK22" i="21"/>
  <c r="EM24" i="21"/>
  <c r="EM59" i="21" s="1"/>
  <c r="R20" i="57" s="1"/>
  <c r="R21" i="57"/>
  <c r="FJ35" i="21"/>
  <c r="FI49" i="21"/>
  <c r="FH21" i="21"/>
  <c r="FH22" i="21" s="1"/>
  <c r="EL21" i="21"/>
  <c r="EL22" i="21" s="1"/>
  <c r="C82" i="97"/>
  <c r="C225" i="97"/>
  <c r="E253" i="97"/>
  <c r="C273" i="97"/>
  <c r="E135" i="97"/>
  <c r="D101" i="97"/>
  <c r="D112" i="97"/>
  <c r="E296" i="97"/>
  <c r="D139" i="97"/>
  <c r="D113" i="97"/>
  <c r="D185" i="97"/>
  <c r="E185" i="97"/>
  <c r="D354" i="97"/>
  <c r="E334" i="97"/>
  <c r="D141" i="97"/>
  <c r="E321" i="97"/>
  <c r="E226" i="97"/>
  <c r="D252" i="97"/>
  <c r="E140" i="97"/>
  <c r="C355" i="97"/>
  <c r="E100" i="97"/>
  <c r="C17" i="97"/>
  <c r="C124" i="97"/>
  <c r="E161" i="97"/>
  <c r="E42" i="97"/>
  <c r="D5" i="97"/>
  <c r="D106" i="97"/>
  <c r="D366" i="97"/>
  <c r="D148" i="97"/>
  <c r="E167" i="97"/>
  <c r="E40" i="97"/>
  <c r="C321" i="97"/>
  <c r="C40" i="97"/>
  <c r="C372" i="97"/>
  <c r="E107" i="97"/>
  <c r="D31" i="97"/>
  <c r="C362" i="97"/>
  <c r="E346" i="97"/>
  <c r="D335" i="97"/>
  <c r="C32" i="97"/>
  <c r="C29" i="97"/>
  <c r="E39" i="97"/>
  <c r="D213" i="97"/>
  <c r="D264" i="97"/>
  <c r="E218" i="97"/>
  <c r="E134" i="97"/>
  <c r="E299" i="97"/>
  <c r="D253" i="97"/>
  <c r="E367" i="97"/>
  <c r="E145" i="97"/>
  <c r="D118" i="97"/>
  <c r="E311" i="97"/>
  <c r="C31" i="97"/>
  <c r="E222" i="97"/>
  <c r="E291" i="97"/>
  <c r="E213" i="97"/>
  <c r="E120" i="97"/>
  <c r="D29" i="97"/>
  <c r="D322" i="97"/>
  <c r="C97" i="97"/>
  <c r="D272" i="97"/>
  <c r="C107" i="97"/>
  <c r="D34" i="97"/>
  <c r="D65" i="97"/>
  <c r="C180" i="97"/>
  <c r="D341" i="97"/>
  <c r="C80" i="97"/>
  <c r="E78" i="97"/>
  <c r="C23" i="97"/>
  <c r="E110" i="97"/>
  <c r="E94" i="97"/>
  <c r="D283" i="97"/>
  <c r="C295" i="97"/>
  <c r="C248" i="97"/>
  <c r="D346" i="97"/>
  <c r="C130" i="97"/>
  <c r="D122" i="97"/>
  <c r="C181" i="97"/>
  <c r="C255" i="97"/>
  <c r="E266" i="97"/>
  <c r="C204" i="97"/>
  <c r="E156" i="97"/>
  <c r="E201" i="97"/>
  <c r="E44" i="97"/>
  <c r="E252" i="97"/>
  <c r="C175" i="97"/>
  <c r="E129" i="97"/>
  <c r="D320" i="97"/>
  <c r="C257" i="97"/>
  <c r="C26" i="97"/>
  <c r="C217" i="97"/>
  <c r="E118" i="97"/>
  <c r="C322" i="97"/>
  <c r="C138" i="97"/>
  <c r="C73" i="97"/>
  <c r="D179" i="97"/>
  <c r="D210" i="97"/>
  <c r="D88" i="97"/>
  <c r="D91" i="97"/>
  <c r="D351" i="97"/>
  <c r="E41" i="97"/>
  <c r="C168" i="97"/>
  <c r="C319" i="97"/>
  <c r="C289" i="97"/>
  <c r="E293" i="97"/>
  <c r="C243" i="97"/>
  <c r="D274" i="97"/>
  <c r="D109" i="97"/>
  <c r="D372" i="97"/>
  <c r="E149" i="97"/>
  <c r="E280" i="97"/>
  <c r="D72" i="97"/>
  <c r="E61" i="97"/>
  <c r="D83" i="97"/>
  <c r="C250" i="97"/>
  <c r="C153" i="97"/>
  <c r="C11" i="97"/>
  <c r="C41" i="97"/>
  <c r="E81" i="97"/>
  <c r="E68" i="97"/>
  <c r="E166" i="97"/>
  <c r="C115" i="97"/>
  <c r="D361" i="97"/>
  <c r="C19" i="97"/>
  <c r="E371" i="97"/>
  <c r="E111" i="97"/>
  <c r="C84" i="97"/>
  <c r="D306" i="97"/>
  <c r="D98" i="97"/>
  <c r="E69" i="97"/>
  <c r="C25" i="97"/>
  <c r="D355" i="97"/>
  <c r="E277" i="97"/>
  <c r="C346" i="97"/>
  <c r="D186" i="97"/>
  <c r="E192" i="97"/>
  <c r="D74" i="97"/>
  <c r="E187" i="97"/>
  <c r="C187" i="97"/>
  <c r="D56" i="97"/>
  <c r="E124" i="97"/>
  <c r="E26" i="97"/>
  <c r="D54" i="97"/>
  <c r="E176" i="97"/>
  <c r="E6" i="97"/>
  <c r="E186" i="97"/>
  <c r="D298" i="97"/>
  <c r="C347" i="97"/>
  <c r="D163" i="97"/>
  <c r="C147" i="97"/>
  <c r="E244" i="97"/>
  <c r="C215" i="97"/>
  <c r="D304" i="97"/>
  <c r="E362" i="97"/>
  <c r="C100" i="97"/>
  <c r="D201" i="97"/>
  <c r="C12" i="97"/>
  <c r="C353" i="97"/>
  <c r="D311" i="97"/>
  <c r="C81" i="97"/>
  <c r="D164" i="97"/>
  <c r="D181" i="97"/>
  <c r="C281" i="97"/>
  <c r="E157" i="97"/>
  <c r="C112" i="97"/>
  <c r="D162" i="97"/>
  <c r="C47" i="97"/>
  <c r="C220" i="97"/>
  <c r="C27" i="97"/>
  <c r="C266" i="97"/>
  <c r="D84" i="97"/>
  <c r="E14" i="97"/>
  <c r="D269" i="97"/>
  <c r="D232" i="97"/>
  <c r="E208" i="97"/>
  <c r="C350" i="97"/>
  <c r="E212" i="97"/>
  <c r="D120" i="97"/>
  <c r="E12" i="97"/>
  <c r="D352" i="97"/>
  <c r="D19" i="97"/>
  <c r="C174" i="97"/>
  <c r="C278" i="97"/>
  <c r="E83" i="97"/>
  <c r="D6" i="97"/>
  <c r="E170" i="97"/>
  <c r="E88" i="97"/>
  <c r="E86" i="97"/>
  <c r="E70" i="97"/>
  <c r="C16" i="97"/>
  <c r="C18" i="97"/>
  <c r="D177" i="97"/>
  <c r="D286" i="97"/>
  <c r="D45" i="97"/>
  <c r="E254" i="97"/>
  <c r="C205" i="97"/>
  <c r="C6" i="97"/>
  <c r="C145" i="97"/>
  <c r="D329" i="97"/>
  <c r="C375" i="97"/>
  <c r="D142" i="97"/>
  <c r="E62" i="97"/>
  <c r="E308" i="97"/>
  <c r="E251" i="97"/>
  <c r="D363" i="97"/>
  <c r="D151" i="97"/>
  <c r="E223" i="97"/>
  <c r="C318" i="97"/>
  <c r="D340" i="97"/>
  <c r="C170" i="97"/>
  <c r="C28" i="97"/>
  <c r="D241" i="97"/>
  <c r="D116" i="97"/>
  <c r="E322" i="97"/>
  <c r="E372" i="97"/>
  <c r="E143" i="97"/>
  <c r="E29" i="97"/>
  <c r="C232" i="97"/>
  <c r="E260" i="97"/>
  <c r="C30" i="97"/>
  <c r="D362" i="97"/>
  <c r="E77" i="97"/>
  <c r="C299" i="97"/>
  <c r="C176" i="97"/>
  <c r="E153" i="97"/>
  <c r="C330" i="97"/>
  <c r="C254" i="97"/>
  <c r="C122" i="97"/>
  <c r="D85" i="97"/>
  <c r="C280" i="97"/>
  <c r="E15" i="97"/>
  <c r="D119" i="97"/>
  <c r="E80" i="97"/>
  <c r="E126" i="97"/>
  <c r="C290" i="97"/>
  <c r="E284" i="97"/>
  <c r="E273" i="97"/>
  <c r="E71" i="97"/>
  <c r="E246" i="97"/>
  <c r="D230" i="97"/>
  <c r="E202" i="97"/>
  <c r="E115" i="97"/>
  <c r="D196" i="97"/>
  <c r="C277" i="97"/>
  <c r="C182" i="97"/>
  <c r="C160" i="97"/>
  <c r="E21" i="97"/>
  <c r="C20" i="97"/>
  <c r="C349" i="97"/>
  <c r="C333" i="97"/>
  <c r="E289" i="97"/>
  <c r="D136" i="97"/>
  <c r="E85" i="97"/>
  <c r="D99" i="97"/>
  <c r="C237" i="97"/>
  <c r="E292" i="97"/>
  <c r="D147" i="97"/>
  <c r="D104" i="97"/>
  <c r="C92" i="97"/>
  <c r="E241" i="97"/>
  <c r="C352" i="97"/>
  <c r="D87" i="97"/>
  <c r="E60" i="97"/>
  <c r="D279" i="97"/>
  <c r="C42" i="97"/>
  <c r="E174" i="97"/>
  <c r="D331" i="97"/>
  <c r="E375" i="97"/>
  <c r="D359" i="97"/>
  <c r="D64" i="97"/>
  <c r="E160" i="97"/>
  <c r="E220" i="97"/>
  <c r="E89" i="97"/>
  <c r="C90" i="97"/>
  <c r="E13" i="97"/>
  <c r="C296" i="97"/>
  <c r="E355" i="97"/>
  <c r="E47" i="97"/>
  <c r="D58" i="97"/>
  <c r="D50" i="97"/>
  <c r="D367" i="97"/>
  <c r="C268" i="97"/>
  <c r="C72" i="97"/>
  <c r="C357" i="97"/>
  <c r="E271" i="97"/>
  <c r="E245" i="97"/>
  <c r="E194" i="97"/>
  <c r="E197" i="97"/>
  <c r="C263" i="97"/>
  <c r="C361" i="97"/>
  <c r="E132" i="97"/>
  <c r="C192" i="97"/>
  <c r="D182" i="97"/>
  <c r="E247" i="97"/>
  <c r="D263" i="97"/>
  <c r="D133" i="97"/>
  <c r="E16" i="97"/>
  <c r="D166" i="97"/>
  <c r="E323" i="97"/>
  <c r="E320" i="97"/>
  <c r="E268" i="97"/>
  <c r="D103" i="97"/>
  <c r="D324" i="97"/>
  <c r="E20" i="97"/>
  <c r="C53" i="97"/>
  <c r="E228" i="97"/>
  <c r="E59" i="97"/>
  <c r="E188" i="97"/>
  <c r="E227" i="97"/>
  <c r="E283" i="97"/>
  <c r="E99" i="97"/>
  <c r="C219" i="97"/>
  <c r="C57" i="97"/>
  <c r="C52" i="97"/>
  <c r="D79" i="97"/>
  <c r="C239" i="97"/>
  <c r="E343" i="97"/>
  <c r="C315" i="97"/>
  <c r="D266" i="97"/>
  <c r="E217" i="97"/>
  <c r="E158" i="97"/>
  <c r="D278" i="97"/>
  <c r="E207" i="97"/>
  <c r="E175" i="97"/>
  <c r="C264" i="97"/>
  <c r="E238" i="97"/>
  <c r="E123" i="97"/>
  <c r="C5" i="97"/>
  <c r="D345" i="97"/>
  <c r="E332" i="97"/>
  <c r="C162" i="97"/>
  <c r="D293" i="97"/>
  <c r="E49" i="97"/>
  <c r="C191" i="97"/>
  <c r="D276" i="97"/>
  <c r="C229" i="97"/>
  <c r="D270" i="97"/>
  <c r="E113" i="97"/>
  <c r="D125" i="97"/>
  <c r="E24" i="97"/>
  <c r="D20" i="97"/>
  <c r="C305" i="97"/>
  <c r="C86" i="97"/>
  <c r="C260" i="97"/>
  <c r="C9" i="97"/>
  <c r="D212" i="97"/>
  <c r="C48" i="97"/>
  <c r="D203" i="97"/>
  <c r="D40" i="97"/>
  <c r="C135" i="97"/>
  <c r="C202" i="97"/>
  <c r="E64" i="97"/>
  <c r="C101" i="97"/>
  <c r="D342" i="97"/>
  <c r="D204" i="97"/>
  <c r="D215" i="97"/>
  <c r="C227" i="97"/>
  <c r="E257" i="97"/>
  <c r="E316" i="97"/>
  <c r="E162" i="97"/>
  <c r="C279" i="97"/>
  <c r="D96" i="97"/>
  <c r="C88" i="97"/>
  <c r="D325" i="97"/>
  <c r="C106" i="97"/>
  <c r="C144" i="97"/>
  <c r="C24" i="97"/>
  <c r="D46" i="97"/>
  <c r="C149" i="97"/>
  <c r="E65" i="97"/>
  <c r="E324" i="97"/>
  <c r="D70" i="97"/>
  <c r="C132" i="97"/>
  <c r="D9" i="97"/>
  <c r="D221" i="97"/>
  <c r="D92" i="97"/>
  <c r="E249" i="97"/>
  <c r="E309" i="97"/>
  <c r="E270" i="97"/>
  <c r="D302" i="97"/>
  <c r="E146" i="97"/>
  <c r="C99" i="97"/>
  <c r="D214" i="97"/>
  <c r="D282" i="97"/>
  <c r="E46" i="97"/>
  <c r="C252" i="97"/>
  <c r="E276" i="97"/>
  <c r="C233" i="97"/>
  <c r="E76" i="97"/>
  <c r="E331" i="97"/>
  <c r="C287" i="97"/>
  <c r="E240" i="97"/>
  <c r="C325" i="97"/>
  <c r="D374" i="97"/>
  <c r="D4" i="97"/>
  <c r="C323" i="97"/>
  <c r="C265" i="97"/>
  <c r="C44" i="97"/>
  <c r="D175" i="97"/>
  <c r="E108" i="97"/>
  <c r="D134" i="97"/>
  <c r="C140" i="97"/>
  <c r="D205" i="97"/>
  <c r="D149" i="97"/>
  <c r="E298" i="97"/>
  <c r="C371" i="97"/>
  <c r="D373" i="97"/>
  <c r="D258" i="97"/>
  <c r="D60" i="97"/>
  <c r="E34" i="97"/>
  <c r="E344" i="97"/>
  <c r="C198" i="97"/>
  <c r="D219" i="97"/>
  <c r="C211" i="97"/>
  <c r="E350" i="97"/>
  <c r="D285" i="97"/>
  <c r="C95" i="97"/>
  <c r="E221" i="97"/>
  <c r="E87" i="97"/>
  <c r="E136" i="97"/>
  <c r="D169" i="97"/>
  <c r="E215" i="97"/>
  <c r="C218" i="97"/>
  <c r="E35" i="97"/>
  <c r="D190" i="97"/>
  <c r="D152" i="97"/>
  <c r="E82" i="97"/>
  <c r="D49" i="97"/>
  <c r="D326" i="97"/>
  <c r="C134" i="97"/>
  <c r="D228" i="97"/>
  <c r="D7" i="97"/>
  <c r="C364" i="97"/>
  <c r="C67" i="97"/>
  <c r="C65" i="97"/>
  <c r="C316" i="97"/>
  <c r="C327" i="97"/>
  <c r="E155" i="97"/>
  <c r="E225" i="97"/>
  <c r="C62" i="97"/>
  <c r="D30" i="97"/>
  <c r="D59" i="97"/>
  <c r="E163" i="97"/>
  <c r="C111" i="97"/>
  <c r="E250" i="97"/>
  <c r="D338" i="97"/>
  <c r="D375" i="97"/>
  <c r="C148" i="97"/>
  <c r="C77" i="97"/>
  <c r="E195" i="97"/>
  <c r="C139" i="97"/>
  <c r="C345" i="97"/>
  <c r="D170" i="97"/>
  <c r="E314" i="97"/>
  <c r="E262" i="97"/>
  <c r="D52" i="97"/>
  <c r="D317" i="97"/>
  <c r="E231" i="97"/>
  <c r="C242" i="97"/>
  <c r="E181" i="97"/>
  <c r="C157" i="97"/>
  <c r="E297" i="97"/>
  <c r="D334" i="97"/>
  <c r="D126" i="97"/>
  <c r="D146" i="97"/>
  <c r="D41" i="97"/>
  <c r="D260" i="97"/>
  <c r="C303" i="97"/>
  <c r="D89" i="97"/>
  <c r="C339" i="97"/>
  <c r="C261" i="97"/>
  <c r="C70" i="97"/>
  <c r="D262" i="97"/>
  <c r="D316" i="97"/>
  <c r="E358" i="97"/>
  <c r="C301" i="97"/>
  <c r="C286" i="97"/>
  <c r="D42" i="97"/>
  <c r="E131" i="97"/>
  <c r="E242" i="97"/>
  <c r="E7" i="97"/>
  <c r="D26" i="97"/>
  <c r="C206" i="97"/>
  <c r="E269" i="97"/>
  <c r="C199" i="97"/>
  <c r="D128" i="97"/>
  <c r="D233" i="97"/>
  <c r="E4" i="97"/>
  <c r="D33" i="97"/>
  <c r="E52" i="97"/>
  <c r="E53" i="97"/>
  <c r="C93" i="97"/>
  <c r="D312" i="97"/>
  <c r="D23" i="97"/>
  <c r="D161" i="97"/>
  <c r="D127" i="97"/>
  <c r="C68" i="97"/>
  <c r="E142" i="97"/>
  <c r="C201" i="97"/>
  <c r="C207" i="97"/>
  <c r="E191" i="97"/>
  <c r="C10" i="97"/>
  <c r="D275" i="97"/>
  <c r="D247" i="97"/>
  <c r="C113" i="97"/>
  <c r="E102" i="97"/>
  <c r="E128" i="97"/>
  <c r="D207" i="97"/>
  <c r="E19" i="97"/>
  <c r="E169" i="97"/>
  <c r="E74" i="97"/>
  <c r="C37" i="97"/>
  <c r="E117" i="97"/>
  <c r="E23" i="97"/>
  <c r="E279" i="97"/>
  <c r="D360" i="97"/>
  <c r="D222" i="97"/>
  <c r="C221" i="97"/>
  <c r="C43" i="97"/>
  <c r="E340" i="97"/>
  <c r="E312" i="97"/>
  <c r="D294" i="97"/>
  <c r="C258" i="97"/>
  <c r="C166" i="97"/>
  <c r="D36" i="97"/>
  <c r="C223" i="97"/>
  <c r="C200" i="97"/>
  <c r="D199" i="97"/>
  <c r="D107" i="97"/>
  <c r="E112" i="97"/>
  <c r="C104" i="97"/>
  <c r="E363" i="97"/>
  <c r="D15" i="97"/>
  <c r="C249" i="97"/>
  <c r="C85" i="97"/>
  <c r="C39" i="97"/>
  <c r="D140" i="97"/>
  <c r="E354" i="97"/>
  <c r="C276" i="97"/>
  <c r="C203" i="97"/>
  <c r="D90" i="97"/>
  <c r="E56" i="97"/>
  <c r="E278" i="97"/>
  <c r="D167" i="97"/>
  <c r="D110" i="97"/>
  <c r="D121" i="97"/>
  <c r="D25" i="97"/>
  <c r="E168" i="97"/>
  <c r="C341" i="97"/>
  <c r="E9" i="97"/>
  <c r="E301" i="97"/>
  <c r="E154" i="97"/>
  <c r="C125" i="97"/>
  <c r="E25" i="97"/>
  <c r="E255" i="97"/>
  <c r="C146" i="97"/>
  <c r="E189" i="97"/>
  <c r="D256" i="97"/>
  <c r="C309" i="97"/>
  <c r="C344" i="97"/>
  <c r="D344" i="97"/>
  <c r="D48" i="97"/>
  <c r="D229" i="97"/>
  <c r="C178" i="97"/>
  <c r="E43" i="97"/>
  <c r="D277" i="97"/>
  <c r="E272" i="97"/>
  <c r="C161" i="97"/>
  <c r="E302" i="97"/>
  <c r="C159" i="97"/>
  <c r="E286" i="97"/>
  <c r="D178" i="97"/>
  <c r="E183" i="97"/>
  <c r="E345" i="97"/>
  <c r="E290" i="97"/>
  <c r="D66" i="97"/>
  <c r="C209" i="97"/>
  <c r="D244" i="97"/>
  <c r="E342" i="97"/>
  <c r="C36" i="97"/>
  <c r="D24" i="97"/>
  <c r="C193" i="97"/>
  <c r="C291" i="97"/>
  <c r="C302" i="97"/>
  <c r="E353" i="97"/>
  <c r="E360" i="97"/>
  <c r="C313" i="97"/>
  <c r="E205" i="97"/>
  <c r="C51" i="97"/>
  <c r="D206" i="97"/>
  <c r="C224" i="97"/>
  <c r="E121" i="97"/>
  <c r="D47" i="97"/>
  <c r="C137" i="97"/>
  <c r="D157" i="97"/>
  <c r="C110" i="97"/>
  <c r="C13" i="97"/>
  <c r="E300" i="97"/>
  <c r="D173" i="97"/>
  <c r="D231" i="97"/>
  <c r="C366" i="97"/>
  <c r="E230" i="97"/>
  <c r="C75" i="97"/>
  <c r="E119" i="97"/>
  <c r="D69" i="97"/>
  <c r="C213" i="97"/>
  <c r="E101" i="97"/>
  <c r="C58" i="97"/>
  <c r="E281" i="97"/>
  <c r="C274" i="97"/>
  <c r="D250" i="97"/>
  <c r="C226" i="97"/>
  <c r="D246" i="97"/>
  <c r="E178" i="97"/>
  <c r="D108" i="97"/>
  <c r="D343" i="97"/>
  <c r="C298" i="97"/>
  <c r="D180" i="97"/>
  <c r="C310" i="97"/>
  <c r="C133" i="97"/>
  <c r="D292" i="97"/>
  <c r="E364" i="97"/>
  <c r="C340" i="97"/>
  <c r="C297" i="97"/>
  <c r="C354" i="97"/>
  <c r="E256" i="97"/>
  <c r="C150" i="97"/>
  <c r="D171" i="97"/>
  <c r="C212" i="97"/>
  <c r="D156" i="97"/>
  <c r="D123" i="97"/>
  <c r="E193" i="97"/>
  <c r="E325" i="97"/>
  <c r="E206" i="97"/>
  <c r="E366" i="97"/>
  <c r="C49" i="97"/>
  <c r="D315" i="97"/>
  <c r="C197" i="97"/>
  <c r="C269" i="97"/>
  <c r="E147" i="97"/>
  <c r="E93" i="97"/>
  <c r="D165" i="97"/>
  <c r="C348" i="97"/>
  <c r="C173" i="97"/>
  <c r="C121" i="97"/>
  <c r="D153" i="97"/>
  <c r="C230" i="97"/>
  <c r="C373" i="97"/>
  <c r="D368" i="97"/>
  <c r="C143" i="97"/>
  <c r="D289" i="97"/>
  <c r="C359" i="97"/>
  <c r="E275" i="97"/>
  <c r="C94" i="97"/>
  <c r="D137" i="97"/>
  <c r="D318" i="97"/>
  <c r="C312" i="97"/>
  <c r="E164" i="97"/>
  <c r="D71" i="97"/>
  <c r="E232" i="97"/>
  <c r="C367" i="97"/>
  <c r="E229" i="97"/>
  <c r="E184" i="97"/>
  <c r="D240" i="97"/>
  <c r="D73" i="97"/>
  <c r="E330" i="97"/>
  <c r="C35" i="97"/>
  <c r="E152" i="97"/>
  <c r="E84" i="97"/>
  <c r="D202" i="97"/>
  <c r="D138" i="97"/>
  <c r="D115" i="97"/>
  <c r="D308" i="97"/>
  <c r="D319" i="97"/>
  <c r="D328" i="97"/>
  <c r="C179" i="97"/>
  <c r="D305" i="97"/>
  <c r="E214" i="97"/>
  <c r="D131" i="97"/>
  <c r="E138" i="97"/>
  <c r="C74" i="97"/>
  <c r="E151" i="97"/>
  <c r="E32" i="97"/>
  <c r="C186" i="97"/>
  <c r="E338" i="97"/>
  <c r="D242" i="97"/>
  <c r="E105" i="97"/>
  <c r="E66" i="97"/>
  <c r="C56" i="97"/>
  <c r="C34" i="97"/>
  <c r="D51" i="97"/>
  <c r="C370" i="97"/>
  <c r="D353" i="97"/>
  <c r="C4" i="97"/>
  <c r="D225" i="97"/>
  <c r="D189" i="97"/>
  <c r="C190" i="97"/>
  <c r="C131" i="97"/>
  <c r="E148" i="97"/>
  <c r="D310" i="97"/>
  <c r="E339" i="97"/>
  <c r="D130" i="97"/>
  <c r="E329" i="97"/>
  <c r="D336" i="97"/>
  <c r="E141" i="97"/>
  <c r="E365" i="97"/>
  <c r="C60" i="97"/>
  <c r="E328" i="97"/>
  <c r="C342" i="97"/>
  <c r="E198" i="97"/>
  <c r="E36" i="97"/>
  <c r="E303" i="97"/>
  <c r="C151" i="97"/>
  <c r="D67" i="97"/>
  <c r="E33" i="97"/>
  <c r="C76" i="97"/>
  <c r="C332" i="97"/>
  <c r="C165" i="97"/>
  <c r="D197" i="97"/>
  <c r="E237" i="97"/>
  <c r="D237" i="97"/>
  <c r="E51" i="97"/>
  <c r="C89" i="97"/>
  <c r="C338" i="97"/>
  <c r="D350" i="97"/>
  <c r="D330" i="97"/>
  <c r="D76" i="97"/>
  <c r="C351" i="97"/>
  <c r="E50" i="97"/>
  <c r="D216" i="97"/>
  <c r="E235" i="97"/>
  <c r="C259" i="97"/>
  <c r="E211" i="97"/>
  <c r="E30" i="97"/>
  <c r="C244" i="97"/>
  <c r="D192" i="97"/>
  <c r="E150" i="97"/>
  <c r="C114" i="97"/>
  <c r="E319" i="97"/>
  <c r="C293" i="97"/>
  <c r="C63" i="97"/>
  <c r="C283" i="97"/>
  <c r="D321" i="97"/>
  <c r="C337" i="97"/>
  <c r="D257" i="97"/>
  <c r="E219" i="97"/>
  <c r="E203" i="97"/>
  <c r="D43" i="97"/>
  <c r="D102" i="97"/>
  <c r="C334" i="97"/>
  <c r="E95" i="97"/>
  <c r="D309" i="97"/>
  <c r="E90" i="97"/>
  <c r="C105" i="97"/>
  <c r="C14" i="97"/>
  <c r="D144" i="97"/>
  <c r="C311" i="97"/>
  <c r="D18" i="97"/>
  <c r="D150" i="97"/>
  <c r="D129" i="97"/>
  <c r="C331" i="97"/>
  <c r="C231" i="97"/>
  <c r="C245" i="97"/>
  <c r="C78" i="97"/>
  <c r="C136" i="97"/>
  <c r="C184" i="97"/>
  <c r="C120" i="97"/>
  <c r="D267" i="97"/>
  <c r="C196" i="97"/>
  <c r="E73" i="97"/>
  <c r="C167" i="97"/>
  <c r="E173" i="97"/>
  <c r="D245" i="97"/>
  <c r="E361" i="97"/>
  <c r="D259" i="97"/>
  <c r="E352" i="97"/>
  <c r="E91" i="97"/>
  <c r="C314" i="97"/>
  <c r="C308" i="97"/>
  <c r="D224" i="97"/>
  <c r="D94" i="97"/>
  <c r="C307" i="97"/>
  <c r="E265" i="97"/>
  <c r="D28" i="97"/>
  <c r="C158" i="97"/>
  <c r="E368" i="97"/>
  <c r="E258" i="97"/>
  <c r="E37" i="97"/>
  <c r="E130" i="97"/>
  <c r="E109" i="97"/>
  <c r="D300" i="97"/>
  <c r="C117" i="97"/>
  <c r="E356" i="97"/>
  <c r="C91" i="97"/>
  <c r="E72" i="97"/>
  <c r="D303" i="97"/>
  <c r="E288" i="97"/>
  <c r="D188" i="97"/>
  <c r="E63" i="97"/>
  <c r="C288" i="97"/>
  <c r="C45" i="97"/>
  <c r="D218" i="97"/>
  <c r="E310" i="97"/>
  <c r="C336" i="97"/>
  <c r="E234" i="97"/>
  <c r="C275" i="97"/>
  <c r="D251" i="97"/>
  <c r="C324" i="97"/>
  <c r="C116" i="97"/>
  <c r="D349" i="97"/>
  <c r="D97" i="97"/>
  <c r="E79" i="97"/>
  <c r="D21" i="97"/>
  <c r="C33" i="97"/>
  <c r="D57" i="97"/>
  <c r="D174" i="97"/>
  <c r="E304" i="97"/>
  <c r="C155" i="97"/>
  <c r="E137" i="97"/>
  <c r="C71" i="97"/>
  <c r="C238" i="97"/>
  <c r="C365" i="97"/>
  <c r="E349" i="97"/>
  <c r="D290" i="97"/>
  <c r="E8" i="97"/>
  <c r="C282" i="97"/>
  <c r="E200" i="97"/>
  <c r="D295" i="97"/>
  <c r="D271" i="97"/>
  <c r="C129" i="97"/>
  <c r="C306" i="97"/>
  <c r="D268" i="97"/>
  <c r="D27" i="97"/>
  <c r="E97" i="97"/>
  <c r="C304" i="97"/>
  <c r="D11" i="97"/>
  <c r="C21" i="97"/>
  <c r="E264" i="97"/>
  <c r="C87" i="97"/>
  <c r="C109" i="97"/>
  <c r="D82" i="97"/>
  <c r="D194" i="97"/>
  <c r="C50" i="97"/>
  <c r="E54" i="97"/>
  <c r="C154" i="97"/>
  <c r="D327" i="97"/>
  <c r="D132" i="97"/>
  <c r="E27" i="97"/>
  <c r="E139" i="97"/>
  <c r="E67" i="97"/>
  <c r="E209" i="97"/>
  <c r="C64" i="97"/>
  <c r="D187" i="97"/>
  <c r="C83" i="97"/>
  <c r="C328" i="97"/>
  <c r="C285" i="97"/>
  <c r="C300" i="97"/>
  <c r="D44" i="97"/>
  <c r="E236" i="97"/>
  <c r="E57" i="97"/>
  <c r="C127" i="97"/>
  <c r="E38" i="97"/>
  <c r="E127" i="97"/>
  <c r="C195" i="97"/>
  <c r="E17" i="97"/>
  <c r="C188" i="97"/>
  <c r="E196" i="97"/>
  <c r="D172" i="97"/>
  <c r="D347" i="97"/>
  <c r="D12" i="97"/>
  <c r="C360" i="97"/>
  <c r="E171" i="97"/>
  <c r="E92" i="97"/>
  <c r="D17" i="97"/>
  <c r="E370" i="97"/>
  <c r="D234" i="97"/>
  <c r="D154" i="97"/>
  <c r="D284" i="97"/>
  <c r="E11" i="97"/>
  <c r="C210" i="97"/>
  <c r="E351" i="97"/>
  <c r="D296" i="97"/>
  <c r="D155" i="97"/>
  <c r="D369" i="97"/>
  <c r="E45" i="97"/>
  <c r="C214" i="97"/>
  <c r="D288" i="97"/>
  <c r="E267" i="97"/>
  <c r="C356" i="97"/>
  <c r="E287" i="97"/>
  <c r="C246" i="97"/>
  <c r="C123" i="97"/>
  <c r="E259" i="97"/>
  <c r="C216" i="97"/>
  <c r="C363" i="97"/>
  <c r="E239" i="97"/>
  <c r="C183" i="97"/>
  <c r="C141" i="97"/>
  <c r="C61" i="97"/>
  <c r="E248" i="97"/>
  <c r="C119" i="97"/>
  <c r="D191" i="97"/>
  <c r="C163" i="97"/>
  <c r="E180" i="97"/>
  <c r="E31" i="97"/>
  <c r="C236" i="97"/>
  <c r="E282" i="97"/>
  <c r="D208" i="97"/>
  <c r="C152" i="97"/>
  <c r="D248" i="97"/>
  <c r="C292" i="97"/>
  <c r="C368" i="97"/>
  <c r="E224" i="97"/>
  <c r="C222" i="97"/>
  <c r="E210" i="97"/>
  <c r="E357" i="97"/>
  <c r="C294" i="97"/>
  <c r="D261" i="97"/>
  <c r="C103" i="97"/>
  <c r="E348" i="97"/>
  <c r="E315" i="97"/>
  <c r="D227" i="97"/>
  <c r="D100" i="97"/>
  <c r="D55" i="97"/>
  <c r="D53" i="97"/>
  <c r="C253" i="97"/>
  <c r="D114" i="97"/>
  <c r="D10" i="97"/>
  <c r="E307" i="97"/>
  <c r="E122" i="97"/>
  <c r="D158" i="97"/>
  <c r="D297" i="97"/>
  <c r="C358" i="97"/>
  <c r="D61" i="97"/>
  <c r="C177" i="97"/>
  <c r="D198" i="97"/>
  <c r="D307" i="97"/>
  <c r="D371" i="97"/>
  <c r="D291" i="97"/>
  <c r="D81" i="97"/>
  <c r="E294" i="97"/>
  <c r="C142" i="97"/>
  <c r="C369" i="97"/>
  <c r="D332" i="97"/>
  <c r="D243" i="97"/>
  <c r="E285" i="97"/>
  <c r="E313" i="97"/>
  <c r="E243" i="97"/>
  <c r="D209" i="97"/>
  <c r="C118" i="97"/>
  <c r="D63" i="97"/>
  <c r="D255" i="97"/>
  <c r="E305" i="97"/>
  <c r="E369" i="97"/>
  <c r="D337" i="97"/>
  <c r="D13" i="97"/>
  <c r="D86" i="97"/>
  <c r="E263" i="97"/>
  <c r="D226" i="97"/>
  <c r="C102" i="97"/>
  <c r="D314" i="97"/>
  <c r="D301" i="97"/>
  <c r="D93" i="97"/>
  <c r="D287" i="97"/>
  <c r="E326" i="97"/>
  <c r="D77" i="97"/>
  <c r="C194" i="97"/>
  <c r="E182" i="97"/>
  <c r="C267" i="97"/>
  <c r="C317" i="97"/>
  <c r="D95" i="97"/>
  <c r="E116" i="97"/>
  <c r="C55" i="97"/>
  <c r="D193" i="97"/>
  <c r="D348" i="97"/>
  <c r="C108" i="97"/>
  <c r="D145" i="97"/>
  <c r="E336" i="97"/>
  <c r="E333" i="97"/>
  <c r="C320" i="97"/>
  <c r="E179" i="97"/>
  <c r="E165" i="97"/>
  <c r="D265" i="97"/>
  <c r="C59" i="97"/>
  <c r="C335" i="97"/>
  <c r="D220" i="97"/>
  <c r="C272" i="97"/>
  <c r="D160" i="97"/>
  <c r="C240" i="97"/>
  <c r="D357" i="97"/>
  <c r="D124" i="97"/>
  <c r="D38" i="97"/>
  <c r="C128" i="97"/>
  <c r="D14" i="97"/>
  <c r="D370" i="97"/>
  <c r="D78" i="97"/>
  <c r="C234" i="97"/>
  <c r="C241" i="97"/>
  <c r="D176" i="97"/>
  <c r="E347" i="97"/>
  <c r="C208" i="97"/>
  <c r="C172" i="97"/>
  <c r="E114" i="97"/>
  <c r="D184" i="97"/>
  <c r="D235" i="97"/>
  <c r="E48" i="97"/>
  <c r="E341" i="97"/>
  <c r="E295" i="97"/>
  <c r="C374" i="97"/>
  <c r="D339" i="97"/>
  <c r="E204" i="97"/>
  <c r="C126" i="97"/>
  <c r="D365" i="97"/>
  <c r="D105" i="97"/>
  <c r="E103" i="97"/>
  <c r="D239" i="97"/>
  <c r="E98" i="97"/>
  <c r="C247" i="97"/>
  <c r="D80" i="97"/>
  <c r="C171" i="97"/>
  <c r="D238" i="97"/>
  <c r="C271" i="97"/>
  <c r="E373" i="97"/>
  <c r="D333" i="97"/>
  <c r="C54" i="97"/>
  <c r="C185" i="97"/>
  <c r="E190" i="97"/>
  <c r="C79" i="97"/>
  <c r="E10" i="97"/>
  <c r="D135" i="97"/>
  <c r="E55" i="97"/>
  <c r="D39" i="97"/>
  <c r="C343" i="97"/>
  <c r="E58" i="97"/>
  <c r="E96" i="97"/>
  <c r="C22" i="97"/>
  <c r="E159" i="97"/>
  <c r="D299" i="97"/>
  <c r="E306" i="97"/>
  <c r="D62" i="97"/>
  <c r="D323" i="97"/>
  <c r="C329" i="97"/>
  <c r="D16" i="97"/>
  <c r="E374" i="97"/>
  <c r="D236" i="97"/>
  <c r="D281" i="97"/>
  <c r="E172" i="97"/>
  <c r="D35" i="97"/>
  <c r="D313" i="97"/>
  <c r="D159" i="97"/>
  <c r="C7" i="97"/>
  <c r="E233" i="97"/>
  <c r="C169" i="97"/>
  <c r="C96" i="97"/>
  <c r="E18" i="97"/>
  <c r="E144" i="97"/>
  <c r="C284" i="97"/>
  <c r="C228" i="97"/>
  <c r="D117" i="97"/>
  <c r="E327" i="97"/>
  <c r="E317" i="97"/>
  <c r="D195" i="97"/>
  <c r="C66" i="97"/>
  <c r="E28" i="97"/>
  <c r="C270" i="97"/>
  <c r="E199" i="97"/>
  <c r="D22" i="97"/>
  <c r="E133" i="97"/>
  <c r="E177" i="97"/>
  <c r="C189" i="97"/>
  <c r="C235" i="97"/>
  <c r="E75" i="97"/>
  <c r="D211" i="97"/>
  <c r="C156" i="97"/>
  <c r="D249" i="97"/>
  <c r="C98" i="97"/>
  <c r="E104" i="97"/>
  <c r="D200" i="97"/>
  <c r="D223" i="97"/>
  <c r="C326" i="97"/>
  <c r="D68" i="97"/>
  <c r="E22" i="97"/>
  <c r="D111" i="97"/>
  <c r="E318" i="97"/>
  <c r="C251" i="97"/>
  <c r="C256" i="97"/>
  <c r="D32" i="97"/>
  <c r="E274" i="97"/>
  <c r="E337" i="97"/>
  <c r="C164" i="97"/>
  <c r="C262" i="97"/>
  <c r="D364" i="97"/>
  <c r="D183" i="97"/>
  <c r="D217" i="97"/>
  <c r="E106" i="97"/>
  <c r="D358" i="97"/>
  <c r="D37" i="97"/>
  <c r="E125" i="97"/>
  <c r="D356" i="97"/>
  <c r="D280" i="97"/>
  <c r="C46" i="97"/>
  <c r="E335" i="97"/>
  <c r="C69" i="97"/>
  <c r="C15" i="97"/>
  <c r="D143" i="97"/>
  <c r="D168" i="97"/>
  <c r="E359" i="97"/>
  <c r="E5" i="97"/>
  <c r="C8" i="97"/>
  <c r="D273" i="97"/>
  <c r="D254" i="97"/>
  <c r="E216" i="97"/>
  <c r="C38" i="97"/>
  <c r="D8" i="97"/>
  <c r="D75" i="97"/>
  <c r="E261" i="97"/>
  <c r="J40" i="99" l="1"/>
  <c r="K40" i="99" s="1"/>
  <c r="J19" i="99"/>
  <c r="K19" i="99" s="1"/>
  <c r="J15" i="99"/>
  <c r="K15" i="99" s="1"/>
  <c r="J72" i="99"/>
  <c r="K72" i="99" s="1"/>
  <c r="J66" i="99"/>
  <c r="K66" i="99" s="1"/>
  <c r="J69" i="99"/>
  <c r="K69" i="99" s="1"/>
  <c r="J61" i="99"/>
  <c r="K61" i="99" s="1"/>
  <c r="J13" i="99"/>
  <c r="K13" i="99" s="1"/>
  <c r="J80" i="99"/>
  <c r="K80" i="99" s="1"/>
  <c r="J81" i="99"/>
  <c r="K81" i="99" s="1"/>
  <c r="J43" i="99"/>
  <c r="K43" i="99" s="1"/>
  <c r="J31" i="99"/>
  <c r="K31" i="99" s="1"/>
  <c r="J75" i="99"/>
  <c r="K75" i="99" s="1"/>
  <c r="J68" i="99"/>
  <c r="K68" i="99" s="1"/>
  <c r="J54" i="99"/>
  <c r="K54" i="99" s="1"/>
  <c r="J73" i="99"/>
  <c r="K73" i="99" s="1"/>
  <c r="J18" i="99"/>
  <c r="K18" i="99" s="1"/>
  <c r="J29" i="99"/>
  <c r="K29" i="99" s="1"/>
  <c r="J78" i="99"/>
  <c r="K78" i="99" s="1"/>
  <c r="J65" i="99"/>
  <c r="K65" i="99" s="1"/>
  <c r="J46" i="99"/>
  <c r="K46" i="99" s="1"/>
  <c r="J77" i="99"/>
  <c r="K77" i="99" s="1"/>
  <c r="J83" i="99"/>
  <c r="K83" i="99" s="1"/>
  <c r="J52" i="99"/>
  <c r="K52" i="99" s="1"/>
  <c r="J32" i="99"/>
  <c r="K32" i="99" s="1"/>
  <c r="J82" i="99"/>
  <c r="K82" i="99" s="1"/>
  <c r="J74" i="99"/>
  <c r="K74" i="99" s="1"/>
  <c r="J86" i="99"/>
  <c r="K86" i="99" s="1"/>
  <c r="J42" i="99"/>
  <c r="K42" i="99" s="1"/>
  <c r="J71" i="99"/>
  <c r="K71" i="99" s="1"/>
  <c r="J24" i="99"/>
  <c r="K24" i="99" s="1"/>
  <c r="J59" i="99"/>
  <c r="K59" i="99" s="1"/>
  <c r="J36" i="99"/>
  <c r="K36" i="99" s="1"/>
  <c r="J58" i="99"/>
  <c r="K58" i="99" s="1"/>
  <c r="J16" i="99"/>
  <c r="K16" i="99" s="1"/>
  <c r="J47" i="99"/>
  <c r="K47" i="99" s="1"/>
  <c r="J38" i="99"/>
  <c r="K38" i="99" s="1"/>
  <c r="J39" i="99"/>
  <c r="K39" i="99" s="1"/>
  <c r="J23" i="99"/>
  <c r="K23" i="99" s="1"/>
  <c r="J35" i="99"/>
  <c r="K35" i="99" s="1"/>
  <c r="J22" i="99"/>
  <c r="K22" i="99" s="1"/>
  <c r="J28" i="99"/>
  <c r="K28" i="99" s="1"/>
  <c r="J21" i="99"/>
  <c r="K21" i="99" s="1"/>
  <c r="J48" i="99"/>
  <c r="K48" i="99" s="1"/>
  <c r="J44" i="99"/>
  <c r="K44" i="99" s="1"/>
  <c r="J53" i="99"/>
  <c r="K53" i="99" s="1"/>
  <c r="J85" i="99"/>
  <c r="K85" i="99" s="1"/>
  <c r="J41" i="99"/>
  <c r="K41" i="99" s="1"/>
  <c r="J26" i="99"/>
  <c r="K26" i="99" s="1"/>
  <c r="J30" i="99"/>
  <c r="K30" i="99" s="1"/>
  <c r="J57" i="99"/>
  <c r="K57" i="99" s="1"/>
  <c r="J27" i="99"/>
  <c r="K27" i="99" s="1"/>
  <c r="J14" i="99"/>
  <c r="K14" i="99" s="1"/>
  <c r="J20" i="99"/>
  <c r="K20" i="99" s="1"/>
  <c r="J56" i="99"/>
  <c r="K56" i="99" s="1"/>
  <c r="J51" i="99"/>
  <c r="K51" i="99" s="1"/>
  <c r="J70" i="99"/>
  <c r="K70" i="99" s="1"/>
  <c r="J63" i="99"/>
  <c r="K63" i="99" s="1"/>
  <c r="J33" i="99"/>
  <c r="K33" i="99" s="1"/>
  <c r="J76" i="99"/>
  <c r="K76" i="99" s="1"/>
  <c r="J62" i="99"/>
  <c r="K62" i="99" s="1"/>
  <c r="J84" i="99"/>
  <c r="K84" i="99" s="1"/>
  <c r="J25" i="99"/>
  <c r="K25" i="99" s="1"/>
  <c r="J49" i="99"/>
  <c r="K49" i="99" s="1"/>
  <c r="J37" i="99"/>
  <c r="K37" i="99" s="1"/>
  <c r="J17" i="99"/>
  <c r="K17" i="99" s="1"/>
  <c r="J64" i="99"/>
  <c r="K64" i="99" s="1"/>
  <c r="J50" i="99"/>
  <c r="K50" i="99" s="1"/>
  <c r="J45" i="99"/>
  <c r="K45" i="99" s="1"/>
  <c r="J60" i="99"/>
  <c r="K60" i="99" s="1"/>
  <c r="J79" i="99"/>
  <c r="K79" i="99" s="1"/>
  <c r="J55" i="99"/>
  <c r="K55" i="99" s="1"/>
  <c r="J67" i="99"/>
  <c r="K67" i="99" s="1"/>
  <c r="J34" i="99"/>
  <c r="K34" i="99" s="1"/>
  <c r="H62" i="6"/>
  <c r="M62" i="6" s="1"/>
  <c r="K61" i="6"/>
  <c r="DP50" i="21"/>
  <c r="DO35" i="21"/>
  <c r="DO36" i="21" s="1"/>
  <c r="FI35" i="21"/>
  <c r="E62" i="6"/>
  <c r="DP35" i="21"/>
  <c r="DO50" i="21"/>
  <c r="EM35" i="21"/>
  <c r="EM36" i="21" s="1"/>
  <c r="EM49" i="21"/>
  <c r="EM50" i="21" s="1"/>
  <c r="H61" i="6"/>
  <c r="M61" i="6" s="1"/>
  <c r="K60" i="6"/>
  <c r="H60" i="6"/>
  <c r="M60" i="6" s="1"/>
  <c r="EK35" i="21"/>
  <c r="Q22" i="57"/>
  <c r="S22" i="57" s="1"/>
  <c r="DN35" i="21"/>
  <c r="E60" i="6"/>
  <c r="EK49" i="21"/>
  <c r="DN49" i="21"/>
  <c r="EL24" i="21"/>
  <c r="EL59" i="21" s="1"/>
  <c r="FI50" i="21"/>
  <c r="FJ36" i="21"/>
  <c r="FH24" i="21"/>
  <c r="FH59" i="21" s="1"/>
  <c r="FI36" i="21" l="1"/>
  <c r="DP36" i="21"/>
  <c r="FH49" i="21"/>
  <c r="FH50" i="21" s="1"/>
  <c r="EK36" i="21"/>
  <c r="FH35" i="21"/>
  <c r="EL49" i="21"/>
  <c r="DN50" i="21"/>
  <c r="DN36" i="21"/>
  <c r="EK50" i="21"/>
  <c r="EL35" i="21"/>
  <c r="FH36" i="21" l="1"/>
  <c r="EL36" i="21"/>
  <c r="EL50" i="21"/>
  <c r="N74" i="13" l="1"/>
  <c r="M18" i="23" l="1"/>
  <c r="M18" i="22"/>
  <c r="I19" i="29"/>
  <c r="J18" i="29" s="1"/>
  <c r="I19" i="26"/>
  <c r="J18" i="26" s="1"/>
  <c r="L18" i="101"/>
  <c r="M17" i="101" s="1"/>
  <c r="S18" i="101" s="1"/>
  <c r="O19" i="87"/>
  <c r="P18" i="87" s="1"/>
  <c r="P1" i="87" s="1"/>
  <c r="M18" i="78"/>
  <c r="M1" i="78" s="1"/>
  <c r="M18" i="87"/>
  <c r="M1" i="87" s="1"/>
  <c r="I19" i="81"/>
  <c r="J18" i="81" s="1"/>
  <c r="J1" i="81" s="1"/>
  <c r="O19" i="78"/>
  <c r="P18" i="78" s="1"/>
  <c r="P1" i="78" s="1"/>
  <c r="O19" i="72"/>
  <c r="P18" i="72" s="1"/>
  <c r="I19" i="43"/>
  <c r="J18" i="43" s="1"/>
  <c r="I19" i="33"/>
  <c r="J18" i="33" s="1"/>
  <c r="O19" i="24"/>
  <c r="P18" i="24" s="1"/>
  <c r="I19" i="46"/>
  <c r="J18" i="46" s="1"/>
  <c r="O19" i="36"/>
  <c r="P18" i="36" s="1"/>
  <c r="O19" i="23"/>
  <c r="P18" i="23" s="1"/>
  <c r="M18" i="48"/>
  <c r="I19" i="37"/>
  <c r="J18" i="37" s="1"/>
  <c r="O19" i="28"/>
  <c r="P18" i="28" s="1"/>
  <c r="I19" i="48"/>
  <c r="J18" i="48" s="1"/>
  <c r="O19" i="38"/>
  <c r="P18" i="38" s="1"/>
  <c r="M18" i="28"/>
  <c r="I18" i="101"/>
  <c r="J17" i="101" s="1"/>
  <c r="R18" i="101" s="1"/>
  <c r="M18" i="77"/>
  <c r="M1" i="77" s="1"/>
  <c r="M18" i="82"/>
  <c r="M1" i="82" s="1"/>
  <c r="M18" i="91"/>
  <c r="O19" i="79"/>
  <c r="P18" i="79" s="1"/>
  <c r="P1" i="79" s="1"/>
  <c r="O19" i="84"/>
  <c r="I19" i="71"/>
  <c r="J18" i="71" s="1"/>
  <c r="M18" i="42"/>
  <c r="M18" i="32"/>
  <c r="I19" i="22"/>
  <c r="J18" i="22" s="1"/>
  <c r="M18" i="45"/>
  <c r="I19" i="32"/>
  <c r="J18" i="32" s="1"/>
  <c r="M18" i="73"/>
  <c r="M1" i="73" s="1"/>
  <c r="O19" i="47"/>
  <c r="P18" i="47" s="1"/>
  <c r="M18" i="36"/>
  <c r="I19" i="24"/>
  <c r="J18" i="24" s="1"/>
  <c r="M18" i="47"/>
  <c r="I19" i="36"/>
  <c r="J18" i="36" s="1"/>
  <c r="O19" i="27"/>
  <c r="P18" i="27" s="1"/>
  <c r="M18" i="35"/>
  <c r="I19" i="84"/>
  <c r="M18" i="109"/>
  <c r="M1" i="109" s="1"/>
  <c r="M18" i="81"/>
  <c r="M1" i="81" s="1"/>
  <c r="M18" i="86"/>
  <c r="M1" i="86" s="1"/>
  <c r="I19" i="87"/>
  <c r="J18" i="87" s="1"/>
  <c r="J1" i="87" s="1"/>
  <c r="I19" i="78"/>
  <c r="J18" i="78" s="1"/>
  <c r="J1" i="78" s="1"/>
  <c r="I19" i="74"/>
  <c r="J18" i="74" s="1"/>
  <c r="J1" i="74" s="1"/>
  <c r="I19" i="77"/>
  <c r="J18" i="77" s="1"/>
  <c r="J1" i="77" s="1"/>
  <c r="P18" i="51"/>
  <c r="O19" i="41"/>
  <c r="P18" i="41" s="1"/>
  <c r="O19" i="31"/>
  <c r="P18" i="31" s="1"/>
  <c r="P18" i="73"/>
  <c r="P1" i="73" s="1"/>
  <c r="O19" i="44"/>
  <c r="P18" i="44" s="1"/>
  <c r="M18" i="31"/>
  <c r="I19" i="72"/>
  <c r="J18" i="72" s="1"/>
  <c r="I19" i="45"/>
  <c r="J18" i="45" s="1"/>
  <c r="O19" i="35"/>
  <c r="P18" i="35" s="1"/>
  <c r="O19" i="46"/>
  <c r="P18" i="46" s="1"/>
  <c r="O19" i="26"/>
  <c r="P18" i="26" s="1"/>
  <c r="O18" i="101"/>
  <c r="P17" i="101" s="1"/>
  <c r="T18" i="101" s="1"/>
  <c r="O19" i="109"/>
  <c r="P18" i="109" s="1"/>
  <c r="P1" i="109" s="1"/>
  <c r="M18" i="85"/>
  <c r="M1" i="85" s="1"/>
  <c r="I19" i="86"/>
  <c r="J18" i="86" s="1"/>
  <c r="J1" i="86" s="1"/>
  <c r="I19" i="91"/>
  <c r="J18" i="91" s="1"/>
  <c r="O19" i="91"/>
  <c r="P18" i="91" s="1"/>
  <c r="O19" i="77"/>
  <c r="P18" i="77" s="1"/>
  <c r="P1" i="77" s="1"/>
  <c r="I19" i="82"/>
  <c r="J18" i="82" s="1"/>
  <c r="J1" i="82" s="1"/>
  <c r="M18" i="50"/>
  <c r="I19" i="39"/>
  <c r="J18" i="39" s="1"/>
  <c r="M18" i="72"/>
  <c r="I19" i="42"/>
  <c r="J18" i="42" s="1"/>
  <c r="O19" i="30"/>
  <c r="P18" i="30" s="1"/>
  <c r="O19" i="71"/>
  <c r="P18" i="71" s="1"/>
  <c r="M18" i="44"/>
  <c r="O19" i="34"/>
  <c r="P18" i="34" s="1"/>
  <c r="O19" i="22"/>
  <c r="P18" i="22" s="1"/>
  <c r="I19" i="44"/>
  <c r="J18" i="44" s="1"/>
  <c r="M18" i="34"/>
  <c r="O19" i="25"/>
  <c r="P18" i="25" s="1"/>
  <c r="I19" i="109"/>
  <c r="J18" i="109" s="1"/>
  <c r="J1" i="109" s="1"/>
  <c r="I19" i="85"/>
  <c r="J18" i="85" s="1"/>
  <c r="J1" i="85" s="1"/>
  <c r="O19" i="85"/>
  <c r="P18" i="85" s="1"/>
  <c r="P1" i="85" s="1"/>
  <c r="O19" i="86"/>
  <c r="P18" i="86" s="1"/>
  <c r="P1" i="86" s="1"/>
  <c r="O19" i="80"/>
  <c r="P18" i="80" s="1"/>
  <c r="P1" i="80" s="1"/>
  <c r="I19" i="79"/>
  <c r="J18" i="79" s="1"/>
  <c r="J1" i="79" s="1"/>
  <c r="O19" i="76"/>
  <c r="P18" i="76" s="1"/>
  <c r="P1" i="76" s="1"/>
  <c r="O19" i="49"/>
  <c r="P18" i="49" s="1"/>
  <c r="M18" i="38"/>
  <c r="I19" i="28"/>
  <c r="J18" i="28" s="1"/>
  <c r="M18" i="51"/>
  <c r="M18" i="41"/>
  <c r="I19" i="27"/>
  <c r="J18" i="27" s="1"/>
  <c r="O19" i="70"/>
  <c r="P18" i="70" s="1"/>
  <c r="P1" i="70" s="1"/>
  <c r="O19" i="43"/>
  <c r="P18" i="43" s="1"/>
  <c r="O19" i="33"/>
  <c r="P18" i="33" s="1"/>
  <c r="I19" i="73"/>
  <c r="J18" i="73" s="1"/>
  <c r="M18" i="43"/>
  <c r="M18" i="33"/>
  <c r="I19" i="23"/>
  <c r="J18" i="23" s="1"/>
  <c r="O19" i="75"/>
  <c r="P18" i="75" s="1"/>
  <c r="P1" i="75" s="1"/>
  <c r="M18" i="75"/>
  <c r="M1" i="75" s="1"/>
  <c r="M18" i="76"/>
  <c r="M1" i="76" s="1"/>
  <c r="O19" i="83"/>
  <c r="P18" i="83" s="1"/>
  <c r="P1" i="83" s="1"/>
  <c r="O19" i="82"/>
  <c r="P18" i="82" s="1"/>
  <c r="P1" i="82" s="1"/>
  <c r="I19" i="47"/>
  <c r="J18" i="47" s="1"/>
  <c r="O19" i="37"/>
  <c r="P18" i="37" s="1"/>
  <c r="M18" i="27"/>
  <c r="I19" i="50"/>
  <c r="J18" i="50" s="1"/>
  <c r="O19" i="40"/>
  <c r="P18" i="40" s="1"/>
  <c r="M18" i="70"/>
  <c r="M1" i="70" s="1"/>
  <c r="I19" i="41"/>
  <c r="J18" i="41" s="1"/>
  <c r="I19" i="31"/>
  <c r="J18" i="31" s="1"/>
  <c r="M18" i="71"/>
  <c r="O19" i="42"/>
  <c r="P18" i="42" s="1"/>
  <c r="O19" i="32"/>
  <c r="P18" i="32" s="1"/>
  <c r="I19" i="75"/>
  <c r="J18" i="75" s="1"/>
  <c r="J1" i="75" s="1"/>
  <c r="M18" i="79"/>
  <c r="M1" i="79" s="1"/>
  <c r="M18" i="80"/>
  <c r="M1" i="80" s="1"/>
  <c r="I19" i="83"/>
  <c r="J18" i="83" s="1"/>
  <c r="J1" i="83" s="1"/>
  <c r="I19" i="80"/>
  <c r="J18" i="80" s="1"/>
  <c r="J1" i="80" s="1"/>
  <c r="M18" i="46"/>
  <c r="I19" i="35"/>
  <c r="J18" i="35" s="1"/>
  <c r="R19" i="35" s="1"/>
  <c r="M18" i="26"/>
  <c r="M18" i="49"/>
  <c r="I19" i="38"/>
  <c r="J18" i="38" s="1"/>
  <c r="I19" i="25"/>
  <c r="J18" i="25" s="1"/>
  <c r="J18" i="51"/>
  <c r="M18" i="40"/>
  <c r="M18" i="30"/>
  <c r="I19" i="70"/>
  <c r="J18" i="70" s="1"/>
  <c r="I19" i="40"/>
  <c r="J18" i="40" s="1"/>
  <c r="I19" i="30"/>
  <c r="J18" i="30" s="1"/>
  <c r="O19" i="74"/>
  <c r="P18" i="74" s="1"/>
  <c r="P1" i="74" s="1"/>
  <c r="M18" i="74"/>
  <c r="M1" i="74" s="1"/>
  <c r="M18" i="83"/>
  <c r="M1" i="83" s="1"/>
  <c r="M1" i="84"/>
  <c r="I19" i="76"/>
  <c r="J18" i="76" s="1"/>
  <c r="J1" i="76" s="1"/>
  <c r="O19" i="81"/>
  <c r="P18" i="81" s="1"/>
  <c r="P1" i="81" s="1"/>
  <c r="O19" i="45"/>
  <c r="P18" i="45" s="1"/>
  <c r="I19" i="34"/>
  <c r="J18" i="34" s="1"/>
  <c r="M18" i="25"/>
  <c r="O19" i="48"/>
  <c r="P18" i="48" s="1"/>
  <c r="M18" i="37"/>
  <c r="M18" i="24"/>
  <c r="I19" i="49"/>
  <c r="J18" i="49" s="1"/>
  <c r="O19" i="39"/>
  <c r="P18" i="39" s="1"/>
  <c r="O19" i="29"/>
  <c r="P18" i="29" s="1"/>
  <c r="O19" i="50"/>
  <c r="P18" i="50" s="1"/>
  <c r="M18" i="39"/>
  <c r="M18" i="29"/>
  <c r="P18" i="84" l="1"/>
  <c r="P1" i="84" s="1"/>
  <c r="J1" i="84"/>
  <c r="J18" i="84"/>
  <c r="AM63" i="21"/>
  <c r="S19" i="25"/>
  <c r="M1" i="25"/>
  <c r="EV63" i="21"/>
  <c r="T19" i="74"/>
  <c r="T63" i="21"/>
  <c r="R19" i="38"/>
  <c r="J1" i="38"/>
  <c r="ED63" i="21"/>
  <c r="S19" i="79"/>
  <c r="DU63" i="21"/>
  <c r="S19" i="70"/>
  <c r="EA63" i="21"/>
  <c r="S19" i="76"/>
  <c r="CK63" i="21"/>
  <c r="T19" i="43"/>
  <c r="P1" i="43"/>
  <c r="EX63" i="21"/>
  <c r="T19" i="76"/>
  <c r="AV63" i="21"/>
  <c r="S19" i="34"/>
  <c r="M1" i="34"/>
  <c r="DW63" i="21"/>
  <c r="S19" i="72"/>
  <c r="EL63" i="21"/>
  <c r="S19" i="85"/>
  <c r="CZ63" i="21"/>
  <c r="R19" i="72"/>
  <c r="DB63" i="21"/>
  <c r="R19" i="74"/>
  <c r="BU63" i="21"/>
  <c r="T19" i="27"/>
  <c r="P1" i="27"/>
  <c r="BG63" i="21"/>
  <c r="S19" i="45"/>
  <c r="M1" i="45"/>
  <c r="EH63" i="21"/>
  <c r="S19" i="82"/>
  <c r="BJ63" i="21"/>
  <c r="S19" i="48"/>
  <c r="M1" i="48"/>
  <c r="EZ63" i="21"/>
  <c r="T19" i="78"/>
  <c r="S19" i="49"/>
  <c r="M1" i="49"/>
  <c r="DC63" i="21"/>
  <c r="R19" i="75"/>
  <c r="CH63" i="21"/>
  <c r="T19" i="40"/>
  <c r="P1" i="40"/>
  <c r="DZ63" i="21"/>
  <c r="S19" i="75"/>
  <c r="ER63" i="21"/>
  <c r="T19" i="70"/>
  <c r="DG63" i="21"/>
  <c r="R19" i="79"/>
  <c r="Z63" i="21"/>
  <c r="R19" i="44"/>
  <c r="J1" i="44"/>
  <c r="U63" i="21"/>
  <c r="R19" i="39"/>
  <c r="J1" i="39"/>
  <c r="FB63" i="21"/>
  <c r="T19" i="109"/>
  <c r="AS63" i="21"/>
  <c r="S19" i="31"/>
  <c r="M1" i="31"/>
  <c r="DF63" i="21"/>
  <c r="R19" i="78"/>
  <c r="R63" i="21"/>
  <c r="R19" i="36"/>
  <c r="J1" i="36"/>
  <c r="D63" i="21"/>
  <c r="R19" i="22"/>
  <c r="J1" i="22"/>
  <c r="EB63" i="21"/>
  <c r="S19" i="77"/>
  <c r="BQ63" i="21"/>
  <c r="T19" i="23"/>
  <c r="P1" i="23"/>
  <c r="DJ63" i="21"/>
  <c r="R19" i="81"/>
  <c r="P63" i="21"/>
  <c r="R19" i="34"/>
  <c r="J1" i="34"/>
  <c r="V63" i="21"/>
  <c r="R19" i="40"/>
  <c r="J1" i="40"/>
  <c r="AN63" i="21"/>
  <c r="S19" i="26"/>
  <c r="M1" i="26"/>
  <c r="AJ63" i="21"/>
  <c r="S19" i="22"/>
  <c r="M1" i="22"/>
  <c r="AG63" i="21"/>
  <c r="R19" i="50"/>
  <c r="J1" i="50"/>
  <c r="EW63" i="21"/>
  <c r="T19" i="75"/>
  <c r="I63" i="21"/>
  <c r="R19" i="27"/>
  <c r="J1" i="27"/>
  <c r="FC63" i="21"/>
  <c r="T19" i="80"/>
  <c r="BP63" i="21"/>
  <c r="T19" i="22"/>
  <c r="P1" i="22"/>
  <c r="BM63" i="21"/>
  <c r="S19" i="50"/>
  <c r="M1" i="50"/>
  <c r="CL63" i="21"/>
  <c r="T19" i="44"/>
  <c r="P1" i="44"/>
  <c r="DP63" i="21"/>
  <c r="R19" i="87"/>
  <c r="BI63" i="21"/>
  <c r="S19" i="47"/>
  <c r="M1" i="47"/>
  <c r="AT63" i="21"/>
  <c r="S19" i="32"/>
  <c r="M1" i="32"/>
  <c r="CD63" i="21"/>
  <c r="T19" i="36"/>
  <c r="P1" i="36"/>
  <c r="EM63" i="21"/>
  <c r="S19" i="87"/>
  <c r="CM63" i="21"/>
  <c r="T19" i="45"/>
  <c r="P1" i="45"/>
  <c r="CG63" i="21"/>
  <c r="T19" i="39"/>
  <c r="P1" i="39"/>
  <c r="FD63" i="21"/>
  <c r="S16" i="20" s="1"/>
  <c r="S18" i="20" s="1"/>
  <c r="T19" i="81"/>
  <c r="CX63" i="21"/>
  <c r="R19" i="70"/>
  <c r="Q63" i="21"/>
  <c r="J1" i="35"/>
  <c r="BZ63" i="21"/>
  <c r="T19" i="32"/>
  <c r="P1" i="32"/>
  <c r="AO63" i="21"/>
  <c r="S19" i="27"/>
  <c r="M1" i="27"/>
  <c r="E63" i="21"/>
  <c r="R19" i="23"/>
  <c r="J1" i="23"/>
  <c r="BC63" i="21"/>
  <c r="S19" i="41"/>
  <c r="M1" i="41"/>
  <c r="FH63" i="21"/>
  <c r="T19" i="86"/>
  <c r="CB63" i="21"/>
  <c r="T19" i="34"/>
  <c r="P1" i="34"/>
  <c r="DK63" i="21"/>
  <c r="R19" i="82"/>
  <c r="BT63" i="21"/>
  <c r="T19" i="26"/>
  <c r="P1" i="26"/>
  <c r="EU63" i="21"/>
  <c r="T19" i="73"/>
  <c r="EK63" i="21"/>
  <c r="S19" i="86"/>
  <c r="F63" i="21"/>
  <c r="R19" i="24"/>
  <c r="J1" i="24"/>
  <c r="BD63" i="21"/>
  <c r="S19" i="42"/>
  <c r="M1" i="42"/>
  <c r="AP63" i="21"/>
  <c r="K16" i="20" s="1"/>
  <c r="K18" i="20" s="1"/>
  <c r="K34" i="20" s="1"/>
  <c r="S19" i="28"/>
  <c r="M1" i="28"/>
  <c r="AB63" i="21"/>
  <c r="R19" i="46"/>
  <c r="J1" i="46"/>
  <c r="EC63" i="21"/>
  <c r="S19" i="78"/>
  <c r="BW63" i="21"/>
  <c r="T19" i="29"/>
  <c r="P1" i="29"/>
  <c r="AE63" i="21"/>
  <c r="R19" i="49"/>
  <c r="J1" i="49"/>
  <c r="DD63" i="21"/>
  <c r="R19" i="76"/>
  <c r="AR63" i="21"/>
  <c r="S19" i="30"/>
  <c r="M1" i="30"/>
  <c r="BH63" i="21"/>
  <c r="S19" i="46"/>
  <c r="M1" i="46"/>
  <c r="CJ63" i="21"/>
  <c r="T19" i="42"/>
  <c r="P1" i="42"/>
  <c r="CE63" i="21"/>
  <c r="T19" i="37"/>
  <c r="P1" i="37"/>
  <c r="AU63" i="21"/>
  <c r="S19" i="33"/>
  <c r="M1" i="33"/>
  <c r="BN63" i="21"/>
  <c r="S19" i="51"/>
  <c r="M1" i="51"/>
  <c r="FI63" i="21"/>
  <c r="T19" i="85"/>
  <c r="BF63" i="21"/>
  <c r="S19" i="44"/>
  <c r="M1" i="44"/>
  <c r="EY63" i="21"/>
  <c r="T19" i="77"/>
  <c r="CN63" i="21"/>
  <c r="T19" i="46"/>
  <c r="P1" i="46"/>
  <c r="BY63" i="21"/>
  <c r="T19" i="31"/>
  <c r="P1" i="31"/>
  <c r="EG63" i="21"/>
  <c r="S19" i="81"/>
  <c r="AX63" i="21"/>
  <c r="S19" i="36"/>
  <c r="M1" i="36"/>
  <c r="CY63" i="21"/>
  <c r="R19" i="71"/>
  <c r="CF63" i="21"/>
  <c r="T19" i="38"/>
  <c r="P1" i="38"/>
  <c r="BR63" i="21"/>
  <c r="T19" i="24"/>
  <c r="P1" i="24"/>
  <c r="FJ63" i="21"/>
  <c r="T19" i="87"/>
  <c r="CS63" i="21"/>
  <c r="T19" i="50"/>
  <c r="P1" i="50"/>
  <c r="AL63" i="21"/>
  <c r="S19" i="24"/>
  <c r="M1" i="24"/>
  <c r="EJ63" i="21"/>
  <c r="S19" i="84"/>
  <c r="BB63" i="21"/>
  <c r="S19" i="40"/>
  <c r="M1" i="40"/>
  <c r="DI63" i="21"/>
  <c r="R19" i="80"/>
  <c r="DV63" i="21"/>
  <c r="S19" i="71"/>
  <c r="AC63" i="21"/>
  <c r="R19" i="47"/>
  <c r="J1" i="47"/>
  <c r="BE63" i="21"/>
  <c r="S19" i="43"/>
  <c r="M1" i="43"/>
  <c r="J63" i="21"/>
  <c r="R19" i="28"/>
  <c r="J1" i="28"/>
  <c r="DO63" i="21"/>
  <c r="R19" i="85"/>
  <c r="ES63" i="21"/>
  <c r="T19" i="71"/>
  <c r="T19" i="91"/>
  <c r="AK63" i="21"/>
  <c r="I16" i="20" s="1"/>
  <c r="S19" i="23"/>
  <c r="M1" i="23"/>
  <c r="CI63" i="21"/>
  <c r="T19" i="41"/>
  <c r="P1" i="41"/>
  <c r="EE63" i="21"/>
  <c r="S19" i="109"/>
  <c r="CO63" i="21"/>
  <c r="T19" i="47"/>
  <c r="P1" i="47"/>
  <c r="AD63" i="21"/>
  <c r="R19" i="48"/>
  <c r="J1" i="48"/>
  <c r="O63" i="21"/>
  <c r="R19" i="33"/>
  <c r="J1" i="33"/>
  <c r="BA63" i="21"/>
  <c r="S19" i="39"/>
  <c r="M1" i="39"/>
  <c r="AY63" i="21"/>
  <c r="O16" i="20" s="1"/>
  <c r="O18" i="20" s="1"/>
  <c r="S19" i="37"/>
  <c r="M1" i="37"/>
  <c r="EI63" i="21"/>
  <c r="S19" i="83"/>
  <c r="AH63" i="21"/>
  <c r="R19" i="51"/>
  <c r="J1" i="51"/>
  <c r="DL63" i="21"/>
  <c r="R19" i="83"/>
  <c r="M63" i="21"/>
  <c r="R19" i="31"/>
  <c r="J1" i="31"/>
  <c r="FE63" i="21"/>
  <c r="T19" i="82"/>
  <c r="DA63" i="21"/>
  <c r="R19" i="73"/>
  <c r="AZ63" i="21"/>
  <c r="S19" i="38"/>
  <c r="M1" i="38"/>
  <c r="DH63" i="21"/>
  <c r="R19" i="109"/>
  <c r="BX63" i="21"/>
  <c r="T19" i="30"/>
  <c r="P1" i="30"/>
  <c r="R19" i="91"/>
  <c r="CC63" i="21"/>
  <c r="T19" i="35"/>
  <c r="P1" i="35"/>
  <c r="CT63" i="21"/>
  <c r="T19" i="51"/>
  <c r="P1" i="51"/>
  <c r="DM63" i="21"/>
  <c r="R19" i="84"/>
  <c r="DX63" i="21"/>
  <c r="S19" i="73"/>
  <c r="FA63" i="21"/>
  <c r="T19" i="79"/>
  <c r="BV63" i="21"/>
  <c r="T19" i="28"/>
  <c r="P1" i="28"/>
  <c r="Y63" i="21"/>
  <c r="R19" i="43"/>
  <c r="J1" i="43"/>
  <c r="H63" i="21"/>
  <c r="R19" i="26"/>
  <c r="J1" i="26"/>
  <c r="L63" i="21"/>
  <c r="R19" i="30"/>
  <c r="J1" i="30"/>
  <c r="AQ63" i="21"/>
  <c r="S19" i="29"/>
  <c r="M1" i="29"/>
  <c r="CP63" i="21"/>
  <c r="T19" i="48"/>
  <c r="P1" i="48"/>
  <c r="DY63" i="21"/>
  <c r="S19" i="74"/>
  <c r="G63" i="21"/>
  <c r="R19" i="25"/>
  <c r="J1" i="25"/>
  <c r="EF63" i="21"/>
  <c r="S19" i="80"/>
  <c r="W63" i="21"/>
  <c r="R19" i="41"/>
  <c r="J1" i="41"/>
  <c r="FF63" i="21"/>
  <c r="T19" i="83"/>
  <c r="CA63" i="21"/>
  <c r="T19" i="33"/>
  <c r="P1" i="33"/>
  <c r="CQ63" i="21"/>
  <c r="T19" i="49"/>
  <c r="P1" i="49"/>
  <c r="BS63" i="21"/>
  <c r="T19" i="25"/>
  <c r="P1" i="25"/>
  <c r="X63" i="21"/>
  <c r="R19" i="42"/>
  <c r="J1" i="42"/>
  <c r="DN63" i="21"/>
  <c r="R19" i="86"/>
  <c r="AA63" i="21"/>
  <c r="R19" i="45"/>
  <c r="J1" i="45"/>
  <c r="DE63" i="21"/>
  <c r="R19" i="77"/>
  <c r="AW63" i="21"/>
  <c r="M16" i="20" s="1"/>
  <c r="M18" i="20" s="1"/>
  <c r="S19" i="35"/>
  <c r="M1" i="35"/>
  <c r="N63" i="21"/>
  <c r="R19" i="32"/>
  <c r="J1" i="32"/>
  <c r="S19" i="91"/>
  <c r="S63" i="21"/>
  <c r="R19" i="37"/>
  <c r="J1" i="37"/>
  <c r="ET63" i="21"/>
  <c r="T19" i="72"/>
  <c r="K63" i="21"/>
  <c r="R19" i="29"/>
  <c r="J1" i="29"/>
  <c r="T19" i="84" l="1"/>
  <c r="FG63" i="21"/>
  <c r="N1" i="31"/>
  <c r="N1" i="47"/>
  <c r="K1" i="44"/>
  <c r="K1" i="36"/>
  <c r="N1" i="87"/>
  <c r="N1" i="25"/>
  <c r="N1" i="49"/>
  <c r="K1" i="38"/>
  <c r="K1" i="27"/>
  <c r="N1" i="79"/>
  <c r="N1" i="48"/>
  <c r="K1" i="79"/>
  <c r="N1" i="34"/>
  <c r="N1" i="50"/>
  <c r="N1" i="32"/>
  <c r="K1" i="74"/>
  <c r="N1" i="45"/>
  <c r="N1" i="30"/>
  <c r="K1" i="81"/>
  <c r="N1" i="72"/>
  <c r="K1" i="39"/>
  <c r="K1" i="73"/>
  <c r="N1" i="85"/>
  <c r="K1" i="50"/>
  <c r="N1" i="41"/>
  <c r="K1" i="72"/>
  <c r="N1" i="28"/>
  <c r="K1" i="40"/>
  <c r="N1" i="26"/>
  <c r="K1" i="75"/>
  <c r="K1" i="91"/>
  <c r="K1" i="51"/>
  <c r="N1" i="42"/>
  <c r="K1" i="109"/>
  <c r="K1" i="86"/>
  <c r="N1" i="84"/>
  <c r="N1" i="38"/>
  <c r="N1" i="75"/>
  <c r="N1" i="76"/>
  <c r="N1" i="33"/>
  <c r="K1" i="23"/>
  <c r="K1" i="24"/>
  <c r="N1" i="77"/>
  <c r="N1" i="70"/>
  <c r="N1" i="29"/>
  <c r="N1" i="86"/>
  <c r="N1" i="82"/>
  <c r="K1" i="78"/>
  <c r="K1" i="87"/>
  <c r="N1" i="83"/>
  <c r="W37" i="21"/>
  <c r="W23" i="21"/>
  <c r="H37" i="21"/>
  <c r="H23" i="21"/>
  <c r="AZ23" i="21"/>
  <c r="AZ37" i="21"/>
  <c r="BA23" i="21"/>
  <c r="BA37" i="21"/>
  <c r="J23" i="21"/>
  <c r="J37" i="21"/>
  <c r="K1" i="71"/>
  <c r="CS23" i="21"/>
  <c r="CS37" i="21"/>
  <c r="CN23" i="21"/>
  <c r="CN37" i="21"/>
  <c r="BH23" i="21"/>
  <c r="BH37" i="21"/>
  <c r="BD37" i="21"/>
  <c r="BD23" i="21"/>
  <c r="N1" i="73"/>
  <c r="BC23" i="21"/>
  <c r="BC37" i="21"/>
  <c r="CM37" i="21"/>
  <c r="CM23" i="21"/>
  <c r="K1" i="32"/>
  <c r="BP23" i="21"/>
  <c r="BP37" i="21"/>
  <c r="P23" i="21"/>
  <c r="P37" i="21"/>
  <c r="K1" i="77"/>
  <c r="FB37" i="21"/>
  <c r="FB23" i="21"/>
  <c r="BK23" i="21"/>
  <c r="BK37" i="21"/>
  <c r="K1" i="82"/>
  <c r="EL23" i="21"/>
  <c r="EL37" i="21"/>
  <c r="U16" i="20"/>
  <c r="U18" i="20" s="1"/>
  <c r="T37" i="21"/>
  <c r="T23" i="21"/>
  <c r="M121" i="20"/>
  <c r="M34" i="20"/>
  <c r="M52" i="20"/>
  <c r="M19" i="20"/>
  <c r="M122" i="20" s="1"/>
  <c r="G23" i="21"/>
  <c r="G37" i="21"/>
  <c r="K1" i="29"/>
  <c r="FA37" i="21"/>
  <c r="FA23" i="21"/>
  <c r="N1" i="51"/>
  <c r="M23" i="21"/>
  <c r="M37" i="21"/>
  <c r="K1" i="83"/>
  <c r="FG23" i="21"/>
  <c r="FG37" i="21"/>
  <c r="N1" i="71"/>
  <c r="DV37" i="21"/>
  <c r="DV23" i="21"/>
  <c r="K1" i="84"/>
  <c r="CF37" i="21"/>
  <c r="CF23" i="21"/>
  <c r="FI37" i="21"/>
  <c r="FI23" i="21"/>
  <c r="N1" i="37"/>
  <c r="AE23" i="21"/>
  <c r="AE37" i="21"/>
  <c r="EU23" i="21"/>
  <c r="EU37" i="21"/>
  <c r="BZ37" i="21"/>
  <c r="BZ23" i="21"/>
  <c r="N1" i="81"/>
  <c r="AT23" i="21"/>
  <c r="AT37" i="21"/>
  <c r="N1" i="44"/>
  <c r="EW37" i="21"/>
  <c r="EW23" i="21"/>
  <c r="K1" i="26"/>
  <c r="EB23" i="21"/>
  <c r="EB37" i="21"/>
  <c r="DG23" i="21"/>
  <c r="DG37" i="21"/>
  <c r="N1" i="40"/>
  <c r="EH23" i="21"/>
  <c r="EH37" i="21"/>
  <c r="EX23" i="21"/>
  <c r="EX37" i="21"/>
  <c r="K1" i="70"/>
  <c r="S23" i="21"/>
  <c r="S37" i="21"/>
  <c r="AW37" i="21"/>
  <c r="AW23" i="21"/>
  <c r="FF37" i="21"/>
  <c r="FF23" i="21"/>
  <c r="DN23" i="21"/>
  <c r="DN37" i="21"/>
  <c r="K23" i="21"/>
  <c r="K37" i="21"/>
  <c r="CQ23" i="21"/>
  <c r="CQ37" i="21"/>
  <c r="AQ37" i="21"/>
  <c r="AQ23" i="21"/>
  <c r="CT37" i="21"/>
  <c r="CT23" i="21"/>
  <c r="BX23" i="21"/>
  <c r="BX37" i="21"/>
  <c r="EI37" i="21"/>
  <c r="EI23" i="21"/>
  <c r="CI23" i="21"/>
  <c r="CI37" i="21"/>
  <c r="ES37" i="21"/>
  <c r="ES23" i="21"/>
  <c r="K1" i="43"/>
  <c r="EJ23" i="21"/>
  <c r="EJ37" i="21"/>
  <c r="EG23" i="21"/>
  <c r="EG37" i="21"/>
  <c r="CE23" i="21"/>
  <c r="CE37" i="21"/>
  <c r="K1" i="30"/>
  <c r="AB37" i="21"/>
  <c r="AB23" i="21"/>
  <c r="CB23" i="21"/>
  <c r="CB37" i="21"/>
  <c r="FD37" i="21"/>
  <c r="FD23" i="21"/>
  <c r="CL37" i="21"/>
  <c r="CL23" i="21"/>
  <c r="N1" i="80"/>
  <c r="AN23" i="21"/>
  <c r="AN37" i="21"/>
  <c r="DF23" i="21"/>
  <c r="DF37" i="21"/>
  <c r="CH23" i="21"/>
  <c r="CH37" i="21"/>
  <c r="N1" i="78"/>
  <c r="DB23" i="21"/>
  <c r="DB37" i="21"/>
  <c r="DU37" i="21"/>
  <c r="DU23" i="21"/>
  <c r="N1" i="74"/>
  <c r="DE23" i="21"/>
  <c r="DE37" i="21"/>
  <c r="DA23" i="21"/>
  <c r="DA37" i="21"/>
  <c r="O37" i="21"/>
  <c r="O23" i="21"/>
  <c r="BE37" i="21"/>
  <c r="BE23" i="21"/>
  <c r="E23" i="21"/>
  <c r="E37" i="21"/>
  <c r="S121" i="20"/>
  <c r="S34" i="20"/>
  <c r="S52" i="20"/>
  <c r="S19" i="20"/>
  <c r="S122" i="20" s="1"/>
  <c r="EM37" i="21"/>
  <c r="EM23" i="21"/>
  <c r="K1" i="47"/>
  <c r="FC23" i="21"/>
  <c r="FC37" i="21"/>
  <c r="DJ23" i="21"/>
  <c r="DJ37" i="21"/>
  <c r="K1" i="22"/>
  <c r="U23" i="21"/>
  <c r="U37" i="21"/>
  <c r="EZ37" i="21"/>
  <c r="EZ23" i="21"/>
  <c r="K1" i="45"/>
  <c r="DW37" i="21"/>
  <c r="DW23" i="21"/>
  <c r="N1" i="43"/>
  <c r="EV23" i="21"/>
  <c r="EV37" i="21"/>
  <c r="Y23" i="21"/>
  <c r="Y37" i="21"/>
  <c r="X37" i="21"/>
  <c r="X23" i="21"/>
  <c r="N1" i="35"/>
  <c r="DL23" i="21"/>
  <c r="DL37" i="21"/>
  <c r="K1" i="37"/>
  <c r="CO23" i="21"/>
  <c r="CO37" i="21"/>
  <c r="DI23" i="21"/>
  <c r="DI37" i="21"/>
  <c r="CY23" i="21"/>
  <c r="CY37" i="21"/>
  <c r="BN37" i="21"/>
  <c r="BN23" i="21"/>
  <c r="BW23" i="21"/>
  <c r="BW37" i="21"/>
  <c r="K1" i="28"/>
  <c r="BT23" i="21"/>
  <c r="BT37" i="21"/>
  <c r="Q23" i="21"/>
  <c r="Q37" i="21"/>
  <c r="N1" i="39"/>
  <c r="BI37" i="21"/>
  <c r="BI23" i="21"/>
  <c r="AG23" i="21"/>
  <c r="AG37" i="21"/>
  <c r="D23" i="21"/>
  <c r="D37" i="21"/>
  <c r="K1" i="31"/>
  <c r="ER23" i="21"/>
  <c r="ER37" i="21"/>
  <c r="BG23" i="21"/>
  <c r="BG37" i="21"/>
  <c r="CK23" i="21"/>
  <c r="CK37" i="21"/>
  <c r="FJ37" i="21"/>
  <c r="FJ23" i="21"/>
  <c r="EY23" i="21"/>
  <c r="EY37" i="21"/>
  <c r="AR23" i="21"/>
  <c r="AR37" i="21"/>
  <c r="F23" i="21"/>
  <c r="F37" i="21"/>
  <c r="DY37" i="21"/>
  <c r="DY23" i="21"/>
  <c r="DX23" i="21"/>
  <c r="DX37" i="21"/>
  <c r="ET37" i="21"/>
  <c r="ET23" i="21"/>
  <c r="N23" i="21"/>
  <c r="N37" i="21"/>
  <c r="CA37" i="21"/>
  <c r="CA23" i="21"/>
  <c r="K1" i="80"/>
  <c r="L23" i="21"/>
  <c r="L37" i="21"/>
  <c r="CC37" i="21"/>
  <c r="CC23" i="21"/>
  <c r="DH23" i="21"/>
  <c r="DH37" i="21"/>
  <c r="AY23" i="21"/>
  <c r="AY37" i="21"/>
  <c r="AK37" i="21"/>
  <c r="AK23" i="21"/>
  <c r="DO23" i="21"/>
  <c r="DO37" i="21"/>
  <c r="AL37" i="21"/>
  <c r="AL23" i="21"/>
  <c r="N1" i="24"/>
  <c r="BY37" i="21"/>
  <c r="BY23" i="21"/>
  <c r="CJ37" i="21"/>
  <c r="CJ23" i="21"/>
  <c r="AP37" i="21"/>
  <c r="AP23" i="21"/>
  <c r="FH23" i="21"/>
  <c r="FH37" i="21"/>
  <c r="CG23" i="21"/>
  <c r="CG37" i="21"/>
  <c r="N1" i="36"/>
  <c r="BM37" i="21"/>
  <c r="BM23" i="21"/>
  <c r="V23" i="21"/>
  <c r="V37" i="21"/>
  <c r="N1" i="23"/>
  <c r="AS37" i="21"/>
  <c r="AS23" i="21"/>
  <c r="DC23" i="21"/>
  <c r="DC37" i="21"/>
  <c r="K1" i="48"/>
  <c r="CZ23" i="21"/>
  <c r="CZ37" i="21"/>
  <c r="K1" i="34"/>
  <c r="ED37" i="21"/>
  <c r="ED23" i="21"/>
  <c r="K1" i="25"/>
  <c r="AA23" i="21"/>
  <c r="AA37" i="21"/>
  <c r="EF23" i="21"/>
  <c r="EF37" i="21"/>
  <c r="BV37" i="21"/>
  <c r="BV23" i="21"/>
  <c r="O34" i="20"/>
  <c r="O121" i="20"/>
  <c r="O52" i="20"/>
  <c r="O19" i="20"/>
  <c r="O122" i="20" s="1"/>
  <c r="AD23" i="21"/>
  <c r="AD37" i="21"/>
  <c r="I18" i="20"/>
  <c r="AC23" i="21"/>
  <c r="AC37" i="21"/>
  <c r="BR37" i="21"/>
  <c r="BR23" i="21"/>
  <c r="BF37" i="21"/>
  <c r="BF23" i="21"/>
  <c r="K1" i="33"/>
  <c r="DD23" i="21"/>
  <c r="DD37" i="21"/>
  <c r="EK23" i="21"/>
  <c r="EK37" i="21"/>
  <c r="AO37" i="21"/>
  <c r="AO23" i="21"/>
  <c r="CD37" i="21"/>
  <c r="CD23" i="21"/>
  <c r="I23" i="21"/>
  <c r="I37" i="21"/>
  <c r="BQ23" i="21"/>
  <c r="BQ37" i="21"/>
  <c r="Z23" i="21"/>
  <c r="Z37" i="21"/>
  <c r="BJ37" i="21"/>
  <c r="BJ23" i="21"/>
  <c r="N1" i="27"/>
  <c r="AV23" i="21"/>
  <c r="AV37" i="21"/>
  <c r="K1" i="76"/>
  <c r="Q16" i="20"/>
  <c r="Q18" i="20" s="1"/>
  <c r="AM23" i="21"/>
  <c r="AM37" i="21"/>
  <c r="FE23" i="21"/>
  <c r="FE37" i="21"/>
  <c r="K1" i="35"/>
  <c r="BS37" i="21"/>
  <c r="BS23" i="21"/>
  <c r="CP23" i="21"/>
  <c r="CP37" i="21"/>
  <c r="DM37" i="21"/>
  <c r="DM23" i="21"/>
  <c r="AH23" i="21"/>
  <c r="AH37" i="21"/>
  <c r="EE23" i="21"/>
  <c r="EE37" i="21"/>
  <c r="N1" i="91"/>
  <c r="BB37" i="21"/>
  <c r="BB23" i="21"/>
  <c r="AX37" i="21"/>
  <c r="AX23" i="21"/>
  <c r="AU23" i="21"/>
  <c r="AU37" i="21"/>
  <c r="N1" i="46"/>
  <c r="K1" i="46"/>
  <c r="EC37" i="21"/>
  <c r="EC23" i="21"/>
  <c r="K1" i="42"/>
  <c r="DK23" i="21"/>
  <c r="DK37" i="21"/>
  <c r="K1" i="41"/>
  <c r="CX23" i="21"/>
  <c r="CX37" i="21"/>
  <c r="DP23" i="21"/>
  <c r="DP37" i="21"/>
  <c r="N1" i="22"/>
  <c r="AJ37" i="21"/>
  <c r="AJ23" i="21"/>
  <c r="R23" i="21"/>
  <c r="R37" i="21"/>
  <c r="N1" i="109"/>
  <c r="DZ37" i="21"/>
  <c r="DZ23" i="21"/>
  <c r="K1" i="49"/>
  <c r="BU23" i="21"/>
  <c r="BU37" i="21"/>
  <c r="K1" i="85"/>
  <c r="EA37" i="21"/>
  <c r="EA23" i="21"/>
  <c r="DK55" i="21" l="1"/>
  <c r="DK56" i="21" s="1"/>
  <c r="DK38" i="21"/>
  <c r="EA55" i="21"/>
  <c r="EA56" i="21" s="1"/>
  <c r="EA38" i="21"/>
  <c r="CX51" i="21"/>
  <c r="CX25" i="21"/>
  <c r="EE55" i="21"/>
  <c r="EE56" i="21" s="1"/>
  <c r="EE38" i="21"/>
  <c r="AP55" i="21"/>
  <c r="AP56" i="21" s="1"/>
  <c r="AP38" i="21"/>
  <c r="AG55" i="21"/>
  <c r="AG56" i="21" s="1"/>
  <c r="AG38" i="21"/>
  <c r="R51" i="21"/>
  <c r="R25" i="21"/>
  <c r="AU55" i="21"/>
  <c r="AU56" i="21" s="1"/>
  <c r="AU38" i="21"/>
  <c r="EE51" i="21"/>
  <c r="H14" i="57"/>
  <c r="H15" i="57"/>
  <c r="EE25" i="21"/>
  <c r="H23" i="57" s="1"/>
  <c r="BS55" i="21"/>
  <c r="BS56" i="21" s="1"/>
  <c r="BS38" i="21"/>
  <c r="AV55" i="21"/>
  <c r="AV56" i="21" s="1"/>
  <c r="AV38" i="21"/>
  <c r="BQ51" i="21"/>
  <c r="BQ25" i="21"/>
  <c r="Q14" i="57"/>
  <c r="EK51" i="21"/>
  <c r="Q15" i="57"/>
  <c r="EK25" i="21"/>
  <c r="Q23" i="57" s="1"/>
  <c r="AC55" i="21"/>
  <c r="AC56" i="21" s="1"/>
  <c r="AC38" i="21"/>
  <c r="O70" i="20"/>
  <c r="AA51" i="21"/>
  <c r="AA25" i="21"/>
  <c r="DC55" i="21"/>
  <c r="DC56" i="21" s="1"/>
  <c r="DC38" i="21"/>
  <c r="BM55" i="21"/>
  <c r="BM56" i="21" s="1"/>
  <c r="BM38" i="21"/>
  <c r="CJ51" i="21"/>
  <c r="CJ25" i="21"/>
  <c r="DO51" i="21"/>
  <c r="DO25" i="21"/>
  <c r="CC55" i="21"/>
  <c r="CC56" i="21" s="1"/>
  <c r="CC38" i="21"/>
  <c r="ET51" i="21"/>
  <c r="ET25" i="21"/>
  <c r="AR55" i="21"/>
  <c r="AR56" i="21" s="1"/>
  <c r="AR38" i="21"/>
  <c r="BG55" i="21"/>
  <c r="BG56" i="21" s="1"/>
  <c r="BG38" i="21"/>
  <c r="AG51" i="21"/>
  <c r="AG25" i="21"/>
  <c r="DI51" i="21"/>
  <c r="DI25" i="21"/>
  <c r="X55" i="21"/>
  <c r="X56" i="21" s="1"/>
  <c r="X38" i="21"/>
  <c r="FC55" i="21"/>
  <c r="FC56" i="21" s="1"/>
  <c r="FC38" i="21"/>
  <c r="DA51" i="21"/>
  <c r="DA25" i="21"/>
  <c r="CL51" i="21"/>
  <c r="CL25" i="21"/>
  <c r="ES51" i="21"/>
  <c r="ES25" i="21"/>
  <c r="CT51" i="21"/>
  <c r="CT25" i="21"/>
  <c r="DN55" i="21"/>
  <c r="DN56" i="21" s="1"/>
  <c r="DN38" i="21"/>
  <c r="EB55" i="21"/>
  <c r="EB56" i="21" s="1"/>
  <c r="EB38" i="21"/>
  <c r="FI51" i="21"/>
  <c r="FI25" i="21"/>
  <c r="FG55" i="21"/>
  <c r="FG56" i="21" s="1"/>
  <c r="FG38" i="21"/>
  <c r="T55" i="21"/>
  <c r="T56" i="21" s="1"/>
  <c r="T38" i="21"/>
  <c r="FB51" i="21"/>
  <c r="FB25" i="21"/>
  <c r="CM51" i="21"/>
  <c r="CM25" i="21"/>
  <c r="BH51" i="21"/>
  <c r="BH25" i="21"/>
  <c r="BA55" i="21"/>
  <c r="BA56" i="21" s="1"/>
  <c r="BA38" i="21"/>
  <c r="I55" i="21"/>
  <c r="I56" i="21" s="1"/>
  <c r="I38" i="21"/>
  <c r="L55" i="21"/>
  <c r="L56" i="21" s="1"/>
  <c r="L38" i="21"/>
  <c r="BW55" i="21"/>
  <c r="BW56" i="21" s="1"/>
  <c r="BW38" i="21"/>
  <c r="Y55" i="21"/>
  <c r="Y56" i="21" s="1"/>
  <c r="Y38" i="21"/>
  <c r="DE55" i="21"/>
  <c r="DE56" i="21" s="1"/>
  <c r="DE38" i="21"/>
  <c r="CH55" i="21"/>
  <c r="CH56" i="21" s="1"/>
  <c r="CH38" i="21"/>
  <c r="CL55" i="21"/>
  <c r="CL56" i="21" s="1"/>
  <c r="CL38" i="21"/>
  <c r="CE55" i="21"/>
  <c r="CE56" i="21" s="1"/>
  <c r="CE38" i="21"/>
  <c r="ES55" i="21"/>
  <c r="ES56" i="21" s="1"/>
  <c r="ES38" i="21"/>
  <c r="EB51" i="21"/>
  <c r="EB25" i="21"/>
  <c r="FI55" i="21"/>
  <c r="FI56" i="21" s="1"/>
  <c r="FI38" i="21"/>
  <c r="FG51" i="21"/>
  <c r="FG25" i="21"/>
  <c r="G55" i="21"/>
  <c r="G56" i="21" s="1"/>
  <c r="G38" i="21"/>
  <c r="U52" i="20"/>
  <c r="U34" i="20"/>
  <c r="U121" i="20"/>
  <c r="U19" i="20"/>
  <c r="U122" i="20" s="1"/>
  <c r="FB55" i="21"/>
  <c r="FB56" i="21" s="1"/>
  <c r="FB38" i="21"/>
  <c r="CM55" i="21"/>
  <c r="CM56" i="21" s="1"/>
  <c r="CM38" i="21"/>
  <c r="CN55" i="21"/>
  <c r="CN56" i="21" s="1"/>
  <c r="CN38" i="21"/>
  <c r="BA51" i="21"/>
  <c r="BA25" i="21"/>
  <c r="AV51" i="21"/>
  <c r="AV25" i="21"/>
  <c r="BG51" i="21"/>
  <c r="BG25" i="21"/>
  <c r="CT55" i="21"/>
  <c r="CT56" i="21" s="1"/>
  <c r="CT38" i="21"/>
  <c r="FE55" i="21"/>
  <c r="FE56" i="21" s="1"/>
  <c r="FE38" i="21"/>
  <c r="W16" i="20"/>
  <c r="O75" i="20"/>
  <c r="O36" i="20"/>
  <c r="J14" i="57"/>
  <c r="ED51" i="21"/>
  <c r="J15" i="57"/>
  <c r="ED25" i="21"/>
  <c r="J23" i="57" s="1"/>
  <c r="AS51" i="21"/>
  <c r="AS25" i="21"/>
  <c r="CG55" i="21"/>
  <c r="CG56" i="21" s="1"/>
  <c r="CG38" i="21"/>
  <c r="BY51" i="21"/>
  <c r="BY25" i="21"/>
  <c r="AK55" i="21"/>
  <c r="AK56" i="21" s="1"/>
  <c r="AK38" i="21"/>
  <c r="L51" i="21"/>
  <c r="L25" i="21"/>
  <c r="DX55" i="21"/>
  <c r="DX56" i="21" s="1"/>
  <c r="DX38" i="21"/>
  <c r="EY55" i="21"/>
  <c r="EY56" i="21" s="1"/>
  <c r="EY38" i="21"/>
  <c r="ER55" i="21"/>
  <c r="ER56" i="21" s="1"/>
  <c r="ER38" i="21"/>
  <c r="BI55" i="21"/>
  <c r="BI56" i="21" s="1"/>
  <c r="BI38" i="21"/>
  <c r="BW51" i="21"/>
  <c r="BW25" i="21"/>
  <c r="CO51" i="21"/>
  <c r="CO25" i="21"/>
  <c r="Y51" i="21"/>
  <c r="Y25" i="21"/>
  <c r="EZ55" i="21"/>
  <c r="EZ56" i="21" s="1"/>
  <c r="EZ38" i="21"/>
  <c r="E51" i="21"/>
  <c r="E13" i="8"/>
  <c r="E14" i="8"/>
  <c r="E25" i="21"/>
  <c r="E22" i="8" s="1"/>
  <c r="DE51" i="21"/>
  <c r="DE25" i="21"/>
  <c r="CH51" i="21"/>
  <c r="CH25" i="21"/>
  <c r="FD51" i="21"/>
  <c r="FD25" i="21"/>
  <c r="CE51" i="21"/>
  <c r="CE25" i="21"/>
  <c r="CI55" i="21"/>
  <c r="CI56" i="21" s="1"/>
  <c r="CI38" i="21"/>
  <c r="AQ51" i="21"/>
  <c r="AQ25" i="21"/>
  <c r="FF51" i="21"/>
  <c r="FF25" i="21"/>
  <c r="EX51" i="21"/>
  <c r="EX25" i="21"/>
  <c r="BZ55" i="21"/>
  <c r="BZ56" i="21" s="1"/>
  <c r="BZ38" i="21"/>
  <c r="CF51" i="21"/>
  <c r="CF25" i="21"/>
  <c r="G51" i="21"/>
  <c r="G25" i="21"/>
  <c r="EL55" i="21"/>
  <c r="EL56" i="21" s="1"/>
  <c r="EL38" i="21"/>
  <c r="BC55" i="21"/>
  <c r="BC56" i="21" s="1"/>
  <c r="BC38" i="21"/>
  <c r="CN51" i="21"/>
  <c r="CN25" i="21"/>
  <c r="AZ55" i="21"/>
  <c r="AZ56" i="21" s="1"/>
  <c r="AZ38" i="21"/>
  <c r="AH55" i="21"/>
  <c r="AH56" i="21" s="1"/>
  <c r="AH38" i="21"/>
  <c r="DC51" i="21"/>
  <c r="DC25" i="21"/>
  <c r="ET55" i="21"/>
  <c r="ET56" i="21" s="1"/>
  <c r="ET38" i="21"/>
  <c r="EZ51" i="21"/>
  <c r="EZ25" i="21"/>
  <c r="BZ51" i="21"/>
  <c r="BZ25" i="21"/>
  <c r="DK51" i="21"/>
  <c r="DK25" i="21"/>
  <c r="AH51" i="21"/>
  <c r="I13" i="8"/>
  <c r="I14" i="8"/>
  <c r="AH25" i="21"/>
  <c r="I22" i="8" s="1"/>
  <c r="DD51" i="21"/>
  <c r="DD25" i="21"/>
  <c r="AX55" i="21"/>
  <c r="AX56" i="21" s="1"/>
  <c r="AX38" i="21"/>
  <c r="DM51" i="21"/>
  <c r="DM25" i="21"/>
  <c r="FE51" i="21"/>
  <c r="FE25" i="21"/>
  <c r="BJ51" i="21"/>
  <c r="BJ25" i="21"/>
  <c r="CD51" i="21"/>
  <c r="CD25" i="21"/>
  <c r="I121" i="20"/>
  <c r="I34" i="20"/>
  <c r="I52" i="20"/>
  <c r="W18" i="20"/>
  <c r="W121" i="20" s="1"/>
  <c r="I19" i="20"/>
  <c r="BV51" i="21"/>
  <c r="BV25" i="21"/>
  <c r="ED55" i="21"/>
  <c r="ED56" i="21" s="1"/>
  <c r="ED38" i="21"/>
  <c r="AS55" i="21"/>
  <c r="AS56" i="21" s="1"/>
  <c r="AS38" i="21"/>
  <c r="CG51" i="21"/>
  <c r="CG25" i="21"/>
  <c r="BY55" i="21"/>
  <c r="BY56" i="21" s="1"/>
  <c r="BY38" i="21"/>
  <c r="AY55" i="21"/>
  <c r="AY56" i="21" s="1"/>
  <c r="AY38" i="21"/>
  <c r="DX51" i="21"/>
  <c r="E14" i="57"/>
  <c r="E15" i="57"/>
  <c r="DX25" i="21"/>
  <c r="E23" i="57" s="1"/>
  <c r="EY51" i="21"/>
  <c r="EY25" i="21"/>
  <c r="ER51" i="21"/>
  <c r="ER25" i="21"/>
  <c r="BN51" i="21"/>
  <c r="BN25" i="21"/>
  <c r="EV55" i="21"/>
  <c r="EV56" i="21" s="1"/>
  <c r="EV38" i="21"/>
  <c r="U55" i="21"/>
  <c r="U56" i="21" s="1"/>
  <c r="U38" i="21"/>
  <c r="R14" i="57"/>
  <c r="EM51" i="21"/>
  <c r="R15" i="57"/>
  <c r="EM25" i="21"/>
  <c r="R23" i="57" s="1"/>
  <c r="BE51" i="21"/>
  <c r="BE25" i="21"/>
  <c r="DF55" i="21"/>
  <c r="DF56" i="21" s="1"/>
  <c r="DF38" i="21"/>
  <c r="FD55" i="21"/>
  <c r="FD56" i="21" s="1"/>
  <c r="FD38" i="21"/>
  <c r="EG55" i="21"/>
  <c r="EG56" i="21" s="1"/>
  <c r="EG38" i="21"/>
  <c r="CI51" i="21"/>
  <c r="CI25" i="21"/>
  <c r="AQ55" i="21"/>
  <c r="AQ56" i="21" s="1"/>
  <c r="AQ38" i="21"/>
  <c r="FF55" i="21"/>
  <c r="FF56" i="21" s="1"/>
  <c r="FF38" i="21"/>
  <c r="EH55" i="21"/>
  <c r="EH56" i="21" s="1"/>
  <c r="EH38" i="21"/>
  <c r="EW51" i="21"/>
  <c r="EW25" i="21"/>
  <c r="EU55" i="21"/>
  <c r="EU56" i="21" s="1"/>
  <c r="EU38" i="21"/>
  <c r="CF55" i="21"/>
  <c r="CF56" i="21" s="1"/>
  <c r="CF38" i="21"/>
  <c r="M55" i="21"/>
  <c r="M56" i="21" s="1"/>
  <c r="M38" i="21"/>
  <c r="EL51" i="21"/>
  <c r="EL25" i="21"/>
  <c r="P55" i="21"/>
  <c r="P56" i="21" s="1"/>
  <c r="P38" i="21"/>
  <c r="BC51" i="21"/>
  <c r="BC25" i="21"/>
  <c r="CS55" i="21"/>
  <c r="CS56" i="21" s="1"/>
  <c r="CS38" i="21"/>
  <c r="AZ51" i="21"/>
  <c r="AZ25" i="21"/>
  <c r="AU51" i="21"/>
  <c r="AU25" i="21"/>
  <c r="DD55" i="21"/>
  <c r="DD56" i="21" s="1"/>
  <c r="DD38" i="21"/>
  <c r="AK51" i="21"/>
  <c r="E13" i="10"/>
  <c r="E14" i="10"/>
  <c r="AK25" i="21"/>
  <c r="E22" i="10" s="1"/>
  <c r="BI51" i="21"/>
  <c r="BI25" i="21"/>
  <c r="FC51" i="21"/>
  <c r="FC25" i="21"/>
  <c r="DN51" i="21"/>
  <c r="DN25" i="21"/>
  <c r="AJ55" i="21"/>
  <c r="AJ56" i="21" s="1"/>
  <c r="AJ38" i="21"/>
  <c r="DP55" i="21"/>
  <c r="DP56" i="21" s="1"/>
  <c r="DP38" i="21"/>
  <c r="DM55" i="21"/>
  <c r="DM56" i="21" s="1"/>
  <c r="DM38" i="21"/>
  <c r="CD55" i="21"/>
  <c r="CD56" i="21" s="1"/>
  <c r="CD38" i="21"/>
  <c r="X16" i="20"/>
  <c r="BV55" i="21"/>
  <c r="BV56" i="21" s="1"/>
  <c r="BV38" i="21"/>
  <c r="FH55" i="21"/>
  <c r="FH56" i="21" s="1"/>
  <c r="FH38" i="21"/>
  <c r="AY51" i="21"/>
  <c r="D13" i="10"/>
  <c r="D14" i="10"/>
  <c r="AY25" i="21"/>
  <c r="D22" i="10" s="1"/>
  <c r="CA51" i="21"/>
  <c r="CA25" i="21"/>
  <c r="L14" i="57"/>
  <c r="DY51" i="21"/>
  <c r="G14" i="58"/>
  <c r="G15" i="58"/>
  <c r="L15" i="57"/>
  <c r="DY25" i="21"/>
  <c r="FJ51" i="21"/>
  <c r="FJ25" i="21"/>
  <c r="Q55" i="21"/>
  <c r="Q56" i="21" s="1"/>
  <c r="Q38" i="21"/>
  <c r="BN55" i="21"/>
  <c r="BN56" i="21" s="1"/>
  <c r="BN38" i="21"/>
  <c r="DL55" i="21"/>
  <c r="DL56" i="21" s="1"/>
  <c r="DL38" i="21"/>
  <c r="EV51" i="21"/>
  <c r="EV25" i="21"/>
  <c r="U51" i="21"/>
  <c r="U25" i="21"/>
  <c r="EM55" i="21"/>
  <c r="EM56" i="21" s="1"/>
  <c r="EM38" i="21"/>
  <c r="BE55" i="21"/>
  <c r="BE56" i="21" s="1"/>
  <c r="BE38" i="21"/>
  <c r="DU51" i="21"/>
  <c r="DU25" i="21"/>
  <c r="DF51" i="21"/>
  <c r="DF25" i="21"/>
  <c r="CB55" i="21"/>
  <c r="CB56" i="21" s="1"/>
  <c r="CB38" i="21"/>
  <c r="P14" i="57"/>
  <c r="EG51" i="21"/>
  <c r="P15" i="57"/>
  <c r="EG25" i="21"/>
  <c r="P23" i="57" s="1"/>
  <c r="N14" i="57"/>
  <c r="EI51" i="21"/>
  <c r="N15" i="57"/>
  <c r="EI25" i="21"/>
  <c r="N23" i="57" s="1"/>
  <c r="CQ55" i="21"/>
  <c r="CQ56" i="21" s="1"/>
  <c r="CQ38" i="21"/>
  <c r="AW51" i="21"/>
  <c r="H13" i="10"/>
  <c r="H14" i="10"/>
  <c r="AW25" i="21"/>
  <c r="H22" i="10" s="1"/>
  <c r="EH51" i="21"/>
  <c r="M14" i="57"/>
  <c r="F14" i="58"/>
  <c r="M15" i="57"/>
  <c r="F15" i="58"/>
  <c r="EH25" i="21"/>
  <c r="M23" i="57" s="1"/>
  <c r="EW55" i="21"/>
  <c r="EW56" i="21" s="1"/>
  <c r="EW38" i="21"/>
  <c r="EU51" i="21"/>
  <c r="EU25" i="21"/>
  <c r="M51" i="21"/>
  <c r="M25" i="21"/>
  <c r="M70" i="20"/>
  <c r="P51" i="21"/>
  <c r="P25" i="21"/>
  <c r="CS51" i="21"/>
  <c r="CS25" i="21"/>
  <c r="H51" i="21"/>
  <c r="H25" i="21"/>
  <c r="AC51" i="21"/>
  <c r="AC25" i="21"/>
  <c r="CJ55" i="21"/>
  <c r="CJ56" i="21" s="1"/>
  <c r="CJ38" i="21"/>
  <c r="AR51" i="21"/>
  <c r="AR25" i="21"/>
  <c r="CO55" i="21"/>
  <c r="CO56" i="21" s="1"/>
  <c r="CO38" i="21"/>
  <c r="E55" i="21"/>
  <c r="E56" i="21" s="1"/>
  <c r="E38" i="21"/>
  <c r="EX55" i="21"/>
  <c r="EX56" i="21" s="1"/>
  <c r="EX38" i="21"/>
  <c r="BU51" i="21"/>
  <c r="BU25" i="21"/>
  <c r="AX51" i="21"/>
  <c r="AX25" i="21"/>
  <c r="I51" i="21"/>
  <c r="I25" i="21"/>
  <c r="DZ51" i="21"/>
  <c r="G14" i="57"/>
  <c r="G15" i="57"/>
  <c r="DZ25" i="21"/>
  <c r="G23" i="57" s="1"/>
  <c r="E14" i="58"/>
  <c r="F14" i="57"/>
  <c r="EC51" i="21"/>
  <c r="F15" i="57"/>
  <c r="E15" i="58"/>
  <c r="EC25" i="21"/>
  <c r="BB51" i="21"/>
  <c r="BB25" i="21"/>
  <c r="AM55" i="21"/>
  <c r="AM56" i="21" s="1"/>
  <c r="AM38" i="21"/>
  <c r="BJ55" i="21"/>
  <c r="BJ56" i="21" s="1"/>
  <c r="BJ38" i="21"/>
  <c r="BF51" i="21"/>
  <c r="BF25" i="21"/>
  <c r="DZ55" i="21"/>
  <c r="DZ56" i="21" s="1"/>
  <c r="DZ38" i="21"/>
  <c r="DP51" i="21"/>
  <c r="DP25" i="21"/>
  <c r="EC55" i="21"/>
  <c r="EC56" i="21" s="1"/>
  <c r="EC38" i="21"/>
  <c r="BB55" i="21"/>
  <c r="BB56" i="21" s="1"/>
  <c r="BB38" i="21"/>
  <c r="CP55" i="21"/>
  <c r="CP56" i="21" s="1"/>
  <c r="CP38" i="21"/>
  <c r="AM51" i="21"/>
  <c r="AM25" i="21"/>
  <c r="Z55" i="21"/>
  <c r="Z56" i="21" s="1"/>
  <c r="Z38" i="21"/>
  <c r="AO51" i="21"/>
  <c r="AO25" i="21"/>
  <c r="BF55" i="21"/>
  <c r="BF56" i="21" s="1"/>
  <c r="BF38" i="21"/>
  <c r="AD55" i="21"/>
  <c r="AD56" i="21" s="1"/>
  <c r="AD38" i="21"/>
  <c r="EF55" i="21"/>
  <c r="EF56" i="21" s="1"/>
  <c r="EF38" i="21"/>
  <c r="CZ55" i="21"/>
  <c r="CZ56" i="21" s="1"/>
  <c r="CZ38" i="21"/>
  <c r="V55" i="21"/>
  <c r="V56" i="21" s="1"/>
  <c r="V38" i="21"/>
  <c r="FH51" i="21"/>
  <c r="FH25" i="21"/>
  <c r="AL51" i="21"/>
  <c r="AL25" i="21"/>
  <c r="DH55" i="21"/>
  <c r="DH56" i="21" s="1"/>
  <c r="DH38" i="21"/>
  <c r="CA55" i="21"/>
  <c r="CA56" i="21" s="1"/>
  <c r="CA38" i="21"/>
  <c r="DY55" i="21"/>
  <c r="DY56" i="21" s="1"/>
  <c r="DY38" i="21"/>
  <c r="FJ55" i="21"/>
  <c r="FJ56" i="21" s="1"/>
  <c r="FJ38" i="21"/>
  <c r="D55" i="21"/>
  <c r="D56" i="21" s="1"/>
  <c r="D38" i="21"/>
  <c r="Q51" i="21"/>
  <c r="H13" i="8"/>
  <c r="H14" i="8"/>
  <c r="Q25" i="21"/>
  <c r="H22" i="8" s="1"/>
  <c r="CY55" i="21"/>
  <c r="CY56" i="21" s="1"/>
  <c r="CY38" i="21"/>
  <c r="DL51" i="21"/>
  <c r="DL25" i="21"/>
  <c r="O51" i="21"/>
  <c r="O25" i="21"/>
  <c r="DU55" i="21"/>
  <c r="DU56" i="21" s="1"/>
  <c r="DU38" i="21"/>
  <c r="AN55" i="21"/>
  <c r="AN56" i="21" s="1"/>
  <c r="AN38" i="21"/>
  <c r="CB51" i="21"/>
  <c r="CB25" i="21"/>
  <c r="EJ55" i="21"/>
  <c r="EJ56" i="21" s="1"/>
  <c r="EJ38" i="21"/>
  <c r="EI55" i="21"/>
  <c r="EI56" i="21" s="1"/>
  <c r="EI38" i="21"/>
  <c r="CQ51" i="21"/>
  <c r="CQ25" i="21"/>
  <c r="AW55" i="21"/>
  <c r="AW56" i="21" s="1"/>
  <c r="AW38" i="21"/>
  <c r="AE55" i="21"/>
  <c r="AE56" i="21" s="1"/>
  <c r="AE38" i="21"/>
  <c r="DV51" i="21"/>
  <c r="D15" i="58"/>
  <c r="D14" i="57"/>
  <c r="D14" i="58"/>
  <c r="D15" i="57"/>
  <c r="DV25" i="21"/>
  <c r="M75" i="20"/>
  <c r="M36" i="20"/>
  <c r="BK55" i="21"/>
  <c r="BK56" i="21" s="1"/>
  <c r="BK38" i="21"/>
  <c r="BP55" i="21"/>
  <c r="BP56" i="21" s="1"/>
  <c r="BP38" i="21"/>
  <c r="BD51" i="21"/>
  <c r="F13" i="10"/>
  <c r="F14" i="10"/>
  <c r="BD25" i="21"/>
  <c r="F22" i="10" s="1"/>
  <c r="H55" i="21"/>
  <c r="H56" i="21" s="1"/>
  <c r="H38" i="21"/>
  <c r="AJ51" i="21"/>
  <c r="AJ25" i="21"/>
  <c r="Q121" i="20"/>
  <c r="Q34" i="20"/>
  <c r="Q52" i="20"/>
  <c r="Q19" i="20"/>
  <c r="Q122" i="20" s="1"/>
  <c r="Z51" i="21"/>
  <c r="Z25" i="21"/>
  <c r="AO55" i="21"/>
  <c r="AO56" i="21" s="1"/>
  <c r="AO38" i="21"/>
  <c r="BR51" i="21"/>
  <c r="BR25" i="21"/>
  <c r="AD51" i="21"/>
  <c r="AD25" i="21"/>
  <c r="EF51" i="21"/>
  <c r="I14" i="57"/>
  <c r="I15" i="57"/>
  <c r="EF25" i="21"/>
  <c r="CZ51" i="21"/>
  <c r="CZ25" i="21"/>
  <c r="V51" i="21"/>
  <c r="V25" i="21"/>
  <c r="AP51" i="21"/>
  <c r="G13" i="10"/>
  <c r="G14" i="10"/>
  <c r="AP25" i="21"/>
  <c r="G22" i="10" s="1"/>
  <c r="AL55" i="21"/>
  <c r="AL56" i="21" s="1"/>
  <c r="AL38" i="21"/>
  <c r="DH51" i="21"/>
  <c r="DH25" i="21"/>
  <c r="N55" i="21"/>
  <c r="N56" i="21" s="1"/>
  <c r="N38" i="21"/>
  <c r="F55" i="21"/>
  <c r="F56" i="21" s="1"/>
  <c r="F38" i="21"/>
  <c r="CK55" i="21"/>
  <c r="CK56" i="21" s="1"/>
  <c r="CK38" i="21"/>
  <c r="D51" i="21"/>
  <c r="G13" i="8"/>
  <c r="G14" i="8"/>
  <c r="D25" i="21"/>
  <c r="G22" i="8" s="1"/>
  <c r="BT55" i="21"/>
  <c r="BT56" i="21" s="1"/>
  <c r="BT38" i="21"/>
  <c r="CY51" i="21"/>
  <c r="CY25" i="21"/>
  <c r="DW51" i="21"/>
  <c r="DW25" i="21"/>
  <c r="DJ55" i="21"/>
  <c r="DJ56" i="21" s="1"/>
  <c r="DJ38" i="21"/>
  <c r="S70" i="20"/>
  <c r="O55" i="21"/>
  <c r="O56" i="21" s="1"/>
  <c r="O38" i="21"/>
  <c r="DB55" i="21"/>
  <c r="DB56" i="21" s="1"/>
  <c r="DB38" i="21"/>
  <c r="AN51" i="21"/>
  <c r="AN25" i="21"/>
  <c r="AB51" i="21"/>
  <c r="AB25" i="21"/>
  <c r="O14" i="57"/>
  <c r="O15" i="57"/>
  <c r="EJ51" i="21"/>
  <c r="EJ25" i="21"/>
  <c r="O23" i="57" s="1"/>
  <c r="BX55" i="21"/>
  <c r="BX56" i="21" s="1"/>
  <c r="BX38" i="21"/>
  <c r="K55" i="21"/>
  <c r="K56" i="21" s="1"/>
  <c r="K38" i="21"/>
  <c r="S55" i="21"/>
  <c r="S56" i="21" s="1"/>
  <c r="S38" i="21"/>
  <c r="DG55" i="21"/>
  <c r="DG56" i="21" s="1"/>
  <c r="DG38" i="21"/>
  <c r="AT55" i="21"/>
  <c r="AT56" i="21" s="1"/>
  <c r="AT38" i="21"/>
  <c r="AE51" i="21"/>
  <c r="AE25" i="21"/>
  <c r="DV55" i="21"/>
  <c r="DV56" i="21" s="1"/>
  <c r="DV38" i="21"/>
  <c r="FA51" i="21"/>
  <c r="FA25" i="21"/>
  <c r="BK51" i="21"/>
  <c r="BK25" i="21"/>
  <c r="BP51" i="21"/>
  <c r="BP25" i="21"/>
  <c r="BD55" i="21"/>
  <c r="BD56" i="21" s="1"/>
  <c r="BD38" i="21"/>
  <c r="J55" i="21"/>
  <c r="J56" i="21" s="1"/>
  <c r="J38" i="21"/>
  <c r="W51" i="21"/>
  <c r="W25" i="21"/>
  <c r="BU55" i="21"/>
  <c r="BU56" i="21" s="1"/>
  <c r="BU38" i="21"/>
  <c r="K15" i="57"/>
  <c r="EA51" i="21"/>
  <c r="K14" i="57"/>
  <c r="EA25" i="21"/>
  <c r="K23" i="57" s="1"/>
  <c r="CX55" i="21"/>
  <c r="CX56" i="21" s="1"/>
  <c r="CX38" i="21"/>
  <c r="CP51" i="21"/>
  <c r="CP25" i="21"/>
  <c r="R55" i="21"/>
  <c r="R56" i="21" s="1"/>
  <c r="R38" i="21"/>
  <c r="BS51" i="21"/>
  <c r="BS25" i="21"/>
  <c r="BQ55" i="21"/>
  <c r="BQ56" i="21" s="1"/>
  <c r="BQ38" i="21"/>
  <c r="EK55" i="21"/>
  <c r="EK56" i="21" s="1"/>
  <c r="EK38" i="21"/>
  <c r="BR55" i="21"/>
  <c r="BR56" i="21" s="1"/>
  <c r="BR38" i="21"/>
  <c r="AA55" i="21"/>
  <c r="AA56" i="21" s="1"/>
  <c r="AA38" i="21"/>
  <c r="BM51" i="21"/>
  <c r="BM25" i="21"/>
  <c r="DO55" i="21"/>
  <c r="DO56" i="21" s="1"/>
  <c r="DO38" i="21"/>
  <c r="CC51" i="21"/>
  <c r="CC25" i="21"/>
  <c r="N51" i="21"/>
  <c r="F13" i="8"/>
  <c r="F14" i="8"/>
  <c r="N25" i="21"/>
  <c r="F22" i="8" s="1"/>
  <c r="F51" i="21"/>
  <c r="F25" i="21"/>
  <c r="CK51" i="21"/>
  <c r="CK25" i="21"/>
  <c r="BT51" i="21"/>
  <c r="BT25" i="21"/>
  <c r="DI55" i="21"/>
  <c r="DI56" i="21" s="1"/>
  <c r="DI38" i="21"/>
  <c r="X51" i="21"/>
  <c r="X25" i="21"/>
  <c r="DW55" i="21"/>
  <c r="DW56" i="21" s="1"/>
  <c r="DW38" i="21"/>
  <c r="DJ51" i="21"/>
  <c r="DJ25" i="21"/>
  <c r="S36" i="20"/>
  <c r="S75" i="20"/>
  <c r="DA55" i="21"/>
  <c r="DA56" i="21" s="1"/>
  <c r="DA38" i="21"/>
  <c r="DB51" i="21"/>
  <c r="DB25" i="21"/>
  <c r="AB55" i="21"/>
  <c r="AB56" i="21" s="1"/>
  <c r="AB38" i="21"/>
  <c r="BX51" i="21"/>
  <c r="BX25" i="21"/>
  <c r="K51" i="21"/>
  <c r="K25" i="21"/>
  <c r="S51" i="21"/>
  <c r="D13" i="8"/>
  <c r="D14" i="8"/>
  <c r="S25" i="21"/>
  <c r="D22" i="8" s="1"/>
  <c r="DG51" i="21"/>
  <c r="DG25" i="21"/>
  <c r="AT51" i="21"/>
  <c r="AT25" i="21"/>
  <c r="FA55" i="21"/>
  <c r="FA56" i="21" s="1"/>
  <c r="FA38" i="21"/>
  <c r="T51" i="21"/>
  <c r="T25" i="21"/>
  <c r="X18" i="20"/>
  <c r="K52" i="20"/>
  <c r="K121" i="20"/>
  <c r="K19" i="20"/>
  <c r="K122" i="20" s="1"/>
  <c r="BH55" i="21"/>
  <c r="BH56" i="21" s="1"/>
  <c r="BH38" i="21"/>
  <c r="J51" i="21"/>
  <c r="J25" i="21"/>
  <c r="W55" i="21"/>
  <c r="W56" i="21" s="1"/>
  <c r="W38" i="21"/>
  <c r="N15" i="58" l="1"/>
  <c r="H44" i="21"/>
  <c r="H45" i="21" s="1"/>
  <c r="H46" i="21" s="1"/>
  <c r="H39" i="21"/>
  <c r="H42" i="21"/>
  <c r="BX52" i="21"/>
  <c r="BX53" i="21"/>
  <c r="W39" i="21"/>
  <c r="W44" i="21"/>
  <c r="W45" i="21" s="1"/>
  <c r="W46" i="21" s="1"/>
  <c r="W42" i="21"/>
  <c r="K75" i="20"/>
  <c r="K36" i="20"/>
  <c r="AT52" i="21"/>
  <c r="AT53" i="21"/>
  <c r="K52" i="21"/>
  <c r="K53" i="21"/>
  <c r="X52" i="21"/>
  <c r="X53" i="21"/>
  <c r="F52" i="21"/>
  <c r="F53" i="21"/>
  <c r="CP52" i="21"/>
  <c r="CP53" i="21"/>
  <c r="BP52" i="21"/>
  <c r="BP53" i="21"/>
  <c r="AE52" i="21"/>
  <c r="AE53" i="21"/>
  <c r="AB52" i="21"/>
  <c r="AB53" i="21"/>
  <c r="T70" i="20"/>
  <c r="AJ52" i="21"/>
  <c r="AJ53" i="21"/>
  <c r="U14" i="57"/>
  <c r="CQ52" i="21"/>
  <c r="CQ53" i="21"/>
  <c r="AL52" i="21"/>
  <c r="AL53" i="21"/>
  <c r="EC52" i="21"/>
  <c r="EC53" i="21"/>
  <c r="I52" i="21"/>
  <c r="I53" i="21"/>
  <c r="AC52" i="21"/>
  <c r="AC53" i="21"/>
  <c r="N70" i="20"/>
  <c r="AW52" i="21"/>
  <c r="AW53" i="21"/>
  <c r="DU52" i="21"/>
  <c r="DU53" i="21"/>
  <c r="EV52" i="21"/>
  <c r="EV53" i="21"/>
  <c r="FJ52" i="21"/>
  <c r="FJ53" i="21"/>
  <c r="CA52" i="21"/>
  <c r="CA53" i="21"/>
  <c r="AJ39" i="21"/>
  <c r="AJ42" i="21"/>
  <c r="AJ44" i="21"/>
  <c r="AJ45" i="21" s="1"/>
  <c r="AJ46" i="21" s="1"/>
  <c r="L22" i="10"/>
  <c r="EV42" i="21"/>
  <c r="EV39" i="21"/>
  <c r="EV44" i="21"/>
  <c r="EV45" i="21" s="1"/>
  <c r="EV46" i="21" s="1"/>
  <c r="W19" i="20"/>
  <c r="W122" i="20" s="1"/>
  <c r="I122" i="20"/>
  <c r="X19" i="20"/>
  <c r="BJ52" i="21"/>
  <c r="BJ53" i="21"/>
  <c r="DD52" i="21"/>
  <c r="DD53" i="21"/>
  <c r="BZ52" i="21"/>
  <c r="BZ53" i="21"/>
  <c r="EX52" i="21"/>
  <c r="EX53" i="21"/>
  <c r="CE52" i="21"/>
  <c r="CE53" i="21"/>
  <c r="CO52" i="21"/>
  <c r="CO53" i="21"/>
  <c r="BY52" i="21"/>
  <c r="BY53" i="21"/>
  <c r="CM39" i="21"/>
  <c r="CM44" i="21"/>
  <c r="CM45" i="21" s="1"/>
  <c r="CM46" i="21" s="1"/>
  <c r="CM42" i="21"/>
  <c r="G42" i="21"/>
  <c r="G39" i="21"/>
  <c r="G44" i="21"/>
  <c r="G45" i="21" s="1"/>
  <c r="G46" i="21" s="1"/>
  <c r="ES42" i="21"/>
  <c r="ES39" i="21"/>
  <c r="ES44" i="21"/>
  <c r="ES45" i="21" s="1"/>
  <c r="ES46" i="21" s="1"/>
  <c r="DE39" i="21"/>
  <c r="DE42" i="21"/>
  <c r="DE44" i="21"/>
  <c r="DE45" i="21" s="1"/>
  <c r="DE46" i="21" s="1"/>
  <c r="I44" i="21"/>
  <c r="I45" i="21" s="1"/>
  <c r="I46" i="21" s="1"/>
  <c r="I39" i="21"/>
  <c r="I42" i="21"/>
  <c r="EB42" i="21"/>
  <c r="EB39" i="21"/>
  <c r="EB44" i="21"/>
  <c r="EB45" i="21" s="1"/>
  <c r="EB46" i="21" s="1"/>
  <c r="BM39" i="21"/>
  <c r="BM44" i="21"/>
  <c r="BM45" i="21" s="1"/>
  <c r="BM46" i="21" s="1"/>
  <c r="BM42" i="21"/>
  <c r="AC39" i="21"/>
  <c r="AC44" i="21"/>
  <c r="AC45" i="21" s="1"/>
  <c r="AC46" i="21" s="1"/>
  <c r="AC42" i="21"/>
  <c r="AV44" i="21"/>
  <c r="AV45" i="21" s="1"/>
  <c r="AV46" i="21" s="1"/>
  <c r="AV39" i="21"/>
  <c r="AV42" i="21"/>
  <c r="AU44" i="21"/>
  <c r="AU45" i="21" s="1"/>
  <c r="AU46" i="21" s="1"/>
  <c r="AU39" i="21"/>
  <c r="AU42" i="21"/>
  <c r="EE39" i="21"/>
  <c r="EE42" i="21"/>
  <c r="EE44" i="21"/>
  <c r="EE45" i="21" s="1"/>
  <c r="EE46" i="21" s="1"/>
  <c r="BQ39" i="21"/>
  <c r="BQ44" i="21"/>
  <c r="BQ45" i="21" s="1"/>
  <c r="BQ46" i="21" s="1"/>
  <c r="BQ42" i="21"/>
  <c r="BX39" i="21"/>
  <c r="BX44" i="21"/>
  <c r="BX45" i="21" s="1"/>
  <c r="BX46" i="21" s="1"/>
  <c r="BX42" i="21"/>
  <c r="N39" i="21"/>
  <c r="N44" i="21"/>
  <c r="N45" i="21" s="1"/>
  <c r="N46" i="21" s="1"/>
  <c r="N42" i="21"/>
  <c r="EI44" i="21"/>
  <c r="EI45" i="21" s="1"/>
  <c r="EI46" i="21" s="1"/>
  <c r="EI39" i="21"/>
  <c r="EI42" i="21"/>
  <c r="DU39" i="21"/>
  <c r="DU42" i="21"/>
  <c r="DU44" i="21"/>
  <c r="DU45" i="21" s="1"/>
  <c r="DU46" i="21" s="1"/>
  <c r="DY42" i="21"/>
  <c r="DY44" i="21"/>
  <c r="DY45" i="21" s="1"/>
  <c r="DY46" i="21" s="1"/>
  <c r="DY39" i="21"/>
  <c r="AD44" i="21"/>
  <c r="AD45" i="21" s="1"/>
  <c r="AD46" i="21" s="1"/>
  <c r="AD39" i="21"/>
  <c r="AD42" i="21"/>
  <c r="AM39" i="21"/>
  <c r="AM44" i="21"/>
  <c r="AM45" i="21" s="1"/>
  <c r="AM46" i="21" s="1"/>
  <c r="AM42" i="21"/>
  <c r="CO44" i="21"/>
  <c r="CO45" i="21" s="1"/>
  <c r="CO46" i="21" s="1"/>
  <c r="CO42" i="21"/>
  <c r="CO39" i="21"/>
  <c r="CQ39" i="21"/>
  <c r="CQ44" i="21"/>
  <c r="CQ45" i="21" s="1"/>
  <c r="CQ46" i="21" s="1"/>
  <c r="CQ42" i="21"/>
  <c r="EG52" i="21"/>
  <c r="EG53" i="21"/>
  <c r="BE39" i="21"/>
  <c r="BE44" i="21"/>
  <c r="BE45" i="21" s="1"/>
  <c r="BE46" i="21" s="1"/>
  <c r="BE42" i="21"/>
  <c r="DL39" i="21"/>
  <c r="DL44" i="21"/>
  <c r="DL45" i="21" s="1"/>
  <c r="DL46" i="21" s="1"/>
  <c r="DL42" i="21"/>
  <c r="G23" i="58"/>
  <c r="L23" i="57"/>
  <c r="J22" i="10"/>
  <c r="AZ52" i="21"/>
  <c r="AZ53" i="21"/>
  <c r="EL52" i="21"/>
  <c r="EL53" i="21"/>
  <c r="EW52" i="21"/>
  <c r="EW53" i="21"/>
  <c r="CI52" i="21"/>
  <c r="CI53" i="21"/>
  <c r="BE52" i="21"/>
  <c r="BE53" i="21"/>
  <c r="CG52" i="21"/>
  <c r="CG53" i="21"/>
  <c r="AZ44" i="21"/>
  <c r="AZ45" i="21" s="1"/>
  <c r="AZ46" i="21" s="1"/>
  <c r="AZ39" i="21"/>
  <c r="AZ42" i="21"/>
  <c r="DX42" i="21"/>
  <c r="DX44" i="21"/>
  <c r="DX45" i="21" s="1"/>
  <c r="DX46" i="21" s="1"/>
  <c r="DX39" i="21"/>
  <c r="CG39" i="21"/>
  <c r="CG42" i="21"/>
  <c r="CG44" i="21"/>
  <c r="CG45" i="21" s="1"/>
  <c r="CG46" i="21" s="1"/>
  <c r="O42" i="20"/>
  <c r="O37" i="20"/>
  <c r="O125" i="20"/>
  <c r="U146" i="20" s="1"/>
  <c r="O43" i="20"/>
  <c r="O130" i="20" s="1"/>
  <c r="O41" i="20"/>
  <c r="O45" i="20"/>
  <c r="BG52" i="21"/>
  <c r="BG53" i="21"/>
  <c r="FB52" i="21"/>
  <c r="FB53" i="21"/>
  <c r="CL52" i="21"/>
  <c r="CL53" i="21"/>
  <c r="DI52" i="21"/>
  <c r="DI53" i="21"/>
  <c r="ET52" i="21"/>
  <c r="ET53" i="21"/>
  <c r="AP52" i="21"/>
  <c r="AP53" i="21"/>
  <c r="EF52" i="21"/>
  <c r="EF53" i="21"/>
  <c r="Z52" i="21"/>
  <c r="Z53" i="21"/>
  <c r="DV52" i="21"/>
  <c r="DV53" i="21"/>
  <c r="FH52" i="21"/>
  <c r="FH53" i="21"/>
  <c r="AM52" i="21"/>
  <c r="AM53" i="21"/>
  <c r="DP52" i="21"/>
  <c r="DP53" i="21"/>
  <c r="AX52" i="21"/>
  <c r="AX53" i="21"/>
  <c r="H52" i="21"/>
  <c r="H53" i="21"/>
  <c r="M52" i="21"/>
  <c r="M53" i="21"/>
  <c r="L14" i="10"/>
  <c r="CD39" i="21"/>
  <c r="CD42" i="21"/>
  <c r="CD44" i="21"/>
  <c r="CD45" i="21" s="1"/>
  <c r="CD46" i="21" s="1"/>
  <c r="CS39" i="21"/>
  <c r="CS42" i="21"/>
  <c r="CS44" i="21"/>
  <c r="CS45" i="21" s="1"/>
  <c r="CS46" i="21" s="1"/>
  <c r="M39" i="21"/>
  <c r="M44" i="21"/>
  <c r="M45" i="21" s="1"/>
  <c r="M46" i="21" s="1"/>
  <c r="M42" i="21"/>
  <c r="EH44" i="21"/>
  <c r="EH45" i="21" s="1"/>
  <c r="EH46" i="21" s="1"/>
  <c r="EH39" i="21"/>
  <c r="EH42" i="21"/>
  <c r="EG42" i="21"/>
  <c r="EG39" i="21"/>
  <c r="EG44" i="21"/>
  <c r="EG45" i="21" s="1"/>
  <c r="EG46" i="21" s="1"/>
  <c r="AS44" i="21"/>
  <c r="AS45" i="21" s="1"/>
  <c r="AS46" i="21" s="1"/>
  <c r="AS39" i="21"/>
  <c r="AS42" i="21"/>
  <c r="I70" i="20"/>
  <c r="W52" i="20"/>
  <c r="W70" i="20" s="1"/>
  <c r="X52" i="20"/>
  <c r="FE52" i="21"/>
  <c r="FE53" i="21"/>
  <c r="L14" i="8"/>
  <c r="EZ52" i="21"/>
  <c r="EZ53" i="21"/>
  <c r="G52" i="21"/>
  <c r="G53" i="21"/>
  <c r="FF52" i="21"/>
  <c r="FF53" i="21"/>
  <c r="FD52" i="21"/>
  <c r="FD53" i="21"/>
  <c r="E52" i="21"/>
  <c r="E53" i="21"/>
  <c r="BW52" i="21"/>
  <c r="BW53" i="21"/>
  <c r="FB44" i="21"/>
  <c r="FB45" i="21" s="1"/>
  <c r="FB46" i="21" s="1"/>
  <c r="FB42" i="21"/>
  <c r="FB39" i="21"/>
  <c r="CE42" i="21"/>
  <c r="CE39" i="21"/>
  <c r="CE44" i="21"/>
  <c r="CE45" i="21" s="1"/>
  <c r="CE46" i="21" s="1"/>
  <c r="Y39" i="21"/>
  <c r="Y44" i="21"/>
  <c r="Y45" i="21" s="1"/>
  <c r="Y46" i="21" s="1"/>
  <c r="Y42" i="21"/>
  <c r="BA44" i="21"/>
  <c r="BA45" i="21" s="1"/>
  <c r="BA46" i="21" s="1"/>
  <c r="BA39" i="21"/>
  <c r="BA42" i="21"/>
  <c r="T42" i="21"/>
  <c r="T44" i="21"/>
  <c r="T45" i="21" s="1"/>
  <c r="T46" i="21" s="1"/>
  <c r="T39" i="21"/>
  <c r="DN42" i="21"/>
  <c r="DN39" i="21"/>
  <c r="DN44" i="21"/>
  <c r="DN45" i="21" s="1"/>
  <c r="DN46" i="21" s="1"/>
  <c r="CC44" i="21"/>
  <c r="CC45" i="21" s="1"/>
  <c r="CC46" i="21" s="1"/>
  <c r="CC39" i="21"/>
  <c r="CC42" i="21"/>
  <c r="DC39" i="21"/>
  <c r="DC42" i="21"/>
  <c r="DC44" i="21"/>
  <c r="DC45" i="21" s="1"/>
  <c r="DC46" i="21" s="1"/>
  <c r="BS44" i="21"/>
  <c r="BS45" i="21" s="1"/>
  <c r="BS46" i="21" s="1"/>
  <c r="BS39" i="21"/>
  <c r="BS42" i="21"/>
  <c r="AT39" i="21"/>
  <c r="AT44" i="21"/>
  <c r="AT45" i="21" s="1"/>
  <c r="AT46" i="21" s="1"/>
  <c r="AT42" i="21"/>
  <c r="DJ39" i="21"/>
  <c r="DJ42" i="21"/>
  <c r="DJ44" i="21"/>
  <c r="DJ45" i="21" s="1"/>
  <c r="DJ46" i="21" s="1"/>
  <c r="BK42" i="21"/>
  <c r="BK44" i="21"/>
  <c r="BK45" i="21" s="1"/>
  <c r="BK46" i="21" s="1"/>
  <c r="BK39" i="21"/>
  <c r="DG52" i="21"/>
  <c r="DG53" i="21"/>
  <c r="AN52" i="21"/>
  <c r="AN53" i="21"/>
  <c r="J39" i="21"/>
  <c r="J44" i="21"/>
  <c r="J45" i="21" s="1"/>
  <c r="J46" i="21" s="1"/>
  <c r="J42" i="21"/>
  <c r="DG42" i="21"/>
  <c r="DG39" i="21"/>
  <c r="DG44" i="21"/>
  <c r="DG45" i="21" s="1"/>
  <c r="DG46" i="21" s="1"/>
  <c r="DB42" i="21"/>
  <c r="DB39" i="21"/>
  <c r="DB44" i="21"/>
  <c r="DB45" i="21" s="1"/>
  <c r="DB46" i="21" s="1"/>
  <c r="M43" i="20"/>
  <c r="M130" i="20" s="1"/>
  <c r="M41" i="20"/>
  <c r="M125" i="20"/>
  <c r="T146" i="20" s="1"/>
  <c r="M37" i="20"/>
  <c r="M42" i="20"/>
  <c r="M45" i="20"/>
  <c r="AE39" i="21"/>
  <c r="AE42" i="21"/>
  <c r="AE44" i="21"/>
  <c r="AE45" i="21" s="1"/>
  <c r="AE46" i="21" s="1"/>
  <c r="EJ42" i="21"/>
  <c r="EJ39" i="21"/>
  <c r="EJ44" i="21"/>
  <c r="EJ45" i="21" s="1"/>
  <c r="EJ46" i="21" s="1"/>
  <c r="CA44" i="21"/>
  <c r="CA45" i="21" s="1"/>
  <c r="CA46" i="21" s="1"/>
  <c r="CA39" i="21"/>
  <c r="CA42" i="21"/>
  <c r="V44" i="21"/>
  <c r="V45" i="21" s="1"/>
  <c r="V46" i="21" s="1"/>
  <c r="V39" i="21"/>
  <c r="V42" i="21"/>
  <c r="BF42" i="21"/>
  <c r="BF44" i="21"/>
  <c r="BF45" i="21" s="1"/>
  <c r="BF46" i="21" s="1"/>
  <c r="BF39" i="21"/>
  <c r="CP39" i="21"/>
  <c r="CP44" i="21"/>
  <c r="CP45" i="21" s="1"/>
  <c r="CP46" i="21" s="1"/>
  <c r="CP42" i="21"/>
  <c r="DZ39" i="21"/>
  <c r="DZ42" i="21"/>
  <c r="DZ44" i="21"/>
  <c r="DZ45" i="21" s="1"/>
  <c r="DZ46" i="21" s="1"/>
  <c r="CB44" i="21"/>
  <c r="CB45" i="21" s="1"/>
  <c r="CB46" i="21" s="1"/>
  <c r="CB42" i="21"/>
  <c r="CB39" i="21"/>
  <c r="EM42" i="21"/>
  <c r="EM44" i="21"/>
  <c r="EM45" i="21" s="1"/>
  <c r="EM46" i="21" s="1"/>
  <c r="EM39" i="21"/>
  <c r="BN42" i="21"/>
  <c r="BN39" i="21"/>
  <c r="BN44" i="21"/>
  <c r="BN45" i="21" s="1"/>
  <c r="BN46" i="21" s="1"/>
  <c r="L13" i="10"/>
  <c r="DN52" i="21"/>
  <c r="DN53" i="21"/>
  <c r="AK52" i="21"/>
  <c r="AK53" i="21"/>
  <c r="BN52" i="21"/>
  <c r="BN53" i="21"/>
  <c r="DX52" i="21"/>
  <c r="DX53" i="21"/>
  <c r="X34" i="20"/>
  <c r="W34" i="20"/>
  <c r="W75" i="20" s="1"/>
  <c r="I36" i="20"/>
  <c r="I75" i="20"/>
  <c r="ET44" i="21"/>
  <c r="ET45" i="21" s="1"/>
  <c r="ET46" i="21" s="1"/>
  <c r="ET39" i="21"/>
  <c r="ET42" i="21"/>
  <c r="EZ42" i="21"/>
  <c r="EZ39" i="21"/>
  <c r="EZ44" i="21"/>
  <c r="EZ45" i="21" s="1"/>
  <c r="EZ46" i="21" s="1"/>
  <c r="BI39" i="21"/>
  <c r="BI42" i="21"/>
  <c r="BI44" i="21"/>
  <c r="BI45" i="21" s="1"/>
  <c r="BI46" i="21" s="1"/>
  <c r="AV52" i="21"/>
  <c r="AV53" i="21"/>
  <c r="FG52" i="21"/>
  <c r="FG53" i="21"/>
  <c r="DA52" i="21"/>
  <c r="DA53" i="21"/>
  <c r="AG52" i="21"/>
  <c r="AG53" i="21"/>
  <c r="R52" i="21"/>
  <c r="R53" i="21"/>
  <c r="CX52" i="21"/>
  <c r="CX53" i="21"/>
  <c r="CX39" i="21"/>
  <c r="CX42" i="21"/>
  <c r="CX44" i="21"/>
  <c r="CX45" i="21" s="1"/>
  <c r="CX46" i="21" s="1"/>
  <c r="L22" i="8"/>
  <c r="BH39" i="21"/>
  <c r="BH44" i="21"/>
  <c r="BH45" i="21" s="1"/>
  <c r="BH46" i="21" s="1"/>
  <c r="BH42" i="21"/>
  <c r="T52" i="21"/>
  <c r="T53" i="21"/>
  <c r="DJ52" i="21"/>
  <c r="DJ53" i="21"/>
  <c r="BT52" i="21"/>
  <c r="BT53" i="21"/>
  <c r="N52" i="21"/>
  <c r="N53" i="21"/>
  <c r="BS52" i="21"/>
  <c r="BS53" i="21"/>
  <c r="FA52" i="21"/>
  <c r="FA53" i="21"/>
  <c r="EJ52" i="21"/>
  <c r="EJ53" i="21"/>
  <c r="DW52" i="21"/>
  <c r="DW53" i="21"/>
  <c r="D52" i="21"/>
  <c r="D53" i="21"/>
  <c r="DH52" i="21"/>
  <c r="DH53" i="21"/>
  <c r="V52" i="21"/>
  <c r="V53" i="21"/>
  <c r="AD52" i="21"/>
  <c r="AD53" i="21"/>
  <c r="Q70" i="20"/>
  <c r="O52" i="21"/>
  <c r="O53" i="21"/>
  <c r="Q52" i="21"/>
  <c r="Q53" i="21"/>
  <c r="BB52" i="21"/>
  <c r="BB53" i="21"/>
  <c r="BU52" i="21"/>
  <c r="BU53" i="21"/>
  <c r="AR52" i="21"/>
  <c r="AR53" i="21"/>
  <c r="CS52" i="21"/>
  <c r="CS53" i="21"/>
  <c r="EU52" i="21"/>
  <c r="EU53" i="21"/>
  <c r="EH52" i="21"/>
  <c r="EH53" i="21"/>
  <c r="AY52" i="21"/>
  <c r="AY53" i="21"/>
  <c r="DM42" i="21"/>
  <c r="DM39" i="21"/>
  <c r="DM44" i="21"/>
  <c r="DM45" i="21" s="1"/>
  <c r="DM46" i="21" s="1"/>
  <c r="DD39" i="21"/>
  <c r="DD44" i="21"/>
  <c r="DD45" i="21" s="1"/>
  <c r="DD46" i="21" s="1"/>
  <c r="DD42" i="21"/>
  <c r="CF39" i="21"/>
  <c r="CF44" i="21"/>
  <c r="CF45" i="21" s="1"/>
  <c r="CF46" i="21" s="1"/>
  <c r="CF42" i="21"/>
  <c r="FF44" i="21"/>
  <c r="FF45" i="21" s="1"/>
  <c r="FF46" i="21" s="1"/>
  <c r="FF39" i="21"/>
  <c r="FF42" i="21"/>
  <c r="FD42" i="21"/>
  <c r="FD44" i="21"/>
  <c r="FD45" i="21" s="1"/>
  <c r="FD46" i="21" s="1"/>
  <c r="FD39" i="21"/>
  <c r="EM52" i="21"/>
  <c r="EM53" i="21"/>
  <c r="AY44" i="21"/>
  <c r="AY45" i="21" s="1"/>
  <c r="AY46" i="21" s="1"/>
  <c r="AY42" i="21"/>
  <c r="AY39" i="21"/>
  <c r="ED39" i="21"/>
  <c r="ED44" i="21"/>
  <c r="ED45" i="21" s="1"/>
  <c r="ED46" i="21" s="1"/>
  <c r="ED42" i="21"/>
  <c r="DM52" i="21"/>
  <c r="DM53" i="21"/>
  <c r="AH52" i="21"/>
  <c r="AH53" i="21"/>
  <c r="CN52" i="21"/>
  <c r="CN53" i="21"/>
  <c r="CF52" i="21"/>
  <c r="CF53" i="21"/>
  <c r="AQ52" i="21"/>
  <c r="AQ53" i="21"/>
  <c r="CH52" i="21"/>
  <c r="CH53" i="21"/>
  <c r="L52" i="21"/>
  <c r="L53" i="21"/>
  <c r="AS52" i="21"/>
  <c r="AS53" i="21"/>
  <c r="FE42" i="21"/>
  <c r="FE39" i="21"/>
  <c r="FE44" i="21"/>
  <c r="FE45" i="21" s="1"/>
  <c r="FE46" i="21" s="1"/>
  <c r="FI44" i="21"/>
  <c r="FI45" i="21" s="1"/>
  <c r="FI46" i="21" s="1"/>
  <c r="FI42" i="21"/>
  <c r="FI39" i="21"/>
  <c r="CL44" i="21"/>
  <c r="CL45" i="21" s="1"/>
  <c r="CL46" i="21" s="1"/>
  <c r="CL39" i="21"/>
  <c r="CL42" i="21"/>
  <c r="BW39" i="21"/>
  <c r="BW44" i="21"/>
  <c r="BW45" i="21" s="1"/>
  <c r="BW46" i="21" s="1"/>
  <c r="BW42" i="21"/>
  <c r="FG39" i="21"/>
  <c r="FG42" i="21"/>
  <c r="FG44" i="21"/>
  <c r="FG45" i="21" s="1"/>
  <c r="FG46" i="21" s="1"/>
  <c r="FC44" i="21"/>
  <c r="FC45" i="21" s="1"/>
  <c r="FC46" i="21" s="1"/>
  <c r="FC39" i="21"/>
  <c r="FC42" i="21"/>
  <c r="BG39" i="21"/>
  <c r="BG44" i="21"/>
  <c r="BG45" i="21" s="1"/>
  <c r="BG46" i="21" s="1"/>
  <c r="BG42" i="21"/>
  <c r="EK52" i="21"/>
  <c r="EK53" i="21"/>
  <c r="AG44" i="21"/>
  <c r="AG45" i="21" s="1"/>
  <c r="AG46" i="21" s="1"/>
  <c r="AG39" i="21"/>
  <c r="AG42" i="21"/>
  <c r="EA44" i="21"/>
  <c r="EA45" i="21" s="1"/>
  <c r="EA46" i="21" s="1"/>
  <c r="EA39" i="21"/>
  <c r="EA42" i="21"/>
  <c r="S43" i="20"/>
  <c r="S130" i="20" s="1"/>
  <c r="S125" i="20"/>
  <c r="W146" i="20" s="1"/>
  <c r="S37" i="20"/>
  <c r="S41" i="20"/>
  <c r="S42" i="20"/>
  <c r="S45" i="20"/>
  <c r="J52" i="21"/>
  <c r="J53" i="21"/>
  <c r="AB44" i="21"/>
  <c r="AB45" i="21" s="1"/>
  <c r="AB46" i="21" s="1"/>
  <c r="AB39" i="21"/>
  <c r="AB42" i="21"/>
  <c r="L13" i="8"/>
  <c r="DW42" i="21"/>
  <c r="DW39" i="21"/>
  <c r="DW44" i="21"/>
  <c r="DW45" i="21" s="1"/>
  <c r="DW46" i="21" s="1"/>
  <c r="BR39" i="21"/>
  <c r="BR44" i="21"/>
  <c r="BR45" i="21" s="1"/>
  <c r="BR46" i="21" s="1"/>
  <c r="BR42" i="21"/>
  <c r="R42" i="21"/>
  <c r="R39" i="21"/>
  <c r="R44" i="21"/>
  <c r="R45" i="21" s="1"/>
  <c r="R46" i="21" s="1"/>
  <c r="EA52" i="21"/>
  <c r="EA53" i="21"/>
  <c r="BD39" i="21"/>
  <c r="BD44" i="21"/>
  <c r="BD45" i="21" s="1"/>
  <c r="BD46" i="21" s="1"/>
  <c r="BD42" i="21"/>
  <c r="DV39" i="21"/>
  <c r="DV42" i="21"/>
  <c r="DV44" i="21"/>
  <c r="DV45" i="21" s="1"/>
  <c r="DV46" i="21" s="1"/>
  <c r="S44" i="21"/>
  <c r="S45" i="21" s="1"/>
  <c r="S46" i="21" s="1"/>
  <c r="S39" i="21"/>
  <c r="S42" i="21"/>
  <c r="O44" i="21"/>
  <c r="O45" i="21" s="1"/>
  <c r="O46" i="21" s="1"/>
  <c r="O39" i="21"/>
  <c r="O42" i="21"/>
  <c r="CK39" i="21"/>
  <c r="CK44" i="21"/>
  <c r="CK45" i="21" s="1"/>
  <c r="CK46" i="21" s="1"/>
  <c r="CK42" i="21"/>
  <c r="AL39" i="21"/>
  <c r="AL44" i="21"/>
  <c r="AL45" i="21" s="1"/>
  <c r="AL46" i="21" s="1"/>
  <c r="AL42" i="21"/>
  <c r="Q75" i="20"/>
  <c r="Q36" i="20"/>
  <c r="D23" i="58"/>
  <c r="D23" i="57"/>
  <c r="AW44" i="21"/>
  <c r="AW45" i="21" s="1"/>
  <c r="AW46" i="21" s="1"/>
  <c r="AW39" i="21"/>
  <c r="AW42" i="21"/>
  <c r="D42" i="21"/>
  <c r="D44" i="21"/>
  <c r="D45" i="21" s="1"/>
  <c r="D46" i="21" s="1"/>
  <c r="D39" i="21"/>
  <c r="DH39" i="21"/>
  <c r="DH42" i="21"/>
  <c r="DH44" i="21"/>
  <c r="DH45" i="21" s="1"/>
  <c r="DH46" i="21" s="1"/>
  <c r="CZ44" i="21"/>
  <c r="CZ45" i="21" s="1"/>
  <c r="CZ46" i="21" s="1"/>
  <c r="CZ42" i="21"/>
  <c r="CZ39" i="21"/>
  <c r="BB39" i="21"/>
  <c r="BB42" i="21"/>
  <c r="BB44" i="21"/>
  <c r="BB45" i="21" s="1"/>
  <c r="BB46" i="21" s="1"/>
  <c r="F23" i="57"/>
  <c r="E23" i="58"/>
  <c r="EX42" i="21"/>
  <c r="EX39" i="21"/>
  <c r="EX44" i="21"/>
  <c r="EX45" i="21" s="1"/>
  <c r="EX46" i="21" s="1"/>
  <c r="CJ44" i="21"/>
  <c r="CJ45" i="21" s="1"/>
  <c r="CJ46" i="21" s="1"/>
  <c r="CJ39" i="21"/>
  <c r="CJ42" i="21"/>
  <c r="EW44" i="21"/>
  <c r="EW45" i="21" s="1"/>
  <c r="EW46" i="21" s="1"/>
  <c r="EW42" i="21"/>
  <c r="EW39" i="21"/>
  <c r="EI52" i="21"/>
  <c r="EI53" i="21"/>
  <c r="Q42" i="21"/>
  <c r="Q39" i="21"/>
  <c r="Q44" i="21"/>
  <c r="Q45" i="21" s="1"/>
  <c r="Q46" i="21" s="1"/>
  <c r="DY52" i="21"/>
  <c r="DY53" i="21"/>
  <c r="FH42" i="21"/>
  <c r="FH44" i="21"/>
  <c r="FH45" i="21" s="1"/>
  <c r="FH46" i="21" s="1"/>
  <c r="FH39" i="21"/>
  <c r="FC52" i="21"/>
  <c r="FC53" i="21"/>
  <c r="BC52" i="21"/>
  <c r="BC53" i="21"/>
  <c r="ER52" i="21"/>
  <c r="ER53" i="21"/>
  <c r="AX42" i="21"/>
  <c r="AX44" i="21"/>
  <c r="AX45" i="21" s="1"/>
  <c r="AX46" i="21" s="1"/>
  <c r="AX39" i="21"/>
  <c r="BC39" i="21"/>
  <c r="BC44" i="21"/>
  <c r="BC45" i="21" s="1"/>
  <c r="BC46" i="21" s="1"/>
  <c r="BC42" i="21"/>
  <c r="BZ44" i="21"/>
  <c r="BZ45" i="21" s="1"/>
  <c r="BZ46" i="21" s="1"/>
  <c r="BZ39" i="21"/>
  <c r="BZ42" i="21"/>
  <c r="CI44" i="21"/>
  <c r="CI45" i="21" s="1"/>
  <c r="CI46" i="21" s="1"/>
  <c r="CI42" i="21"/>
  <c r="CI39" i="21"/>
  <c r="ER44" i="21"/>
  <c r="ER45" i="21" s="1"/>
  <c r="ER46" i="21" s="1"/>
  <c r="ER42" i="21"/>
  <c r="ER39" i="21"/>
  <c r="AK44" i="21"/>
  <c r="AK45" i="21" s="1"/>
  <c r="AK46" i="21" s="1"/>
  <c r="AK39" i="21"/>
  <c r="AK42" i="21"/>
  <c r="BA52" i="21"/>
  <c r="BA53" i="21"/>
  <c r="BH52" i="21"/>
  <c r="BH53" i="21"/>
  <c r="CT52" i="21"/>
  <c r="CT53" i="21"/>
  <c r="DO52" i="21"/>
  <c r="DO53" i="21"/>
  <c r="AA52" i="21"/>
  <c r="AA53" i="21"/>
  <c r="K70" i="20"/>
  <c r="DI39" i="21"/>
  <c r="DI42" i="21"/>
  <c r="DI44" i="21"/>
  <c r="DI45" i="21" s="1"/>
  <c r="DI46" i="21" s="1"/>
  <c r="BM52" i="21"/>
  <c r="BM53" i="21"/>
  <c r="W52" i="21"/>
  <c r="W53" i="21"/>
  <c r="BK52" i="21"/>
  <c r="BK53" i="21"/>
  <c r="CY52" i="21"/>
  <c r="CY53" i="21"/>
  <c r="CZ52" i="21"/>
  <c r="CZ53" i="21"/>
  <c r="BR52" i="21"/>
  <c r="BR53" i="21"/>
  <c r="BD52" i="21"/>
  <c r="BD53" i="21"/>
  <c r="U15" i="57"/>
  <c r="CB52" i="21"/>
  <c r="CB53" i="21"/>
  <c r="DL52" i="21"/>
  <c r="DL53" i="21"/>
  <c r="AO52" i="21"/>
  <c r="AO53" i="21"/>
  <c r="BF52" i="21"/>
  <c r="BF53" i="21"/>
  <c r="DZ52" i="21"/>
  <c r="DZ53" i="21"/>
  <c r="P52" i="21"/>
  <c r="P53" i="21"/>
  <c r="DF52" i="21"/>
  <c r="DF53" i="21"/>
  <c r="U52" i="21"/>
  <c r="U53" i="21"/>
  <c r="DP44" i="21"/>
  <c r="DP45" i="21" s="1"/>
  <c r="DP46" i="21" s="1"/>
  <c r="DP42" i="21"/>
  <c r="DP39" i="21"/>
  <c r="P39" i="21"/>
  <c r="P44" i="21"/>
  <c r="P45" i="21" s="1"/>
  <c r="P46" i="21" s="1"/>
  <c r="P42" i="21"/>
  <c r="EU44" i="21"/>
  <c r="EU45" i="21" s="1"/>
  <c r="EU46" i="21" s="1"/>
  <c r="EU42" i="21"/>
  <c r="EU39" i="21"/>
  <c r="AQ39" i="21"/>
  <c r="AQ44" i="21"/>
  <c r="AQ45" i="21" s="1"/>
  <c r="AQ46" i="21" s="1"/>
  <c r="AQ42" i="21"/>
  <c r="DF39" i="21"/>
  <c r="DF42" i="21"/>
  <c r="DF44" i="21"/>
  <c r="DF45" i="21" s="1"/>
  <c r="DF46" i="21" s="1"/>
  <c r="U39" i="21"/>
  <c r="U44" i="21"/>
  <c r="U45" i="21" s="1"/>
  <c r="U46" i="21" s="1"/>
  <c r="U42" i="21"/>
  <c r="BY44" i="21"/>
  <c r="BY45" i="21" s="1"/>
  <c r="BY46" i="21" s="1"/>
  <c r="BY42" i="21"/>
  <c r="BY39" i="21"/>
  <c r="CD52" i="21"/>
  <c r="CD53" i="21"/>
  <c r="DK52" i="21"/>
  <c r="DK53" i="21"/>
  <c r="DC52" i="21"/>
  <c r="DC53" i="21"/>
  <c r="DE52" i="21"/>
  <c r="DE53" i="21"/>
  <c r="Y52" i="21"/>
  <c r="Y53" i="21"/>
  <c r="CT44" i="21"/>
  <c r="CT45" i="21" s="1"/>
  <c r="CT46" i="21" s="1"/>
  <c r="CT39" i="21"/>
  <c r="CT42" i="21"/>
  <c r="CN44" i="21"/>
  <c r="CN45" i="21" s="1"/>
  <c r="CN46" i="21" s="1"/>
  <c r="CN39" i="21"/>
  <c r="CN42" i="21"/>
  <c r="U75" i="20"/>
  <c r="U36" i="20"/>
  <c r="CH44" i="21"/>
  <c r="CH45" i="21" s="1"/>
  <c r="CH46" i="21" s="1"/>
  <c r="CH39" i="21"/>
  <c r="CH42" i="21"/>
  <c r="L42" i="21"/>
  <c r="L44" i="21"/>
  <c r="L45" i="21" s="1"/>
  <c r="L46" i="21" s="1"/>
  <c r="L39" i="21"/>
  <c r="X39" i="21"/>
  <c r="X44" i="21"/>
  <c r="X45" i="21" s="1"/>
  <c r="X46" i="21" s="1"/>
  <c r="X42" i="21"/>
  <c r="AR39" i="21"/>
  <c r="AR44" i="21"/>
  <c r="AR45" i="21" s="1"/>
  <c r="AR46" i="21" s="1"/>
  <c r="AR42" i="21"/>
  <c r="AP39" i="21"/>
  <c r="AP44" i="21"/>
  <c r="AP45" i="21" s="1"/>
  <c r="AP46" i="21" s="1"/>
  <c r="AP42" i="21"/>
  <c r="DK39" i="21"/>
  <c r="DK42" i="21"/>
  <c r="DK44" i="21"/>
  <c r="DK45" i="21" s="1"/>
  <c r="DK46" i="21" s="1"/>
  <c r="AA39" i="21"/>
  <c r="AA44" i="21"/>
  <c r="AA45" i="21" s="1"/>
  <c r="AA46" i="21" s="1"/>
  <c r="AA42" i="21"/>
  <c r="FA42" i="21"/>
  <c r="FA39" i="21"/>
  <c r="FA44" i="21"/>
  <c r="FA45" i="21" s="1"/>
  <c r="FA46" i="21" s="1"/>
  <c r="S52" i="21"/>
  <c r="S53" i="21"/>
  <c r="DB52" i="21"/>
  <c r="DB53" i="21"/>
  <c r="CK52" i="21"/>
  <c r="CK53" i="21"/>
  <c r="CC52" i="21"/>
  <c r="CC53" i="21"/>
  <c r="DA42" i="21"/>
  <c r="DA39" i="21"/>
  <c r="DA44" i="21"/>
  <c r="DA45" i="21" s="1"/>
  <c r="DA46" i="21" s="1"/>
  <c r="DO39" i="21"/>
  <c r="DO42" i="21"/>
  <c r="DO44" i="21"/>
  <c r="DO45" i="21" s="1"/>
  <c r="DO46" i="21" s="1"/>
  <c r="EK44" i="21"/>
  <c r="EK45" i="21" s="1"/>
  <c r="EK46" i="21" s="1"/>
  <c r="EK39" i="21"/>
  <c r="EK42" i="21"/>
  <c r="BU39" i="21"/>
  <c r="BU44" i="21"/>
  <c r="BU45" i="21" s="1"/>
  <c r="BU46" i="21" s="1"/>
  <c r="BU42" i="21"/>
  <c r="K39" i="21"/>
  <c r="K44" i="21"/>
  <c r="K45" i="21" s="1"/>
  <c r="K46" i="21" s="1"/>
  <c r="K42" i="21"/>
  <c r="BT39" i="21"/>
  <c r="BT44" i="21"/>
  <c r="BT45" i="21" s="1"/>
  <c r="BT46" i="21" s="1"/>
  <c r="BT42" i="21"/>
  <c r="F39" i="21"/>
  <c r="F44" i="21"/>
  <c r="F45" i="21" s="1"/>
  <c r="F46" i="21" s="1"/>
  <c r="F42" i="21"/>
  <c r="F23" i="58"/>
  <c r="I23" i="57"/>
  <c r="AO44" i="21"/>
  <c r="AO45" i="21" s="1"/>
  <c r="AO46" i="21" s="1"/>
  <c r="AO39" i="21"/>
  <c r="AO42" i="21"/>
  <c r="BP39" i="21"/>
  <c r="BP44" i="21"/>
  <c r="BP45" i="21" s="1"/>
  <c r="BP46" i="21" s="1"/>
  <c r="BP42" i="21"/>
  <c r="AN44" i="21"/>
  <c r="AN45" i="21" s="1"/>
  <c r="AN46" i="21" s="1"/>
  <c r="AN39" i="21"/>
  <c r="AN42" i="21"/>
  <c r="CY39" i="21"/>
  <c r="CY42" i="21"/>
  <c r="CY44" i="21"/>
  <c r="CY45" i="21" s="1"/>
  <c r="CY46" i="21" s="1"/>
  <c r="FJ42" i="21"/>
  <c r="FJ39" i="21"/>
  <c r="FJ44" i="21"/>
  <c r="FJ45" i="21" s="1"/>
  <c r="FJ46" i="21" s="1"/>
  <c r="EF44" i="21"/>
  <c r="EF45" i="21" s="1"/>
  <c r="EF46" i="21" s="1"/>
  <c r="EF42" i="21"/>
  <c r="EF39" i="21"/>
  <c r="Z39" i="21"/>
  <c r="Z44" i="21"/>
  <c r="Z45" i="21" s="1"/>
  <c r="Z46" i="21" s="1"/>
  <c r="Z42" i="21"/>
  <c r="EC42" i="21"/>
  <c r="EC39" i="21"/>
  <c r="EC44" i="21"/>
  <c r="EC45" i="21" s="1"/>
  <c r="EC46" i="21" s="1"/>
  <c r="BJ42" i="21"/>
  <c r="BJ44" i="21"/>
  <c r="BJ45" i="21" s="1"/>
  <c r="BJ46" i="21" s="1"/>
  <c r="BJ39" i="21"/>
  <c r="E39" i="21"/>
  <c r="E44" i="21"/>
  <c r="E45" i="21" s="1"/>
  <c r="E46" i="21" s="1"/>
  <c r="E42" i="21"/>
  <c r="BV44" i="21"/>
  <c r="BV45" i="21" s="1"/>
  <c r="BV46" i="21" s="1"/>
  <c r="BV39" i="21"/>
  <c r="BV42" i="21"/>
  <c r="BI52" i="21"/>
  <c r="BI53" i="21"/>
  <c r="AU52" i="21"/>
  <c r="AU53" i="21"/>
  <c r="EY52" i="21"/>
  <c r="EY53" i="21"/>
  <c r="BV52" i="21"/>
  <c r="BV53" i="21"/>
  <c r="AH42" i="21"/>
  <c r="AH39" i="21"/>
  <c r="AH44" i="21"/>
  <c r="AH45" i="21" s="1"/>
  <c r="AH46" i="21" s="1"/>
  <c r="EL39" i="21"/>
  <c r="EL44" i="21"/>
  <c r="EL45" i="21" s="1"/>
  <c r="EL46" i="21" s="1"/>
  <c r="EL42" i="21"/>
  <c r="J22" i="8"/>
  <c r="EY39" i="21"/>
  <c r="EY44" i="21"/>
  <c r="EY45" i="21" s="1"/>
  <c r="EY46" i="21" s="1"/>
  <c r="EY42" i="21"/>
  <c r="ED52" i="21"/>
  <c r="ED53" i="21"/>
  <c r="U70" i="20"/>
  <c r="EB52" i="21"/>
  <c r="EB53" i="21"/>
  <c r="CM52" i="21"/>
  <c r="CM53" i="21"/>
  <c r="FI52" i="21"/>
  <c r="FI53" i="21"/>
  <c r="ES52" i="21"/>
  <c r="ES53" i="21"/>
  <c r="CJ52" i="21"/>
  <c r="CJ53" i="21"/>
  <c r="P70" i="20"/>
  <c r="BQ52" i="21"/>
  <c r="BQ53" i="21"/>
  <c r="EE52" i="21"/>
  <c r="EE53" i="21"/>
  <c r="M77" i="20" l="1"/>
  <c r="M78" i="20" s="1"/>
  <c r="M46" i="20"/>
  <c r="O77" i="20"/>
  <c r="O78" i="20" s="1"/>
  <c r="O46" i="20"/>
  <c r="S77" i="20"/>
  <c r="S78" i="20" s="1"/>
  <c r="S46" i="20"/>
  <c r="DE54" i="21"/>
  <c r="DE57" i="21"/>
  <c r="DE58" i="21" s="1"/>
  <c r="BR57" i="21"/>
  <c r="BR58" i="21" s="1"/>
  <c r="BR54" i="21"/>
  <c r="W54" i="21"/>
  <c r="W57" i="21"/>
  <c r="W58" i="21" s="1"/>
  <c r="L70" i="20"/>
  <c r="L23" i="58"/>
  <c r="N23" i="58"/>
  <c r="AY57" i="21"/>
  <c r="AY58" i="21" s="1"/>
  <c r="AY54" i="21"/>
  <c r="AR54" i="21"/>
  <c r="AR57" i="21"/>
  <c r="AR58" i="21" s="1"/>
  <c r="O54" i="21"/>
  <c r="O57" i="21"/>
  <c r="O58" i="21" s="1"/>
  <c r="DH54" i="21"/>
  <c r="DH57" i="21"/>
  <c r="DH58" i="21" s="1"/>
  <c r="FA54" i="21"/>
  <c r="FA57" i="21"/>
  <c r="FA58" i="21" s="1"/>
  <c r="DJ54" i="21"/>
  <c r="DJ57" i="21"/>
  <c r="DJ58" i="21" s="1"/>
  <c r="AK54" i="21"/>
  <c r="AK57" i="21"/>
  <c r="AK58" i="21" s="1"/>
  <c r="FF54" i="21"/>
  <c r="FF57" i="21"/>
  <c r="FF58" i="21" s="1"/>
  <c r="M54" i="21"/>
  <c r="M57" i="21"/>
  <c r="M58" i="21" s="1"/>
  <c r="AM57" i="21"/>
  <c r="AM58" i="21" s="1"/>
  <c r="AM54" i="21"/>
  <c r="EF54" i="21"/>
  <c r="EF57" i="21"/>
  <c r="EF58" i="21" s="1"/>
  <c r="CL57" i="21"/>
  <c r="CL58" i="21" s="1"/>
  <c r="CL54" i="21"/>
  <c r="AE54" i="21"/>
  <c r="AE57" i="21"/>
  <c r="AE58" i="21" s="1"/>
  <c r="X54" i="21"/>
  <c r="X57" i="21"/>
  <c r="X58" i="21" s="1"/>
  <c r="P57" i="21"/>
  <c r="P58" i="21" s="1"/>
  <c r="P54" i="21"/>
  <c r="DL54" i="21"/>
  <c r="DL57" i="21"/>
  <c r="DL58" i="21" s="1"/>
  <c r="AA57" i="21"/>
  <c r="AA58" i="21" s="1"/>
  <c r="AA54" i="21"/>
  <c r="BA54" i="21"/>
  <c r="BA57" i="21"/>
  <c r="BA58" i="21" s="1"/>
  <c r="FC57" i="21"/>
  <c r="FC58" i="21" s="1"/>
  <c r="FC54" i="21"/>
  <c r="Q41" i="20"/>
  <c r="Q43" i="20"/>
  <c r="Q130" i="20" s="1"/>
  <c r="Q37" i="20"/>
  <c r="Q125" i="20"/>
  <c r="V146" i="20" s="1"/>
  <c r="Q42" i="20"/>
  <c r="Q45" i="20"/>
  <c r="AS57" i="21"/>
  <c r="AS58" i="21" s="1"/>
  <c r="AS54" i="21"/>
  <c r="CF57" i="21"/>
  <c r="CF58" i="21" s="1"/>
  <c r="CF54" i="21"/>
  <c r="DA54" i="21"/>
  <c r="DA57" i="21"/>
  <c r="DA58" i="21" s="1"/>
  <c r="X36" i="20"/>
  <c r="W36" i="20"/>
  <c r="W125" i="20" s="1"/>
  <c r="I42" i="20"/>
  <c r="I37" i="20"/>
  <c r="I125" i="20"/>
  <c r="R146" i="20" s="1"/>
  <c r="I41" i="20"/>
  <c r="I43" i="20"/>
  <c r="I45" i="20"/>
  <c r="CI57" i="21"/>
  <c r="CI58" i="21" s="1"/>
  <c r="CI54" i="21"/>
  <c r="EX54" i="21"/>
  <c r="EX57" i="21"/>
  <c r="EX58" i="21" s="1"/>
  <c r="DU57" i="21"/>
  <c r="DU58" i="21" s="1"/>
  <c r="DU54" i="21"/>
  <c r="I54" i="21"/>
  <c r="I57" i="21"/>
  <c r="I58" i="21" s="1"/>
  <c r="CJ54" i="21"/>
  <c r="CJ57" i="21"/>
  <c r="CJ58" i="21" s="1"/>
  <c r="EB54" i="21"/>
  <c r="EB57" i="21"/>
  <c r="EB58" i="21" s="1"/>
  <c r="BV54" i="21"/>
  <c r="BV57" i="21"/>
  <c r="BV58" i="21" s="1"/>
  <c r="CC57" i="21"/>
  <c r="CC58" i="21" s="1"/>
  <c r="CC54" i="21"/>
  <c r="DC57" i="21"/>
  <c r="DC58" i="21" s="1"/>
  <c r="DC54" i="21"/>
  <c r="CZ57" i="21"/>
  <c r="CZ58" i="21" s="1"/>
  <c r="CZ54" i="21"/>
  <c r="BM57" i="21"/>
  <c r="BM58" i="21" s="1"/>
  <c r="BM54" i="21"/>
  <c r="EK54" i="21"/>
  <c r="EK57" i="21"/>
  <c r="EK58" i="21" s="1"/>
  <c r="EH54" i="21"/>
  <c r="EH57" i="21"/>
  <c r="EH58" i="21" s="1"/>
  <c r="BU54" i="21"/>
  <c r="BU57" i="21"/>
  <c r="BU58" i="21" s="1"/>
  <c r="D54" i="21"/>
  <c r="D57" i="21"/>
  <c r="D58" i="21" s="1"/>
  <c r="BS57" i="21"/>
  <c r="BS58" i="21" s="1"/>
  <c r="BS54" i="21"/>
  <c r="T54" i="21"/>
  <c r="T57" i="21"/>
  <c r="T58" i="21" s="1"/>
  <c r="DN57" i="21"/>
  <c r="DN58" i="21" s="1"/>
  <c r="DN54" i="21"/>
  <c r="AN57" i="21"/>
  <c r="AN58" i="21" s="1"/>
  <c r="AN54" i="21"/>
  <c r="BW57" i="21"/>
  <c r="BW58" i="21" s="1"/>
  <c r="BW54" i="21"/>
  <c r="G57" i="21"/>
  <c r="G58" i="21" s="1"/>
  <c r="G54" i="21"/>
  <c r="H54" i="21"/>
  <c r="H57" i="21"/>
  <c r="H58" i="21" s="1"/>
  <c r="FH57" i="21"/>
  <c r="FH58" i="21" s="1"/>
  <c r="FH54" i="21"/>
  <c r="AP57" i="21"/>
  <c r="AP58" i="21" s="1"/>
  <c r="AP54" i="21"/>
  <c r="FB57" i="21"/>
  <c r="FB58" i="21" s="1"/>
  <c r="FB54" i="21"/>
  <c r="EG57" i="21"/>
  <c r="EG58" i="21" s="1"/>
  <c r="EG54" i="21"/>
  <c r="AJ54" i="21"/>
  <c r="AJ57" i="21"/>
  <c r="AJ58" i="21" s="1"/>
  <c r="BP57" i="21"/>
  <c r="BP58" i="21" s="1"/>
  <c r="BP54" i="21"/>
  <c r="K57" i="21"/>
  <c r="K58" i="21" s="1"/>
  <c r="K54" i="21"/>
  <c r="DZ54" i="21"/>
  <c r="DZ57" i="21"/>
  <c r="DZ58" i="21" s="1"/>
  <c r="CB57" i="21"/>
  <c r="CB58" i="21" s="1"/>
  <c r="CB54" i="21"/>
  <c r="DO54" i="21"/>
  <c r="DO57" i="21"/>
  <c r="DO58" i="21" s="1"/>
  <c r="EI54" i="21"/>
  <c r="EI57" i="21"/>
  <c r="EI58" i="21" s="1"/>
  <c r="L54" i="21"/>
  <c r="L57" i="21"/>
  <c r="L58" i="21" s="1"/>
  <c r="CN54" i="21"/>
  <c r="CN57" i="21"/>
  <c r="CN58" i="21" s="1"/>
  <c r="R70" i="20"/>
  <c r="CX54" i="21"/>
  <c r="CX57" i="21"/>
  <c r="CX58" i="21" s="1"/>
  <c r="FG57" i="21"/>
  <c r="FG58" i="21" s="1"/>
  <c r="FG54" i="21"/>
  <c r="M128" i="20"/>
  <c r="X70" i="20"/>
  <c r="EW54" i="21"/>
  <c r="EW57" i="21"/>
  <c r="EW58" i="21" s="1"/>
  <c r="BY57" i="21"/>
  <c r="BY58" i="21" s="1"/>
  <c r="BY54" i="21"/>
  <c r="BZ54" i="21"/>
  <c r="BZ57" i="21"/>
  <c r="BZ58" i="21" s="1"/>
  <c r="CA54" i="21"/>
  <c r="CA57" i="21"/>
  <c r="CA58" i="21" s="1"/>
  <c r="AW54" i="21"/>
  <c r="AW57" i="21"/>
  <c r="AW58" i="21" s="1"/>
  <c r="EC57" i="21"/>
  <c r="EC58" i="21" s="1"/>
  <c r="EC54" i="21"/>
  <c r="BX54" i="21"/>
  <c r="BX57" i="21"/>
  <c r="BX58" i="21" s="1"/>
  <c r="ES54" i="21"/>
  <c r="ES57" i="21"/>
  <c r="ES58" i="21" s="1"/>
  <c r="EY54" i="21"/>
  <c r="EY57" i="21"/>
  <c r="EY58" i="21" s="1"/>
  <c r="CK54" i="21"/>
  <c r="CK57" i="21"/>
  <c r="CK58" i="21" s="1"/>
  <c r="DK57" i="21"/>
  <c r="DK58" i="21" s="1"/>
  <c r="DK54" i="21"/>
  <c r="CY54" i="21"/>
  <c r="CY57" i="21"/>
  <c r="CY58" i="21" s="1"/>
  <c r="J57" i="21"/>
  <c r="J58" i="21" s="1"/>
  <c r="J54" i="21"/>
  <c r="EU54" i="21"/>
  <c r="EU57" i="21"/>
  <c r="EU58" i="21" s="1"/>
  <c r="BB54" i="21"/>
  <c r="BB57" i="21"/>
  <c r="BB58" i="21" s="1"/>
  <c r="AD54" i="21"/>
  <c r="AD57" i="21"/>
  <c r="AD58" i="21" s="1"/>
  <c r="DW54" i="21"/>
  <c r="DW57" i="21"/>
  <c r="DW58" i="21" s="1"/>
  <c r="N54" i="21"/>
  <c r="N57" i="21"/>
  <c r="N58" i="21" s="1"/>
  <c r="DX54" i="21"/>
  <c r="DX57" i="21"/>
  <c r="DX58" i="21" s="1"/>
  <c r="DG57" i="21"/>
  <c r="DG58" i="21" s="1"/>
  <c r="DG54" i="21"/>
  <c r="E54" i="21"/>
  <c r="E57" i="21"/>
  <c r="E58" i="21" s="1"/>
  <c r="EZ54" i="21"/>
  <c r="EZ57" i="21"/>
  <c r="EZ58" i="21" s="1"/>
  <c r="J70" i="20"/>
  <c r="AX57" i="21"/>
  <c r="AX58" i="21" s="1"/>
  <c r="AX54" i="21"/>
  <c r="DV54" i="21"/>
  <c r="DV57" i="21"/>
  <c r="DV58" i="21" s="1"/>
  <c r="ET54" i="21"/>
  <c r="ET57" i="21"/>
  <c r="ET58" i="21" s="1"/>
  <c r="BG57" i="21"/>
  <c r="BG58" i="21" s="1"/>
  <c r="BG54" i="21"/>
  <c r="CP54" i="21"/>
  <c r="CP57" i="21"/>
  <c r="CP58" i="21" s="1"/>
  <c r="AT54" i="21"/>
  <c r="AT57" i="21"/>
  <c r="AT58" i="21" s="1"/>
  <c r="CM57" i="21"/>
  <c r="CM58" i="21" s="1"/>
  <c r="CM54" i="21"/>
  <c r="BI57" i="21"/>
  <c r="BI58" i="21" s="1"/>
  <c r="BI54" i="21"/>
  <c r="S54" i="21"/>
  <c r="S57" i="21"/>
  <c r="S58" i="21" s="1"/>
  <c r="EE54" i="21"/>
  <c r="EE57" i="21"/>
  <c r="EE58" i="21" s="1"/>
  <c r="V70" i="20"/>
  <c r="U57" i="21"/>
  <c r="U58" i="21" s="1"/>
  <c r="U54" i="21"/>
  <c r="BF57" i="21"/>
  <c r="BF58" i="21" s="1"/>
  <c r="BF54" i="21"/>
  <c r="CT54" i="21"/>
  <c r="CT57" i="21"/>
  <c r="CT58" i="21" s="1"/>
  <c r="ER54" i="21"/>
  <c r="ER57" i="21"/>
  <c r="ER58" i="21" s="1"/>
  <c r="EA54" i="21"/>
  <c r="EA57" i="21"/>
  <c r="EA58" i="21" s="1"/>
  <c r="CH57" i="21"/>
  <c r="CH58" i="21" s="1"/>
  <c r="CH54" i="21"/>
  <c r="AH54" i="21"/>
  <c r="AH57" i="21"/>
  <c r="AH58" i="21" s="1"/>
  <c r="R57" i="21"/>
  <c r="R58" i="21" s="1"/>
  <c r="R54" i="21"/>
  <c r="AV57" i="21"/>
  <c r="AV58" i="21" s="1"/>
  <c r="AV54" i="21"/>
  <c r="CG54" i="21"/>
  <c r="CG57" i="21"/>
  <c r="CG58" i="21" s="1"/>
  <c r="EL54" i="21"/>
  <c r="EL57" i="21"/>
  <c r="EL58" i="21" s="1"/>
  <c r="CO54" i="21"/>
  <c r="CO57" i="21"/>
  <c r="CO58" i="21" s="1"/>
  <c r="DD54" i="21"/>
  <c r="DD57" i="21"/>
  <c r="DD58" i="21" s="1"/>
  <c r="FJ57" i="21"/>
  <c r="FJ58" i="21" s="1"/>
  <c r="FJ54" i="21"/>
  <c r="AL57" i="21"/>
  <c r="AL58" i="21" s="1"/>
  <c r="AL54" i="21"/>
  <c r="BQ57" i="21"/>
  <c r="BQ58" i="21" s="1"/>
  <c r="BQ54" i="21"/>
  <c r="FI54" i="21"/>
  <c r="FI57" i="21"/>
  <c r="FI58" i="21" s="1"/>
  <c r="ED54" i="21"/>
  <c r="ED57" i="21"/>
  <c r="ED58" i="21" s="1"/>
  <c r="AU57" i="21"/>
  <c r="AU58" i="21" s="1"/>
  <c r="AU54" i="21"/>
  <c r="DB54" i="21"/>
  <c r="DB57" i="21"/>
  <c r="DB58" i="21" s="1"/>
  <c r="U37" i="20"/>
  <c r="U42" i="20"/>
  <c r="U41" i="20"/>
  <c r="U125" i="20"/>
  <c r="X146" i="20" s="1"/>
  <c r="U43" i="20"/>
  <c r="U130" i="20" s="1"/>
  <c r="U45" i="20"/>
  <c r="Y57" i="21"/>
  <c r="Y58" i="21" s="1"/>
  <c r="Y54" i="21"/>
  <c r="CD54" i="21"/>
  <c r="CD57" i="21"/>
  <c r="CD58" i="21" s="1"/>
  <c r="BD54" i="21"/>
  <c r="BD57" i="21"/>
  <c r="BD58" i="21" s="1"/>
  <c r="BK57" i="21"/>
  <c r="BK58" i="21" s="1"/>
  <c r="BK54" i="21"/>
  <c r="DY57" i="21"/>
  <c r="DY58" i="21" s="1"/>
  <c r="DY54" i="21"/>
  <c r="S128" i="20"/>
  <c r="CS57" i="21"/>
  <c r="CS58" i="21" s="1"/>
  <c r="CS54" i="21"/>
  <c r="Q57" i="21"/>
  <c r="Q58" i="21" s="1"/>
  <c r="Q54" i="21"/>
  <c r="V54" i="21"/>
  <c r="V57" i="21"/>
  <c r="V58" i="21" s="1"/>
  <c r="EJ54" i="21"/>
  <c r="EJ57" i="21"/>
  <c r="EJ58" i="21" s="1"/>
  <c r="BT57" i="21"/>
  <c r="BT58" i="21" s="1"/>
  <c r="BT54" i="21"/>
  <c r="BN54" i="21"/>
  <c r="BN57" i="21"/>
  <c r="BN58" i="21" s="1"/>
  <c r="FD54" i="21"/>
  <c r="FD57" i="21"/>
  <c r="FD58" i="21" s="1"/>
  <c r="DP57" i="21"/>
  <c r="DP58" i="21" s="1"/>
  <c r="DP54" i="21"/>
  <c r="Z57" i="21"/>
  <c r="Z58" i="21" s="1"/>
  <c r="Z54" i="21"/>
  <c r="DI57" i="21"/>
  <c r="DI58" i="21" s="1"/>
  <c r="DI54" i="21"/>
  <c r="O128" i="20"/>
  <c r="AB57" i="21"/>
  <c r="AB58" i="21" s="1"/>
  <c r="AB54" i="21"/>
  <c r="F57" i="21"/>
  <c r="F58" i="21" s="1"/>
  <c r="F54" i="21"/>
  <c r="K42" i="20"/>
  <c r="K125" i="20"/>
  <c r="S146" i="20" s="1"/>
  <c r="K43" i="20"/>
  <c r="K130" i="20" s="1"/>
  <c r="K41" i="20"/>
  <c r="K37" i="20"/>
  <c r="K45" i="20"/>
  <c r="DF57" i="21"/>
  <c r="DF58" i="21" s="1"/>
  <c r="DF54" i="21"/>
  <c r="AO54" i="21"/>
  <c r="AO57" i="21"/>
  <c r="AO58" i="21" s="1"/>
  <c r="BH57" i="21"/>
  <c r="BH58" i="21" s="1"/>
  <c r="BH54" i="21"/>
  <c r="BC54" i="21"/>
  <c r="BC57" i="21"/>
  <c r="BC58" i="21" s="1"/>
  <c r="U23" i="57"/>
  <c r="S23" i="57"/>
  <c r="AQ54" i="21"/>
  <c r="AQ57" i="21"/>
  <c r="AQ58" i="21" s="1"/>
  <c r="DM57" i="21"/>
  <c r="DM58" i="21" s="1"/>
  <c r="DM54" i="21"/>
  <c r="EM57" i="21"/>
  <c r="EM58" i="21" s="1"/>
  <c r="EM54" i="21"/>
  <c r="AG57" i="21"/>
  <c r="AG58" i="21" s="1"/>
  <c r="AG54" i="21"/>
  <c r="FE54" i="21"/>
  <c r="FE57" i="21"/>
  <c r="FE58" i="21" s="1"/>
  <c r="BE54" i="21"/>
  <c r="BE57" i="21"/>
  <c r="BE58" i="21" s="1"/>
  <c r="AZ57" i="21"/>
  <c r="AZ58" i="21" s="1"/>
  <c r="AZ54" i="21"/>
  <c r="CE57" i="21"/>
  <c r="CE58" i="21" s="1"/>
  <c r="CE54" i="21"/>
  <c r="BJ57" i="21"/>
  <c r="BJ58" i="21" s="1"/>
  <c r="BJ54" i="21"/>
  <c r="EV57" i="21"/>
  <c r="EV58" i="21" s="1"/>
  <c r="EV54" i="21"/>
  <c r="AC57" i="21"/>
  <c r="AC58" i="21" s="1"/>
  <c r="AC54" i="21"/>
  <c r="CQ54" i="21"/>
  <c r="CQ57" i="21"/>
  <c r="CQ58" i="21" s="1"/>
  <c r="O131" i="20" l="1"/>
  <c r="O49" i="20"/>
  <c r="I46" i="20"/>
  <c r="Q77" i="20"/>
  <c r="Q78" i="20" s="1"/>
  <c r="Q46" i="20"/>
  <c r="M131" i="20"/>
  <c r="M49" i="20"/>
  <c r="U77" i="20"/>
  <c r="U78" i="20" s="1"/>
  <c r="U46" i="20"/>
  <c r="K77" i="20"/>
  <c r="K78" i="20" s="1"/>
  <c r="K46" i="20"/>
  <c r="S49" i="20"/>
  <c r="S131" i="20"/>
  <c r="Q128" i="20"/>
  <c r="U128" i="20"/>
  <c r="X37" i="20"/>
  <c r="W37" i="20"/>
  <c r="X42" i="20"/>
  <c r="W42" i="20"/>
  <c r="X45" i="20"/>
  <c r="W45" i="20"/>
  <c r="K128" i="20"/>
  <c r="I130" i="20"/>
  <c r="X43" i="20"/>
  <c r="W43" i="20"/>
  <c r="W130" i="20" s="1"/>
  <c r="W41" i="20"/>
  <c r="W77" i="20" s="1"/>
  <c r="W78" i="20" s="1"/>
  <c r="X41" i="20"/>
  <c r="I128" i="20"/>
  <c r="I77" i="20"/>
  <c r="I78" i="20" s="1"/>
  <c r="K131" i="20" l="1"/>
  <c r="K49" i="20"/>
  <c r="I131" i="20"/>
  <c r="X46" i="20"/>
  <c r="W46" i="20"/>
  <c r="W131" i="20" s="1"/>
  <c r="I49" i="20"/>
  <c r="Q131" i="20"/>
  <c r="Q49" i="20"/>
  <c r="O66" i="20"/>
  <c r="O50" i="20"/>
  <c r="M50" i="20"/>
  <c r="M66" i="20"/>
  <c r="U49" i="20"/>
  <c r="U131" i="20"/>
  <c r="S50" i="20"/>
  <c r="S66" i="20"/>
  <c r="W128" i="20"/>
  <c r="S51" i="20" l="1"/>
  <c r="S132" i="20"/>
  <c r="S97" i="20"/>
  <c r="S99" i="20" s="1"/>
  <c r="S102" i="20" s="1"/>
  <c r="S53" i="20"/>
  <c r="P66" i="20"/>
  <c r="P68" i="20" s="1"/>
  <c r="O68" i="20"/>
  <c r="O71" i="20" s="1"/>
  <c r="S68" i="20"/>
  <c r="S71" i="20" s="1"/>
  <c r="T66" i="20"/>
  <c r="T68" i="20" s="1"/>
  <c r="X49" i="20"/>
  <c r="I50" i="20"/>
  <c r="W49" i="20"/>
  <c r="W66" i="20" s="1"/>
  <c r="I66" i="20"/>
  <c r="U50" i="20"/>
  <c r="U66" i="20"/>
  <c r="Q50" i="20"/>
  <c r="Q66" i="20"/>
  <c r="M51" i="20"/>
  <c r="M132" i="20"/>
  <c r="M97" i="20"/>
  <c r="M99" i="20" s="1"/>
  <c r="M102" i="20" s="1"/>
  <c r="M53" i="20"/>
  <c r="N66" i="20"/>
  <c r="N68" i="20" s="1"/>
  <c r="M68" i="20"/>
  <c r="M71" i="20" s="1"/>
  <c r="O51" i="20"/>
  <c r="O132" i="20"/>
  <c r="O97" i="20"/>
  <c r="O99" i="20" s="1"/>
  <c r="O102" i="20" s="1"/>
  <c r="O53" i="20"/>
  <c r="K50" i="20"/>
  <c r="K66" i="20"/>
  <c r="W68" i="20" l="1"/>
  <c r="W71" i="20" s="1"/>
  <c r="X66" i="20"/>
  <c r="X68" i="20" s="1"/>
  <c r="S134" i="20"/>
  <c r="W176" i="20"/>
  <c r="T71" i="20"/>
  <c r="M54" i="20"/>
  <c r="M133" i="20"/>
  <c r="M59" i="20"/>
  <c r="N59" i="20" s="1"/>
  <c r="M136" i="20" s="1"/>
  <c r="M62" i="20"/>
  <c r="M137" i="20" s="1"/>
  <c r="Q51" i="20"/>
  <c r="Q97" i="20"/>
  <c r="Q99" i="20" s="1"/>
  <c r="Q102" i="20" s="1"/>
  <c r="Q132" i="20"/>
  <c r="Q53" i="20"/>
  <c r="K68" i="20"/>
  <c r="K71" i="20" s="1"/>
  <c r="L66" i="20"/>
  <c r="L68" i="20" s="1"/>
  <c r="J66" i="20"/>
  <c r="J68" i="20" s="1"/>
  <c r="I68" i="20"/>
  <c r="I71" i="20" s="1"/>
  <c r="S54" i="20"/>
  <c r="S133" i="20"/>
  <c r="S59" i="20"/>
  <c r="T59" i="20" s="1"/>
  <c r="S136" i="20" s="1"/>
  <c r="S62" i="20"/>
  <c r="S137" i="20" s="1"/>
  <c r="K97" i="20"/>
  <c r="K99" i="20" s="1"/>
  <c r="K102" i="20" s="1"/>
  <c r="K51" i="20"/>
  <c r="K132" i="20"/>
  <c r="K53" i="20"/>
  <c r="O59" i="20"/>
  <c r="P59" i="20" s="1"/>
  <c r="O136" i="20" s="1"/>
  <c r="O133" i="20"/>
  <c r="O54" i="20"/>
  <c r="O62" i="20"/>
  <c r="O137" i="20" s="1"/>
  <c r="W50" i="20"/>
  <c r="X50" i="20"/>
  <c r="I97" i="20"/>
  <c r="I99" i="20" s="1"/>
  <c r="I102" i="20" s="1"/>
  <c r="I51" i="20"/>
  <c r="I132" i="20"/>
  <c r="I53" i="20"/>
  <c r="R66" i="20"/>
  <c r="R68" i="20" s="1"/>
  <c r="Q68" i="20"/>
  <c r="Q71" i="20" s="1"/>
  <c r="U68" i="20"/>
  <c r="U71" i="20" s="1"/>
  <c r="V66" i="20"/>
  <c r="V68" i="20" s="1"/>
  <c r="M134" i="20"/>
  <c r="T176" i="20"/>
  <c r="N71" i="20"/>
  <c r="U51" i="20"/>
  <c r="U97" i="20"/>
  <c r="U99" i="20" s="1"/>
  <c r="U102" i="20" s="1"/>
  <c r="U132" i="20"/>
  <c r="U53" i="20"/>
  <c r="O134" i="20"/>
  <c r="U176" i="20"/>
  <c r="P71" i="20"/>
  <c r="U134" i="20" l="1"/>
  <c r="X176" i="20"/>
  <c r="V71" i="20"/>
  <c r="R176" i="20"/>
  <c r="I134" i="20"/>
  <c r="J71" i="20"/>
  <c r="Q54" i="20"/>
  <c r="Q133" i="20"/>
  <c r="Q59" i="20"/>
  <c r="R59" i="20" s="1"/>
  <c r="Q136" i="20" s="1"/>
  <c r="Q62" i="20"/>
  <c r="Q137" i="20" s="1"/>
  <c r="W177" i="20"/>
  <c r="S135" i="20"/>
  <c r="S176" i="20"/>
  <c r="K134" i="20"/>
  <c r="L71" i="20"/>
  <c r="I54" i="20"/>
  <c r="I133" i="20"/>
  <c r="W53" i="20"/>
  <c r="I59" i="20"/>
  <c r="J59" i="20" s="1"/>
  <c r="I136" i="20" s="1"/>
  <c r="X53" i="20"/>
  <c r="I62" i="20"/>
  <c r="I137" i="20" s="1"/>
  <c r="W132" i="20"/>
  <c r="W97" i="20"/>
  <c r="W99" i="20" s="1"/>
  <c r="W102" i="20" s="1"/>
  <c r="W134" i="20"/>
  <c r="X71" i="20"/>
  <c r="W135" i="20" s="1"/>
  <c r="U59" i="20"/>
  <c r="V59" i="20" s="1"/>
  <c r="U136" i="20" s="1"/>
  <c r="U54" i="20"/>
  <c r="U133" i="20"/>
  <c r="U62" i="20"/>
  <c r="U137" i="20" s="1"/>
  <c r="V176" i="20"/>
  <c r="Q134" i="20"/>
  <c r="R71" i="20"/>
  <c r="M135" i="20"/>
  <c r="T177" i="20"/>
  <c r="U177" i="20"/>
  <c r="O135" i="20"/>
  <c r="X51" i="20"/>
  <c r="W51" i="20"/>
  <c r="K59" i="20"/>
  <c r="L59" i="20" s="1"/>
  <c r="K136" i="20" s="1"/>
  <c r="K133" i="20"/>
  <c r="K54" i="20"/>
  <c r="K62" i="20"/>
  <c r="K137" i="20" s="1"/>
  <c r="K135" i="20" l="1"/>
  <c r="S177" i="20"/>
  <c r="V177" i="20"/>
  <c r="Q135" i="20"/>
  <c r="R177" i="20"/>
  <c r="I135" i="20"/>
  <c r="W133" i="20"/>
  <c r="W59" i="20"/>
  <c r="W62" i="20"/>
  <c r="W137" i="20" s="1"/>
  <c r="X54" i="20"/>
  <c r="W54" i="20"/>
  <c r="U135" i="20"/>
  <c r="X177" i="20"/>
</calcChain>
</file>

<file path=xl/comments1.xml><?xml version="1.0" encoding="utf-8"?>
<comments xmlns="http://schemas.openxmlformats.org/spreadsheetml/2006/main">
  <authors>
    <author>Richard Müller</author>
  </authors>
  <commentList>
    <comment ref="B5" authorId="0" shapeId="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10.xml><?xml version="1.0" encoding="utf-8"?>
<comments xmlns="http://schemas.openxmlformats.org/spreadsheetml/2006/main">
  <authors>
    <author>Richard Müller</author>
    <author>Mayer, Veronika (LEL)</author>
    <author>SeggerV</author>
    <author>Krieg, Karl (LEL)</author>
    <author>Schabel, Katrin (LEL)</author>
    <author>Grupp, Bianca (LEL)</author>
  </authors>
  <commentList>
    <comment ref="I4" authorId="0" shapeId="0">
      <text>
        <r>
          <rPr>
            <sz val="10"/>
            <color indexed="81"/>
            <rFont val="Arial"/>
            <family val="2"/>
          </rPr>
          <t>Vergütung
2001: 0,1534 €/l
2002: 0,1841 €/l
seit 2003: 0,2148 €/l
Quelle: BW agrar 2/2002</t>
        </r>
      </text>
    </comment>
    <comment ref="D7" authorId="0" shapeId="0">
      <text>
        <r>
          <rPr>
            <sz val="10"/>
            <color indexed="81"/>
            <rFont val="Arial"/>
            <family val="2"/>
          </rPr>
          <t xml:space="preserve">1 kW = 1,36 PS
1 PS = 0,736 kW
</t>
        </r>
      </text>
    </comment>
    <comment ref="N23" authorId="1" shapeId="0">
      <text>
        <r>
          <rPr>
            <b/>
            <sz val="8"/>
            <color indexed="81"/>
            <rFont val="Tahoma"/>
            <family val="2"/>
          </rPr>
          <t>Mayer, Veronika (LEL):</t>
        </r>
        <r>
          <rPr>
            <sz val="8"/>
            <color indexed="81"/>
            <rFont val="Tahoma"/>
            <family val="2"/>
          </rPr>
          <t xml:space="preserve">
Arbeitszeit orientiert sich an gewähltem Arbeitsverfahren</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82" authorId="3" shapeId="0">
      <text>
        <r>
          <rPr>
            <sz val="8"/>
            <color indexed="81"/>
            <rFont val="Tahoma"/>
            <family val="2"/>
          </rPr>
          <t xml:space="preserve">25 t * 0,20€/t
</t>
        </r>
      </text>
    </comment>
    <comment ref="C94" authorId="4" shapeId="0">
      <text>
        <r>
          <rPr>
            <sz val="8"/>
            <color indexed="81"/>
            <rFont val="Tahoma"/>
            <family val="2"/>
          </rPr>
          <t xml:space="preserve">Einzelbedarf siehe Tab. Anhaltswerte Handakh Feld
</t>
        </r>
      </text>
    </comment>
    <comment ref="C95" authorId="4" shapeId="0">
      <text>
        <r>
          <rPr>
            <sz val="8"/>
            <color indexed="81"/>
            <rFont val="Tahoma"/>
            <family val="2"/>
          </rPr>
          <t xml:space="preserve">Einzelbedarf siehe Tab. Anhaltswerte Handakh Feld
</t>
        </r>
      </text>
    </comment>
    <comment ref="C96" authorId="4" shapeId="0">
      <text>
        <r>
          <rPr>
            <sz val="8"/>
            <color indexed="81"/>
            <rFont val="Tahoma"/>
            <family val="2"/>
          </rPr>
          <t xml:space="preserve">Einzelbedarf siehe Tab. Anhaltswerte Handakh Feld
</t>
        </r>
      </text>
    </comment>
    <comment ref="D152" authorId="5" shapeId="0">
      <text>
        <r>
          <rPr>
            <b/>
            <sz val="8"/>
            <color indexed="81"/>
            <rFont val="Tahoma"/>
            <family val="2"/>
          </rPr>
          <t>Grupp, Bianca (LEL):</t>
        </r>
        <r>
          <rPr>
            <sz val="8"/>
            <color indexed="81"/>
            <rFont val="Tahoma"/>
            <family val="2"/>
          </rPr>
          <t xml:space="preserve">
Festfahren hier bereits mit einberechnet?
+(Festfahren 66 €/ha *0,94)
275*0,28*1,18?</t>
        </r>
      </text>
    </comment>
    <comment ref="D161" authorId="5" shapeId="0">
      <text>
        <r>
          <rPr>
            <b/>
            <sz val="8"/>
            <color indexed="81"/>
            <rFont val="Tahoma"/>
            <family val="2"/>
          </rPr>
          <t>Grupp, Bianca (LEL):</t>
        </r>
        <r>
          <rPr>
            <sz val="8"/>
            <color indexed="81"/>
            <rFont val="Tahoma"/>
            <family val="2"/>
          </rPr>
          <t xml:space="preserve">
Wozu?</t>
        </r>
      </text>
    </comment>
    <comment ref="D162" authorId="5" shapeId="0">
      <text>
        <r>
          <rPr>
            <b/>
            <sz val="8"/>
            <color indexed="81"/>
            <rFont val="Tahoma"/>
            <family val="2"/>
          </rPr>
          <t>Grupp, Bianca (LEL):</t>
        </r>
        <r>
          <rPr>
            <sz val="8"/>
            <color indexed="81"/>
            <rFont val="Tahoma"/>
            <family val="2"/>
          </rPr>
          <t xml:space="preserve">
Wozu?</t>
        </r>
      </text>
    </comment>
  </commentList>
</comments>
</file>

<file path=xl/comments11.xml><?xml version="1.0" encoding="utf-8"?>
<comments xmlns="http://schemas.openxmlformats.org/spreadsheetml/2006/main">
  <authors>
    <author>Praktikant2</author>
  </authors>
  <commentList>
    <comment ref="I24" authorId="0" shapeId="0">
      <text>
        <r>
          <rPr>
            <b/>
            <sz val="8"/>
            <color indexed="81"/>
            <rFont val="Tahoma"/>
            <family val="2"/>
          </rPr>
          <t>Benz:</t>
        </r>
        <r>
          <rPr>
            <sz val="8"/>
            <color indexed="81"/>
            <rFont val="Tahoma"/>
            <family val="2"/>
          </rPr>
          <t xml:space="preserve">
Quelle: HN, Himmelhan und Mitschke</t>
        </r>
      </text>
    </comment>
  </commentList>
</comments>
</file>

<file path=xl/comments12.xml><?xml version="1.0" encoding="utf-8"?>
<comments xmlns="http://schemas.openxmlformats.org/spreadsheetml/2006/main">
  <authors>
    <author>Praktikant2</author>
    <author>Hinderer, Axel (LEL)</author>
  </authors>
  <commentList>
    <comment ref="I29" authorId="0" shapeId="0">
      <text>
        <r>
          <rPr>
            <b/>
            <sz val="8"/>
            <color indexed="81"/>
            <rFont val="Tahoma"/>
            <family val="2"/>
          </rPr>
          <t>Benz:</t>
        </r>
        <r>
          <rPr>
            <sz val="8"/>
            <color indexed="81"/>
            <rFont val="Tahoma"/>
            <family val="2"/>
          </rPr>
          <t xml:space="preserve">
Quelle: HN, Himmelhan und Mitschke</t>
        </r>
      </text>
    </comment>
    <comment ref="L53" authorId="1" shapeId="0">
      <text>
        <r>
          <rPr>
            <b/>
            <sz val="8"/>
            <color indexed="81"/>
            <rFont val="Tahoma"/>
            <family val="2"/>
          </rPr>
          <t>Hinderer, Axel (LEL):</t>
        </r>
        <r>
          <rPr>
            <sz val="8"/>
            <color indexed="81"/>
            <rFont val="Tahoma"/>
            <family val="2"/>
          </rPr>
          <t xml:space="preserve">
wie am 16.07.2019 besprochen: 16,50 auch für 2020; 2021 --&gt; 16,75</t>
        </r>
      </text>
    </comment>
    <comment ref="M53" authorId="1" shapeId="0">
      <text>
        <r>
          <rPr>
            <b/>
            <sz val="8"/>
            <color indexed="81"/>
            <rFont val="Tahoma"/>
            <family val="2"/>
          </rPr>
          <t>Hinderer, Axel (LEL):</t>
        </r>
        <r>
          <rPr>
            <sz val="8"/>
            <color indexed="81"/>
            <rFont val="Tahoma"/>
            <family val="2"/>
          </rPr>
          <t xml:space="preserve">
wie am 16.07.2019 besprochen: 16,50 auch für 2020; 2021 --&gt; 16,75</t>
        </r>
      </text>
    </comment>
  </commentList>
</comments>
</file>

<file path=xl/comments13.xml><?xml version="1.0" encoding="utf-8"?>
<comments xmlns="http://schemas.openxmlformats.org/spreadsheetml/2006/main">
  <authors>
    <author>KriegK</author>
    <author>Hüsgen, Kerstin (LTZ)</author>
  </authors>
  <commentList>
    <comment ref="X4" authorId="0" shapeId="0">
      <text>
        <r>
          <rPr>
            <b/>
            <sz val="8"/>
            <color indexed="81"/>
            <rFont val="Tahoma"/>
            <family val="2"/>
          </rPr>
          <t xml:space="preserve"> = Körnererbsen</t>
        </r>
        <r>
          <rPr>
            <sz val="8"/>
            <color indexed="81"/>
            <rFont val="Tahoma"/>
            <family val="2"/>
          </rPr>
          <t xml:space="preserve">
</t>
        </r>
      </text>
    </comment>
    <comment ref="C12" authorId="1" shapeId="0">
      <text>
        <r>
          <rPr>
            <b/>
            <sz val="8"/>
            <color indexed="81"/>
            <rFont val="Tahoma"/>
            <family val="2"/>
          </rPr>
          <t>Hüsgen, Kerstin (LTZ):</t>
        </r>
        <r>
          <rPr>
            <sz val="8"/>
            <color indexed="81"/>
            <rFont val="Tahoma"/>
            <family val="2"/>
          </rPr>
          <t xml:space="preserve">
Atlantis WG durch Atlantis Flex + Biopower ersetzt</t>
        </r>
      </text>
    </comment>
    <comment ref="C19" authorId="1" shapeId="0">
      <text>
        <r>
          <rPr>
            <b/>
            <sz val="8"/>
            <color indexed="81"/>
            <rFont val="Tahoma"/>
            <family val="2"/>
          </rPr>
          <t>Hüsgen, Kerstin (LTZ):</t>
        </r>
        <r>
          <rPr>
            <sz val="8"/>
            <color indexed="81"/>
            <rFont val="Tahoma"/>
            <family val="2"/>
          </rPr>
          <t xml:space="preserve">
+ Dash eingefügt</t>
        </r>
      </text>
    </comment>
    <comment ref="C29" authorId="1" shapeId="0">
      <text>
        <r>
          <rPr>
            <b/>
            <sz val="8"/>
            <color indexed="81"/>
            <rFont val="Tahoma"/>
            <family val="2"/>
          </rPr>
          <t>Hüsgen, Kerstin (LTZ):</t>
        </r>
        <r>
          <rPr>
            <sz val="8"/>
            <color indexed="81"/>
            <rFont val="Tahoma"/>
            <family val="2"/>
          </rPr>
          <t xml:space="preserve">
Camposan Extra durch Cerone 660 ersetzt
</t>
        </r>
      </text>
    </comment>
    <comment ref="C38" authorId="1" shapeId="0">
      <text>
        <r>
          <rPr>
            <b/>
            <sz val="8"/>
            <color indexed="81"/>
            <rFont val="Tahoma"/>
            <family val="2"/>
          </rPr>
          <t>Hüsgen, Kerstin (LTZ):</t>
        </r>
        <r>
          <rPr>
            <sz val="8"/>
            <color indexed="81"/>
            <rFont val="Tahoma"/>
            <family val="2"/>
          </rPr>
          <t xml:space="preserve">
Name geändert; früher: Aviator Xpro Duo</t>
        </r>
      </text>
    </comment>
    <comment ref="C39" authorId="1" shapeId="0">
      <text>
        <r>
          <rPr>
            <b/>
            <sz val="8"/>
            <color indexed="81"/>
            <rFont val="Tahoma"/>
            <family val="2"/>
          </rPr>
          <t>Hüsgen, Kerstin (LTZ):</t>
        </r>
        <r>
          <rPr>
            <sz val="8"/>
            <color indexed="81"/>
            <rFont val="Tahoma"/>
            <family val="2"/>
          </rPr>
          <t xml:space="preserve">
Name aktualisiert</t>
        </r>
      </text>
    </comment>
    <comment ref="C88" authorId="1" shapeId="0">
      <text>
        <r>
          <rPr>
            <b/>
            <sz val="8"/>
            <color indexed="81"/>
            <rFont val="Tahoma"/>
            <family val="2"/>
          </rPr>
          <t>Hüsgen, Kerstin (LTZ):</t>
        </r>
        <r>
          <rPr>
            <sz val="8"/>
            <color indexed="81"/>
            <rFont val="Tahoma"/>
            <family val="2"/>
          </rPr>
          <t xml:space="preserve">
Zugelassen, aber nicht im Handel solo erhältlich</t>
        </r>
      </text>
    </comment>
    <comment ref="X109" authorId="0" shapeId="0">
      <text>
        <r>
          <rPr>
            <b/>
            <sz val="8"/>
            <color indexed="81"/>
            <rFont val="Tahoma"/>
            <family val="2"/>
          </rPr>
          <t xml:space="preserve"> = Körnererbsen</t>
        </r>
        <r>
          <rPr>
            <sz val="8"/>
            <color indexed="81"/>
            <rFont val="Tahoma"/>
            <family val="2"/>
          </rPr>
          <t xml:space="preserve">
</t>
        </r>
      </text>
    </comment>
    <comment ref="X213" authorId="0" shapeId="0">
      <text>
        <r>
          <rPr>
            <b/>
            <sz val="8"/>
            <color indexed="81"/>
            <rFont val="Tahoma"/>
            <family val="2"/>
          </rPr>
          <t xml:space="preserve"> = Körnererbsen</t>
        </r>
        <r>
          <rPr>
            <sz val="8"/>
            <color indexed="81"/>
            <rFont val="Tahoma"/>
            <family val="2"/>
          </rPr>
          <t xml:space="preserve">
</t>
        </r>
      </text>
    </comment>
  </commentList>
</comments>
</file>

<file path=xl/comments14.xml><?xml version="1.0" encoding="utf-8"?>
<comments xmlns="http://schemas.openxmlformats.org/spreadsheetml/2006/main">
  <authors>
    <author>Grupp, Bianca (LEL)</author>
  </authors>
  <commentList>
    <comment ref="N14" authorId="0" shapeId="0">
      <text>
        <r>
          <rPr>
            <b/>
            <sz val="8"/>
            <color indexed="81"/>
            <rFont val="Tahoma"/>
            <family val="2"/>
          </rPr>
          <t>Grupp, Bianca (LEL):</t>
        </r>
        <r>
          <rPr>
            <sz val="8"/>
            <color indexed="81"/>
            <rFont val="Tahoma"/>
            <family val="2"/>
          </rPr>
          <t xml:space="preserve">
6,6 €/dt siehe Seite 265 Bio 2017</t>
        </r>
      </text>
    </comment>
  </commentList>
</comments>
</file>

<file path=xl/comments15.xml><?xml version="1.0" encoding="utf-8"?>
<comments xmlns="http://schemas.openxmlformats.org/spreadsheetml/2006/main">
  <authors>
    <author>Hinderer, Axel (LEL)</author>
    <author>KriegK</author>
    <author>Richard Müller</author>
    <author>Mayer, Veronika (LEL)</author>
  </authors>
  <commentList>
    <comment ref="F38" authorId="0" shapeId="0">
      <text>
        <r>
          <rPr>
            <b/>
            <sz val="8"/>
            <color indexed="81"/>
            <rFont val="Tahoma"/>
            <family val="2"/>
          </rPr>
          <t>Hinderer, Axel (LEL):</t>
        </r>
        <r>
          <rPr>
            <sz val="8"/>
            <color indexed="81"/>
            <rFont val="Tahoma"/>
            <family val="2"/>
          </rPr>
          <t xml:space="preserve">
Quelle Nachbaulizenz: Saatgut-Treuhandverwaltungs GmbH www.stv-bonn.de (Vertragssortenliste 2018/2019)</t>
        </r>
      </text>
    </comment>
    <comment ref="F64" authorId="1" shapeId="0">
      <text>
        <r>
          <rPr>
            <sz val="8"/>
            <color indexed="81"/>
            <rFont val="Tahoma"/>
            <family val="2"/>
          </rPr>
          <t xml:space="preserve">einschl. Rhizobien-Impfung
</t>
        </r>
      </text>
    </comment>
    <comment ref="E69" authorId="2" shapeId="0">
      <text>
        <r>
          <rPr>
            <b/>
            <sz val="8"/>
            <color indexed="81"/>
            <rFont val="Tahoma"/>
            <family val="2"/>
          </rPr>
          <t>75 % A-, 25 % B-Rüben und Schnitzelpreis</t>
        </r>
        <r>
          <rPr>
            <sz val="8"/>
            <color indexed="81"/>
            <rFont val="Tahoma"/>
            <family val="2"/>
          </rPr>
          <t xml:space="preserve">
</t>
        </r>
      </text>
    </comment>
    <comment ref="H85" authorId="3" shapeId="0">
      <text>
        <r>
          <rPr>
            <b/>
            <sz val="8"/>
            <color indexed="81"/>
            <rFont val="Tahoma"/>
            <family val="2"/>
          </rPr>
          <t>Mayer, Veronika (LEL):</t>
        </r>
        <r>
          <rPr>
            <sz val="8"/>
            <color indexed="81"/>
            <rFont val="Tahoma"/>
            <family val="2"/>
          </rPr>
          <t xml:space="preserve">
für WW/WG zw. 5-15 dt/ha</t>
        </r>
      </text>
    </comment>
    <comment ref="H86" authorId="3" shapeId="0">
      <text>
        <r>
          <rPr>
            <b/>
            <sz val="8"/>
            <color indexed="81"/>
            <rFont val="Tahoma"/>
            <family val="2"/>
          </rPr>
          <t>Mayer, Veronika (LEL):</t>
        </r>
        <r>
          <rPr>
            <sz val="8"/>
            <color indexed="81"/>
            <rFont val="Tahoma"/>
            <family val="2"/>
          </rPr>
          <t xml:space="preserve">
für WW/WG zw. 1-3 dt/ha</t>
        </r>
      </text>
    </comment>
  </commentList>
</comments>
</file>

<file path=xl/comments16.xml><?xml version="1.0" encoding="utf-8"?>
<comments xmlns="http://schemas.openxmlformats.org/spreadsheetml/2006/main">
  <authors>
    <author>Zolic, Ena (LEL-SG)</author>
  </authors>
  <commentList>
    <comment ref="D28" authorId="0" shapeId="0">
      <text>
        <r>
          <rPr>
            <b/>
            <sz val="9"/>
            <color indexed="81"/>
            <rFont val="Segoe UI"/>
            <charset val="1"/>
          </rPr>
          <t>Zolic, Ena (LEL-SG):</t>
        </r>
        <r>
          <rPr>
            <sz val="9"/>
            <color indexed="81"/>
            <rFont val="Segoe UI"/>
            <charset val="1"/>
          </rPr>
          <t xml:space="preserve">
Differenz Haupternteprodukt und N-Fixierung</t>
        </r>
      </text>
    </comment>
    <comment ref="H28" authorId="0" shapeId="0">
      <text>
        <r>
          <rPr>
            <b/>
            <sz val="9"/>
            <color indexed="81"/>
            <rFont val="Segoe UI"/>
            <charset val="1"/>
          </rPr>
          <t>Zolic, Ena (LEL-SG):</t>
        </r>
        <r>
          <rPr>
            <sz val="9"/>
            <color indexed="81"/>
            <rFont val="Segoe UI"/>
            <charset val="1"/>
          </rPr>
          <t xml:space="preserve">
Differenz Abfuhr Hauptprodukt und Abfuht Haupt- und Nebenernteprodukt</t>
        </r>
      </text>
    </comment>
    <comment ref="D30" authorId="0" shapeId="0">
      <text>
        <r>
          <rPr>
            <b/>
            <sz val="9"/>
            <color indexed="81"/>
            <rFont val="Segoe UI"/>
            <charset val="1"/>
          </rPr>
          <t>Zolic, Ena (LEL-SG):</t>
        </r>
        <r>
          <rPr>
            <sz val="9"/>
            <color indexed="81"/>
            <rFont val="Segoe UI"/>
            <charset val="1"/>
          </rPr>
          <t xml:space="preserve">
Differenz Haupternteprodukt und N-Fixierung</t>
        </r>
      </text>
    </comment>
    <comment ref="H30" authorId="0" shapeId="0">
      <text>
        <r>
          <rPr>
            <b/>
            <sz val="9"/>
            <color indexed="81"/>
            <rFont val="Segoe UI"/>
            <charset val="1"/>
          </rPr>
          <t>Zolic, Ena (LEL-SG):</t>
        </r>
        <r>
          <rPr>
            <sz val="9"/>
            <color indexed="81"/>
            <rFont val="Segoe UI"/>
            <charset val="1"/>
          </rPr>
          <t xml:space="preserve">
Differenz Abfuhr Hauptprodukt und Abfuht Haupt- und Nebenernteprodukt</t>
        </r>
      </text>
    </comment>
    <comment ref="D31" authorId="0" shapeId="0">
      <text>
        <r>
          <rPr>
            <b/>
            <sz val="9"/>
            <color indexed="81"/>
            <rFont val="Segoe UI"/>
            <charset val="1"/>
          </rPr>
          <t>Zolic, Ena (LEL-SG):</t>
        </r>
        <r>
          <rPr>
            <sz val="9"/>
            <color indexed="81"/>
            <rFont val="Segoe UI"/>
            <charset val="1"/>
          </rPr>
          <t xml:space="preserve">
Differenz Haupternteprodukt und N-Fixierung</t>
        </r>
      </text>
    </comment>
    <comment ref="H31" authorId="0" shapeId="0">
      <text>
        <r>
          <rPr>
            <b/>
            <sz val="9"/>
            <color indexed="81"/>
            <rFont val="Segoe UI"/>
            <charset val="1"/>
          </rPr>
          <t>Zolic, Ena (LEL-SG):</t>
        </r>
        <r>
          <rPr>
            <sz val="9"/>
            <color indexed="81"/>
            <rFont val="Segoe UI"/>
            <charset val="1"/>
          </rPr>
          <t xml:space="preserve">
Differenz Abfuhr Hauptprodukt und Abfuht Haupt- und Nebenernteprodukt</t>
        </r>
      </text>
    </comment>
    <comment ref="D32" authorId="0" shapeId="0">
      <text>
        <r>
          <rPr>
            <b/>
            <sz val="9"/>
            <color indexed="81"/>
            <rFont val="Segoe UI"/>
            <charset val="1"/>
          </rPr>
          <t>Zolic, Ena (LEL-SG):</t>
        </r>
        <r>
          <rPr>
            <sz val="9"/>
            <color indexed="81"/>
            <rFont val="Segoe UI"/>
            <charset val="1"/>
          </rPr>
          <t xml:space="preserve">
Differenz Haupternteprodukt und N-Fixierung</t>
        </r>
      </text>
    </comment>
    <comment ref="H32" authorId="0" shapeId="0">
      <text>
        <r>
          <rPr>
            <b/>
            <sz val="9"/>
            <color indexed="81"/>
            <rFont val="Segoe UI"/>
            <charset val="1"/>
          </rPr>
          <t>Zolic, Ena (LEL-SG):</t>
        </r>
        <r>
          <rPr>
            <sz val="9"/>
            <color indexed="81"/>
            <rFont val="Segoe UI"/>
            <charset val="1"/>
          </rPr>
          <t xml:space="preserve">
Differenz Abfuhr Hauptprodukt und Abfuht Haupt- und Nebenernteprodukt</t>
        </r>
      </text>
    </comment>
  </commentList>
</comments>
</file>

<file path=xl/comments17.xml><?xml version="1.0" encoding="utf-8"?>
<comments xmlns="http://schemas.openxmlformats.org/spreadsheetml/2006/main">
  <authors>
    <author>Richard Müller</author>
  </authors>
  <commentList>
    <comment ref="F75" authorId="0" shapeId="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18.xml><?xml version="1.0" encoding="utf-8"?>
<comments xmlns="http://schemas.openxmlformats.org/spreadsheetml/2006/main">
  <authors>
    <author>KriegK</author>
  </authors>
  <commentList>
    <comment ref="H25" authorId="0" shapeId="0">
      <text>
        <r>
          <rPr>
            <sz val="8"/>
            <color indexed="81"/>
            <rFont val="Tahoma"/>
            <family val="2"/>
          </rPr>
          <t xml:space="preserve">Einheit = kg
</t>
        </r>
      </text>
    </comment>
  </commentList>
</comments>
</file>

<file path=xl/comments19.xml><?xml version="1.0" encoding="utf-8"?>
<comments xmlns="http://schemas.openxmlformats.org/spreadsheetml/2006/main">
  <authors>
    <author>KriegK</author>
  </authors>
  <commentList>
    <comment ref="D26" authorId="0" shapeId="0">
      <text>
        <r>
          <rPr>
            <sz val="8"/>
            <color indexed="81"/>
            <rFont val="Tahoma"/>
            <family val="2"/>
          </rPr>
          <t xml:space="preserve">hybridsaatgut wi-raps     0,3 einheiten beim saatgut
</t>
        </r>
      </text>
    </comment>
  </commentList>
</comments>
</file>

<file path=xl/comments2.xml><?xml version="1.0" encoding="utf-8"?>
<comments xmlns="http://schemas.openxmlformats.org/spreadsheetml/2006/main">
  <authors>
    <author>Zolic, Ena (LEL-SG)</author>
  </authors>
  <commentList>
    <comment ref="N9" authorId="0" shapeId="0">
      <text>
        <r>
          <rPr>
            <b/>
            <sz val="9"/>
            <color indexed="81"/>
            <rFont val="Segoe UI"/>
            <family val="2"/>
          </rPr>
          <t>Zolic, Ena (LEL-SG):</t>
        </r>
        <r>
          <rPr>
            <sz val="9"/>
            <color indexed="81"/>
            <rFont val="Segoe UI"/>
            <family val="2"/>
          </rPr>
          <t xml:space="preserve">
ab 2023 optierende Landwirte 9%
</t>
        </r>
      </text>
    </comment>
  </commentList>
</comments>
</file>

<file path=xl/comments20.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1.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2.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3.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4.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ca 80- ständige AK - Beregnung (15 Akh)</t>
        </r>
      </text>
    </comment>
    <comment ref="K66" authorId="0" shapeId="0">
      <text>
        <r>
          <rPr>
            <b/>
            <sz val="8"/>
            <color indexed="81"/>
            <rFont val="Tahoma"/>
            <family val="2"/>
          </rPr>
          <t>Göttling, Marie Joy Dr. (LEL):</t>
        </r>
        <r>
          <rPr>
            <sz val="8"/>
            <color indexed="81"/>
            <rFont val="Tahoma"/>
            <family val="2"/>
          </rPr>
          <t xml:space="preserve">
ca 80- ständige AK - Beregnung (15 Akh)</t>
        </r>
      </text>
    </comment>
    <comment ref="N66" authorId="0" shapeId="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5.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140 - ständige Akh = angestrebter Wert</t>
        </r>
      </text>
    </comment>
    <comment ref="K66" authorId="0" shapeId="0">
      <text>
        <r>
          <rPr>
            <b/>
            <sz val="8"/>
            <color indexed="81"/>
            <rFont val="Tahoma"/>
            <family val="2"/>
          </rPr>
          <t>Göttling, Marie Joy Dr. (LEL):</t>
        </r>
        <r>
          <rPr>
            <sz val="8"/>
            <color indexed="81"/>
            <rFont val="Tahoma"/>
            <family val="2"/>
          </rPr>
          <t xml:space="preserve">
140 - ständige Akh = angestrebter Wert</t>
        </r>
      </text>
    </comment>
    <comment ref="N66" authorId="0" shapeId="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6.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50- ständige AK</t>
        </r>
      </text>
    </comment>
    <comment ref="K66" authorId="0" shapeId="0">
      <text>
        <r>
          <rPr>
            <b/>
            <sz val="8"/>
            <color indexed="81"/>
            <rFont val="Tahoma"/>
            <family val="2"/>
          </rPr>
          <t>Göttling, Marie Joy Dr. (LEL):</t>
        </r>
        <r>
          <rPr>
            <sz val="8"/>
            <color indexed="81"/>
            <rFont val="Tahoma"/>
            <family val="2"/>
          </rPr>
          <t xml:space="preserve">
50- ständige AK</t>
        </r>
      </text>
    </comment>
    <comment ref="N66" authorId="0" shapeId="0">
      <text>
        <r>
          <rPr>
            <b/>
            <sz val="8"/>
            <color indexed="81"/>
            <rFont val="Tahoma"/>
            <family val="2"/>
          </rPr>
          <t>Göttling, Marie Joy Dr. (LEL):</t>
        </r>
        <r>
          <rPr>
            <sz val="8"/>
            <color indexed="81"/>
            <rFont val="Tahoma"/>
            <family val="2"/>
          </rPr>
          <t xml:space="preserve">
50- ständige AK</t>
        </r>
      </text>
    </comment>
  </commentList>
</comments>
</file>

<file path=xl/comments27.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60- ständige AK</t>
        </r>
      </text>
    </comment>
    <comment ref="K66" authorId="0" shapeId="0">
      <text>
        <r>
          <rPr>
            <b/>
            <sz val="8"/>
            <color indexed="81"/>
            <rFont val="Tahoma"/>
            <family val="2"/>
          </rPr>
          <t>Göttling, Marie Joy Dr. (LEL):</t>
        </r>
        <r>
          <rPr>
            <sz val="8"/>
            <color indexed="81"/>
            <rFont val="Tahoma"/>
            <family val="2"/>
          </rPr>
          <t xml:space="preserve">
60- ständige AK</t>
        </r>
      </text>
    </comment>
    <comment ref="N66" authorId="0" shapeId="0">
      <text>
        <r>
          <rPr>
            <b/>
            <sz val="8"/>
            <color indexed="81"/>
            <rFont val="Tahoma"/>
            <family val="2"/>
          </rPr>
          <t>Göttling, Marie Joy Dr. (LEL):</t>
        </r>
        <r>
          <rPr>
            <sz val="8"/>
            <color indexed="81"/>
            <rFont val="Tahoma"/>
            <family val="2"/>
          </rPr>
          <t xml:space="preserve">
60- ständige AK</t>
        </r>
      </text>
    </comment>
  </commentList>
</comments>
</file>

<file path=xl/comments28.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29.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3.xml><?xml version="1.0" encoding="utf-8"?>
<comments xmlns="http://schemas.openxmlformats.org/spreadsheetml/2006/main">
  <authors>
    <author>Göttling, Marie Joy Dr. (LEL)</author>
  </authors>
  <commentList>
    <comment ref="I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1.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2.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3.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4.xml><?xml version="1.0" encoding="utf-8"?>
<comments xmlns="http://schemas.openxmlformats.org/spreadsheetml/2006/main">
  <authors>
    <author>Schabel, Katrin (LEL)</author>
    <author>KriegK</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text>
        <r>
          <rPr>
            <sz val="8"/>
            <color indexed="81"/>
            <rFont val="Tahoma"/>
            <family val="2"/>
          </rPr>
          <t xml:space="preserve">Differenz zwischen N-Abfuhr und N-Lieferung
</t>
        </r>
      </text>
    </comment>
    <comment ref="B32" authorId="0" shapeId="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7.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8.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9.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authors>
    <author>Göttling, Marie Joy Dr. (LEL)</author>
  </authors>
  <commentList>
    <comment ref="K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authors>
    <author>Göttling, Marie Joy Dr. (LEL)</author>
  </authors>
  <commentList>
    <comment ref="M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6.xml><?xml version="1.0" encoding="utf-8"?>
<comments xmlns="http://schemas.openxmlformats.org/spreadsheetml/2006/main">
  <authors>
    <author>Göttling, Marie Joy Dr. (LEL)</author>
  </authors>
  <commentList>
    <comment ref="O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7.xml><?xml version="1.0" encoding="utf-8"?>
<comments xmlns="http://schemas.openxmlformats.org/spreadsheetml/2006/main">
  <authors>
    <author>Zolic, Ena (LEL-SG)</author>
  </authors>
  <commentList>
    <comment ref="N9" authorId="0" shapeId="0">
      <text>
        <r>
          <rPr>
            <b/>
            <sz val="9"/>
            <color indexed="81"/>
            <rFont val="Segoe UI"/>
            <family val="2"/>
          </rPr>
          <t>Zolic, Ena (LEL-SG):</t>
        </r>
        <r>
          <rPr>
            <sz val="9"/>
            <color indexed="81"/>
            <rFont val="Segoe UI"/>
            <family val="2"/>
          </rPr>
          <t xml:space="preserve">
ab 2023 optierende Landwirte 9%</t>
        </r>
      </text>
    </comment>
  </commentList>
</comments>
</file>

<file path=xl/comments8.xml><?xml version="1.0" encoding="utf-8"?>
<comments xmlns="http://schemas.openxmlformats.org/spreadsheetml/2006/main">
  <authors>
    <author>Zolic, Ena (LEL-SG)</author>
  </authors>
  <commentList>
    <comment ref="M43" authorId="0" shapeId="0">
      <text>
        <r>
          <rPr>
            <b/>
            <sz val="9"/>
            <color indexed="81"/>
            <rFont val="Segoe UI"/>
            <family val="2"/>
          </rPr>
          <t>Zolic, Ena (LEL-SG):</t>
        </r>
        <r>
          <rPr>
            <sz val="9"/>
            <color indexed="81"/>
            <rFont val="Segoe UI"/>
            <family val="2"/>
          </rPr>
          <t xml:space="preserve">
ab 2024: 100 €/ha
</t>
        </r>
      </text>
    </comment>
    <comment ref="M44" authorId="0" shapeId="0">
      <text>
        <r>
          <rPr>
            <b/>
            <sz val="9"/>
            <color indexed="81"/>
            <rFont val="Segoe UI"/>
            <family val="2"/>
          </rPr>
          <t>Zolic, Ena (LEL-SG):</t>
        </r>
        <r>
          <rPr>
            <sz val="9"/>
            <color indexed="81"/>
            <rFont val="Segoe UI"/>
            <family val="2"/>
          </rPr>
          <t xml:space="preserve">
ab 2024: 210 €/ha</t>
        </r>
      </text>
    </comment>
    <comment ref="M45" authorId="0" shapeId="0">
      <text>
        <r>
          <rPr>
            <b/>
            <sz val="9"/>
            <color indexed="81"/>
            <rFont val="Segoe UI"/>
            <family val="2"/>
          </rPr>
          <t>Zolic, Ena (LEL-SG):</t>
        </r>
        <r>
          <rPr>
            <sz val="9"/>
            <color indexed="81"/>
            <rFont val="Segoe UI"/>
            <family val="2"/>
          </rPr>
          <t xml:space="preserve">
ab 2024: 110 €/ha</t>
        </r>
      </text>
    </comment>
  </commentList>
</comments>
</file>

<file path=xl/comments9.xml><?xml version="1.0" encoding="utf-8"?>
<comments xmlns="http://schemas.openxmlformats.org/spreadsheetml/2006/main">
  <authors>
    <author>Richard Müller</author>
    <author>Mayer, Veronika (LEL)</author>
    <author>SeggerV</author>
    <author>Krieg, Karl (LEL)</author>
  </authors>
  <commentList>
    <comment ref="I5" authorId="0" shapeId="0">
      <text>
        <r>
          <rPr>
            <sz val="10"/>
            <color indexed="81"/>
            <rFont val="Arial"/>
            <family val="2"/>
          </rPr>
          <t>Vergütung
2001: 0,1534 €/l
2002: 0,1841 €/l
seit 2003: 0,2148 €/l
Quelle: BW agrar 2/2002</t>
        </r>
      </text>
    </comment>
    <comment ref="D8" authorId="0" shapeId="0">
      <text>
        <r>
          <rPr>
            <sz val="10"/>
            <color indexed="81"/>
            <rFont val="Arial"/>
            <family val="2"/>
          </rPr>
          <t xml:space="preserve">1 kW = 1,36 PS
1 PS = 0,736 kW
</t>
        </r>
      </text>
    </comment>
    <comment ref="N22" authorId="1" shapeId="0">
      <text>
        <r>
          <rPr>
            <b/>
            <sz val="8"/>
            <color indexed="81"/>
            <rFont val="Tahoma"/>
            <family val="2"/>
          </rPr>
          <t>Mayer, Veronika (LEL):</t>
        </r>
        <r>
          <rPr>
            <sz val="8"/>
            <color indexed="81"/>
            <rFont val="Tahoma"/>
            <family val="2"/>
          </rPr>
          <t xml:space="preserve">
Arbeitszeit orientiert sich an gewähltem Arbeitsverfahren</t>
        </r>
      </text>
    </comment>
    <comment ref="D56" authorId="2" shapeId="0">
      <text>
        <r>
          <rPr>
            <b/>
            <sz val="8"/>
            <color indexed="81"/>
            <rFont val="Tahoma"/>
            <family val="2"/>
          </rPr>
          <t xml:space="preserve">Transport der Erntemenge von 6 t
</t>
        </r>
        <r>
          <rPr>
            <sz val="8"/>
            <color indexed="81"/>
            <rFont val="Tahoma"/>
            <family val="2"/>
          </rPr>
          <t xml:space="preserve">
</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58" authorId="3" shapeId="0">
      <text>
        <r>
          <rPr>
            <b/>
            <sz val="8"/>
            <color indexed="81"/>
            <rFont val="Tahoma"/>
            <family val="2"/>
          </rPr>
          <t>50t * 0,2€/t</t>
        </r>
        <r>
          <rPr>
            <sz val="8"/>
            <color indexed="81"/>
            <rFont val="Tahoma"/>
            <family val="2"/>
          </rPr>
          <t xml:space="preserve">
</t>
        </r>
      </text>
    </comment>
    <comment ref="D59" authorId="3" shapeId="0">
      <text>
        <r>
          <rPr>
            <sz val="8"/>
            <color indexed="81"/>
            <rFont val="Tahoma"/>
            <family val="2"/>
          </rPr>
          <t xml:space="preserve">da Schlepper mit Frontlader 0,20€/t für Transport
</t>
        </r>
      </text>
    </comment>
  </commentList>
</comments>
</file>

<file path=xl/sharedStrings.xml><?xml version="1.0" encoding="utf-8"?>
<sst xmlns="http://schemas.openxmlformats.org/spreadsheetml/2006/main" count="15901" uniqueCount="2204">
  <si>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</si>
  <si>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</si>
  <si>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</si>
  <si>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</si>
  <si>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</si>
  <si>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</si>
  <si>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</si>
  <si>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</si>
  <si>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</si>
  <si>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</si>
  <si>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</si>
  <si>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</si>
  <si>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</si>
  <si>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</si>
  <si>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</si>
  <si>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</si>
  <si>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</si>
  <si>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</si>
  <si>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</si>
  <si>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</si>
  <si>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</si>
  <si>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</si>
  <si>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</si>
  <si>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</si>
  <si>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</si>
  <si>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 xml:space="preserve">     Neues Verfahren</t>
  </si>
  <si>
    <t>Beg</t>
  </si>
  <si>
    <t xml:space="preserve">     Begrünung</t>
  </si>
  <si>
    <t>FAKT-Brache</t>
  </si>
  <si>
    <t>Brachebegrünung mit Blühmischung (FAKT)</t>
  </si>
  <si>
    <t xml:space="preserve">     Nichtnutzung (Mulchen)</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</si>
  <si>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</si>
  <si>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</si>
  <si>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</si>
  <si>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</si>
  <si>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</si>
  <si>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</si>
  <si>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</si>
  <si>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</si>
  <si>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</si>
  <si>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</si>
  <si>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</si>
  <si>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</si>
  <si>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</si>
  <si>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</si>
  <si>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</si>
  <si>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</si>
  <si>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W-itriticale-Wi-erbsengemenge</t>
  </si>
  <si>
    <t>Wintertricale/Wintererbsengemenge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</si>
  <si>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</si>
  <si>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</si>
  <si>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</si>
  <si>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</si>
  <si>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</si>
  <si>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</si>
  <si>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</si>
  <si>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</si>
  <si>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</si>
  <si>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</si>
  <si>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</si>
  <si>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</si>
  <si>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</si>
  <si>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</si>
  <si>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</si>
  <si>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</si>
  <si>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</si>
  <si>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</si>
  <si>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</si>
  <si>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</si>
  <si>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</si>
  <si>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</si>
  <si>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</si>
  <si>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</si>
  <si>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</si>
  <si>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</si>
  <si>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</si>
  <si>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</si>
  <si>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</si>
  <si>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</si>
  <si>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</si>
  <si>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</si>
  <si>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</si>
  <si>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</si>
  <si>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</si>
  <si>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</si>
  <si>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</si>
  <si>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</si>
  <si>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</si>
  <si>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</si>
  <si>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</si>
  <si>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</si>
  <si>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</si>
  <si>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</si>
  <si>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</si>
  <si>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</si>
  <si>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</si>
  <si>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</si>
  <si>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</si>
  <si>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</si>
  <si>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</si>
  <si>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</si>
  <si>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</si>
  <si>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</si>
  <si>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</si>
  <si>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</si>
  <si>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</si>
  <si>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</si>
  <si>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</si>
  <si>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</si>
  <si>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</si>
  <si>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</si>
  <si>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</si>
  <si>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</si>
  <si>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</si>
  <si>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</si>
  <si>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</si>
  <si>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Stand:</t>
  </si>
  <si>
    <t>LEL, Abteilung II</t>
  </si>
  <si>
    <r>
      <rPr>
        <b/>
        <sz val="10"/>
        <rFont val="Arial"/>
        <family val="2"/>
      </rPr>
      <t xml:space="preserve">3.8. Differenzierung nach Leistungsniveau </t>
    </r>
    <r>
      <rPr>
        <sz val="10"/>
        <rFont val="Arial"/>
        <family val="2"/>
      </rPr>
      <t xml:space="preserve">
Faustzahlen bergen die Gefahr in sich, die tatsächliche Situation nur sehr unvollkommen - oder sogar falsch - wider zu  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Beim Pachtansatz dient der durchschnittlich in Baden-Württemberg bezahlte Pachtpreis für Ackerland als Orientierung. Im Tabellenblatt "Festkosten" können den 3 Leistungsniveaus unterschiedliche Pachtpreise zugewiesen werden. </t>
    </r>
  </si>
  <si>
    <r>
      <rPr>
        <b/>
        <sz val="10"/>
        <rFont val="Arial"/>
        <family val="2"/>
      </rPr>
      <t xml:space="preserve">3.7 Kosten der Arbeitserledigung </t>
    </r>
    <r>
      <rPr>
        <sz val="10"/>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</si>
  <si>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0"/>
        <rFont val="Arial"/>
        <family val="2"/>
      </rPr>
      <t xml:space="preserve">3.6 Direktkosten und Direktkostenfreie Leistung  </t>
    </r>
    <r>
      <rPr>
        <sz val="10"/>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</si>
  <si>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0"/>
        <rFont val="Arial"/>
        <family val="2"/>
      </rPr>
      <t xml:space="preserve">3.5 Kostendeckender Erlös </t>
    </r>
    <r>
      <rPr>
        <sz val="10"/>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</si>
  <si>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0"/>
        <rFont val="Arial"/>
        <family val="2"/>
      </rPr>
      <t xml:space="preserve">3.4 Verwertung knapper Faktoren </t>
    </r>
    <r>
      <rPr>
        <sz val="10"/>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</si>
  <si>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0"/>
        <rFont val="Arial"/>
        <family val="2"/>
      </rPr>
      <t xml:space="preserve">3.3 Kalkulatorisches Betriebszweigergebnis  </t>
    </r>
    <r>
      <rPr>
        <sz val="10"/>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</si>
  <si>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0"/>
        <rFont val="Arial"/>
        <family val="2"/>
      </rPr>
      <t xml:space="preserve">3.2 Festkosten und Arbeit  </t>
    </r>
    <r>
      <rPr>
        <sz val="10"/>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Hier bestehen im Blatt "Festkosten" Änderungsmöglichkeiten. 
Ebenso kann für die ständigen AK der individuelle Lohnansatz AK im Blatt "Festkosten" verändert werden.
 </t>
    </r>
  </si>
  <si>
    <t>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Die Auswertung einer individuellen Fruchtfolge kann im Blatt "E3" durch die Auswahl der Kultur in den gelben Dropdownfeldern geschehen. Hier wird auch der DB der gesamten Fruchtfolge ausgewiesen und im Blatt „E4“ in einem Säulendiagramm dargestellt. Mit der fünfgliedrigen Fruchtfolge ist hier ein Beispiel gegeben.</t>
  </si>
  <si>
    <r>
      <rPr>
        <b/>
        <sz val="10"/>
        <rFont val="Arial"/>
        <family val="2"/>
      </rPr>
      <t xml:space="preserve">3.1 Deckungsbeitrag (DB)    </t>
    </r>
    <r>
      <rPr>
        <sz val="10"/>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</si>
  <si>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t xml:space="preserve">Werden zusätzliche Verfahren benötigt, können im Tabellenblatt "Leer_1" neue Verfahren angelegt werden.
In der obersten Zeile der Berechnungsgrundlagen der einzelnen Verfahren ist der Deckungsbeitrag (einschl. Prämien) als Zwischenergebnis für schnelle Simulationen am Bildschirm ablesbar. </t>
  </si>
  <si>
    <t xml:space="preserve">In unserer Vollkostenkalkulation werden die Zahlungsansprüche wie folgt berücksichtigt: Es wird ein gemeinsamer Pachtansatz für die Fläche und einen dazugehörigen Zahlungsanspruch unterstellt.  Das heißt Fläche und ZA gehen gemeinsam über, und zwar zum durchschnittlichen Pachtpreisniveau von für Ackerland  bzw. Grünland. Der Anwender kann im entsprechenden Arbeitsblatt  "SD7" gewünschte Anpassungen beim Pachtpreis selbst vornehmen. Es kann aber auch der Fall berücksichtigt werden, dass die Fläche ohne Zahlungsanspruch bewirtschaftet wird  bzw. ein ZA auf dem freien Markt für die gepachtete Fläche erworben wird (Wirtschaftlichkeit des Kaufs des ZA ist in einer separaten Kalkulation vorzunehmen). 
Sollen weitere Erntejahre (z. B. Ernte 2016) gerechnet werden, sind zunächst in den Tabellenblättern "SD2" und "SD1"  die Grunddaten für das zu rechnende Erntejahr zu ergänzen. Anschließend ist im Tabellenblatt "SD1" das gewünschte  Erntejahr in das entsprechende gelb hinterlegte Datenfeld (M 3) einzugeben.  
</t>
  </si>
  <si>
    <t>Fruchtfolge</t>
  </si>
  <si>
    <t>5-gliedrige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</si>
  <si>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</si>
  <si>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</si>
  <si>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</si>
  <si>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</si>
  <si>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</si>
  <si>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</si>
  <si>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</si>
  <si>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</si>
  <si>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</si>
  <si>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</si>
  <si>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</si>
  <si>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</si>
  <si>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</si>
  <si>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</si>
  <si>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</si>
  <si>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</si>
  <si>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leer</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</si>
  <si>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</si>
  <si>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</si>
  <si>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</si>
  <si>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</si>
  <si>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</si>
  <si>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</si>
  <si>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</si>
  <si>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</si>
  <si>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</si>
  <si>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</si>
  <si>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</si>
  <si>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</si>
  <si>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</si>
  <si>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</si>
  <si>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</si>
  <si>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</si>
  <si>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</si>
  <si>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</si>
  <si>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</si>
  <si>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</si>
  <si>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</si>
  <si>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</si>
  <si>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</si>
  <si>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</si>
  <si>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</si>
  <si>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</si>
  <si>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r>
      <t>(</t>
    </r>
    <r>
      <rPr>
        <sz val="8"/>
        <color indexed="10"/>
        <rFont val="Arial Narrow"/>
        <family val="2"/>
      </rPr>
      <t>ohne Prämien</t>
    </r>
    <r>
      <rPr>
        <sz val="8"/>
        <rFont val="Arial Narrow"/>
        <family val="2"/>
      </rPr>
      <t xml:space="preserve"> u. Zinsansatz)</t>
    </r>
  </si>
  <si>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</si>
  <si>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</si>
  <si>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</si>
  <si>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</si>
  <si>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</si>
  <si>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</si>
  <si>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</si>
  <si>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</si>
  <si>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</si>
  <si>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</si>
  <si>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</si>
  <si>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</si>
  <si>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</si>
  <si>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</si>
  <si>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</si>
  <si>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</si>
  <si>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</si>
  <si>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</si>
  <si>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</si>
  <si>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</si>
  <si>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</si>
  <si>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</si>
  <si>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</si>
  <si>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</si>
  <si>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</si>
  <si>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</si>
  <si>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</si>
  <si>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</si>
  <si>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</si>
  <si>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</si>
  <si>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</si>
  <si>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</si>
  <si>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</si>
  <si>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</si>
  <si>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</si>
  <si>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</si>
  <si>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</si>
  <si>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</si>
  <si>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</si>
  <si>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r>
      <t>Herbst</t>
    </r>
    <r>
      <rPr>
        <b/>
        <sz val="11"/>
        <color indexed="8"/>
        <rFont val="Arial"/>
        <family val="2"/>
      </rPr>
      <t>begrünung</t>
    </r>
    <r>
      <rPr>
        <sz val="11"/>
        <color indexed="8"/>
        <rFont val="Arial"/>
        <family val="2"/>
      </rPr>
      <t xml:space="preserve"> nur in Kombination mit Anbau einer Sommerung (Angabe des %-Anteils je ha AF)!  </t>
    </r>
  </si>
  <si>
    <r>
      <t xml:space="preserve"> Deckungsbeitrag
</t>
    </r>
    <r>
      <rPr>
        <sz val="8"/>
        <rFont val="Arial"/>
        <family val="2"/>
      </rPr>
      <t>(mit allen Prämien;mit Zinsansatz)</t>
    </r>
  </si>
  <si>
    <r>
      <t xml:space="preserve"> Deckungsbeitrag
</t>
    </r>
    <r>
      <rPr>
        <sz val="8"/>
        <rFont val="Arial"/>
        <family val="2"/>
      </rPr>
      <t>(ohne Prämien;ohne Zinsansatz)</t>
    </r>
  </si>
  <si>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</si>
  <si>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</si>
  <si>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</si>
  <si>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</si>
  <si>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</si>
  <si>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</si>
  <si>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</si>
  <si>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</si>
  <si>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</si>
  <si>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</si>
  <si>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</si>
  <si>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</si>
  <si>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</si>
  <si>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</si>
  <si>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</si>
  <si>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</si>
  <si>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 xml:space="preserve">Bei Fünfgliedriger Fruchtfolge nach FAKT A 1 muss im Registerblatt der jeweiligen Kultur die verfahrensspezifische Ausgleichsleist. markiert werden! </t>
  </si>
  <si>
    <t>Bsp. Fünfgliedrige Fruchtfolge</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</si>
  <si>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</si>
  <si>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</si>
  <si>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</si>
  <si>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</si>
  <si>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</si>
  <si>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</si>
  <si>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</si>
  <si>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</si>
  <si>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</si>
  <si>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</si>
  <si>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</si>
  <si>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</si>
  <si>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</si>
  <si>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</si>
  <si>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</si>
  <si>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</si>
  <si>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</si>
  <si>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</si>
  <si>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</si>
  <si>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</si>
  <si>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</si>
  <si>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</si>
  <si>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</si>
  <si>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</si>
  <si>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</si>
  <si>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</si>
  <si>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</si>
  <si>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</si>
  <si>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</si>
  <si>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</si>
  <si>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</si>
  <si>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</si>
  <si>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</si>
  <si>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</si>
  <si>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</si>
  <si>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</si>
  <si>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</si>
  <si>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</si>
  <si>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</si>
  <si>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</si>
  <si>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</si>
  <si>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</si>
  <si>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</si>
  <si>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</si>
  <si>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</si>
  <si>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</si>
  <si>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</si>
  <si>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</si>
  <si>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</si>
  <si>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</si>
  <si>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</si>
  <si>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Zahlungsanspruch Ø</t>
  </si>
  <si>
    <t>Nr.</t>
  </si>
  <si>
    <t xml:space="preserve">AZL Berggebiet - Ackerland </t>
  </si>
  <si>
    <t>F4    Reduzierte Bodenbearbeitung mit Strip Till</t>
  </si>
  <si>
    <t>F1    Winterbegrünung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</si>
  <si>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</si>
  <si>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</si>
  <si>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</si>
  <si>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</si>
  <si>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</si>
  <si>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Maßnahmen</t>
  </si>
  <si>
    <t xml:space="preserve"> Verfahrensspezifische Ausgleichsleistungen in €/ha</t>
  </si>
  <si>
    <t>((Schlepper €/h + Fahrerlohn €/h) * Akh/ha Pumptank 15m³ / 15 + (Pumptankwagen / m³ Fassungsvermögen (€/ha) * Akh/ha Pumptank 15m³) + Verteiler Schleppschlauch (€/m³)</t>
  </si>
  <si>
    <t>Nr. 018 220, 222a &amp; KTBL S. 172</t>
  </si>
  <si>
    <t>Gülleausbringung (im Lohn); €/m³</t>
  </si>
  <si>
    <t>Dr. Over, Kalk.daten Futterbau-&gt;Preise</t>
  </si>
  <si>
    <t>Maschinenring Laufen</t>
  </si>
  <si>
    <t>Nachsaatmaschine (¼ Betrag)</t>
  </si>
  <si>
    <t>SF-Feldhäcksler Gras (€/ha) + ((Akh/ha)*kW*(€/kW u. Std)) + (Silage festfahren mit Radlader €/ha * Akh/ha (FF))</t>
  </si>
  <si>
    <t>Zeile 116 +Festfahren 66€/h *0,90ha/h (KTBL S. 213) &amp; S.159</t>
  </si>
  <si>
    <t>GPS Häckseln/Festfahren im Lohn</t>
  </si>
  <si>
    <t>SF-Feldhäcksler Gras (€/ha) + ((Akh/ha)*kW*(€/kW u. Std))</t>
  </si>
  <si>
    <t>Nr. 347A (KTBL S. 161 (Festfahren 66 €/ha *0,90) &amp; S.213)</t>
  </si>
  <si>
    <t>GPS Häckseln im Lohn</t>
  </si>
  <si>
    <t>SF-Feldhäcksler Silomais (€/ha)+((Akh/ha)*kW*(€/kW u. Std))</t>
  </si>
  <si>
    <t>Nr.354A+KTBL S.213</t>
  </si>
  <si>
    <t>Silomais Häckseln (im Lohn)</t>
  </si>
  <si>
    <t>Einzelkornsägerät für Mais + (Schlepper (€/h) + (Fahrerlohn (€/h)) * Akh/ha</t>
  </si>
  <si>
    <t>Nr. 013 + Nr. 240 &amp; KTBL S. 182</t>
  </si>
  <si>
    <t>Silomais Aussaat (im Lohn)</t>
  </si>
  <si>
    <t>SF-Feldhäcksler (€/ha)+((Akh/ha)*kW*(€/kW u. Std)) + (Silage festfahren mit Radlader €/ha * Akh/ha (FF))</t>
  </si>
  <si>
    <t>Nr.345A (KTBL S. 159 (Festfahren 66 €/ha *0,94) &amp; S.213)</t>
  </si>
  <si>
    <t>Silomais Häckseln/Festfahren im Lohn</t>
  </si>
  <si>
    <t>Nr. 328 + Raumgewicht Stroh</t>
  </si>
  <si>
    <t>Stroh-Quaderballen pres. (Schneidw.)</t>
  </si>
  <si>
    <t>Nr.326 je Ballen 7,80 € inkl. Schlepper, Fahrer und Garn bei 3,95 dt je Ballen (KTBL 18/19 S. 194)</t>
  </si>
  <si>
    <t>Stroh-Rundballen pressen je dt</t>
  </si>
  <si>
    <t>Nr. 314+Nr. 015 bei 3m Arbeitsbreite und 1,19 Akh/ha (KTBL Öko 2010 S. 170)</t>
  </si>
  <si>
    <t>Mulchen (Lohnunternehmer)</t>
  </si>
  <si>
    <t>2017:1,64 X 70 to (siehe Südzuckerrübenpreisabrechnung 2016 vom 13.03.2017)</t>
  </si>
  <si>
    <t>25% der Frachtkosten zahlt der Rübenanbauer (Quelle: Rübenanbau ab 2017; Beilage zur ddz Ausgabe Mai 2016)</t>
  </si>
  <si>
    <t>ZR - Laden, Abfuhr</t>
  </si>
  <si>
    <t>LTZ, Stolzenburg</t>
  </si>
  <si>
    <t>Pressen (10,7 t FM; 250 kg/Ba.)</t>
  </si>
  <si>
    <t>Pressen (8,3 t FM; 250 kg/Ba.)</t>
  </si>
  <si>
    <t>Hemp-Flax(Strohnutzung)</t>
  </si>
  <si>
    <t>Nr.454+Nr.014+ 16 €*1,91 Akh/ha (KTBL S. 196)</t>
  </si>
  <si>
    <t>KA - Schlägeln (m. Schl.+Fahrer)</t>
  </si>
  <si>
    <t>Mitschke, Dez.2007(nochmals bestätigt Mitschke, Mai 2009)</t>
  </si>
  <si>
    <t>Nr.459+017* 3,5*16€+10 €*14€ bei insgesamt 17,5 Akh/ha ( KTBL 16/17 S.197) (Telefonat mit Mitschke vom 09.08.2019 --&gt; 600€ nicht verlassen; Hi)</t>
  </si>
  <si>
    <t>KA - Vollernter mit Bunker, 2-reihig</t>
  </si>
  <si>
    <t>Nr. 485</t>
  </si>
  <si>
    <t>ZR - Roden, 6-reihig</t>
  </si>
  <si>
    <t>Nr. 403a + 404</t>
  </si>
  <si>
    <t>Mähdrescher - Getr. m. Strohhäcksler</t>
  </si>
  <si>
    <t>Nr. 409</t>
  </si>
  <si>
    <t>Mähdrescher - Körnermais</t>
  </si>
  <si>
    <t>Nr. 403a + 404 + 405</t>
  </si>
  <si>
    <t>Mähdrescher - Erbsen/Ackerbohnen</t>
  </si>
  <si>
    <t>Nr. 403a + 404 + 408</t>
  </si>
  <si>
    <t xml:space="preserve">Mähdrescher - Raps </t>
  </si>
  <si>
    <t>Nr. 403a</t>
  </si>
  <si>
    <t>Mähdrescher - Getreide</t>
  </si>
  <si>
    <t>Sonstige Quellen</t>
  </si>
  <si>
    <t>Verrechnungssätze MR 2017/18</t>
  </si>
  <si>
    <t>o. MwSt.</t>
  </si>
  <si>
    <t>Gerät €/ha</t>
  </si>
  <si>
    <t>Art</t>
  </si>
  <si>
    <t>var. Kosten</t>
  </si>
  <si>
    <t xml:space="preserve"> Lohnmaschinen</t>
  </si>
  <si>
    <t>13,56+4; 1,86+8,33</t>
  </si>
  <si>
    <t>KTBL Kartoffelproduktion S. 118</t>
  </si>
  <si>
    <t>Beregnung (Mobile Beregnungsmaschinen mit Einzelregnern)</t>
  </si>
  <si>
    <t>10,79+17,32; 7,14+7,97 (nur ständige Akh, nicht ständige 11 Akh werden variabelen Lohnkosten verrechnet)</t>
  </si>
  <si>
    <t>KTBL Kartoffelproduktion S. 119</t>
  </si>
  <si>
    <t>Folie legen, entfernen, entsorgen</t>
  </si>
  <si>
    <t>Kartoff. wiegen packen 45 t/ha</t>
  </si>
  <si>
    <t>Kartoffeln sortieren 45 t/ha</t>
  </si>
  <si>
    <t>Transport von Kartoffeln vom Feld zum Hof, Dreiseitenkippanhänger 10,5 t Nutzmasse, 45 t/ha</t>
  </si>
  <si>
    <t>Dreiseitenkipper, zweiachsig 10,5 t Nutzmasse</t>
  </si>
  <si>
    <t>S. 76 ff.S. 198</t>
  </si>
  <si>
    <t>Kartoff. Transp. z. Hof 45 t/ha (10,5 t Kipper)</t>
  </si>
  <si>
    <t/>
  </si>
  <si>
    <t>S. 86+198</t>
  </si>
  <si>
    <t>Transp Kartoffeln/Gemüse z. Hof 25 t/ha (5,7 t NmKipper)</t>
  </si>
  <si>
    <t>1 Sortierkkraft auf dem Roder = 10 Akh; siehe oben; in B.-W. rund 3-4 Ak/Roder (Mitschke, HN)</t>
  </si>
  <si>
    <t>Kartoffelernte mit Bunkerroder, angehängt, 6 t Nutzmasse; 1 + 3 AK, 2 r, 45 t/ha</t>
  </si>
  <si>
    <t xml:space="preserve">Kartoffelbunkerroder, angehängt, 2 r, 6 t </t>
  </si>
  <si>
    <t>S. 120+197</t>
  </si>
  <si>
    <t>Kartoffelbunkerroder, 2 r, 6 t Nutzmasse, 45 t/ha</t>
  </si>
  <si>
    <t>KTBL = 19,87 Akh/ha; 2 AK; Maschine = 9,95 Akh; Ansatz 10 Akh lt. H. Mitschke; (10-14 Akh/ha = "Realität in B.-W.)</t>
  </si>
  <si>
    <t>Kartoffelernte mit Bunkerroder, angehängt, 2 t Nutzmasse; 1 + 2 AK, 1 r, 45 t/ha</t>
  </si>
  <si>
    <t xml:space="preserve">Kartoffelbunkerroder, angehängt, 1 r, 4 t </t>
  </si>
  <si>
    <t>Kartoffelbunkerroder, 1 r, 2 t Nutzmasse, 45 t/ha</t>
  </si>
  <si>
    <t>Bunkerroder 3 t Nutzm. 1 r ohne Ak (bei Handarbeit!)</t>
  </si>
  <si>
    <t>S. 120+196</t>
  </si>
  <si>
    <t>Krautschläger 4 r</t>
  </si>
  <si>
    <t>HN, Himmelhan; von 100% auf 70% Motorbelastung verändert; Dr. Segger, 2005</t>
  </si>
  <si>
    <t>Häufeln von Kartoffeln Nachauflauf 4 r</t>
  </si>
  <si>
    <t>Kartoffelhäufler mit Dammformer 4 r</t>
  </si>
  <si>
    <t>S. 107+185</t>
  </si>
  <si>
    <t>Häufeln 4 r, Nachauflauf (Kartoffel)</t>
  </si>
  <si>
    <t>KTBL Gemüse (2017): S. 82+170; KTBL (2017) Leistungs-Kostenrechnung Pflanzenbau</t>
  </si>
  <si>
    <t>Hacken Nachauflauf 4 r</t>
  </si>
  <si>
    <t>Häufeln von Kartoffeln Vorauflauf 4 r</t>
  </si>
  <si>
    <t>Häufeln 4 r, Vorauflauf (Kartoffel)</t>
  </si>
  <si>
    <t>Kartoffeln legen ab Feld, lose Ware; angebaute Legemaschine mit Kippbunker; Füllung vom Anhänger direkt in Bunker, 4 r</t>
  </si>
  <si>
    <t>Kartoffellegemaschine mit Kippbunker 4 r, 1,9 t , angebaut</t>
  </si>
  <si>
    <t>S. 105+186</t>
  </si>
  <si>
    <t>Legemaschine mit Kippbunker 4 r (Kartoffel)</t>
  </si>
  <si>
    <t>+ Vorkeimfaktor; HN, Himmelhan, von 100% auf 70% Motorbelastung verändert; Dr. Segger, 2005</t>
  </si>
  <si>
    <t>Kartoffeln legen ab Feld, lose Ware; angebaute Legemaschine mit starrem Bunker; Füllung vom Anhänger direkt in Bunker, 4 r</t>
  </si>
  <si>
    <t>Kartoffellegemaschine mit starrem Bunker, angebaut 4 r, 1,2 t</t>
  </si>
  <si>
    <t>S. 105+182, Änderung AKh/ha nach Rücksprache mit LRA HN (Himmelhan) und BD HN (Mitschke) am 09.04.2010</t>
  </si>
  <si>
    <t>Legemaschine mit starrem Bunker 4 r (Kartoffel)</t>
  </si>
  <si>
    <t>Transport von Pflanzkartoffeln vom Hof zum Feld, lose Kartoffeln; Gabelstapler 2 t; Dreiseitenkippanhänger 5,7 t Nutzmasse</t>
  </si>
  <si>
    <t>Dreiseitenkipper, zweiachsig 5,7 t Nutzmasse &amp; Gabelstapler, Dieselmotor, 3 m, 2 t (0,07 h Änderung Mitschke) Schaufel 1,5m3, 2t, lose Kartoffeln</t>
  </si>
  <si>
    <t>S. 77+79+84+183</t>
  </si>
  <si>
    <t>Pflanzkartoffeltransport,-laden 2,5 t/ha</t>
  </si>
  <si>
    <t>S.199 KTBL Kartoffelproduktion</t>
  </si>
  <si>
    <t>Kartoffeln vorkeimen</t>
  </si>
  <si>
    <t>eigene Annahmen?</t>
  </si>
  <si>
    <t>Grassilo festwalzen, 12 t FM</t>
  </si>
  <si>
    <t>prüfen</t>
  </si>
  <si>
    <t>?</t>
  </si>
  <si>
    <t>LW Silage, o. Dosierwalzen; 12 t FM (28 m³, 4 t Nutzl.)</t>
  </si>
  <si>
    <t>S. 112+202</t>
  </si>
  <si>
    <t>Kreiselschwader 7,5m Seitenablage</t>
  </si>
  <si>
    <t>Kreiselwender 5,5m</t>
  </si>
  <si>
    <t>S. 110+201</t>
  </si>
  <si>
    <t>Rotationsmähwerk (Heck) m. Aufb. 2,8 m</t>
  </si>
  <si>
    <t>S. 111+201</t>
  </si>
  <si>
    <t>Mähkomb. Heck/Front (4,5m insges., ohne Aufb.)</t>
  </si>
  <si>
    <t>S. 95+186</t>
  </si>
  <si>
    <t>Wiesenegge 6 m</t>
  </si>
  <si>
    <t>Wiesenwalze 3 m</t>
  </si>
  <si>
    <t>Transport von Strohrundballen vom Feld zum Hof, Ballendurchmesser 1,5 m; Dreiseitenkippanhänger-Doppelzug 4 t/ha</t>
  </si>
  <si>
    <t>Dreiseitenkipper, zweiachsig 5,7 t Nutzmasse</t>
  </si>
  <si>
    <t>S. 84+194</t>
  </si>
  <si>
    <t>Stroh-Rundballen 4 t/ha laden, abfahren, stapeln, 3-S-Kipp.</t>
  </si>
  <si>
    <t>S. 84+213</t>
  </si>
  <si>
    <t>Silagetransport Mais/GPS, 3S.Kip. (10t Nutzl.), 50 t FM</t>
  </si>
  <si>
    <t>Transport von Mähdruschfrüchten mit Dreiseitenkippanhänger vom Feld zum Hof 13,5 t Nutzmasse, 6 t/ha</t>
  </si>
  <si>
    <t>Dreiseitenkipper, zweiachsig 13,5 t Nutzmasse (var. Maschinenkosten 0,2€/t)</t>
  </si>
  <si>
    <t>S. 85+195</t>
  </si>
  <si>
    <t>Transp. u. Abkip. Getr. 6 t/ha (13,5 t Ki.)</t>
  </si>
  <si>
    <t>Transport von Mähdruschfrüchten mit Dreiseitenkippanhänger vom Feld zum Hof 5,7 t Nutzmasse, 6 t/ha</t>
  </si>
  <si>
    <t>Dreiseitenkipper, zweiachsig 5,7 t Nutzmasse (var. Maschinenkosten 0,2€/t)</t>
  </si>
  <si>
    <t>S. 84+195</t>
  </si>
  <si>
    <t>Transp. u. Abkip. Getr. 6 t/ha (5,7 t Ki.)</t>
  </si>
  <si>
    <t>KTBL Gemüse (2017): S. 90+ 192</t>
  </si>
  <si>
    <t>Bunkerroder Möhren 0,5 m Arbeitsbreite</t>
  </si>
  <si>
    <t>Mais/GPS Silage festwalzen, 50 t FM</t>
  </si>
  <si>
    <t>Hacken von Mais, Hackgerät 4 r</t>
  </si>
  <si>
    <t>S. 106+184</t>
  </si>
  <si>
    <t>Reihenhackgerät 3 m</t>
  </si>
  <si>
    <t xml:space="preserve">Striegeln von Getreide 9 m </t>
  </si>
  <si>
    <t>Hackstriegel 9 m, angebaut</t>
  </si>
  <si>
    <t>Hackstriegel 9 m</t>
  </si>
  <si>
    <t>S. 108+187</t>
  </si>
  <si>
    <t>Präparatespritze 6 m</t>
  </si>
  <si>
    <t>Mulchen 3 m</t>
  </si>
  <si>
    <t>Schlegelmulcher (Front- oder Heckanbau) 3m</t>
  </si>
  <si>
    <t>(KTBL Öko 2017) S. 115+211</t>
  </si>
  <si>
    <t>Mulchgerät 3 m</t>
  </si>
  <si>
    <t>Pflanzenschutzspritze, Behälter mit Pumpe, angehängt 3000 l &amp; Spritzgestänge 24 m</t>
  </si>
  <si>
    <t>S.108+189</t>
  </si>
  <si>
    <t>Pflanzenschutzspritze 24 m, 300 l/ha</t>
  </si>
  <si>
    <t>Pflanzenschutzmittelausbringung ab Hof 12 m, 300 l/ha</t>
  </si>
  <si>
    <t>Pflanzenschutzspritze, Behälter mit Pumpe, angebaut 600 l &amp; Spritzgestänge 12 m</t>
  </si>
  <si>
    <t>Pflanzenschutzspritze 12 m, 300 l/ha</t>
  </si>
  <si>
    <t>S. 79+98+180</t>
  </si>
  <si>
    <t>Kalkstreuer 6 m³,15 m, 2l/ha (ab Feld, mit Beladen)</t>
  </si>
  <si>
    <t>S. 99+102+172</t>
  </si>
  <si>
    <t>Gülle ausbringen 20 m³/ha, (15 m³ Fass, Schleppschl. 7,5 m</t>
  </si>
  <si>
    <t>S. 80+99+170</t>
  </si>
  <si>
    <t>Mist/Kompost streuen 20 t/ha  (6 m, 10 t) inkl. Beladen</t>
  </si>
  <si>
    <t>Mineraldüngerausbringung ab Hof mit Anbauschleuderstreuer 12 m, 400 kg/ha</t>
  </si>
  <si>
    <t xml:space="preserve">Schleuderstreuer angebaut 600 l </t>
  </si>
  <si>
    <t>S.98+176</t>
  </si>
  <si>
    <t xml:space="preserve">Düngerstreuer ab Hof 24 m, 400 kg/ha </t>
  </si>
  <si>
    <t xml:space="preserve">Düngerstreuer ab Hof 12 m, 400 kg/ha </t>
  </si>
  <si>
    <t>Direktsämaschine 3 m</t>
  </si>
  <si>
    <t>Direktsämaschine 3 m, 1000 l</t>
  </si>
  <si>
    <t>S. 103+181</t>
  </si>
  <si>
    <t>Einzelkornsaat ab Feld, Mais 6 m</t>
  </si>
  <si>
    <t>Einzelkornsämaschine Mais, 8-reihig, 6 m</t>
  </si>
  <si>
    <t>S. 105+182</t>
  </si>
  <si>
    <t>Einzelkornsaat 8 r (Mais)</t>
  </si>
  <si>
    <t>Einzelkornsaat ab Feld, Zuckerrüben 5 m</t>
  </si>
  <si>
    <t>Einzelkornsämaschine Zuckerrüben, 6-reihig, 3 m</t>
  </si>
  <si>
    <t>S. 98+182</t>
  </si>
  <si>
    <t>Einzelkornsaat 6 r (Rüben)</t>
  </si>
  <si>
    <t>Einzelkornsaat ab Feld, Mais 4 m</t>
  </si>
  <si>
    <t>Einzelkornsämaschine Mais, 4-reihig, 3 m</t>
  </si>
  <si>
    <t>S. 104+184</t>
  </si>
  <si>
    <t>Einzelkornsaat 4 r (Mais, Sonnenblume)</t>
  </si>
  <si>
    <t>Sämaschine 3 m</t>
  </si>
  <si>
    <t>Sämaschine, mechan., angebaut 3 m</t>
  </si>
  <si>
    <t>Sämaschine 3m</t>
  </si>
  <si>
    <t>Grubber-Kreiselegge-Sämaschinen-Kombination, mechan., 3 m</t>
  </si>
  <si>
    <t>Schwergrubber angebaut 3 m &amp; Kreiselegge 3 m, angebaut &amp; Sämaschine, mechan., angebaut 3 m</t>
  </si>
  <si>
    <t>S. 90+95+103+181</t>
  </si>
  <si>
    <t>Grubber-Kreiselegge-Säkomb. 3 m</t>
  </si>
  <si>
    <t>Kreiseleggen-Sämaschinen-Kombination 3 m</t>
  </si>
  <si>
    <t>Kreiselegge 3 m, angebaut &amp; Sämaschine, mechan., angebaut 3 m</t>
  </si>
  <si>
    <t>S. 95+103+181</t>
  </si>
  <si>
    <t>Kreiselegge-Säkomb. 3 m</t>
  </si>
  <si>
    <t>Bodenfräse 3m, angebaut</t>
  </si>
  <si>
    <t>S.96 + 169</t>
  </si>
  <si>
    <t>Bodenfräse 3m</t>
  </si>
  <si>
    <t>Cambridgewalze 4,5 m</t>
  </si>
  <si>
    <t>Cambridgewalze 2,2 t, 4,5 m, aufgesattelt</t>
  </si>
  <si>
    <t>S. 95+172</t>
  </si>
  <si>
    <t>Kreiselegge 3 m</t>
  </si>
  <si>
    <t>Kreiselegge 3 m, angebaut</t>
  </si>
  <si>
    <t>S. 95+169</t>
  </si>
  <si>
    <t>S. 92+168 (eine Überfahrt)</t>
  </si>
  <si>
    <t>Saatbettkombination 4 m</t>
  </si>
  <si>
    <t xml:space="preserve">Scheibenegge, tief, schräg zur Hauptarbeitsrichtung, 5 m </t>
  </si>
  <si>
    <t>Scheibenegge 5 m, aufgesattelt</t>
  </si>
  <si>
    <t>S. 93+167</t>
  </si>
  <si>
    <t>Scheibenegge 5 m</t>
  </si>
  <si>
    <t xml:space="preserve">Stoppelgrubber, tief, schräg zur Hauptarbeitsrichtung, 3 m </t>
  </si>
  <si>
    <t>Schwergrubber angebaut 3 m</t>
  </si>
  <si>
    <t>S. 90+168</t>
  </si>
  <si>
    <t>Schwergrubber 3 m</t>
  </si>
  <si>
    <t>Drehpflug, aufgesattelt, 6 Schare (2,10 m), mit Packer</t>
  </si>
  <si>
    <t>Drehpflug, aufgesattelt, 6 Schare (2,10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</si>
  <si>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</si>
  <si>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</si>
  <si>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</si>
  <si>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</si>
  <si>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</si>
  <si>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</si>
  <si>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</si>
  <si>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</si>
  <si>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</si>
  <si>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</si>
  <si>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</si>
  <si>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</si>
  <si>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 73</t>
  </si>
  <si>
    <t>Schlepper 49-59 kW, Allrad</t>
  </si>
  <si>
    <t>Schlepper 3 mit Frontlader 1750 daN</t>
  </si>
  <si>
    <t>S. 73+78</t>
  </si>
  <si>
    <t>Schlepper 4 mit Frontlader 2400 daN</t>
  </si>
  <si>
    <t>Schlepper 75-92 kW, Allrad LS</t>
  </si>
  <si>
    <t>Schlepper 75-92 kW, Allrad</t>
  </si>
  <si>
    <t>Schlepper 93-111 kW, Allrad LS</t>
  </si>
  <si>
    <t>Schlepper 93-111 kW, Allrad</t>
  </si>
  <si>
    <t>Schlepper 112-129 kW, Allrad CVT</t>
  </si>
  <si>
    <t>Schlepper 112-129 kW, Allrad</t>
  </si>
  <si>
    <r>
      <t xml:space="preserve">Schlepper 185-215 kW, Allrad </t>
    </r>
    <r>
      <rPr>
        <sz val="8"/>
        <color rgb="FFFF0000"/>
        <rFont val="Arial"/>
        <family val="2"/>
      </rPr>
      <t>CVT</t>
    </r>
  </si>
  <si>
    <t>Schlepper 185-215 kW, Allrad</t>
  </si>
  <si>
    <r>
      <t xml:space="preserve">Arbeitsverfahren </t>
    </r>
    <r>
      <rPr>
        <sz val="8"/>
        <rFont val="Arial"/>
        <family val="2"/>
      </rPr>
      <t>(Werte für Arbeitszeit)</t>
    </r>
  </si>
  <si>
    <t>Maschinenart</t>
  </si>
  <si>
    <t>KTBL (2018/19)</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</si>
  <si>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</si>
  <si>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</si>
  <si>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</si>
  <si>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</si>
  <si>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</si>
  <si>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</si>
  <si>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</si>
  <si>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</si>
  <si>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</si>
  <si>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</si>
  <si>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</si>
  <si>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</si>
  <si>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</si>
  <si>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</si>
  <si>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</si>
  <si>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Quelle: KTBL Betriebsplanung Landwirtschaft 2018/19</t>
  </si>
  <si>
    <t>Variable Kosten (ohne MwSt.)</t>
  </si>
  <si>
    <t xml:space="preserve"> €/l</t>
  </si>
  <si>
    <t>Preis Diesel aktuell  in €/l ohne Mwst</t>
  </si>
  <si>
    <t>Quelle Dieselpreis: www.shell.de (Mittelwert 2018 / 2019)</t>
  </si>
  <si>
    <t>Agrardiesel aktuell</t>
  </si>
  <si>
    <t>Gasölverbilligung</t>
  </si>
  <si>
    <t>MwSt.</t>
  </si>
  <si>
    <t>Preis Diesel aktuell  in €/l inkl. Mwst</t>
  </si>
  <si>
    <t>Variable Kosten und Arbeitszeitbedarf; Lohnmaschinen</t>
  </si>
  <si>
    <r>
      <rPr>
        <vertAlign val="superscript"/>
        <sz val="9"/>
        <rFont val="Arial"/>
        <family val="2"/>
      </rPr>
      <t xml:space="preserve">2) </t>
    </r>
    <r>
      <rPr>
        <sz val="9"/>
        <rFont val="Arial"/>
        <family val="2"/>
      </rPr>
      <t>Quelle: LEL intern, Betriebsverhältnisse und Buchführungsergebnisse, WJ 2015/16,  Getreidebaubetriebe &gt; 100 ha.</t>
    </r>
  </si>
  <si>
    <t>für ständige AK</t>
  </si>
  <si>
    <t xml:space="preserve">€/AKh </t>
  </si>
  <si>
    <t xml:space="preserve">Lohnansatz </t>
  </si>
  <si>
    <t>Rotes Heft 2017/18 S. 10-11 (Feste Spezial- und Gemeinkosten - Pachtzinsen/ ha LF - Unterhalt Gebäude - AfA Gebäude - AfA technische Anlagen und Maschinen = Gemeinkosten)</t>
  </si>
  <si>
    <r>
      <t xml:space="preserve">Gemeinkosten </t>
    </r>
    <r>
      <rPr>
        <vertAlign val="superscript"/>
        <sz val="11"/>
        <rFont val="Arial"/>
        <family val="2"/>
      </rPr>
      <t>2)</t>
    </r>
  </si>
  <si>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</si>
  <si>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</si>
  <si>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</si>
  <si>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</si>
  <si>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</si>
  <si>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</si>
  <si>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</si>
  <si>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</si>
  <si>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</si>
  <si>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</si>
  <si>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</si>
  <si>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</si>
  <si>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</si>
  <si>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rPr>
        <vertAlign val="superscript"/>
        <sz val="9"/>
        <rFont val="Arial"/>
        <family val="2"/>
      </rPr>
      <t>1)</t>
    </r>
    <r>
      <rPr>
        <sz val="9"/>
        <rFont val="Arial"/>
        <family val="2"/>
      </rPr>
      <t xml:space="preserve"> Anschaffungswert abzgl. Anteil Lohnarbeiten (ca. 10-20%) und Anteil Restwert (ca. 15%).</t>
    </r>
  </si>
  <si>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</si>
  <si>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</si>
  <si>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</si>
  <si>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</si>
  <si>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</si>
  <si>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</si>
  <si>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</si>
  <si>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</si>
  <si>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</si>
  <si>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</si>
  <si>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</si>
  <si>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</si>
  <si>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</si>
  <si>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</si>
  <si>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</si>
  <si>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</si>
  <si>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</si>
  <si>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r>
      <t xml:space="preserve">KTBL (2018/19): </t>
    </r>
    <r>
      <rPr>
        <sz val="8"/>
        <rFont val="Arial"/>
        <family val="2"/>
      </rPr>
      <t>Pflug (14.000€) S. 88; Grubber (10.000€) S.92; Feingrubber (5.300€) S.92; Saatbeetkombi (13.500€) S.92; Kreiselegge (13.300€) S.95; Sämaschine (11.500€) S. 103; Walze (9.700€) S. 95; Bodenfräse (8.700€) S. 96; bei 15% Restwert und 10% Lohnarbeiten</t>
    </r>
  </si>
  <si>
    <t>Bodenbearbeitung / Bestellung</t>
  </si>
  <si>
    <r>
      <t xml:space="preserve">KTBL (2018/19): </t>
    </r>
    <r>
      <rPr>
        <sz val="8"/>
        <rFont val="Arial"/>
        <family val="2"/>
      </rPr>
      <t>Schlepper 120 kW (120.000€), 83 kW (75.000€), 54 kW (47.000€) S.72 bei 15% Restwert + 10% Lohnarbeiten</t>
    </r>
  </si>
  <si>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</si>
  <si>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</si>
  <si>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</si>
  <si>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</si>
  <si>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</si>
  <si>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</si>
  <si>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</si>
  <si>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und Gebäude:</t>
  </si>
  <si>
    <t>Gesamt</t>
  </si>
  <si>
    <t>Fläche</t>
  </si>
  <si>
    <t>Jahres-</t>
  </si>
  <si>
    <r>
      <t xml:space="preserve">Anschaffungswert </t>
    </r>
    <r>
      <rPr>
        <b/>
        <vertAlign val="superscript"/>
        <sz val="10"/>
        <rFont val="Arial"/>
        <family val="2"/>
      </rPr>
      <t>1)</t>
    </r>
  </si>
  <si>
    <t>Nutzungs-</t>
  </si>
  <si>
    <t xml:space="preserve">Mehrwertsteuersatz Maschinen </t>
  </si>
  <si>
    <t>Modellbetrieb mit 150 ha AF</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</si>
  <si>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</si>
  <si>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</si>
  <si>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</si>
  <si>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</si>
  <si>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</si>
  <si>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</si>
  <si>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</si>
  <si>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</si>
  <si>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</si>
  <si>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</si>
  <si>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</si>
  <si>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</si>
  <si>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</si>
  <si>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</si>
  <si>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</si>
  <si>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</si>
  <si>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</si>
  <si>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</si>
  <si>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</si>
  <si>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</si>
  <si>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</si>
  <si>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</si>
  <si>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</si>
  <si>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</si>
  <si>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</si>
  <si>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</si>
  <si>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</si>
  <si>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</si>
  <si>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</si>
  <si>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</si>
  <si>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</si>
  <si>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</si>
  <si>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</si>
  <si>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</si>
  <si>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</si>
  <si>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</si>
  <si>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</si>
  <si>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</si>
  <si>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</si>
  <si>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</si>
  <si>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</si>
  <si>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</si>
  <si>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</si>
  <si>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</si>
  <si>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</si>
  <si>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</si>
  <si>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</si>
  <si>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</si>
  <si>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</si>
  <si>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</si>
  <si>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</si>
  <si>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</si>
  <si>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</si>
  <si>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</si>
  <si>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</si>
  <si>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</si>
  <si>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</si>
  <si>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</si>
  <si>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</si>
  <si>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</si>
  <si>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</si>
  <si>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</si>
  <si>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</si>
  <si>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</si>
  <si>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</si>
  <si>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</si>
  <si>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</si>
  <si>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</si>
  <si>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</si>
  <si>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</si>
  <si>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</si>
  <si>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</si>
  <si>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</si>
  <si>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</si>
  <si>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</si>
  <si>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</si>
  <si>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</si>
  <si>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</si>
  <si>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</si>
  <si>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</si>
  <si>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</si>
  <si>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</si>
  <si>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</si>
  <si>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</si>
  <si>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</si>
  <si>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</si>
  <si>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</si>
  <si>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</si>
  <si>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</si>
  <si>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</si>
  <si>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</si>
  <si>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</si>
  <si>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</si>
  <si>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</si>
  <si>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Preise: Stand 2016; Diese Liste ist beispielhaft und erhebt keinen Anspruch auf Vollständigkeit.</t>
  </si>
  <si>
    <t>Atlantis WG</t>
  </si>
  <si>
    <t>Artus</t>
  </si>
  <si>
    <t>Krautabtötung</t>
  </si>
  <si>
    <t>X</t>
  </si>
  <si>
    <t>Artist</t>
  </si>
  <si>
    <t>Wachstumsregler</t>
  </si>
  <si>
    <t>Ariane C</t>
  </si>
  <si>
    <t>Insektizid</t>
  </si>
  <si>
    <t>Agil-S</t>
  </si>
  <si>
    <t>Herbizid</t>
  </si>
  <si>
    <t>Adexar</t>
  </si>
  <si>
    <t>Fungizid</t>
  </si>
  <si>
    <t>Acrobat plus WG</t>
  </si>
  <si>
    <t>Pflanzenschutzmittel</t>
  </si>
  <si>
    <t>DRUCKBEREICH</t>
  </si>
  <si>
    <t xml:space="preserve">€/dt </t>
  </si>
  <si>
    <t>(2004)</t>
  </si>
  <si>
    <t>Erbsen und Ackerbohnen</t>
  </si>
  <si>
    <t>Getreide</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</si>
  <si>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</si>
  <si>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</si>
  <si>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</si>
  <si>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</si>
  <si>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</si>
  <si>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</si>
  <si>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</si>
  <si>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</si>
  <si>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</si>
  <si>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</si>
  <si>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</si>
  <si>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</si>
  <si>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Stand: 17.10.2017 - 16:57:11</t>
  </si>
  <si>
    <t>© Statistisches Bundesamt (Destatis), 2017  </t>
  </si>
  <si>
    <t>Bis 1990: Früheres Bundesgebiet ohne Berlin-West.</t>
  </si>
  <si>
    <t>__________</t>
  </si>
  <si>
    <t>Energie und Schmierstoffe zusammen</t>
  </si>
  <si>
    <t>Waren u. Dienstleist.d.lfd. landw. Verbrauchs zus.</t>
  </si>
  <si>
    <t>Indizes ohne Umsatzsteuer</t>
  </si>
  <si>
    <t>Landwirtschaftliche Betriebsmittel</t>
  </si>
  <si>
    <t>Index der Einkaufspreise landwirt. Betriebsmittel (2010=100)</t>
  </si>
  <si>
    <t>Deutschland</t>
  </si>
  <si>
    <t>Index der Einkaufspreise landwirt. Betriebsmittel</t>
  </si>
  <si>
    <t>Deutschland, Jahre, Messzahlen mit/ohne Umsatzsteuer,</t>
  </si>
  <si>
    <t>Index der Einkaufspreise landwirtschaftl. Betriebsmittel:</t>
  </si>
  <si>
    <t>Kosten pro Jahr</t>
  </si>
  <si>
    <t>Lohnansatz (245 h/a à 17 €/h)</t>
  </si>
  <si>
    <t>Lohnansatz</t>
  </si>
  <si>
    <t>Betriebsstoffe und Reparaturen</t>
  </si>
  <si>
    <t>Wartungskosten</t>
  </si>
  <si>
    <t>Zinsanspruch (5 %)</t>
  </si>
  <si>
    <t>Zinsanspruch</t>
  </si>
  <si>
    <t>Abschreibung</t>
  </si>
  <si>
    <t>Maschinen u. sonstige Ausrüstungsgüter zusammen</t>
  </si>
  <si>
    <t>je t</t>
  </si>
  <si>
    <t>gesamt</t>
  </si>
  <si>
    <t>jährliche Kosten</t>
  </si>
  <si>
    <t>Investitionskosten</t>
  </si>
  <si>
    <t>Reinigung/Trocknung/Belüftung</t>
  </si>
  <si>
    <t>Fördertechnik</t>
  </si>
  <si>
    <t>Rundsilos und Annahme</t>
  </si>
  <si>
    <t>Grundstück</t>
  </si>
  <si>
    <t>Nutzungsdauer</t>
  </si>
  <si>
    <t>Investitionsbedarf</t>
  </si>
  <si>
    <t>Quelle: Hilmar Gerdes (LWK Nd.), Bauernblatt 26. Mai 2012, S.30.</t>
  </si>
  <si>
    <t>Quelle: angepasst nach Hilmar Gerdes (LWK Nd.), Bauernblatt 26. Mai 2012, S.30; mittels Preisindizes 2015, Destatis.</t>
  </si>
  <si>
    <t>Tab. 1: Investitionsbedarf Neubau Getreidelager mit einer Lagerkapazität von 2.000 t</t>
  </si>
  <si>
    <t xml:space="preserve">Getreidelagerung mit einer Lagerkapazität von </t>
  </si>
  <si>
    <t xml:space="preserve"> Feste Kosten je dt:</t>
  </si>
  <si>
    <t>Hallenflachlagerung</t>
  </si>
  <si>
    <t xml:space="preserve"> Variable Kosten für 6 Monate je dt:</t>
  </si>
  <si>
    <t>Außenhochsilolagerung</t>
  </si>
  <si>
    <t>BW agrar 25/2001, S. 42</t>
  </si>
  <si>
    <t>Lagerung</t>
  </si>
  <si>
    <t xml:space="preserve"> Getreidemindestpreis bei Auslagerung (€/dt)</t>
  </si>
  <si>
    <t>Kosten pro Tonne und Jahr</t>
  </si>
  <si>
    <t>Masse Leergut</t>
  </si>
  <si>
    <t xml:space="preserve"> Gesamtkosten für Lagerung</t>
  </si>
  <si>
    <t>Kosten pro Jahr (fix u. variabel)</t>
  </si>
  <si>
    <r>
      <t xml:space="preserve"> </t>
    </r>
    <r>
      <rPr>
        <b/>
        <sz val="9"/>
        <rFont val="Symbol"/>
        <family val="1"/>
        <charset val="2"/>
      </rPr>
      <t>S</t>
    </r>
    <r>
      <rPr>
        <b/>
        <sz val="9"/>
        <rFont val="Arial"/>
        <family val="2"/>
      </rPr>
      <t xml:space="preserve"> Schwund- und Zinskosten</t>
    </r>
  </si>
  <si>
    <t xml:space="preserve"> Zinsentgang/Monat</t>
  </si>
  <si>
    <t>AKh-bedarf</t>
  </si>
  <si>
    <t xml:space="preserve"> Lagerverlust pro Monat</t>
  </si>
  <si>
    <t>Betriebsstoffe u- Reparaturen</t>
  </si>
  <si>
    <t>Variable Kosten</t>
  </si>
  <si>
    <t>je Monat</t>
  </si>
  <si>
    <t xml:space="preserve"> Schwund- und Zinskosten</t>
  </si>
  <si>
    <t>Wartung</t>
  </si>
  <si>
    <r>
      <t xml:space="preserve"> </t>
    </r>
    <r>
      <rPr>
        <b/>
        <sz val="9"/>
        <rFont val="Symbol"/>
        <family val="1"/>
        <charset val="2"/>
      </rPr>
      <t>S</t>
    </r>
    <r>
      <rPr>
        <b/>
        <sz val="9"/>
        <rFont val="Arial"/>
        <family val="2"/>
      </rPr>
      <t xml:space="preserve"> Variable Kosten</t>
    </r>
  </si>
  <si>
    <t>Zinsansatz</t>
  </si>
  <si>
    <t xml:space="preserve"> Sonstiges</t>
  </si>
  <si>
    <t>Abschreibungen</t>
  </si>
  <si>
    <t xml:space="preserve"> Strom, Reperaturen</t>
  </si>
  <si>
    <t>Fixkosten</t>
  </si>
  <si>
    <t>€/t</t>
  </si>
  <si>
    <t>Anschaffungspreis</t>
  </si>
  <si>
    <t>je dt</t>
  </si>
  <si>
    <t>Erntemenge</t>
  </si>
  <si>
    <t xml:space="preserve"> Variable Kosten</t>
  </si>
  <si>
    <t>22,5% Winterraps</t>
  </si>
  <si>
    <t>22,5% Körnermais</t>
  </si>
  <si>
    <t>32,5% Gerste</t>
  </si>
  <si>
    <r>
      <t xml:space="preserve"> </t>
    </r>
    <r>
      <rPr>
        <b/>
        <sz val="9"/>
        <rFont val="Symbol"/>
        <family val="1"/>
        <charset val="2"/>
      </rPr>
      <t>S</t>
    </r>
    <r>
      <rPr>
        <b/>
        <sz val="9"/>
        <rFont val="Arial"/>
        <family val="2"/>
      </rPr>
      <t xml:space="preserve"> Festkosten</t>
    </r>
  </si>
  <si>
    <t>77,5 % Weizen</t>
  </si>
  <si>
    <t>67,5 % Weizen</t>
  </si>
  <si>
    <t xml:space="preserve"> 100 %Weizen</t>
  </si>
  <si>
    <t>Gebäude</t>
  </si>
  <si>
    <t xml:space="preserve">Belegung </t>
  </si>
  <si>
    <t>Belegung</t>
  </si>
  <si>
    <t>Ergenisse von KTBL-Modellanlagen:</t>
  </si>
  <si>
    <t>Anlagetechnik</t>
  </si>
  <si>
    <t>Modell1d</t>
  </si>
  <si>
    <t>Modell1c</t>
  </si>
  <si>
    <t>Modell1b</t>
  </si>
  <si>
    <t>Modell1a</t>
  </si>
  <si>
    <t>Datensammlung: Konservierung -und Lagerung von Druschfrüchten, 2007</t>
  </si>
  <si>
    <t>ungskosten</t>
  </si>
  <si>
    <t>Vers.</t>
  </si>
  <si>
    <t>AfA</t>
  </si>
  <si>
    <t>Anschaff-</t>
  </si>
  <si>
    <t xml:space="preserve"> Festkosten</t>
  </si>
  <si>
    <t>vor Einlagerung</t>
  </si>
  <si>
    <t>Monate</t>
  </si>
  <si>
    <t xml:space="preserve"> Lagerdauer</t>
  </si>
  <si>
    <t xml:space="preserve"> €/dt</t>
  </si>
  <si>
    <t xml:space="preserve"> Getreidepreis</t>
  </si>
  <si>
    <t xml:space="preserve"> t</t>
  </si>
  <si>
    <t xml:space="preserve"> Lagergröße</t>
  </si>
  <si>
    <t>Kosten der Lagerhaltung</t>
  </si>
  <si>
    <t xml:space="preserve"> Kosten insgesamt</t>
  </si>
  <si>
    <r>
      <t xml:space="preserve"> </t>
    </r>
    <r>
      <rPr>
        <b/>
        <sz val="9"/>
        <rFont val="Symbol"/>
        <family val="1"/>
        <charset val="2"/>
      </rPr>
      <t>S</t>
    </r>
    <r>
      <rPr>
        <b/>
        <sz val="9"/>
        <rFont val="Arial"/>
        <family val="2"/>
      </rPr>
      <t xml:space="preserve"> variable Kosten</t>
    </r>
  </si>
  <si>
    <t>€/Jahr</t>
  </si>
  <si>
    <t xml:space="preserve"> Gesamtsummen </t>
  </si>
  <si>
    <t xml:space="preserve"> Reparaturkosten bei </t>
  </si>
  <si>
    <t xml:space="preserve"> pro Jahr</t>
  </si>
  <si>
    <t xml:space="preserve"> Servicekosten der Anlage</t>
  </si>
  <si>
    <t xml:space="preserve"> 2,35 kW-E-Motor</t>
  </si>
  <si>
    <t xml:space="preserve"> Auslagerungskosten mittels Folge- und Transportschnecke</t>
  </si>
  <si>
    <t xml:space="preserve"> Einlagerungskosten bei 17 t Stundenleistung mit Zellenradgebläse 7,87 kW-E-Motor 1,12 €/h.</t>
  </si>
  <si>
    <t>Bauten</t>
  </si>
  <si>
    <t xml:space="preserve"> Festkosten/Jahr</t>
  </si>
  <si>
    <t xml:space="preserve"> Zinssatz</t>
  </si>
  <si>
    <t xml:space="preserve"> Abschreibung</t>
  </si>
  <si>
    <t xml:space="preserve"> Investitionssumme</t>
  </si>
  <si>
    <t xml:space="preserve"> Kosten je m³</t>
  </si>
  <si>
    <t>m³</t>
  </si>
  <si>
    <t xml:space="preserve"> Lagerraum</t>
  </si>
  <si>
    <t>t</t>
  </si>
  <si>
    <t xml:space="preserve"> Getreidemenge</t>
  </si>
  <si>
    <t xml:space="preserve"> Getreidefläche</t>
  </si>
  <si>
    <t>Destatis 03/2015</t>
  </si>
  <si>
    <t>Quelle: in Anlehnung an DLZ 7/2001, S72 ff.; aktualisiert über Preisindizes des Stat. Bundesamtes (12/2014).</t>
  </si>
  <si>
    <t>Kosten der Feuchtgetreidelagerung</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</si>
  <si>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</si>
  <si>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</si>
  <si>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</si>
  <si>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</si>
  <si>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</si>
  <si>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</si>
  <si>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</si>
  <si>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</si>
  <si>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</si>
  <si>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</si>
  <si>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</si>
  <si>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</si>
  <si>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</si>
  <si>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</si>
  <si>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</si>
  <si>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</si>
  <si>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</si>
  <si>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</si>
  <si>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</si>
  <si>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</si>
  <si>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</si>
  <si>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</si>
  <si>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</si>
  <si>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</si>
  <si>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</si>
  <si>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</si>
  <si>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</si>
  <si>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</si>
  <si>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</si>
  <si>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Quelle: Vereinigte Hagelversicherung VVaG; Bezirksdirektion Stuttgart 07/2019.</t>
  </si>
  <si>
    <t>Hagelversicherung</t>
  </si>
  <si>
    <t xml:space="preserve"> Vorfruchtwert</t>
  </si>
  <si>
    <t>(0-70 €/ha)</t>
  </si>
  <si>
    <t xml:space="preserve"> Einsparung Pflanzenschutz Folgefrucht</t>
  </si>
  <si>
    <t>(20-60 €/ha)</t>
  </si>
  <si>
    <t xml:space="preserve"> Verringerter Aufwand Bodenbearbeitung</t>
  </si>
  <si>
    <t>(5-35 kg/ha)</t>
  </si>
  <si>
    <t xml:space="preserve"> Einsparung N-Dünger zur Folgefrucht</t>
  </si>
  <si>
    <t>€/kg</t>
  </si>
  <si>
    <t>kg/ha</t>
  </si>
  <si>
    <t>3.</t>
  </si>
  <si>
    <t>2.</t>
  </si>
  <si>
    <t>W-Weizen</t>
  </si>
  <si>
    <t>1.</t>
  </si>
  <si>
    <t>Nachfrucht</t>
  </si>
  <si>
    <t>Mehrerlös</t>
  </si>
  <si>
    <t>Mehrertrag</t>
  </si>
  <si>
    <t xml:space="preserve"> Mehrerlös Nachfrucht</t>
  </si>
  <si>
    <t>Erzeuger-preis</t>
  </si>
  <si>
    <t>Ackerbohne</t>
  </si>
  <si>
    <t>Beispiel:</t>
  </si>
  <si>
    <t>Dorothee Alpmann, Prof. Dr. Bernhard C. Schäfer, 
Fachhochschule Südwestfalen (UFOP, 2014).</t>
  </si>
  <si>
    <t xml:space="preserve">in Anlehnung an Vereinfachte Kalkulation des Vorfruchtwertes beim Anbau von Körnerleguminosen. </t>
  </si>
  <si>
    <t>FAKT-Blühmischung (Brachebegrünung)</t>
  </si>
  <si>
    <t>2) Information ZG Raiffeisen 03/2015 (zw. 58-65 €/Einh.).</t>
  </si>
  <si>
    <t>1) G = Gründüngung; F = Futternutzung.</t>
  </si>
  <si>
    <t>Speisefrühkartoffeln</t>
  </si>
  <si>
    <t xml:space="preserve">F+(G)          </t>
  </si>
  <si>
    <t>120-150</t>
  </si>
  <si>
    <t>Speisekartoffeln</t>
  </si>
  <si>
    <t xml:space="preserve">F          </t>
  </si>
  <si>
    <t>bitterstoffarm</t>
  </si>
  <si>
    <t xml:space="preserve">G          </t>
  </si>
  <si>
    <t>9-12</t>
  </si>
  <si>
    <t>Phacelia</t>
  </si>
  <si>
    <t xml:space="preserve">G+F          </t>
  </si>
  <si>
    <t>0,6-2,5</t>
  </si>
  <si>
    <t>Herbstrüben</t>
  </si>
  <si>
    <t>6-8</t>
  </si>
  <si>
    <t>Sareptasenf</t>
  </si>
  <si>
    <t>35</t>
  </si>
  <si>
    <t>Alexandrinerklee/einj. Weidelgras</t>
  </si>
  <si>
    <t>2)</t>
  </si>
  <si>
    <t>80-90</t>
  </si>
  <si>
    <t>Landsberger Gemenge</t>
  </si>
  <si>
    <t xml:space="preserve"> Mischungen</t>
  </si>
  <si>
    <t>20-25</t>
  </si>
  <si>
    <t>Gelbsenf (nematodenresistent)</t>
  </si>
  <si>
    <t>Gelbsenf</t>
  </si>
  <si>
    <t>Liniensorten</t>
  </si>
  <si>
    <t>Ölrettich (nematodenresistent)</t>
  </si>
  <si>
    <t>Hybridsorten</t>
  </si>
  <si>
    <t>Ölrettich</t>
  </si>
  <si>
    <t>400TK/Einheit</t>
  </si>
  <si>
    <t>8-12</t>
  </si>
  <si>
    <t>Sommerrübsen</t>
  </si>
  <si>
    <t>50TK/Einheit</t>
  </si>
  <si>
    <t xml:space="preserve">G+(F)          </t>
  </si>
  <si>
    <t>12-17</t>
  </si>
  <si>
    <t>Winterrübsen</t>
  </si>
  <si>
    <t>15-25</t>
  </si>
  <si>
    <t xml:space="preserve"> Ölsaaten</t>
  </si>
  <si>
    <t>Inkarnatklee</t>
  </si>
  <si>
    <t>Futtergerste</t>
  </si>
  <si>
    <t>Alexandrinerklee</t>
  </si>
  <si>
    <t>Backweizen; B</t>
  </si>
  <si>
    <t>Perserklee</t>
  </si>
  <si>
    <t xml:space="preserve"> Kleesaaten</t>
  </si>
  <si>
    <t>40-50</t>
  </si>
  <si>
    <t>Welsches Weidelgras</t>
  </si>
  <si>
    <t>Einj. Weidelgras</t>
  </si>
  <si>
    <t xml:space="preserve"> Gräser</t>
  </si>
  <si>
    <t>Gemenge (Erb/AB/Wi)</t>
  </si>
  <si>
    <t>150-200</t>
  </si>
  <si>
    <t>Populationssorten</t>
  </si>
  <si>
    <t>Winterwicken</t>
  </si>
  <si>
    <t>Eliteweizen; E</t>
  </si>
  <si>
    <t>Saatwicken</t>
  </si>
  <si>
    <t>Qualitätsweizen; A</t>
  </si>
  <si>
    <t>140-160</t>
  </si>
  <si>
    <t>Futtererbse</t>
  </si>
  <si>
    <t>180-200</t>
  </si>
  <si>
    <t>Hülsenfrüchte</t>
  </si>
  <si>
    <t>Futterweizen; C</t>
  </si>
  <si>
    <t>€/ha (o.MwSt.)</t>
  </si>
  <si>
    <r>
      <t>G/F</t>
    </r>
    <r>
      <rPr>
        <vertAlign val="superscript"/>
        <sz val="8"/>
        <rFont val="Arial"/>
        <family val="2"/>
      </rPr>
      <t>1)</t>
    </r>
  </si>
  <si>
    <t>€/dt bzw. Einh. (o.Mwst.)</t>
  </si>
  <si>
    <t>Saatgutkosten</t>
  </si>
  <si>
    <t>Nutzung</t>
  </si>
  <si>
    <t>Saatmenge</t>
  </si>
  <si>
    <t>Kultur</t>
  </si>
  <si>
    <t>Saat-/Pflanzgutpreis</t>
  </si>
  <si>
    <t xml:space="preserve"> Kulturen</t>
  </si>
  <si>
    <t>Quelle: BayWa Saatgut Agrar, 07/2019.</t>
  </si>
  <si>
    <t>Saatgut: Begrünung, Zwischenfrucht</t>
  </si>
  <si>
    <t>Saatgut</t>
  </si>
  <si>
    <t xml:space="preserve"> Summe</t>
  </si>
  <si>
    <t>€/dt      =</t>
  </si>
  <si>
    <t xml:space="preserve"> + Nachbaulizenz</t>
  </si>
  <si>
    <t xml:space="preserve"> Reinigen+Beizen</t>
  </si>
  <si>
    <t>Eigen *</t>
  </si>
  <si>
    <t>Zukauf *</t>
  </si>
  <si>
    <t xml:space="preserve"> Anteil Zukauf:</t>
  </si>
  <si>
    <t>130</t>
  </si>
  <si>
    <t xml:space="preserve"> Saatmenge:</t>
  </si>
  <si>
    <t>Berechnungsbeispiel</t>
  </si>
  <si>
    <t>(Stand:07/2019).</t>
  </si>
  <si>
    <t>Quelle: Saatgut-Treuhandverwaltungs GmbH www.stv-bonn.de (Vertragssortenliste 2018/2019)</t>
  </si>
  <si>
    <t xml:space="preserve">  </t>
  </si>
  <si>
    <t>3,80-20,00</t>
  </si>
  <si>
    <t>Kartoffeln</t>
  </si>
  <si>
    <t>10,90-13,00</t>
  </si>
  <si>
    <t>8,20-16,00</t>
  </si>
  <si>
    <t>Erbsen</t>
  </si>
  <si>
    <t>8,20-15,00</t>
  </si>
  <si>
    <t>4,87-35,00</t>
  </si>
  <si>
    <t>Züchterlizenzgebühren</t>
  </si>
  <si>
    <t xml:space="preserve"> 48 - 63,50 €</t>
  </si>
  <si>
    <t>Verkaufspreis an Landwirte</t>
  </si>
  <si>
    <t xml:space="preserve"> 01,00 - 07,00 €</t>
  </si>
  <si>
    <t>Lagerung u. Transport</t>
  </si>
  <si>
    <t xml:space="preserve"> 01,00 - 05,00 €</t>
  </si>
  <si>
    <t>Handelsspanne</t>
  </si>
  <si>
    <t xml:space="preserve"> 01,00 - 03,00 €</t>
  </si>
  <si>
    <t>Vo-Spanne</t>
  </si>
  <si>
    <t>07,00 - 10,50 €</t>
  </si>
  <si>
    <t>Züchterlizenz</t>
  </si>
  <si>
    <t>01,60 €</t>
  </si>
  <si>
    <t>Verpackung</t>
  </si>
  <si>
    <t>(Mittelkosten, Beizanlage, Beizlohn)</t>
  </si>
  <si>
    <t>09,30 €</t>
  </si>
  <si>
    <t>Beizung Fungizid</t>
  </si>
  <si>
    <t>Aufbereitung, Risikoausgleich)</t>
  </si>
  <si>
    <t xml:space="preserve">(Mehrkosten Basissaatgut, Bereinigung, </t>
  </si>
  <si>
    <t>06,25 €</t>
  </si>
  <si>
    <t>Vermehreraufschlag</t>
  </si>
  <si>
    <t>20,50 €</t>
  </si>
  <si>
    <t>Vermehrungsgrundpreis</t>
  </si>
  <si>
    <t>Quelle: BW-agrar, Nr.36/2011, S.61.</t>
  </si>
  <si>
    <t>So setzt sich der Saatgutpreis zusammen, Bsp. Winterweizen, (A-Qualität)</t>
  </si>
  <si>
    <t>verknüpft und können für individuelle Kalkulationen verwendet werden.</t>
  </si>
  <si>
    <t xml:space="preserve">Nachfolgende Spezialinformationen (Ausnahme: Hagelversicherung) sind mit den Berechnungsgrundlagen nicht </t>
  </si>
  <si>
    <t>Sonstige Kosten</t>
  </si>
  <si>
    <t>Begr</t>
  </si>
  <si>
    <t>Leer(1)</t>
  </si>
  <si>
    <t>F33</t>
  </si>
  <si>
    <t>F32</t>
  </si>
  <si>
    <t>F31</t>
  </si>
  <si>
    <t>F30</t>
  </si>
  <si>
    <t>E33</t>
  </si>
  <si>
    <t>E32</t>
  </si>
  <si>
    <t>E31</t>
  </si>
  <si>
    <t>E30</t>
  </si>
  <si>
    <t>K2O</t>
  </si>
  <si>
    <t>P2O5</t>
  </si>
  <si>
    <t>Blattname</t>
  </si>
  <si>
    <t>Anteil Nebenprodukt vom Hauptprodukt</t>
  </si>
  <si>
    <t>Entzug/Ertrag</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</si>
  <si>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</si>
  <si>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</si>
  <si>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</si>
  <si>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</si>
  <si>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</si>
  <si>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</si>
  <si>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</si>
  <si>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</si>
  <si>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</si>
  <si>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</si>
  <si>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</si>
  <si>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</si>
  <si>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</si>
  <si>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</si>
  <si>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</si>
  <si>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</si>
  <si>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</si>
  <si>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</si>
  <si>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</si>
  <si>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</si>
  <si>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</si>
  <si>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</si>
  <si>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</si>
  <si>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</si>
  <si>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</si>
  <si>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</si>
  <si>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</si>
  <si>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</si>
  <si>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</si>
  <si>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</si>
  <si>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</si>
  <si>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</si>
  <si>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</si>
  <si>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r>
      <t xml:space="preserve">Deckungsbeitrag
</t>
    </r>
    <r>
      <rPr>
        <sz val="9"/>
        <rFont val="Arial"/>
        <family val="2"/>
      </rPr>
      <t>(ohne Prämien, ohne Zinsansatz)</t>
    </r>
    <r>
      <rPr>
        <b/>
        <sz val="9"/>
        <rFont val="Arial"/>
        <family val="2"/>
      </rPr>
      <t/>
    </r>
  </si>
  <si>
    <t xml:space="preserve"> Deckungsbeitrag bei veränderten Preisen</t>
  </si>
  <si>
    <t xml:space="preserve"> (feste u. var. Makost, Lohnmaschinen, var. Lohnkosten, Lohnansatz)</t>
  </si>
  <si>
    <r>
      <t xml:space="preserve"> Kosten der Arbeitserledigung </t>
    </r>
    <r>
      <rPr>
        <sz val="8"/>
        <rFont val="Arial"/>
        <family val="2"/>
      </rPr>
      <t>(Z.18 + 19 + 20 + 28 + 29)</t>
    </r>
  </si>
  <si>
    <r>
      <t xml:space="preserve"> Direktkostenfreie Leistung </t>
    </r>
    <r>
      <rPr>
        <sz val="8"/>
        <rFont val="Arial"/>
        <family val="2"/>
      </rPr>
      <t>(Z.7 +10 - 52)</t>
    </r>
  </si>
  <si>
    <r>
      <t xml:space="preserve"> Direktkosten</t>
    </r>
    <r>
      <rPr>
        <sz val="10"/>
        <rFont val="Arial"/>
        <family val="2"/>
      </rPr>
      <t xml:space="preserve"> </t>
    </r>
    <r>
      <rPr>
        <sz val="8"/>
        <rFont val="Arial"/>
        <family val="2"/>
      </rPr>
      <t>(Summe Z.12 bis 17 + 24)</t>
    </r>
  </si>
  <si>
    <r>
      <t xml:space="preserve">mit Berücksichtigung von Prämien </t>
    </r>
    <r>
      <rPr>
        <sz val="8"/>
        <rFont val="Arial"/>
        <family val="2"/>
      </rPr>
      <t>(Z.47 - 49)</t>
    </r>
  </si>
  <si>
    <t xml:space="preserve">Kostendeckender Erlös für Hauptprodukt </t>
  </si>
  <si>
    <r>
      <t xml:space="preserve">abzgl. Prämien </t>
    </r>
    <r>
      <rPr>
        <sz val="8"/>
        <rFont val="Arial"/>
        <family val="2"/>
      </rPr>
      <t>(Z.10)</t>
    </r>
  </si>
  <si>
    <r>
      <t xml:space="preserve">ohne Berücksichtigung von Prämien </t>
    </r>
    <r>
      <rPr>
        <sz val="8"/>
        <rFont val="Arial"/>
        <family val="2"/>
      </rPr>
      <t>(Z.45 - 46)</t>
    </r>
  </si>
  <si>
    <r>
      <t>Kostendeckender Erlös für</t>
    </r>
    <r>
      <rPr>
        <sz val="12"/>
        <rFont val="Arial"/>
        <family val="2"/>
      </rPr>
      <t xml:space="preserve"> </t>
    </r>
    <r>
      <rPr>
        <b/>
        <sz val="12"/>
        <rFont val="Arial"/>
        <family val="2"/>
      </rPr>
      <t>Hauptprodukt</t>
    </r>
  </si>
  <si>
    <r>
      <t xml:space="preserve"> abzgl. Nebenleistungen </t>
    </r>
    <r>
      <rPr>
        <sz val="8"/>
        <rFont val="Arial"/>
        <family val="2"/>
      </rPr>
      <t>(Z.5 + 6)</t>
    </r>
  </si>
  <si>
    <r>
      <t xml:space="preserve">Summe Kosten </t>
    </r>
    <r>
      <rPr>
        <sz val="8"/>
        <rFont val="Arial"/>
        <family val="2"/>
      </rPr>
      <t>(Z.36)</t>
    </r>
  </si>
  <si>
    <t xml:space="preserve"> Kostendeckender Erlös</t>
  </si>
  <si>
    <t xml:space="preserve">  (Z.40 + 31) </t>
  </si>
  <si>
    <r>
      <t>Fläche,</t>
    </r>
    <r>
      <rPr>
        <sz val="10"/>
        <rFont val="Arial"/>
        <family val="2"/>
      </rPr>
      <t xml:space="preserve"> max. Pachtpreis langfristig, </t>
    </r>
    <r>
      <rPr>
        <b/>
        <sz val="10"/>
        <rFont val="Arial"/>
        <family val="2"/>
      </rPr>
      <t>mit</t>
    </r>
    <r>
      <rPr>
        <sz val="10"/>
        <rFont val="Arial"/>
        <family val="2"/>
      </rPr>
      <t xml:space="preserve"> Prämien</t>
    </r>
  </si>
  <si>
    <r>
      <t>Quote</t>
    </r>
    <r>
      <rPr>
        <sz val="11"/>
        <rFont val="Arial"/>
        <family val="2"/>
      </rPr>
      <t xml:space="preserve"> </t>
    </r>
    <r>
      <rPr>
        <sz val="10"/>
        <rFont val="Arial"/>
        <family val="2"/>
      </rPr>
      <t xml:space="preserve">(max. Kaufpreis/dt Quote)      </t>
    </r>
  </si>
  <si>
    <t xml:space="preserve">  (Z.40 + 28) </t>
  </si>
  <si>
    <r>
      <t>Arbeitseinkommen</t>
    </r>
    <r>
      <rPr>
        <sz val="12"/>
        <rFont val="Arial"/>
        <family val="2"/>
      </rPr>
      <t xml:space="preserve"> </t>
    </r>
    <r>
      <rPr>
        <sz val="10"/>
        <rFont val="Arial"/>
        <family val="2"/>
      </rPr>
      <t xml:space="preserve">(ständige AK); </t>
    </r>
    <r>
      <rPr>
        <b/>
        <sz val="10"/>
        <rFont val="Arial"/>
        <family val="2"/>
      </rPr>
      <t>mit</t>
    </r>
    <r>
      <rPr>
        <sz val="10"/>
        <rFont val="Arial"/>
        <family val="2"/>
      </rPr>
      <t xml:space="preserve"> Prämien            </t>
    </r>
  </si>
  <si>
    <t>€/Akh</t>
  </si>
  <si>
    <t xml:space="preserve"> Verwertung knapper Faktoren</t>
  </si>
  <si>
    <t>Kennwerte</t>
  </si>
  <si>
    <t xml:space="preserve"> mit Prämien</t>
  </si>
  <si>
    <r>
      <t xml:space="preserve"> </t>
    </r>
    <r>
      <rPr>
        <b/>
        <sz val="11"/>
        <rFont val="Arial"/>
        <family val="2"/>
      </rPr>
      <t>€/ha</t>
    </r>
  </si>
  <si>
    <r>
      <t xml:space="preserve"> Kalkulatorisches Betriebszweigergebnis  </t>
    </r>
    <r>
      <rPr>
        <sz val="8"/>
        <rFont val="Arial"/>
        <family val="2"/>
      </rPr>
      <t xml:space="preserve">(Z.37 + 39)         </t>
    </r>
  </si>
  <si>
    <t xml:space="preserve">+ Prämien </t>
  </si>
  <si>
    <t xml:space="preserve"> ohne Prämien </t>
  </si>
  <si>
    <r>
      <t xml:space="preserve"> Kalkulatorisches Betriebszweigergebnis    </t>
    </r>
    <r>
      <rPr>
        <sz val="8"/>
        <rFont val="Arial"/>
        <family val="2"/>
      </rPr>
      <t xml:space="preserve">(Z.35 - 36)      </t>
    </r>
  </si>
  <si>
    <r>
      <t>Summe Kosten</t>
    </r>
    <r>
      <rPr>
        <sz val="11"/>
        <rFont val="Arial"/>
        <family val="2"/>
      </rPr>
      <t xml:space="preserve"> </t>
    </r>
    <r>
      <rPr>
        <sz val="8"/>
        <rFont val="Arial"/>
        <family val="2"/>
      </rPr>
      <t>(var. Kosten, Zinsansatz, Festkosten einschl. Lohnansatz)</t>
    </r>
  </si>
  <si>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</si>
  <si>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</si>
  <si>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</si>
  <si>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</si>
  <si>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</si>
  <si>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</si>
  <si>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</si>
  <si>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</si>
  <si>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</si>
  <si>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</si>
  <si>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</si>
  <si>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r>
      <t xml:space="preserve"> Deckungsbeitrag </t>
    </r>
    <r>
      <rPr>
        <b/>
        <sz val="9"/>
        <rFont val="Arial"/>
        <family val="2"/>
      </rPr>
      <t>mit Prämien, nach Zinsansatz</t>
    </r>
    <r>
      <rPr>
        <b/>
        <sz val="10"/>
        <rFont val="Arial"/>
        <family val="2"/>
      </rPr>
      <t xml:space="preserve"> </t>
    </r>
    <r>
      <rPr>
        <sz val="8"/>
        <rFont val="Arial"/>
        <family val="2"/>
      </rPr>
      <t>(Z.22 + 23 - 24)</t>
    </r>
  </si>
  <si>
    <t>- Zinsansatz Umlaufvermögen</t>
  </si>
  <si>
    <t>+ Prämien</t>
  </si>
  <si>
    <r>
      <t xml:space="preserve"> Deckungsbeitrag </t>
    </r>
    <r>
      <rPr>
        <b/>
        <sz val="9"/>
        <rFont val="Arial"/>
        <family val="2"/>
      </rPr>
      <t>ohne Prämien</t>
    </r>
    <r>
      <rPr>
        <sz val="12"/>
        <rFont val="Arial"/>
        <family val="2"/>
      </rPr>
      <t xml:space="preserve"> </t>
    </r>
    <r>
      <rPr>
        <sz val="10"/>
        <rFont val="Arial"/>
        <family val="2"/>
      </rPr>
      <t xml:space="preserve"> </t>
    </r>
    <r>
      <rPr>
        <sz val="8"/>
        <rFont val="Arial"/>
        <family val="2"/>
      </rPr>
      <t>(Z.7 - 21)</t>
    </r>
  </si>
  <si>
    <t>Deckungsbeitrag</t>
  </si>
  <si>
    <r>
      <t xml:space="preserve"> Summe variable Kosten </t>
    </r>
    <r>
      <rPr>
        <sz val="8"/>
        <rFont val="Arial"/>
        <family val="2"/>
      </rPr>
      <t>(Summe Z.12 bis 20)</t>
    </r>
  </si>
  <si>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</si>
  <si>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</si>
  <si>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</si>
  <si>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</si>
  <si>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</si>
  <si>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</si>
  <si>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</si>
  <si>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r>
      <t xml:space="preserve"> Summe Leistungen mit Prämien </t>
    </r>
    <r>
      <rPr>
        <sz val="8"/>
        <rFont val="Arial"/>
        <family val="2"/>
      </rPr>
      <t>(Z.7 + 10)</t>
    </r>
  </si>
  <si>
    <r>
      <t xml:space="preserve">Prämien insgesamt </t>
    </r>
    <r>
      <rPr>
        <sz val="8"/>
        <rFont val="Arial"/>
        <family val="2"/>
      </rPr>
      <t>(Z.8 +9 )</t>
    </r>
  </si>
  <si>
    <t>Sonstige Prämien (FAKT, Ausgleichszulage, ....)</t>
  </si>
  <si>
    <t>Betriebsprämie (ZA)</t>
  </si>
  <si>
    <r>
      <t xml:space="preserve"> Summe Leistungen </t>
    </r>
    <r>
      <rPr>
        <sz val="8"/>
        <rFont val="Arial"/>
        <family val="2"/>
      </rPr>
      <t>(Z.4 + 5 + 6)</t>
    </r>
  </si>
  <si>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</si>
  <si>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</si>
  <si>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</si>
  <si>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</si>
  <si>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</si>
  <si>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</si>
  <si>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</si>
  <si>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</si>
  <si>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</si>
  <si>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</si>
  <si>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</si>
  <si>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</si>
  <si>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</si>
  <si>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</si>
  <si>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</si>
  <si>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</si>
  <si>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</si>
  <si>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</si>
  <si>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</si>
  <si>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</si>
  <si>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</si>
  <si>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</si>
  <si>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</si>
  <si>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</si>
  <si>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</si>
  <si>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</si>
  <si>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</si>
  <si>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</si>
  <si>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</si>
  <si>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</si>
  <si>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</si>
  <si>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</si>
  <si>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</si>
  <si>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</si>
  <si>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</si>
  <si>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</si>
  <si>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</si>
  <si>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</si>
  <si>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</si>
  <si>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</si>
  <si>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</si>
  <si>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</si>
  <si>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</si>
  <si>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</si>
  <si>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</si>
  <si>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</si>
  <si>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</si>
  <si>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</si>
  <si>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</si>
  <si>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</si>
  <si>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</si>
  <si>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</si>
  <si>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</si>
  <si>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</si>
  <si>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</si>
  <si>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</si>
  <si>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</si>
  <si>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</si>
  <si>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</si>
  <si>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</si>
  <si>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</si>
  <si>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</si>
  <si>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</si>
  <si>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</si>
  <si>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</si>
  <si>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</si>
  <si>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</si>
  <si>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</si>
  <si>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</si>
  <si>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</si>
  <si>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</si>
  <si>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</si>
  <si>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</si>
  <si>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</si>
  <si>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</si>
  <si>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</si>
  <si>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</si>
  <si>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</si>
  <si>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</si>
  <si>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</si>
  <si>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</si>
  <si>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</si>
  <si>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</si>
  <si>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</si>
  <si>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</si>
  <si>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</si>
  <si>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</si>
  <si>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</si>
  <si>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</si>
  <si>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</si>
  <si>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</si>
  <si>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</si>
  <si>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</si>
  <si>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</si>
  <si>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</si>
  <si>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</si>
  <si>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</si>
  <si>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</si>
  <si>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</si>
  <si>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</si>
  <si>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</si>
  <si>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</si>
  <si>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</si>
  <si>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</si>
  <si>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</si>
  <si>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</si>
  <si>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</si>
  <si>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</si>
  <si>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</si>
  <si>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</si>
  <si>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</si>
  <si>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Lohndrusch, 2 ha-Schlag, pfluglos</t>
  </si>
  <si>
    <t>eigene Strohabfuhr</t>
  </si>
  <si>
    <t>eigene Strohabfuhr:</t>
  </si>
  <si>
    <t>Gelbe Felder sind Eingabefelder !</t>
  </si>
  <si>
    <t>DB' e:</t>
  </si>
  <si>
    <t>Summe Nebenprodukte</t>
  </si>
  <si>
    <t>Hybridsorte</t>
  </si>
  <si>
    <t>Populationssorte</t>
  </si>
  <si>
    <t>Lohndrusch, 2 ha-Schlag</t>
  </si>
  <si>
    <t>Sortiergerste</t>
  </si>
  <si>
    <t xml:space="preserve"> </t>
  </si>
  <si>
    <t>Entzüge: lt. (LTZ-)   Nährstoffentzugswerte_Naebi2012.xls</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</si>
  <si>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</si>
  <si>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</si>
  <si>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</si>
  <si>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</si>
  <si>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</si>
  <si>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</si>
  <si>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</si>
  <si>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</si>
  <si>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Ernte im Lohn, pfluglos</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</si>
  <si>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</si>
  <si>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</si>
  <si>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</si>
  <si>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</si>
  <si>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</si>
  <si>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</si>
  <si>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</si>
  <si>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</si>
  <si>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</si>
  <si>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</si>
  <si>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</si>
  <si>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</si>
  <si>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</si>
  <si>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</si>
  <si>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</si>
  <si>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</si>
  <si>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</si>
  <si>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</si>
  <si>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</si>
  <si>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 xml:space="preserve">FAKT - Brachebegrünung mit Blühmischung </t>
  </si>
  <si>
    <t>öVF konforme Mischung</t>
  </si>
  <si>
    <t>Zwischenfrucht (bei ÖVF 2 Arten (ohne FAKT-Teilnahme))</t>
  </si>
  <si>
    <t xml:space="preserve">nur in Kombination mit Anbau einer Sommerung! </t>
  </si>
  <si>
    <t>Deckungsbeiträge aller Leistungsniveaus</t>
  </si>
  <si>
    <t>Testfrucht1</t>
  </si>
  <si>
    <t>FAKT / Begrünung</t>
  </si>
  <si>
    <t>Blühmischung</t>
  </si>
  <si>
    <t>FAKT / Blühmischungen</t>
  </si>
  <si>
    <t xml:space="preserve">     Begrünungen</t>
  </si>
  <si>
    <t>Sonnenblume</t>
  </si>
  <si>
    <t>Linsen</t>
  </si>
  <si>
    <t>Sojabohne</t>
  </si>
  <si>
    <t>Roggen</t>
  </si>
  <si>
    <t>Dinkel-entspelzt</t>
  </si>
  <si>
    <t>Dinkel entspelzt</t>
  </si>
  <si>
    <t>Ww-Brot</t>
  </si>
  <si>
    <t>Winterweizen (Brot)</t>
  </si>
  <si>
    <t>Ww-Futter</t>
  </si>
  <si>
    <t>Winterweizen (Futter)</t>
  </si>
  <si>
    <t>Luzernegras2</t>
  </si>
  <si>
    <t>Luzernegras 2-jährig gemulcht</t>
  </si>
  <si>
    <t>Luzernegras1</t>
  </si>
  <si>
    <t>Luzernegras 1-jährig gemulcht</t>
  </si>
  <si>
    <t>Kleegras2</t>
  </si>
  <si>
    <t>Kleegras 2-jährig gemulcht</t>
  </si>
  <si>
    <t>Kleegras1</t>
  </si>
  <si>
    <t>Kleegras 1-jährig gemulcht</t>
  </si>
  <si>
    <t xml:space="preserve">     Gründüngung</t>
  </si>
  <si>
    <t xml:space="preserve">     Vorwort, Aufbau der Datei, Auswahl und Eingabe, allgemeine Informationen</t>
  </si>
  <si>
    <t>Erstellung: LEL Schwäbisch Gmünd mit Unterstützung der Ökoberatungsdienste Ulm und Schwäbisch Hall</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</si>
  <si>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</si>
  <si>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</si>
  <si>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</si>
  <si>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</si>
  <si>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</si>
  <si>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</si>
  <si>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</si>
  <si>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</si>
  <si>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r>
      <t xml:space="preserve"> Summe variable Kosten </t>
    </r>
    <r>
      <rPr>
        <b/>
        <vertAlign val="superscript"/>
        <sz val="9"/>
        <rFont val="Arial"/>
        <family val="2"/>
      </rPr>
      <t>3)</t>
    </r>
  </si>
  <si>
    <r>
      <t xml:space="preserve"> Sonstige variable Kosten </t>
    </r>
    <r>
      <rPr>
        <vertAlign val="superscript"/>
        <sz val="9"/>
        <rFont val="Arial"/>
        <family val="2"/>
      </rPr>
      <t>2)</t>
    </r>
  </si>
  <si>
    <r>
      <t xml:space="preserve"> Düngung </t>
    </r>
    <r>
      <rPr>
        <vertAlign val="superscript"/>
        <sz val="9"/>
        <rFont val="Arial"/>
        <family val="2"/>
      </rPr>
      <t>1)</t>
    </r>
  </si>
  <si>
    <t xml:space="preserve"> Ausgleichsleistungen</t>
  </si>
  <si>
    <t xml:space="preserve"> Nebenleistung</t>
  </si>
  <si>
    <t xml:space="preserve"> Hauptleistung</t>
  </si>
  <si>
    <t xml:space="preserve">Kleegras einjährig (70:30)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</si>
  <si>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</si>
  <si>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t>Kleegras zweijährig (50:50)</t>
  </si>
  <si>
    <t>Luzernegras einjährig (70:30)</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</si>
  <si>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</si>
  <si>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</si>
  <si>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</si>
  <si>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</si>
  <si>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</si>
  <si>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</si>
  <si>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</si>
  <si>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</si>
  <si>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</si>
  <si>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</si>
  <si>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</si>
  <si>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</si>
  <si>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</si>
  <si>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</si>
  <si>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</si>
  <si>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</si>
  <si>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</si>
  <si>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</si>
  <si>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</si>
  <si>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</si>
  <si>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</si>
  <si>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</si>
  <si>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</si>
  <si>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</si>
  <si>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</si>
  <si>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</si>
  <si>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</si>
  <si>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</si>
  <si>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</si>
  <si>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</si>
  <si>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</si>
  <si>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</si>
  <si>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</si>
  <si>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</si>
  <si>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</si>
  <si>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</si>
  <si>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</si>
  <si>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</si>
  <si>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</si>
  <si>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</si>
  <si>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</si>
  <si>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</si>
  <si>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</si>
  <si>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KTBL(2015): Faustzahlen für den ökologischen Landbau, S.412</t>
  </si>
  <si>
    <t>Stroh inkl. Pressen und Transport (2 km)</t>
  </si>
  <si>
    <t>AMI Ökolandbau Marktdaten (Stand 10.11.2017)</t>
  </si>
  <si>
    <t>KTBL Öko (2017) S.261</t>
  </si>
  <si>
    <t>Futterkartoffeln</t>
  </si>
  <si>
    <t>AMI Ökolandbau Marktdaten (Stand 10.11.2017) nur wenige Daten vorhanden</t>
  </si>
  <si>
    <t>KTBL(2015): Faustzahlen für den ökologischen Landbau, S.342</t>
  </si>
  <si>
    <t xml:space="preserve">Ackerbohnen - lose - , je t - </t>
  </si>
  <si>
    <t>AMI 2016-2018</t>
  </si>
  <si>
    <t>MITTELWERT</t>
  </si>
  <si>
    <t>Linsen Speise</t>
  </si>
  <si>
    <t>Sojabohnen Speise</t>
  </si>
  <si>
    <t>Sojabohnen Futter</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</si>
  <si>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</si>
  <si>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</si>
  <si>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</si>
  <si>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</si>
  <si>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</si>
  <si>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Kartoffeln (ab Feld) kein Lager</t>
  </si>
  <si>
    <t>(Brot, B)</t>
  </si>
  <si>
    <t>(Futter)</t>
  </si>
  <si>
    <t>LEL, Rosa Blatt für die Betriebskalkulation 18/19</t>
  </si>
  <si>
    <t>Phosphat</t>
  </si>
  <si>
    <t>Bemerkung</t>
  </si>
  <si>
    <t>Quelle</t>
  </si>
  <si>
    <t xml:space="preserve">Bleibt die Nährstoffabfuhr unberücksichtigt und werden keine Zukaufsdünger eingetragen, wird ein geschlossener Betriebskreislauf unterstellt. </t>
  </si>
  <si>
    <t>… Kosten von tatsächlich zugekauften Düngemitteln ohne Berücksichtigung der Nährstoffabfuhr</t>
  </si>
  <si>
    <t>Düngerwert kalkulieren mit:</t>
  </si>
  <si>
    <t>Nur Auswahl Ja oder Nein zulässig</t>
  </si>
  <si>
    <t>Warntext</t>
  </si>
  <si>
    <t>FAKT (D 2.2) Beibehaltung Öko Ackerbau/Grünland</t>
  </si>
  <si>
    <t>MEKA</t>
  </si>
  <si>
    <t>Nr. 061 (Nur Kipper ohne Fahrer)</t>
  </si>
  <si>
    <t>Kipper je t zul Gesamtgewicht je h</t>
  </si>
  <si>
    <t>Nr. 017 + 16,5€ Lohn</t>
  </si>
  <si>
    <t>Traktor75-92 kW inkl. Diesel + Fahrer je h</t>
  </si>
  <si>
    <t>(Nr. 018 +16,5€ Lohn) * (0,78Akh/ha / 20m3/ha (KTBL Öko S. 190))+Nr.222 a</t>
  </si>
  <si>
    <t>Nr. 225 *20t/ha (KTBL 16/17 S. 173) + Nr. 015* 1,7 (KTBL 16/17 S. 173) +16,5 € Stundenlohn *1,7 (KTBL 16/17 S. 173) /20t</t>
  </si>
  <si>
    <t>Festmistausbringung (im Lohn) €/t</t>
  </si>
  <si>
    <t>Nr. 328 4,4 €/m³ bei KTBL 16/17 S. 222 1,4dt/m³</t>
  </si>
  <si>
    <t>Stroh-Quaderballen pressen je dt</t>
  </si>
  <si>
    <t>Nr.326 je Ballen 7,80 € inkl. Schlepper, Fahrer und Garn bei 3,95 dt je Ballen ( KTBL 16/17 S. 202)</t>
  </si>
  <si>
    <t>siehe Nr. 15</t>
  </si>
  <si>
    <t xml:space="preserve">Nr. 232 +(Nr.014 + 16,5€ Stundenlohn) * 0,94 Akh/ha (KTBL Öko 2017 S. 202) </t>
  </si>
  <si>
    <t>Zeile Nr. 17 + (Nr. 018 + 6 € Siloverteiler (MR Laufen)*0,81+16,5 € Std)*0,9 Akh/ha (KTBL 16/17 S. 215)</t>
  </si>
  <si>
    <t>Nr. 347A +275 (KTBL 16/17 S. 21)*0,28 (Nr. 347A) (Akh/ha 0,94 KTBL 16/17 S. 21) Es wurde die Akh/ha vom Silomais angenommen, da das Verfahren mit enstsprechendem Schneidwerk genausolange dauert.</t>
  </si>
  <si>
    <t>Nr. 345A +275 (KTBL 16/17 S. 216)*0,28 (Nr. 345A)</t>
  </si>
  <si>
    <t>Nr.240 + Nr.014  bei 0,59 Akh/ha (KTBL 16/17 S. 185) und 16 €/h</t>
  </si>
  <si>
    <t>Zeile Nr. 16 + (Nr. 018 + 6 € Siloverteiler (MR Laufen)*0,81+16 € Std)*0,94 Akh/ha (KTBL 16/17 S. 216)</t>
  </si>
  <si>
    <t>Siehe Zeile Nr. 22 x 40dt Ertrag Stroh/ha</t>
  </si>
  <si>
    <t>Stroh-Quaderballen pressen je ha</t>
  </si>
  <si>
    <t>Siehe Zeile Nr. 21 x 40dt Ertrag Stroh/ha</t>
  </si>
  <si>
    <t>Stroh-Rundballen pressen je ha</t>
  </si>
  <si>
    <t>(Nr. 314+Nr 015 * 3m Arbeitsbreite+16,5€ )*1,19 Akh/ha (KTBL Öko 2017 S. 211)</t>
  </si>
  <si>
    <t>Weissert? Ladewagen? +Nr.24*1,39 Akh/ha + 1,39*16€  ( KTBL 16/17 S.200)</t>
  </si>
  <si>
    <t>Nr.454+(Nr.014*1,91 Akh/ha)+ (16,5 €*1,91 Akh/ha) (KTBL S. 196)</t>
  </si>
  <si>
    <t>KA - Schlägeln (m. Schl. + Fahrer)</t>
  </si>
  <si>
    <t>3,5*(Nr.459+017)+3,5*16,5€+10,46*10 € bei 0,32 Akh/ha ( KTBL 16/17 S.197)</t>
  </si>
  <si>
    <t>Nr. 403a +404</t>
  </si>
  <si>
    <t>Nr. 403a +404+405</t>
  </si>
  <si>
    <t>Nr. 403a +404+408</t>
  </si>
  <si>
    <t>Verrechnungssätze für 2017/18 und KTBL 16/17</t>
  </si>
  <si>
    <t>Maschinenring Baden- Württemberg</t>
  </si>
  <si>
    <t>Summe Handarbeit (Akh)</t>
  </si>
  <si>
    <t>Kartoffeln vermarkten</t>
  </si>
  <si>
    <t>KTBL ÖKO (2017): S.212</t>
  </si>
  <si>
    <t>Kartoffeln verlesen 25 t/ha</t>
  </si>
  <si>
    <t>KTBL Gemüse (2017): S. 371</t>
  </si>
  <si>
    <t>Bundmöhren Waschen mit Aufbereitungsanlage 40t/ha</t>
  </si>
  <si>
    <t>KTBL Gemüse (2017): S. 380</t>
  </si>
  <si>
    <t>Waschmöhren Aufbereitungs und Verpackstraße</t>
  </si>
  <si>
    <t>Tätigkeit</t>
  </si>
  <si>
    <t>sonstig Kultur</t>
  </si>
  <si>
    <t>Möhren Ag/ha</t>
  </si>
  <si>
    <t>Akh je Arbeits gang (Ag)</t>
  </si>
  <si>
    <t>Anhaltswerte Handakh Aufbereitung</t>
  </si>
  <si>
    <t>Summe Handarbeit (AKh)</t>
  </si>
  <si>
    <t>KTBL Gemüse (2017): S.168</t>
  </si>
  <si>
    <t xml:space="preserve">Bundmöhren ernten und bündeln </t>
  </si>
  <si>
    <t>KTBL ÖKO (2017): S. 221</t>
  </si>
  <si>
    <t>Bunkerroder zusätzl. 2 Sortier AK</t>
  </si>
  <si>
    <t>KTBL ÖKO (2017): S.214</t>
  </si>
  <si>
    <t>Disteln etc. entfernen</t>
  </si>
  <si>
    <t>KTBL Gemüse (2017): S.164</t>
  </si>
  <si>
    <t>Netz/folie zu den Arbeitsgängen 4*8 h</t>
  </si>
  <si>
    <t>KTBL Gemüse (2017): S.164+165</t>
  </si>
  <si>
    <t>Netz/Folie auflegen und bergen</t>
  </si>
  <si>
    <t>Hacken (extensiv) ein Durchgang</t>
  </si>
  <si>
    <t>KTBL (Öko 2017): S.214</t>
  </si>
  <si>
    <t>Jäten (intensiv) ein Durchgang</t>
  </si>
  <si>
    <t>Kartoffeln legen je ha</t>
  </si>
  <si>
    <t>KTBL Leistungs-Kostenrechnung Pflanzenbau, 2017</t>
  </si>
  <si>
    <t>Kartoffeln Vorkeimen je ha</t>
  </si>
  <si>
    <t>Kartof feln     Ag /ha</t>
  </si>
  <si>
    <t>Akh je Arbeits  gang (Ag)</t>
  </si>
  <si>
    <t>Anhaltswerte Handakh Feld</t>
  </si>
  <si>
    <t xml:space="preserve"> (= eigene Wahlmöglichkeit - t Nutzmasse wirkt sich damit direkt auf die Akh Transport aus)</t>
  </si>
  <si>
    <t>Transportfahrzeug t Nutzmasse</t>
  </si>
  <si>
    <t>Handakh Aufbereitung sonstige Kultur</t>
  </si>
  <si>
    <t>Handakh Aufbereitung Waschmöhre</t>
  </si>
  <si>
    <t>Handakh Aufbereitung Kartoffel</t>
  </si>
  <si>
    <t>Handakh Feld sonstige Kultur</t>
  </si>
  <si>
    <t>nach KTBL (2016/17): S.197 Berechnung abhängig von Akh/ha Bunkerroder mit 2 Sortier Ak</t>
  </si>
  <si>
    <t>Handakh Feld Kartoffel + Roder</t>
  </si>
  <si>
    <t>KTBL ÖKO (2010) S.173, Kombination eigener Werte in Tab.3 mgl.</t>
  </si>
  <si>
    <t>Handakh Feld Möhren</t>
  </si>
  <si>
    <t>Hanfstroh Transport/ein-/auslag.</t>
  </si>
  <si>
    <t>Hanfstroh Transport 15 km</t>
  </si>
  <si>
    <t>Hanfstroh laden</t>
  </si>
  <si>
    <t>aus Dr. Over, Kalk.daten Futterbau</t>
  </si>
  <si>
    <t>Hanf wenden 5,5 m</t>
  </si>
  <si>
    <t>Beregnung Rohre 2x, 4-5x beregnen</t>
  </si>
  <si>
    <t>HN, Himmelhan kann "2x" nicht deuten -&gt; alte Werte übernommen (Benz)</t>
  </si>
  <si>
    <t>HN, Himmelhan</t>
  </si>
  <si>
    <t>Kartoffelsammelroder, 1 r; 1 Sortierkraft, Fest-AK</t>
  </si>
  <si>
    <t>Kalkstreuer 6 m³,15 m, 2t/ha (ab Feld, mit Beladen)</t>
  </si>
  <si>
    <t>Schlepper 185-215 kW, Allrad CVT</t>
  </si>
  <si>
    <t>QUELLEN:</t>
  </si>
  <si>
    <t>Reparaturkosten inkl. Diesel</t>
  </si>
  <si>
    <t>Preis Diesel aktuell  in €/l ohne. Mwst.</t>
  </si>
  <si>
    <t>Agrardiesel aktuell in €/l</t>
  </si>
  <si>
    <t>2) ab 2011 nur der Aufpreis auf den Nennwert. Kosten für den Nennwert werden durch die Dividende abgedeckt</t>
  </si>
  <si>
    <r>
      <rPr>
        <vertAlign val="superscript"/>
        <sz val="10"/>
        <rFont val="Arial"/>
        <family val="2"/>
      </rPr>
      <t>2)</t>
    </r>
    <r>
      <rPr>
        <sz val="10"/>
        <rFont val="Arial"/>
        <family val="2"/>
      </rPr>
      <t xml:space="preserve"> Quelle: LEL intern, Betriebsverhältisse und Buchführungsergebnisse, WJ 2016/17, Getreidebaubetriebe &gt; 100 ha</t>
    </r>
  </si>
  <si>
    <t>incl. PKW</t>
  </si>
  <si>
    <r>
      <t xml:space="preserve">Gemeinkosten </t>
    </r>
    <r>
      <rPr>
        <b/>
        <vertAlign val="superscript"/>
        <sz val="11"/>
        <rFont val="Arial"/>
        <family val="2"/>
      </rPr>
      <t>2)</t>
    </r>
    <r>
      <rPr>
        <vertAlign val="superscript"/>
        <sz val="11"/>
        <rFont val="Arial"/>
        <family val="2"/>
      </rPr>
      <t xml:space="preserve"> </t>
    </r>
  </si>
  <si>
    <t xml:space="preserve"> Positionen 5730, 7700, 5740</t>
  </si>
  <si>
    <t xml:space="preserve">bei Leistungs-niveau </t>
  </si>
  <si>
    <r>
      <t xml:space="preserve">Pachtansatz </t>
    </r>
    <r>
      <rPr>
        <b/>
        <vertAlign val="superscript"/>
        <sz val="11"/>
        <rFont val="Arial"/>
        <family val="2"/>
      </rPr>
      <t>2)</t>
    </r>
  </si>
  <si>
    <t xml:space="preserve"> Position 5765</t>
  </si>
  <si>
    <t>Kostenansätze</t>
  </si>
  <si>
    <t xml:space="preserve">weitere </t>
  </si>
  <si>
    <r>
      <rPr>
        <vertAlign val="superscript"/>
        <sz val="10"/>
        <rFont val="Arial"/>
        <family val="2"/>
      </rPr>
      <t>1)</t>
    </r>
    <r>
      <rPr>
        <sz val="10"/>
        <rFont val="Arial"/>
        <family val="2"/>
      </rPr>
      <t xml:space="preserve"> Anschaffungswert abzüglich Anteil Lohnarbeiten (ca.10-20 %) und Anteil Restwert (ca.15 %)</t>
    </r>
  </si>
  <si>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</si>
  <si>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</si>
  <si>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</si>
  <si>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</si>
  <si>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</si>
  <si>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</si>
  <si>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</si>
  <si>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</si>
  <si>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</si>
  <si>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</si>
  <si>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t xml:space="preserve"> Positionen 5720, 5660</t>
  </si>
  <si>
    <r>
      <t xml:space="preserve">Feste Maschinenkosten  </t>
    </r>
    <r>
      <rPr>
        <b/>
        <vertAlign val="superscript"/>
        <sz val="12"/>
        <rFont val="Arial"/>
        <family val="2"/>
      </rPr>
      <t>2)</t>
    </r>
  </si>
  <si>
    <t>MwSt.Maschinen/Gebäude:</t>
  </si>
  <si>
    <t>Modellbetrieb mit 150 ha Ackerfläche</t>
  </si>
  <si>
    <t>Diese Preise können zum Teil stark von den tatsächlichen Marktpreisen abweichen.</t>
  </si>
  <si>
    <t xml:space="preserve">https://www.landwirtschaft-bw.info/pb/MLR.LEL-SG,Lde/Startseite/Unsere+Themen/Pflanze </t>
  </si>
  <si>
    <t xml:space="preserve">* berechnet auf Basis Nährstoffkosten und nutzbaren Nährstoffmengen. Siehe dazu Anwendung Nährstoffwert-Wirtschaftsdünger (LEL) </t>
  </si>
  <si>
    <t>Schweinegülle 14 % TM- Gehalt: 3,8 kg N/m³, 3,1 kg P2O5/m³, 2,2 kg K2O/m³, 1,8 kg Mg/t</t>
  </si>
  <si>
    <t>Gülle Schwein (m³)*</t>
  </si>
  <si>
    <t>Rindergülle 6,4 % TM- Gehalt: 1,5 kg N/m³, 0,5 kg P2O5/m³, 5,4 kg K2O/m³, 0,5 kg Mg/t</t>
  </si>
  <si>
    <t>Gülle Rind (m³)*</t>
  </si>
  <si>
    <t>Schweinefestmist 28 % TM- Gehalt: 1,6 kg N/t, 2,6 kg P2O5/t, 7,3 kg K2O/t, 1,2 kg Mg/t</t>
  </si>
  <si>
    <t>Festmist Schwein (t)*</t>
  </si>
  <si>
    <t>Rinderfestmist 23 % TM- Gehalt: 0,8 kg N/t, 1,2 kg P2O5/t, 7,4 kg K2O/t, 0,9 kg Mg/t</t>
  </si>
  <si>
    <t>Festmist Rind (t)*</t>
  </si>
  <si>
    <t>Quelle: KTBL ÖKO (2017) S.265</t>
  </si>
  <si>
    <t>Kohlensaurer Kalk (Kalkmergel) 90 % CaO</t>
  </si>
  <si>
    <t>Kalk (kg)</t>
  </si>
  <si>
    <t>Elementarer Schwefel (Gülleschwefel) 98 % S</t>
  </si>
  <si>
    <t>Schwefeldünger (kg)</t>
  </si>
  <si>
    <t>Magnesiumsulfat (z.B. Kieserit) 25 % MgO, 20 % S</t>
  </si>
  <si>
    <t>Magnesiumdünger 25% (kg)</t>
  </si>
  <si>
    <t>Kali-Rohsalz (z.B. Kainit) 11 % K2O, 5 % MgO, 4 % S, 20 % Na</t>
  </si>
  <si>
    <t>Kalidünger 11% (kg)</t>
  </si>
  <si>
    <t>Weicherdiges Rohphosphat 26 % P2O5, 31 % CaO</t>
  </si>
  <si>
    <t>Phosphatdünger 26 % (kg)</t>
  </si>
  <si>
    <t>Quelle: KTBL, Faustzahlen für den Ökolandbau S. 124</t>
  </si>
  <si>
    <t>Düngemittel</t>
  </si>
  <si>
    <t>Quelle: KTBL ÖKO (2017) S.266</t>
  </si>
  <si>
    <t>(Schnecken) 7-50 kg/ha, &gt;2,70 €/kg</t>
  </si>
  <si>
    <t>Eisen-III-Phosphat</t>
  </si>
  <si>
    <t>z.B. Dipel ES (Kartoffelkäferr) 5 l/ha, 17 € je l</t>
  </si>
  <si>
    <t>Bac.thureng. tenebrionis (je Anw.)</t>
  </si>
  <si>
    <t>z.B. Novodor (Maiszünsler) 2l/ha, 72 € je l</t>
  </si>
  <si>
    <t>Bac.thureng. kurstaki (je Anw.)</t>
  </si>
  <si>
    <t>Kupferhydroxid (Kraut und Konllenfäule) 2 l/ha, 22 € je l</t>
  </si>
  <si>
    <t>Kupfer (je Anw.)</t>
  </si>
  <si>
    <t>Azadirachtin (Kartoffelkäfer) 2,5 l/ha, 46 € je l</t>
  </si>
  <si>
    <t>Neempräparat (je Anw.)</t>
  </si>
  <si>
    <r>
      <t xml:space="preserve">Quelle: KTBL, Faustzahlen für den Ökolandbau S. 334 (0,6 </t>
    </r>
    <r>
      <rPr>
        <sz val="11"/>
        <rFont val="Arial"/>
        <family val="2"/>
      </rPr>
      <t xml:space="preserve">€ </t>
    </r>
    <r>
      <rPr>
        <sz val="10"/>
        <rFont val="Arial"/>
        <family val="2"/>
      </rPr>
      <t>je qm)</t>
    </r>
  </si>
  <si>
    <t>bei 4 Anwendungsjahren</t>
  </si>
  <si>
    <t xml:space="preserve">Schutznetz (je Anw.) </t>
  </si>
  <si>
    <t>Quelle: KTBL, Faustzahlen für den Ökolandbau S. 310 (Gaskosten Abflammen)</t>
  </si>
  <si>
    <t xml:space="preserve">zum Abflammen von Unkraut </t>
  </si>
  <si>
    <t>Propangas (je Anw.)</t>
  </si>
  <si>
    <t>Quelle: KTBL, Faustzahlen für den Ökolandbau S. 72 ( Material und eigene Herstellung und Aufbereitung angesetzt, ohne Kosten der Ausbringung)</t>
  </si>
  <si>
    <t>Feldspritzpräparate bei Demeter, ab Rührfass</t>
  </si>
  <si>
    <t>Bio-dyn-Präparate (je Anw.)</t>
  </si>
  <si>
    <t>Bemerkungen zu den aufgeführten Mitteln</t>
  </si>
  <si>
    <t>Preis je Einheit o.MwSt.</t>
  </si>
  <si>
    <t>Pflanzenschutz- und Düngemittel</t>
  </si>
  <si>
    <t>je Monat €/dt</t>
  </si>
  <si>
    <t>Getreidepreis</t>
  </si>
  <si>
    <r>
      <t>Kosten der Lagerhaltung</t>
    </r>
    <r>
      <rPr>
        <b/>
        <sz val="12"/>
        <rFont val="Arial"/>
        <family val="2"/>
      </rPr>
      <t xml:space="preserve"> (Darstellung in Abhängigkeit vom Getreidepreis)</t>
    </r>
  </si>
  <si>
    <t xml:space="preserve"> Einlagerungskosten bei 17 t Stundenleistung mit Zellenradgebläse 7,87 kW-E-Motor 1,12 €/h</t>
  </si>
  <si>
    <t>Quelle: in Anlehnung an DLZ 7/2001, S72 ff.; aktualisiert über Preisindizes des Stat. Bundesamtes (11/2011)</t>
  </si>
  <si>
    <t>Sontige</t>
  </si>
  <si>
    <t>je 1000 €
Versicherungs summe</t>
  </si>
  <si>
    <t>je 1000 €
Versicherungssumme</t>
  </si>
  <si>
    <t xml:space="preserve"> Reinigen + Beizen</t>
  </si>
  <si>
    <t xml:space="preserve"> Berechnungsbeispiel</t>
  </si>
  <si>
    <t>(Stand: 11/2017).</t>
  </si>
  <si>
    <t>Quelle: Saatgut-Treuhandverwaltungs GmbH www.stv-bonn.de/</t>
  </si>
  <si>
    <t>5,11-20</t>
  </si>
  <si>
    <t>8,00-11,40</t>
  </si>
  <si>
    <t>8,20-9,90</t>
  </si>
  <si>
    <t>4,87-33,00</t>
  </si>
  <si>
    <t>Nachbau</t>
  </si>
  <si>
    <t>Semo-BIO Abfrage 11/2018</t>
  </si>
  <si>
    <t>Blühmischung FAKT</t>
  </si>
  <si>
    <t>Sommerwicke</t>
  </si>
  <si>
    <t>Senf</t>
  </si>
  <si>
    <t>10-20</t>
  </si>
  <si>
    <t>Perserklee/Phacelia</t>
  </si>
  <si>
    <t>Soja entölen je dt</t>
  </si>
  <si>
    <t>Analog Öko-Futterbau LEL 2017/18</t>
  </si>
  <si>
    <t>Soja toasten je dt</t>
  </si>
  <si>
    <t>Absacken je dt Getreide (25 kg Säcke &amp; Akh)</t>
  </si>
  <si>
    <t>60-90</t>
  </si>
  <si>
    <t>Getreide Reinigung je dt</t>
  </si>
  <si>
    <t>Grünroggen</t>
  </si>
  <si>
    <t>Getreide Ein und Auslagern je dt (2* 0,35 €)</t>
  </si>
  <si>
    <t>10-14</t>
  </si>
  <si>
    <t>Luzernegras mehrjährig</t>
  </si>
  <si>
    <t>KTBL 2015: Faustzahlen für den Ökologischen Landbau S.668</t>
  </si>
  <si>
    <t xml:space="preserve">Getreide Lagerkosten je Monat/dt </t>
  </si>
  <si>
    <t>25-30</t>
  </si>
  <si>
    <t>Kleegras mehrjährig &lt; 50 % Klee</t>
  </si>
  <si>
    <t>14-40</t>
  </si>
  <si>
    <t>Kleegras einjährig &gt; 70 % Klee</t>
  </si>
  <si>
    <t>KTBL 2015: Faustzahlen für den Ökologischen Landbau S. 333</t>
  </si>
  <si>
    <t>12-16</t>
  </si>
  <si>
    <t>Gerben/Reinigen v. Dinkel je dt</t>
  </si>
  <si>
    <t>KTBL 2017: Leistungs-Kostenrechnung Pflanzenbau</t>
  </si>
  <si>
    <t>KTBL 2017:  Ökologischen Landbau S. 391</t>
  </si>
  <si>
    <t xml:space="preserve">Kartoffeln Lagerung je dt </t>
  </si>
  <si>
    <t>KTBL 2017:  Ökologischen Landbau S. 367</t>
  </si>
  <si>
    <t xml:space="preserve">Kartoffeln sortieren </t>
  </si>
  <si>
    <t>Speisekartoffeln (Sackware)</t>
  </si>
  <si>
    <t>KTBL 2015: Faustzahlen für den Ökologischen Landbau S. 347</t>
  </si>
  <si>
    <t>0,33 U</t>
  </si>
  <si>
    <t>162 €/U</t>
  </si>
  <si>
    <t>1 U</t>
  </si>
  <si>
    <t>Herr Mitschke 09/2017</t>
  </si>
  <si>
    <t>KTBL 2017:  Ökologischen Landbau S. 347</t>
  </si>
  <si>
    <t>120-240</t>
  </si>
  <si>
    <t>KTBL Öko 2017 S.432</t>
  </si>
  <si>
    <t>KTBL 2017:  Ökologischen Landbau S. 361</t>
  </si>
  <si>
    <t>50-200</t>
  </si>
  <si>
    <t>Kartoffeln beizen vs. Rhizoctonia</t>
  </si>
  <si>
    <t>100-180</t>
  </si>
  <si>
    <t>KTBL 2017:  Ökologischen Landbau S. 355</t>
  </si>
  <si>
    <t>70-230</t>
  </si>
  <si>
    <t>KTBL 2017:  Ökologischen Landbau S. 341</t>
  </si>
  <si>
    <t>2 U/ha</t>
  </si>
  <si>
    <t>Sommerfuttergerste</t>
  </si>
  <si>
    <t>KTBL Gemüse (2017) S.371 (97500 Bund/ha = 246,75 h/ha; 97500 Bund/ha = 82,5 t; 1dt = 118 Bund; 118 Bund /ha = 0,3 Akh/ha)</t>
  </si>
  <si>
    <t>KTBL 2017:  Ökologischen Landbau S. 317</t>
  </si>
  <si>
    <t>Sommerbraugerste</t>
  </si>
  <si>
    <t>KTBL 2017:  Ökologischen Landbau S. 322</t>
  </si>
  <si>
    <t>KTBL 2017:  Ökologischen Landbau S. 311</t>
  </si>
  <si>
    <t>Kalkung je dt inkl. Ausbringung</t>
  </si>
  <si>
    <t>KTBL Öko 2017 S.267</t>
  </si>
  <si>
    <t>Beregnung 2,30 €/mm 30 mm je Einheit</t>
  </si>
  <si>
    <t>KTBL Öko 2017 S.358</t>
  </si>
  <si>
    <t>KTBL 2017:  Ökologischen Landbau S. 293</t>
  </si>
  <si>
    <t>Impfung Soja je ha</t>
  </si>
  <si>
    <t>Saatgutkatalog Bioland Markt 2015</t>
  </si>
  <si>
    <t xml:space="preserve">Öko Beize je dt Saatgut </t>
  </si>
  <si>
    <t>150-220</t>
  </si>
  <si>
    <t>Einh/ha</t>
  </si>
  <si>
    <r>
      <t xml:space="preserve">kg/ha bzw.          </t>
    </r>
    <r>
      <rPr>
        <i/>
        <sz val="10"/>
        <rFont val="Arial"/>
        <family val="2"/>
      </rPr>
      <t>Einheit/ ha</t>
    </r>
  </si>
  <si>
    <r>
      <t xml:space="preserve">€/kg bzw. </t>
    </r>
    <r>
      <rPr>
        <i/>
        <sz val="10"/>
        <rFont val="Arial"/>
        <family val="2"/>
      </rPr>
      <t>€/Einheit</t>
    </r>
  </si>
  <si>
    <t>Saatgutpreis ohne Mehrwertsteuer</t>
  </si>
  <si>
    <t>Saatstärke</t>
  </si>
  <si>
    <t>Saatgutpreis</t>
  </si>
  <si>
    <t>Werte unterliegen starken individuellen Schwankungen!</t>
  </si>
  <si>
    <t>Alle Verfahren sind als Lohnverfahren dargestellt</t>
  </si>
  <si>
    <t>Annahmen für Z- Saatgut</t>
  </si>
  <si>
    <t xml:space="preserve">Sonstige variable Kosten </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</si>
  <si>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</si>
  <si>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</si>
  <si>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</si>
  <si>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</si>
  <si>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</si>
  <si>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</si>
  <si>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</si>
  <si>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</si>
  <si>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</si>
  <si>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</si>
  <si>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</si>
  <si>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</si>
  <si>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</si>
  <si>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</si>
  <si>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</si>
  <si>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</si>
  <si>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</si>
  <si>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</si>
  <si>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</si>
  <si>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</si>
  <si>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</si>
  <si>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Kleegras 2jährig, 2mal mulchen /Jahr</t>
  </si>
  <si>
    <t>Luzernegras zweijährig (50:50)</t>
  </si>
  <si>
    <t>kg/dt Ertrag</t>
  </si>
  <si>
    <t>Abfuhr</t>
  </si>
  <si>
    <t>ktbl</t>
  </si>
  <si>
    <t xml:space="preserve">in dt </t>
  </si>
  <si>
    <t>Hauptprodukt entspelzt=</t>
  </si>
  <si>
    <t>Lohndrusch, 2 ha, inkl Entspelzung</t>
  </si>
  <si>
    <t>Lohnsaat,Lohndrusch, 2 ha-Schlag</t>
  </si>
  <si>
    <t>Lohndrusch,  2 ha-Schlag</t>
  </si>
  <si>
    <t>Baden</t>
  </si>
  <si>
    <t xml:space="preserve">2 ha-Schlag, ohne Einlagerung </t>
  </si>
  <si>
    <t xml:space="preserve"> Leistungsniveau in dt/ha</t>
  </si>
  <si>
    <t>2 ha-Schlag, Lohnernte, ab Feld</t>
  </si>
  <si>
    <t>Feingrubber 4,5 m</t>
  </si>
  <si>
    <t>Futterware</t>
  </si>
  <si>
    <t>Saat: Bis 15. Mai (1jährig) bzw. 15. Sept. (überj.), Mulchen ab Sept. bei Anbau einer Winterkultur</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</si>
  <si>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</si>
  <si>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</si>
  <si>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</si>
  <si>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</si>
  <si>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</si>
  <si>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</si>
  <si>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</si>
  <si>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</si>
  <si>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</si>
  <si>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</si>
  <si>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</si>
  <si>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</si>
  <si>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</si>
  <si>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</si>
  <si>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</si>
  <si>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</si>
  <si>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</si>
  <si>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</si>
  <si>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</si>
  <si>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</si>
  <si>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</si>
  <si>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</si>
  <si>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</si>
  <si>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</si>
  <si>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</si>
  <si>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</si>
  <si>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</si>
  <si>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</si>
  <si>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</si>
  <si>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</si>
  <si>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</si>
  <si>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</si>
  <si>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</si>
  <si>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</si>
  <si>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</si>
  <si>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</si>
  <si>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</si>
  <si>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</si>
  <si>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</si>
  <si>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</si>
  <si>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</si>
  <si>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</si>
  <si>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</si>
  <si>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</si>
  <si>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</si>
  <si>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</si>
  <si>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</si>
  <si>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</si>
  <si>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</si>
  <si>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</si>
  <si>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</si>
  <si>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</si>
  <si>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</si>
  <si>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</si>
  <si>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</si>
  <si>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</si>
  <si>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</si>
  <si>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</si>
  <si>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</si>
  <si>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</si>
  <si>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</si>
  <si>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</si>
  <si>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</si>
  <si>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</si>
  <si>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</si>
  <si>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</si>
  <si>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</si>
  <si>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</si>
  <si>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</si>
  <si>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</si>
  <si>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</si>
  <si>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</si>
  <si>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</si>
  <si>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</si>
  <si>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</si>
  <si>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</si>
  <si>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</si>
  <si>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</si>
  <si>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</si>
  <si>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</si>
  <si>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</si>
  <si>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</si>
  <si>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</si>
  <si>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</si>
  <si>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</si>
  <si>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</si>
  <si>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</si>
  <si>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</si>
  <si>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</si>
  <si>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</si>
  <si>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</si>
  <si>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</si>
  <si>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</si>
  <si>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</si>
  <si>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</si>
  <si>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</si>
  <si>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</si>
  <si>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</si>
  <si>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</si>
  <si>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</si>
  <si>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</si>
  <si>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</si>
  <si>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</si>
  <si>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</si>
  <si>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</si>
  <si>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</si>
  <si>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</si>
  <si>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</si>
  <si>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</si>
  <si>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</si>
  <si>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</si>
  <si>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</si>
  <si>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</si>
  <si>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</si>
  <si>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</si>
  <si>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</si>
  <si>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</si>
  <si>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</si>
  <si>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</si>
  <si>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</si>
  <si>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</si>
  <si>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</si>
  <si>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</si>
  <si>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</si>
  <si>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</si>
  <si>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</si>
  <si>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</si>
  <si>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</si>
  <si>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</si>
  <si>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</si>
  <si>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</si>
  <si>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</si>
  <si>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</si>
  <si>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</si>
  <si>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</si>
  <si>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</si>
  <si>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</si>
  <si>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</si>
  <si>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</si>
  <si>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</si>
  <si>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</si>
  <si>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</si>
  <si>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</si>
  <si>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</si>
  <si>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</si>
  <si>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</si>
  <si>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</si>
  <si>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</si>
  <si>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</si>
  <si>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</si>
  <si>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</si>
  <si>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</si>
  <si>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</si>
  <si>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</si>
  <si>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</si>
  <si>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</si>
  <si>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</si>
  <si>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</si>
  <si>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</si>
  <si>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</si>
  <si>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</si>
  <si>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</si>
  <si>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</si>
  <si>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</si>
  <si>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</si>
  <si>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</si>
  <si>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</si>
  <si>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</si>
  <si>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</si>
  <si>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</si>
  <si>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</si>
  <si>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</si>
  <si>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</si>
  <si>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</si>
  <si>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</si>
  <si>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</si>
  <si>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</si>
  <si>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</si>
  <si>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</si>
  <si>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</si>
  <si>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</si>
  <si>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</si>
  <si>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</si>
  <si>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</si>
  <si>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</si>
  <si>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</si>
  <si>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</si>
  <si>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</si>
  <si>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</si>
  <si>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</si>
  <si>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</si>
  <si>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</si>
  <si>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</si>
  <si>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</si>
  <si>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</si>
  <si>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</si>
  <si>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</si>
  <si>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</si>
  <si>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</si>
  <si>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</si>
  <si>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</si>
  <si>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</si>
  <si>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</si>
  <si>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</si>
  <si>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</si>
  <si>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</si>
  <si>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Pauschal bei Biogas (€/dt)</t>
  </si>
  <si>
    <t>Transp. u. Abkip. Getr. 4 t/ha (5,7 t Kipper)</t>
  </si>
  <si>
    <t>Striegel 9 m</t>
  </si>
  <si>
    <t>Kreiselegge-Säkomb. 3 m, mechanisch</t>
  </si>
  <si>
    <t>Aufsatteldrehpflug, 2,10 m</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</si>
  <si>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</si>
  <si>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</si>
  <si>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</si>
  <si>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</si>
  <si>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</si>
  <si>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</si>
  <si>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</si>
  <si>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</si>
  <si>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</si>
  <si>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</si>
  <si>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</si>
  <si>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</si>
  <si>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</si>
  <si>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</si>
  <si>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</si>
  <si>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</si>
  <si>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</si>
  <si>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</si>
  <si>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</si>
  <si>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</si>
  <si>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</si>
  <si>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</si>
  <si>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</si>
  <si>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</si>
  <si>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</si>
  <si>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</si>
  <si>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</si>
  <si>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</si>
  <si>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</si>
  <si>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</si>
  <si>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</si>
  <si>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</si>
  <si>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</si>
  <si>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</si>
  <si>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</si>
  <si>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</si>
  <si>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</si>
  <si>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</si>
  <si>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</si>
  <si>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</si>
  <si>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KTBL (2018/19): S. 73</t>
  </si>
  <si>
    <t>KTBL (2018/19): S. 73 + 78</t>
  </si>
  <si>
    <t>Arbeitsblatt SD3</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</si>
  <si>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</si>
  <si>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</si>
  <si>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</si>
  <si>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</si>
  <si>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</si>
  <si>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</si>
  <si>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</si>
  <si>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</si>
  <si>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</si>
  <si>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</si>
  <si>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</si>
  <si>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</si>
  <si>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</si>
  <si>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</si>
  <si>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</si>
  <si>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</si>
  <si>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</si>
  <si>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</si>
  <si>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</si>
  <si>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</si>
  <si>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r>
      <t xml:space="preserve">Pachtansatz </t>
    </r>
    <r>
      <rPr>
        <b/>
        <vertAlign val="superscript"/>
        <sz val="9"/>
        <rFont val="Arial"/>
        <family val="2"/>
      </rPr>
      <t xml:space="preserve">2) </t>
    </r>
  </si>
  <si>
    <t>Berechnungsgrundlagen (Deckungsbeitrag ohne MwSt.)</t>
  </si>
  <si>
    <t>Hauptprodukt (ohne MwSt)</t>
  </si>
  <si>
    <t>Nebenprodukt (ohne MwSt)</t>
  </si>
  <si>
    <t xml:space="preserve">AMI Ökoprodukte Einkaufspreise des Großhandels und Naturkost-Einzelhandels für Bio-Produkte (Mittelwerte Quartal 1-3, 2019) </t>
  </si>
  <si>
    <t>Prognose 2020</t>
  </si>
  <si>
    <t xml:space="preserve">1) Ein negativer Wert bedeutet hier: Wert der Nährstofflieferung (Stickstoff) ist höher als die Nährstoffabfuhr </t>
  </si>
  <si>
    <r>
      <t xml:space="preserve"> Nährstoffpreis €/kg </t>
    </r>
    <r>
      <rPr>
        <b/>
        <sz val="10"/>
        <rFont val="Arial Narrow"/>
        <family val="2"/>
      </rPr>
      <t xml:space="preserve"> </t>
    </r>
    <r>
      <rPr>
        <b/>
        <sz val="8"/>
        <rFont val="Arial Narrow"/>
        <family val="2"/>
      </rPr>
      <t xml:space="preserve">(DLG/Band202; seit 2017 KTBL) </t>
    </r>
  </si>
  <si>
    <r>
      <t xml:space="preserve"> Erzeugerpreise  €/dt </t>
    </r>
    <r>
      <rPr>
        <b/>
        <sz val="8"/>
        <rFont val="Arial Narrow"/>
        <family val="2"/>
      </rPr>
      <t>(Bioberater, AMI 2016 &amp; KTBL)</t>
    </r>
  </si>
  <si>
    <t>ha oder %</t>
  </si>
  <si>
    <t>AMI Ökoprodukte Einkaufspreise des Großhandels und Naturkost-Einzelhandels für Bio-Produkte; 2019 Mittelwert 2014 - 2018</t>
  </si>
  <si>
    <t>AMI Markt-Bilanz (2017): Öko-Landbau, S.148; 2019 Mittelwert 2014 - 2018</t>
  </si>
  <si>
    <t>Deckungsbeiträge einer konventionellen Fruchtfolge 
Bsp. Fünfgliedrige Fruchtfolge</t>
  </si>
  <si>
    <t>SDÖ1</t>
  </si>
  <si>
    <t>SDÖ3</t>
  </si>
  <si>
    <t>SDÖ4</t>
  </si>
  <si>
    <t>SDÖ5</t>
  </si>
  <si>
    <t xml:space="preserve">     Erzeugerpreise / Nährstoffpreise / Zinsansatz (konventionell)</t>
  </si>
  <si>
    <t xml:space="preserve">     Erzeugerpreise / Nährstoffpreise / Zinsansatz (ökologisch)</t>
  </si>
  <si>
    <r>
      <t xml:space="preserve">     Arbeitsgänge </t>
    </r>
    <r>
      <rPr>
        <sz val="9"/>
        <rFont val="Arial"/>
        <family val="2"/>
      </rPr>
      <t>(var. Maschinenkosten, Arbeitszeitbedarf, Lohnmaschinen) (konventionell)</t>
    </r>
  </si>
  <si>
    <r>
      <t xml:space="preserve">     Arbeitsgänge </t>
    </r>
    <r>
      <rPr>
        <sz val="9"/>
        <rFont val="Arial"/>
        <family val="2"/>
      </rPr>
      <t>(var. Maschinenkosten, Arbeitszeitbedarf, Lohnmaschinen) (ökologisch)</t>
    </r>
  </si>
  <si>
    <t xml:space="preserve">     Festkosten (konventionell)</t>
  </si>
  <si>
    <t xml:space="preserve">     Festkosten (ökologisch)</t>
  </si>
  <si>
    <t xml:space="preserve">     Pflanzenschutzmittel (konventionell)</t>
  </si>
  <si>
    <t xml:space="preserve">     Pflanzenschutzmittel (ökologisch)</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</si>
  <si>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</si>
  <si>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</si>
  <si>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</si>
  <si>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</si>
  <si>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</si>
  <si>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</si>
  <si>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</si>
  <si>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EK2</t>
  </si>
  <si>
    <t>EÖ1</t>
  </si>
  <si>
    <t xml:space="preserve">(SDK1, </t>
  </si>
  <si>
    <t>SDÖ1)</t>
  </si>
  <si>
    <t>(SD2)</t>
  </si>
  <si>
    <t>(SDK3,</t>
  </si>
  <si>
    <t>SDÖ3)</t>
  </si>
  <si>
    <t>Fest-,</t>
  </si>
  <si>
    <t>(SDK4, SDÖ4)</t>
  </si>
  <si>
    <t>(SDK5, SDÖ5)</t>
  </si>
  <si>
    <t>(SD6)</t>
  </si>
  <si>
    <t>(SDK7,</t>
  </si>
  <si>
    <t>Öko-</t>
  </si>
  <si>
    <t>winter-</t>
  </si>
  <si>
    <t>(E1)</t>
  </si>
  <si>
    <t>Ergebnisse / Grafiken</t>
  </si>
  <si>
    <r>
      <rPr>
        <b/>
        <sz val="14"/>
        <rFont val="Arial"/>
        <family val="2"/>
      </rPr>
      <t>3 Ergebnisse und Interpretation zur Kostenrechnung</t>
    </r>
    <r>
      <rPr>
        <sz val="10"/>
        <rFont val="Arial"/>
        <family val="2"/>
      </rPr>
      <t xml:space="preserve">
Die Ergebnisse der einzelnen Produktionsverfahren werden im  Arbeitsblatt Kostenrechnung  angezeigt. Die Auswahl erfolgt über das dunkelgelbe Dropdownfeld am oberen rechten Rand  des Arbeitsblattes. Die Ergebnisse der einzelnen  Produktionsverfahren werden im  Arbeitsblatt Kostenrechnung  angezeigt. Seit diesem Jahr lassen sich hier sowohl konventionelle als auch ökologische Marktfrüchte auswählen und somit direkt gegebenüberstellen.
</t>
    </r>
  </si>
  <si>
    <t>Kartoffeln  Ag/ha</t>
  </si>
  <si>
    <t>Robert Schätzl LfL Bayern (06.11.2019)</t>
  </si>
  <si>
    <t>Marktfrüchte Konventionell</t>
  </si>
  <si>
    <t>SDK1</t>
  </si>
  <si>
    <t>SDK3</t>
  </si>
  <si>
    <t>SDK4</t>
  </si>
  <si>
    <t>SDK5</t>
  </si>
  <si>
    <t>SDK7</t>
  </si>
  <si>
    <t>Öko-Wintergerste</t>
  </si>
  <si>
    <t>Kleegras 1jährig, 2mal mulchen</t>
  </si>
  <si>
    <t>Luzernegras 1jährig, 2mal mulchen</t>
  </si>
  <si>
    <t>Luzernegras 2jährig, 2mal mulchen/Jahr</t>
  </si>
  <si>
    <t>… Wert aller durch die Ernteprodukte abgefahrener Nährstoffe (Preis: siehe oben)</t>
  </si>
  <si>
    <t>Entzug/Nebenprodukt (z. B. Stroh)</t>
  </si>
  <si>
    <t>Martin Schägger LfL Bayern (AMI/ZMP; Preise "frei Rampe") (02.12.2019)</t>
  </si>
  <si>
    <t xml:space="preserve">Fruchtfolge ø </t>
  </si>
  <si>
    <t>Blühm.</t>
  </si>
  <si>
    <t>Entspelzen je dt</t>
  </si>
  <si>
    <t>Dammkulturgerät mit Säeinheit(3m)</t>
  </si>
  <si>
    <t>Dammhackgerät 3m</t>
  </si>
  <si>
    <t>Abflammgerät, 3m (ohne Gas)</t>
  </si>
  <si>
    <t>Atlantis Flex + Biopower</t>
  </si>
  <si>
    <t>Aviator Xpro</t>
  </si>
  <si>
    <t>Fandango</t>
  </si>
  <si>
    <t>Biathlon 4D +Dash</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</si>
  <si>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</si>
  <si>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</si>
  <si>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</si>
  <si>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</si>
  <si>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</si>
  <si>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</si>
  <si>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</si>
  <si>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</si>
  <si>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</si>
  <si>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</si>
  <si>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</si>
  <si>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</si>
  <si>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</si>
  <si>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</si>
  <si>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</si>
  <si>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</si>
  <si>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</si>
  <si>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</si>
  <si>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</si>
  <si>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KTBL 20/21</t>
  </si>
  <si>
    <t>(Datengrundlage MR 2021)</t>
  </si>
  <si>
    <t>Mähkomb. Heck/Front  (6,2 m mit Aufbereiter)</t>
  </si>
  <si>
    <t>Heu / Silage Basis Trockenmasse</t>
  </si>
  <si>
    <t>Betanal Tandem + Mero</t>
  </si>
  <si>
    <t>Revytrex</t>
  </si>
  <si>
    <t>Comet</t>
  </si>
  <si>
    <t>Arrat + Dash</t>
  </si>
  <si>
    <t>Mospilan SG</t>
  </si>
  <si>
    <t>Metafol SC</t>
  </si>
  <si>
    <t>Amistar Gold</t>
  </si>
  <si>
    <t>Wildpflanzenmischung</t>
  </si>
  <si>
    <t>Univoq</t>
  </si>
  <si>
    <t>Preise: Stand 2022; Diese Liste ist beispielhaft und erhebt keinen Anspruch auf Vollständigkeit.</t>
  </si>
  <si>
    <t>Quelle: Vereinigte Hagelversicherung VVaG; Bezirksdirektion Stuttgart 04/2022.</t>
  </si>
  <si>
    <t>ᴓ 2022</t>
  </si>
  <si>
    <t>Kraftstoffpreis</t>
  </si>
  <si>
    <t>Quelle 2022</t>
  </si>
  <si>
    <t>Quelle 2016-2021</t>
  </si>
  <si>
    <t>Kommentar (zu 21?)</t>
  </si>
  <si>
    <t>Quelle: KTBL Datensammlung, Betriebsplanung Landwirtschaft 2020/2021</t>
  </si>
  <si>
    <t>Quelle: BayWa AG 12/2022</t>
  </si>
  <si>
    <t>A2 Silageverzicht im gesamten Betrieb (Heumilch)</t>
  </si>
  <si>
    <t>D2 Ökolandbau - Einführung - Acker und Grünland</t>
  </si>
  <si>
    <t>D2 Ökolandbau - Einführung - Gartenbau</t>
  </si>
  <si>
    <t>D2 Ökolandbau - Einführung - Dauerkulturen</t>
  </si>
  <si>
    <t>D2 Ökolandbau - Beibehaltung - Acker und Grünland</t>
  </si>
  <si>
    <t>D2 Ökolandbau - Beibehaltung - Gartenbau</t>
  </si>
  <si>
    <t>D2 Ökolandbau - Beibehaltung - Dauerkulturen</t>
  </si>
  <si>
    <t>E1.2 Begrünungsmischungen im Acker-/Gartenbau</t>
  </si>
  <si>
    <t>E3 Herbizidverzicht im Ackerbau</t>
  </si>
  <si>
    <t>E4 Ausbringung von Trichogramma bei Mais</t>
  </si>
  <si>
    <t>E7 Anlage von Blüh-, Brut- und Rückzugsflächen</t>
  </si>
  <si>
    <t>E8 Brachebegrünung mit mehrjährigen Blühmischungen</t>
  </si>
  <si>
    <t>E9 Anbau von Mais mit Gemengepartnern (Stangenbohnen)</t>
  </si>
  <si>
    <t>E10 Mehrjähriger leguminosenbetonter Ackerfutterbau</t>
  </si>
  <si>
    <t>E12 Fungizidverzicht im Winterweizen-, - dinkel, - triticaleanbau bis zum Ährenschieben (EC 49)</t>
  </si>
  <si>
    <t>E13.1 Erweiterter Drillreihenabstand in Getreide (Lichtäcker)</t>
  </si>
  <si>
    <t>E13.2 Erweiterter Drillreihenabstand mit blühender Untersaat in Getreide</t>
  </si>
  <si>
    <t>E14 Extensive Biomassepflanzen: Mehrjährige artenreiche Wildpflanzenmischungen</t>
  </si>
  <si>
    <t>E15 Extensive Biomassepflanzen: Streifenanbau aus mehrjährigen Biomassepflanzen und Wildpflanzenmischungen</t>
  </si>
  <si>
    <t>F3 Precision Farming (teilflächenspezifische N-Düngung)</t>
  </si>
  <si>
    <t>F4 Reduzierte Bodenbearbeitung mit Strip Till-Verfahren</t>
  </si>
  <si>
    <t>ÖR1 - 1a) zusätzliche Stilllegung AL +1%</t>
  </si>
  <si>
    <t>ÖR1 - 1a) zusätzliche Stilllegung AL +2%</t>
  </si>
  <si>
    <t>ÖR1 - 1a) zusätzliche Stilllegung AL +3%</t>
  </si>
  <si>
    <t>ÖR1 - 1b) Blühstreifen/-flächen AL</t>
  </si>
  <si>
    <t>ÖR1 - 1c) Blühstreifen/-flächen in DK</t>
  </si>
  <si>
    <t>ÖR1 - 1d) Altgrasstreifen 1%</t>
  </si>
  <si>
    <t>ÖR1 - 1d) Altgrasstreifen 2%</t>
  </si>
  <si>
    <t>ÖR1 - 1d) Altgrasstreifen 3-6%</t>
  </si>
  <si>
    <t>ÖR2 - Vielfältige FF</t>
  </si>
  <si>
    <t>ÖR4 - Extensives Grünland</t>
  </si>
  <si>
    <t>ÖR3 - Agroforst</t>
  </si>
  <si>
    <t>ÖR6 - Verzicht auf chem.-synth. Pflanzenschutz</t>
  </si>
  <si>
    <t>ÖR7 - Natura 2000</t>
  </si>
  <si>
    <t>ÖR5 - DGL 4 Kennarten</t>
  </si>
  <si>
    <t>303 - 404</t>
  </si>
  <si>
    <t>88 - 110</t>
  </si>
  <si>
    <t>100 - 125</t>
  </si>
  <si>
    <t>38,4 - 54,4</t>
  </si>
  <si>
    <t>73 - 91,25</t>
  </si>
  <si>
    <t>84 - 105</t>
  </si>
  <si>
    <t>60 - 75</t>
  </si>
  <si>
    <t>77 - 97</t>
  </si>
  <si>
    <t>256 - 288</t>
  </si>
  <si>
    <t>5,10 - 21,2</t>
  </si>
  <si>
    <t>55,35 - 73,80</t>
  </si>
  <si>
    <t>90 - 112,5</t>
  </si>
  <si>
    <t>Quelle: BayWa Saatgut Agrar 12/2022, Südzucker 12/2022</t>
  </si>
  <si>
    <t>Quelle 2021-2022</t>
  </si>
  <si>
    <t>AMI</t>
  </si>
  <si>
    <t>Kommentar (zu 22)</t>
  </si>
  <si>
    <t xml:space="preserve"> Nicht-verfahrensabhängige Prämien in €/ha</t>
  </si>
  <si>
    <t>AZL Berggebiet - EMZ 20,0 bis 24,9</t>
  </si>
  <si>
    <t>AZL Berggebiet - EMZ 25,0 bis 29,9</t>
  </si>
  <si>
    <t>AZL Berggebiet - EMZ 30,0 bis 34,9</t>
  </si>
  <si>
    <t>AZL Berggebiet - EMZ ab 35,0</t>
  </si>
  <si>
    <t>AZL andere Gebiete - EMZ bis 24,9</t>
  </si>
  <si>
    <t>AZL andere Gebiete - EMZ 25,0 bis 29,9</t>
  </si>
  <si>
    <t>AZL andere Gebiete - EMZ 30,0 bis 34,9</t>
  </si>
  <si>
    <t>AZL andere Gebiete - EMZ 35,0 bis 39,9</t>
  </si>
  <si>
    <t>AZL andere Gebiete - EMZ 40,0 bis 46,6</t>
  </si>
  <si>
    <t>Aus anderen spezifischen Gründen benachteiligte Gebiete</t>
  </si>
  <si>
    <t>Umverteilungsprämie: Hektar 1- 40: ca. 69 €/ha; Hektar 41 – 60: ca. 41 €/ha</t>
  </si>
  <si>
    <t>Junglandwirtprämie (bis 120 ha): 134 €</t>
  </si>
  <si>
    <t>132 €/ U</t>
  </si>
  <si>
    <t>240 €/U</t>
  </si>
  <si>
    <t>8,50-11,65</t>
  </si>
  <si>
    <t>n.b.</t>
  </si>
  <si>
    <t>Die EGFL (1.Säule) besteht seit 2023 aus Sektorprogrammen, gekoppelten Tierprämien, Einkommensgrundstützung für Junglandwirte, Umverteilungsprämie, Einkommensgrundstützung und Ökoregelungen.</t>
  </si>
  <si>
    <r>
      <rPr>
        <b/>
        <sz val="14"/>
        <rFont val="Arial"/>
        <family val="2"/>
      </rPr>
      <t>FAKT-Verfahrensspezifische Ausgleichsleistungen in €/ha</t>
    </r>
    <r>
      <rPr>
        <sz val="10"/>
        <rFont val="Arial"/>
        <family val="2"/>
      </rPr>
      <t xml:space="preserve">
aus dem Förderprogramm für Agrarumwelt, Klimaschutz und Tierwohl. 
</t>
    </r>
    <r>
      <rPr>
        <b/>
        <sz val="14"/>
        <rFont val="Arial"/>
        <family val="2"/>
      </rPr>
      <t>und Öko-Regelungen in €/ha</t>
    </r>
  </si>
  <si>
    <t>Prämien aus EGFL in €/ha</t>
  </si>
  <si>
    <t>Einkommensgrundstützung</t>
  </si>
  <si>
    <r>
      <rPr>
        <vertAlign val="superscript"/>
        <sz val="10"/>
        <rFont val="Arial"/>
        <family val="2"/>
      </rPr>
      <t xml:space="preserve">1) </t>
    </r>
    <r>
      <rPr>
        <sz val="10"/>
        <rFont val="Arial"/>
        <family val="2"/>
      </rPr>
      <t>EMZ: Ertragsmesszahl der Gemarkung</t>
    </r>
  </si>
  <si>
    <r>
      <rPr>
        <vertAlign val="superscript"/>
        <sz val="10"/>
        <rFont val="Arial"/>
        <family val="2"/>
      </rPr>
      <t>3)</t>
    </r>
    <r>
      <rPr>
        <sz val="10"/>
        <rFont val="Arial"/>
        <family val="2"/>
      </rPr>
      <t xml:space="preserve"> Individuell wählbare Prämienhöhe</t>
    </r>
  </si>
  <si>
    <r>
      <rPr>
        <vertAlign val="superscript"/>
        <sz val="10"/>
        <rFont val="Arial"/>
        <family val="2"/>
      </rPr>
      <t xml:space="preserve">2) </t>
    </r>
    <r>
      <rPr>
        <sz val="10"/>
        <rFont val="Arial"/>
        <family val="2"/>
      </rPr>
      <t>Berechnung auf Grundlage einer Betriebsgröße von 50 ha (Durchschnittlicher Haupterwerbsbetrieb in BaWü, StaLa '22)</t>
    </r>
  </si>
  <si>
    <t>Quelle: Saatgutfirmen und KTBL- Datensammlung Ökologischer Landbau (Stand 12.2022)</t>
  </si>
  <si>
    <t xml:space="preserve"> Prämien aus 1. Säule [€/ha]</t>
  </si>
  <si>
    <r>
      <t xml:space="preserve">Umverteilungsprämie </t>
    </r>
    <r>
      <rPr>
        <vertAlign val="superscript"/>
        <sz val="12"/>
        <rFont val="Arial"/>
        <family val="2"/>
      </rPr>
      <t>2)</t>
    </r>
  </si>
  <si>
    <r>
      <t xml:space="preserve">Junglandwirtprämie </t>
    </r>
    <r>
      <rPr>
        <vertAlign val="superscript"/>
        <sz val="12"/>
        <rFont val="Arial"/>
        <family val="2"/>
      </rPr>
      <t>2)</t>
    </r>
  </si>
  <si>
    <r>
      <t xml:space="preserve">Individuelle Prämienhöhe </t>
    </r>
    <r>
      <rPr>
        <vertAlign val="superscript"/>
        <sz val="10"/>
        <rFont val="Arial"/>
        <family val="2"/>
      </rPr>
      <t>3)</t>
    </r>
  </si>
  <si>
    <r>
      <t xml:space="preserve">AZL Berggebiet - EMZ </t>
    </r>
    <r>
      <rPr>
        <vertAlign val="superscript"/>
        <sz val="12"/>
        <rFont val="Arial"/>
        <family val="2"/>
      </rPr>
      <t>1)</t>
    </r>
    <r>
      <rPr>
        <sz val="12"/>
        <rFont val="Arial"/>
        <family val="2"/>
      </rPr>
      <t xml:space="preserve"> bis 19,9</t>
    </r>
  </si>
  <si>
    <t>Umverteilungsprämie 2)</t>
  </si>
  <si>
    <t>Junglandwirtprämie 2)</t>
  </si>
  <si>
    <t>Stand: 12-2022</t>
  </si>
  <si>
    <t xml:space="preserve">Deckungsbeiträge einer konventionellen Fruchtfolge 
</t>
  </si>
  <si>
    <t xml:space="preserve">Deckungsbeiträge einer ökologischen Fruchtfolge 
</t>
  </si>
  <si>
    <t>3-Jahres-Mittel oder eigener Wert</t>
  </si>
  <si>
    <t>3 Jahres -
 Mittelwert oder eigener Wert</t>
  </si>
  <si>
    <t>Substanzverlust berücksichtigen</t>
  </si>
  <si>
    <t>,</t>
  </si>
  <si>
    <t>Fuego Top</t>
  </si>
  <si>
    <t xml:space="preserve">Butisan </t>
  </si>
  <si>
    <t>aktualisiert 17.10.2017 Quelle: LTZ Augustenberg; Kerstin Hüsgen</t>
  </si>
  <si>
    <t>nach Stammdatensammlung: Düngung BW (Stand 05.07.2021) Nährstoffvergleich/Stoffstrombilanz</t>
  </si>
  <si>
    <t>*LEL Kalkulationsdaten Marktfruchtbau 2022</t>
  </si>
  <si>
    <t>Abfuhr Haupt und Nebenernteprodukt [kg/dt]</t>
  </si>
  <si>
    <t>N Fixierung [kg/dt]</t>
  </si>
  <si>
    <r>
      <rPr>
        <b/>
        <sz val="14"/>
        <rFont val="Arial"/>
        <family val="2"/>
      </rPr>
      <t>2 Auswahl und Eingabe</t>
    </r>
    <r>
      <rPr>
        <sz val="10"/>
        <rFont val="Arial"/>
        <family val="2"/>
      </rPr>
      <t xml:space="preserve">
</t>
    </r>
    <r>
      <rPr>
        <b/>
        <sz val="10"/>
        <rFont val="Arial"/>
        <family val="2"/>
      </rPr>
      <t xml:space="preserve">
2.1 Auswahl der Arbeitsblätter</t>
    </r>
    <r>
      <rPr>
        <sz val="10"/>
        <rFont val="Arial"/>
        <family val="2"/>
      </rPr>
      <t xml:space="preserve"> 
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Im Arbeitsblatt E1 können Verfahren konventioneller und ökologischer Wirtschaftsweise ausgewählt werden.
In EK1 und 2 bzw. EÖ1 und 2 sind beispielhafte Deckungsbeiträge konventioneller bzw. ökologischer Fruchtfolgen veranschaulicht, welche sich wiederum individuell anpassen lassen.
Bei den Arbeitsblättern zu den Stammdaten ist nun grundsätzlich zwischen konventionell (z.B. SDK1) und ökologisch (z.B. SDÖ1) zu unterscheiden. Bei Stammdaten ohne eine derartige Endung (z.B. SD2) gibt es keine Unterscheidung zwischen konventionell und ökologisch. 
Im Blatt Kostenrechnung können nun sowohl konventionelle als auch ökologische Marktfrüchte ausgewählt und somit gegebenübergestellt werden.
</t>
    </r>
  </si>
  <si>
    <t xml:space="preserve">Die Kalkulationsdaten dienen als Beratungshilfe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Neuerungen seit Veröffentlichung der 2018er Version:
1. Die Kalkulationsdaten für konventionell und ökologisch erwirtschaftete Martkfrüchte sind seit diesem Jahr zusammengeführt. 
2. Aufnahme der neuen GAP 2023
3. Aufnahme der neuen FAKT-Maßnahmen 2023
</t>
  </si>
  <si>
    <r>
      <rPr>
        <b/>
        <sz val="10"/>
        <rFont val="Arial"/>
        <family val="2"/>
      </rPr>
      <t xml:space="preserve">2.2 Dateneingabe </t>
    </r>
    <r>
      <rPr>
        <sz val="10"/>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Des weiteren gibt es dunkelgelbe Felder, die mit Listen hinterlegt sind. Aus diesen können entsprechende Einträge ausgewählt werden können.</t>
    </r>
  </si>
  <si>
    <t xml:space="preserve">Die Listen werden angezeigt, indem das entsprechende Feld mit dem Cursor aktiviert wird.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Die variablen Kosten für Düngung, Trocknung und  Hagelversicherung werden dabei automatisch angepasst. Hier sind lediglich die Kostenannahmen in den gelben Feldern zu  überprüfen und gegebenenfalls zu ändern. 
Ansonsten sind vor allem die verschiedenen FAKT-Maßnahmen, der Pflanzenschutzaufwand und die Arbeitsgänge den individuellen Verhältnissen anzupassen. 
</t>
  </si>
  <si>
    <t xml:space="preserve">Schwäbisch Gmünd, </t>
  </si>
  <si>
    <t>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</si>
</sst>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quot;€&quot;"/>
    <numFmt numFmtId="194" formatCode="0.00\ &quot;€/h&quot;"/>
    <numFmt numFmtId="195" formatCode="0\ &quot;h/a&quot;"/>
    <numFmt numFmtId="196" formatCode="#,##0\ &quot;t&quot;"/>
    <numFmt numFmtId="197" formatCode="_-* #,##0.00\ [$€-1]_-;\-* #,##0.00\ [$€-1]_-;_-* &quot;-&quot;??\ [$€-1]_-"/>
    <numFmt numFmtId="198" formatCode="0.00&quot; t/m³&quot;"/>
    <numFmt numFmtId="199" formatCode="0.00&quot; dt/ha&quot;"/>
    <numFmt numFmtId="200" formatCode="0.00\ "/>
    <numFmt numFmtId="201" formatCode="#,##0__;#,##0__;[Black]#,##0__"/>
    <numFmt numFmtId="202" formatCode="0.00&quot; €/dt&quot;"/>
    <numFmt numFmtId="203" formatCode="0.00&quot;    &quot;\ "/>
    <numFmt numFmtId="204" formatCode="#,##0\ &quot;€/ha&quot;"/>
    <numFmt numFmtId="205" formatCode="0.00&quot; €/AKh&quot;"/>
    <numFmt numFmtId="206" formatCode="0.0\ \ "/>
    <numFmt numFmtId="207" formatCode="&quot;Stand:&quot;\ dd/mm/yy"/>
    <numFmt numFmtId="208" formatCode="0\ &quot;Mon.&quot;"/>
    <numFmt numFmtId="209" formatCode="0.0&quot;%&quot;"/>
    <numFmt numFmtId="210" formatCode="#,##0\ \ \ "/>
    <numFmt numFmtId="211" formatCode="#,##0.00\ \ \ \ \ \ "/>
    <numFmt numFmtId="212" formatCode="0.0\ "/>
    <numFmt numFmtId="213" formatCode="0.0\ \ \ \ \ "/>
    <numFmt numFmtId="214" formatCode="General\ \ \ \ \ \ \ \ "/>
    <numFmt numFmtId="215" formatCode="0\ \ \ \ "/>
    <numFmt numFmtId="216" formatCode="[Blue]\+0;[Red]\-0"/>
    <numFmt numFmtId="217" formatCode="0.0\ \ \ \ "/>
    <numFmt numFmtId="218" formatCode="0\ &quot;%&quot;"/>
    <numFmt numFmtId="219" formatCode="0.0000"/>
    <numFmt numFmtId="220" formatCode="0.000"/>
    <numFmt numFmtId="221" formatCode="#,##0\ &quot;€/ha&quot;;[Red]\-#,##0\ &quot;€&quot;"/>
    <numFmt numFmtId="222" formatCode="#,##0.00\ &quot;€/t FM&quot;;[Red]\-#,##0.00\ &quot;€&quot;"/>
    <numFmt numFmtId="223" formatCode="#,##0.0\ &quot;t TM / ha&quot;;[Red]\-#,##0.000\ &quot;€&quot;"/>
    <numFmt numFmtId="224" formatCode="#,##0\ .00\ &quot;€/kg&quot;;#,##0.00;[White]0"/>
    <numFmt numFmtId="225" formatCode="#,##0.0\ &quot;t FM / ha&quot;;[Red]\-#,##0.000\ &quot;€&quot;"/>
    <numFmt numFmtId="226" formatCode="#,##0\ ;[Red]\-#,##0;[White]0"/>
    <numFmt numFmtId="227" formatCode="#,##0.0\ &quot;€&quot;;[Red]\-#,##0.0\ &quot;€&quot;"/>
    <numFmt numFmtId="228" formatCode="0\ &quot;€&quot;;\-0\ &quot;€&quot;;[White]0\ &quot;€&quot;"/>
    <numFmt numFmtId="229" formatCode="#,##0\ &quot;€/ha&quot;;[Red]\-#,##0\ &quot;€&quot;;[White]0"/>
    <numFmt numFmtId="230" formatCode="#,##0.00;#,##0.00;[White]0"/>
    <numFmt numFmtId="231" formatCode="#,##0.00\ &quot;€/m³,km&quot;;[Red]\-#,##0.00\ &quot;€&quot;"/>
    <numFmt numFmtId="232" formatCode="0.0\ &quot;km&quot;"/>
    <numFmt numFmtId="233" formatCode="#,##0.00\ &quot;€/m³&quot;;[Red]\-#,##0.00\ &quot;€&quot;"/>
    <numFmt numFmtId="234" formatCode="#,##0\ &quot;m³/ha&quot;"/>
    <numFmt numFmtId="235" formatCode="#,##0\ &quot;m³ / ha&quot;;[Red]\-#,##0.00\ &quot;€&quot;"/>
    <numFmt numFmtId="236" formatCode="\+#,##0\ &quot;€/ha&quot;;[Red]\-#,##0\ &quot;€&quot;;[White]0"/>
    <numFmt numFmtId="237" formatCode="0.00\ &quot;€/m³&quot;"/>
    <numFmt numFmtId="238" formatCode="&quot;ca.&quot;\ 0"/>
    <numFmt numFmtId="239" formatCode="#,##0.00\ &quot;€ / Akh&quot;;\-\ #,##0.00\ &quot;€/dt&quot;;\ 0.0"/>
    <numFmt numFmtId="240" formatCode="#,##0\ &quot;kg / m³&quot;;[Red]\-#,##0.00\ &quot;€&quot;"/>
    <numFmt numFmtId="241" formatCode="0__;0;[White]0"/>
    <numFmt numFmtId="242" formatCode="#,##0.0\ "/>
  </numFmts>
  <fonts count="192">
    <font>
      <sz val="11"/>
      <color theme="1"/>
      <name val="Arial"/>
      <family val="2"/>
    </font>
    <font>
      <sz val="10"/>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8"/>
      <color indexed="10"/>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b/>
      <sz val="8"/>
      <color indexed="10"/>
      <name val="Arial Narrow"/>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sz val="9"/>
      <name val="Arial Narrow"/>
      <family val="2"/>
    </font>
    <font>
      <u/>
      <sz val="8"/>
      <name val="Arial"/>
      <family val="2"/>
    </font>
    <font>
      <sz val="8"/>
      <color rgb="FFFF0000"/>
      <name val="Arial"/>
      <family val="2"/>
    </font>
    <font>
      <sz val="10"/>
      <color rgb="FFFF0000"/>
      <name val="Arial"/>
      <family val="2"/>
    </font>
    <font>
      <b/>
      <sz val="9"/>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10"/>
      <color rgb="FF000000"/>
      <name val="Inherit"/>
    </font>
    <font>
      <b/>
      <sz val="9"/>
      <name val="Symbol"/>
      <family val="1"/>
      <charset val="2"/>
    </font>
    <font>
      <sz val="8"/>
      <color indexed="9"/>
      <name val="Arial"/>
      <family val="2"/>
    </font>
    <font>
      <b/>
      <sz val="8"/>
      <name val="Arial Narrow"/>
      <family val="2"/>
    </font>
    <font>
      <b/>
      <i/>
      <sz val="9"/>
      <name val="Arial"/>
      <family val="2"/>
    </font>
    <font>
      <vertAlign val="superscript"/>
      <sz val="8"/>
      <name val="Arial"/>
      <family val="2"/>
    </font>
    <font>
      <b/>
      <sz val="10"/>
      <color indexed="10"/>
      <name val="Arial"/>
      <family val="2"/>
    </font>
    <font>
      <b/>
      <sz val="15"/>
      <name val="Arial"/>
      <family val="2"/>
    </font>
    <font>
      <sz val="10"/>
      <color indexed="8"/>
      <name val="Arial"/>
      <family val="2"/>
    </font>
    <font>
      <b/>
      <sz val="10"/>
      <color indexed="8"/>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b/>
      <vertAlign val="superscript"/>
      <sz val="9"/>
      <name val="Arial"/>
      <family val="2"/>
    </font>
    <font>
      <sz val="11"/>
      <color indexed="9"/>
      <name val="Arial"/>
      <family val="2"/>
    </font>
    <font>
      <sz val="10"/>
      <color indexed="47"/>
      <name val="Cambria"/>
      <family val="1"/>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10"/>
      <name val="Arial "/>
    </font>
    <font>
      <i/>
      <sz val="8"/>
      <color indexed="10"/>
      <name val="Arial"/>
      <family val="2"/>
    </font>
    <font>
      <sz val="9"/>
      <color indexed="10"/>
      <name val="Arial"/>
      <family val="2"/>
    </font>
    <font>
      <b/>
      <vertAlign val="superscript"/>
      <sz val="11"/>
      <name val="Arial"/>
      <family val="2"/>
    </font>
    <font>
      <u/>
      <sz val="14"/>
      <color indexed="12"/>
      <name val="Arial"/>
      <family val="2"/>
    </font>
    <font>
      <strike/>
      <sz val="10"/>
      <name val="Arial"/>
      <family val="2"/>
    </font>
    <font>
      <sz val="10"/>
      <color rgb="FF00B05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
      <sz val="10"/>
      <color rgb="FF000000"/>
      <name val="Times New Roman"/>
      <family val="1"/>
    </font>
    <font>
      <sz val="10"/>
      <color rgb="FF000000"/>
      <name val="Times New Roman"/>
      <family val="1"/>
    </font>
    <font>
      <sz val="9"/>
      <color rgb="FFFF0000"/>
      <name val="Arial"/>
      <family val="2"/>
    </font>
    <font>
      <sz val="11"/>
      <color rgb="FFFF0000"/>
      <name val="Arial"/>
      <family val="2"/>
    </font>
    <font>
      <b/>
      <i/>
      <sz val="12"/>
      <color rgb="FFFF0000"/>
      <name val="Arial"/>
      <family val="2"/>
    </font>
    <font>
      <b/>
      <sz val="10"/>
      <color rgb="FFFF0000"/>
      <name val="Arial"/>
      <family val="2"/>
    </font>
    <font>
      <sz val="12"/>
      <color rgb="FFFF0000"/>
      <name val="Arial"/>
      <family val="2"/>
    </font>
    <font>
      <sz val="9"/>
      <color indexed="81"/>
      <name val="Segoe UI"/>
      <charset val="1"/>
    </font>
    <font>
      <b/>
      <sz val="9"/>
      <color indexed="81"/>
      <name val="Segoe UI"/>
      <charset val="1"/>
    </font>
  </fonts>
  <fills count="62">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solid">
        <fgColor rgb="FFFFFFFF"/>
        <bgColor indexed="64"/>
      </patternFill>
    </fill>
    <fill>
      <patternFill patternType="gray0625">
        <bgColor rgb="FFFFFF99"/>
      </patternFill>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rgb="FFCCFFCC"/>
        <bgColor indexed="64"/>
      </patternFill>
    </fill>
    <fill>
      <patternFill patternType="solid">
        <fgColor theme="8" tint="0.39994506668294322"/>
        <bgColor indexed="64"/>
      </patternFill>
    </fill>
    <fill>
      <patternFill patternType="solid">
        <fgColor rgb="FF99FF99"/>
        <bgColor indexed="64"/>
      </patternFill>
    </fill>
    <fill>
      <patternFill patternType="solid">
        <fgColor rgb="FF33CC33"/>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s>
  <borders count="300">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8"/>
      </right>
      <top/>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thin">
        <color theme="1"/>
      </right>
      <top/>
      <bottom/>
      <diagonal/>
    </border>
    <border>
      <left style="thin">
        <color theme="1"/>
      </left>
      <right/>
      <top/>
      <bottom/>
      <diagonal/>
    </border>
  </borders>
  <cellStyleXfs count="181">
    <xf numFmtId="0" fontId="0" fillId="0" borderId="0"/>
    <xf numFmtId="0" fontId="4" fillId="0" borderId="0"/>
    <xf numFmtId="0" fontId="7" fillId="0" borderId="0" applyNumberFormat="0" applyFill="0" applyBorder="0" applyAlignment="0" applyProtection="0">
      <alignment vertical="top"/>
      <protection locked="0"/>
    </xf>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3" fillId="23" borderId="4" applyNumberFormat="0" applyAlignment="0" applyProtection="0"/>
    <xf numFmtId="0" fontId="24" fillId="23" borderId="5" applyNumberFormat="0" applyAlignment="0" applyProtection="0"/>
    <xf numFmtId="4" fontId="9" fillId="0" borderId="3"/>
    <xf numFmtId="165" fontId="9" fillId="0" borderId="6">
      <protection locked="0"/>
    </xf>
    <xf numFmtId="165" fontId="9" fillId="0" borderId="6">
      <protection locked="0"/>
    </xf>
    <xf numFmtId="165" fontId="9" fillId="0" borderId="6">
      <protection locked="0"/>
    </xf>
    <xf numFmtId="165" fontId="9" fillId="0" borderId="6">
      <protection locked="0"/>
    </xf>
    <xf numFmtId="0" fontId="25" fillId="10" borderId="5" applyNumberFormat="0" applyAlignment="0" applyProtection="0"/>
    <xf numFmtId="4" fontId="9" fillId="24" borderId="0">
      <alignment horizontal="right" vertical="center" shrinkToFit="1"/>
      <protection locked="0"/>
    </xf>
    <xf numFmtId="0" fontId="26" fillId="0" borderId="7" applyNumberFormat="0" applyFill="0" applyAlignment="0" applyProtection="0"/>
    <xf numFmtId="0" fontId="27" fillId="0" borderId="0" applyNumberForma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4" fontId="9" fillId="0" borderId="0" applyFont="0" applyFill="0" applyBorder="0" applyAlignment="0" applyProtection="0"/>
    <xf numFmtId="167" fontId="6" fillId="0" borderId="8">
      <alignment horizontal="center" vertical="center"/>
    </xf>
    <xf numFmtId="0" fontId="28" fillId="7" borderId="0" applyNumberFormat="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168" fontId="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0" fontId="9" fillId="4" borderId="3">
      <alignment vertical="center" shrinkToFit="1"/>
    </xf>
    <xf numFmtId="169" fontId="9" fillId="4" borderId="3">
      <alignment vertical="center" shrinkToFit="1"/>
    </xf>
    <xf numFmtId="4" fontId="9" fillId="0" borderId="3">
      <alignment vertical="center" shrinkToFit="1"/>
    </xf>
    <xf numFmtId="4" fontId="9" fillId="0" borderId="9">
      <alignment vertical="center"/>
    </xf>
    <xf numFmtId="0" fontId="31" fillId="0" borderId="0">
      <alignment horizontal="center"/>
    </xf>
    <xf numFmtId="0" fontId="32" fillId="25" borderId="0" applyNumberFormat="0" applyBorder="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6" borderId="0" applyNumberFormat="0" applyBorder="0" applyAlignment="0" applyProtection="0"/>
    <xf numFmtId="0" fontId="14" fillId="27" borderId="3" applyNumberFormat="0">
      <alignment horizontal="center"/>
    </xf>
    <xf numFmtId="0" fontId="9" fillId="0" borderId="0"/>
    <xf numFmtId="0" fontId="20" fillId="27" borderId="11" applyProtection="0">
      <protection locked="0"/>
    </xf>
    <xf numFmtId="0" fontId="3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35" fillId="0" borderId="0"/>
    <xf numFmtId="0" fontId="20" fillId="0" borderId="0">
      <protection locked="0"/>
    </xf>
    <xf numFmtId="0" fontId="9" fillId="0" borderId="0">
      <protection locked="0"/>
    </xf>
    <xf numFmtId="0" fontId="35" fillId="0" borderId="0"/>
    <xf numFmtId="0" fontId="16" fillId="0" borderId="0"/>
    <xf numFmtId="170" fontId="6" fillId="28" borderId="12">
      <alignment horizontal="right" vertical="center"/>
    </xf>
    <xf numFmtId="49" fontId="9" fillId="0" borderId="3"/>
    <xf numFmtId="49" fontId="9" fillId="0" borderId="3"/>
    <xf numFmtId="49" fontId="9" fillId="0" borderId="3"/>
    <xf numFmtId="49" fontId="9" fillId="0" borderId="3"/>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6" applyNumberFormat="0" applyFill="0" applyAlignment="0" applyProtection="0"/>
    <xf numFmtId="44" fontId="9" fillId="0" borderId="0" applyFont="0" applyFill="0" applyBorder="0" applyAlignment="0" applyProtection="0"/>
    <xf numFmtId="0" fontId="41" fillId="0" borderId="0" applyNumberFormat="0" applyFill="0" applyBorder="0" applyAlignment="0" applyProtection="0"/>
    <xf numFmtId="3" fontId="12" fillId="0" borderId="17">
      <alignment horizontal="center" vertical="center" shrinkToFit="1"/>
    </xf>
    <xf numFmtId="0" fontId="42" fillId="29" borderId="18" applyNumberFormat="0" applyAlignment="0" applyProtection="0"/>
    <xf numFmtId="0" fontId="3" fillId="36" borderId="1" applyNumberFormat="0" applyAlignment="0" applyProtection="0"/>
    <xf numFmtId="0" fontId="100" fillId="0" borderId="0" applyFont="0">
      <alignment vertical="center"/>
    </xf>
    <xf numFmtId="0" fontId="16" fillId="0" borderId="0"/>
    <xf numFmtId="0" fontId="100" fillId="0" borderId="0" applyFont="0">
      <alignment vertical="center"/>
    </xf>
    <xf numFmtId="0" fontId="9" fillId="0" borderId="3">
      <alignment vertical="center"/>
    </xf>
    <xf numFmtId="0" fontId="9" fillId="0" borderId="3">
      <alignment vertical="center"/>
    </xf>
    <xf numFmtId="0" fontId="44" fillId="31" borderId="92">
      <alignment horizontal="left" vertical="center"/>
      <protection locked="0"/>
    </xf>
    <xf numFmtId="0" fontId="11" fillId="0" borderId="231" applyNumberFormat="0" applyFill="0" applyAlignment="0" applyProtection="0"/>
    <xf numFmtId="0" fontId="75" fillId="36" borderId="214" applyNumberFormat="0" applyAlignment="0" applyProtection="0"/>
    <xf numFmtId="9" fontId="4" fillId="0" borderId="0" applyFont="0" applyFill="0" applyBorder="0" applyAlignment="0" applyProtection="0"/>
    <xf numFmtId="0" fontId="178" fillId="0" borderId="0"/>
    <xf numFmtId="0" fontId="179" fillId="0" borderId="0"/>
    <xf numFmtId="0" fontId="180" fillId="0" borderId="0"/>
    <xf numFmtId="9" fontId="4" fillId="0" borderId="0" applyFont="0" applyFill="0" applyBorder="0" applyAlignment="0" applyProtection="0"/>
    <xf numFmtId="0" fontId="2" fillId="0" borderId="0"/>
    <xf numFmtId="0" fontId="4" fillId="0" borderId="3">
      <alignment vertical="center"/>
    </xf>
    <xf numFmtId="0" fontId="4" fillId="0" borderId="3">
      <alignment vertical="center"/>
    </xf>
    <xf numFmtId="0" fontId="182" fillId="0" borderId="0"/>
    <xf numFmtId="166" fontId="4" fillId="0" borderId="0" applyFont="0" applyFill="0" applyBorder="0" applyAlignment="0" applyProtection="0"/>
    <xf numFmtId="0" fontId="29" fillId="0" borderId="0" applyNumberFormat="0" applyFill="0" applyBorder="0" applyAlignment="0" applyProtection="0">
      <alignment vertical="top"/>
      <protection locked="0"/>
    </xf>
    <xf numFmtId="168" fontId="4" fillId="0" borderId="0" applyFont="0" applyFill="0" applyBorder="0" applyAlignment="0" applyProtection="0"/>
    <xf numFmtId="4" fontId="4" fillId="0" borderId="9">
      <alignment vertical="center"/>
    </xf>
    <xf numFmtId="0" fontId="4" fillId="0" borderId="0"/>
    <xf numFmtId="0" fontId="7" fillId="0" borderId="0" applyNumberFormat="0" applyFill="0" applyBorder="0" applyAlignment="0" applyProtection="0">
      <alignment vertical="top"/>
      <protection locked="0"/>
    </xf>
    <xf numFmtId="4" fontId="4" fillId="0" borderId="3"/>
    <xf numFmtId="165" fontId="4" fillId="0" borderId="6">
      <protection locked="0"/>
    </xf>
    <xf numFmtId="165" fontId="4" fillId="0" borderId="6">
      <protection locked="0"/>
    </xf>
    <xf numFmtId="165" fontId="4" fillId="0" borderId="6">
      <protection locked="0"/>
    </xf>
    <xf numFmtId="165" fontId="4" fillId="0" borderId="6">
      <protection locked="0"/>
    </xf>
    <xf numFmtId="4" fontId="4" fillId="24" borderId="0">
      <alignment horizontal="right" vertical="center" shrinkToFit="1"/>
      <protection locked="0"/>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0" fontId="4" fillId="4" borderId="3">
      <alignment vertical="center" shrinkToFit="1"/>
    </xf>
    <xf numFmtId="169" fontId="4" fillId="4" borderId="3">
      <alignment vertical="center" shrinkToFit="1"/>
    </xf>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protection locked="0"/>
    </xf>
    <xf numFmtId="49" fontId="4" fillId="0" borderId="3"/>
    <xf numFmtId="49" fontId="4" fillId="0" borderId="3"/>
    <xf numFmtId="49" fontId="4" fillId="0" borderId="3"/>
    <xf numFmtId="49" fontId="4" fillId="0" borderId="3"/>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83" fillId="0" borderId="0"/>
    <xf numFmtId="0" fontId="184" fillId="0" borderId="0"/>
    <xf numFmtId="0" fontId="1" fillId="0" borderId="0"/>
  </cellStyleXfs>
  <cellXfs count="4979">
    <xf numFmtId="0" fontId="0" fillId="0" borderId="0" xfId="0"/>
    <xf numFmtId="0" fontId="4" fillId="0" borderId="0" xfId="1" applyAlignment="1">
      <alignment vertical="center"/>
    </xf>
    <xf numFmtId="3" fontId="4" fillId="0" borderId="0" xfId="1" applyNumberFormat="1" applyAlignment="1">
      <alignment vertical="center"/>
    </xf>
    <xf numFmtId="0" fontId="4" fillId="0" borderId="0" xfId="1" applyAlignment="1">
      <alignment horizontal="left" vertical="center"/>
    </xf>
    <xf numFmtId="0" fontId="4" fillId="0" borderId="0" xfId="1" applyBorder="1" applyAlignment="1">
      <alignment vertical="center"/>
    </xf>
    <xf numFmtId="0" fontId="4" fillId="0" borderId="0" xfId="1" applyBorder="1" applyAlignment="1">
      <alignment horizontal="left" vertical="center"/>
    </xf>
    <xf numFmtId="0" fontId="4" fillId="0" borderId="2" xfId="1" applyBorder="1" applyAlignment="1">
      <alignment horizontal="right" vertical="center"/>
    </xf>
    <xf numFmtId="0" fontId="4" fillId="0" borderId="2" xfId="1" applyBorder="1" applyAlignment="1">
      <alignment horizontal="left" vertical="center"/>
    </xf>
    <xf numFmtId="0" fontId="4" fillId="0" borderId="2" xfId="1" applyBorder="1" applyAlignment="1">
      <alignment vertical="center"/>
    </xf>
    <xf numFmtId="0" fontId="6" fillId="0" borderId="0" xfId="1" applyFont="1" applyBorder="1" applyAlignment="1">
      <alignment horizontal="right" vertical="center"/>
    </xf>
    <xf numFmtId="0" fontId="5" fillId="0" borderId="0" xfId="1" applyFont="1" applyBorder="1" applyAlignment="1">
      <alignment vertical="center"/>
    </xf>
    <xf numFmtId="0" fontId="8" fillId="2" borderId="3" xfId="2" applyFont="1" applyFill="1" applyBorder="1" applyAlignment="1" applyProtection="1">
      <alignment horizontal="left" vertical="center"/>
    </xf>
    <xf numFmtId="0" fontId="9" fillId="0" borderId="0" xfId="1" applyFont="1" applyAlignment="1">
      <alignment horizontal="left" vertical="center"/>
    </xf>
    <xf numFmtId="10" fontId="4" fillId="0" borderId="0" xfId="1" applyNumberFormat="1" applyAlignment="1">
      <alignment vertical="center"/>
    </xf>
    <xf numFmtId="0" fontId="10" fillId="2" borderId="3" xfId="2" applyFont="1" applyFill="1" applyBorder="1" applyAlignment="1" applyProtection="1">
      <alignment horizontal="left" vertical="center"/>
    </xf>
    <xf numFmtId="0" fontId="9" fillId="0" borderId="0" xfId="1" applyFont="1"/>
    <xf numFmtId="0" fontId="10" fillId="3" borderId="0" xfId="2" applyFont="1" applyFill="1" applyBorder="1" applyAlignment="1" applyProtection="1">
      <alignment horizontal="left" vertical="center"/>
    </xf>
    <xf numFmtId="0" fontId="9" fillId="0" borderId="0" xfId="1" applyFont="1" applyBorder="1" applyAlignment="1">
      <alignment vertical="center"/>
    </xf>
    <xf numFmtId="0" fontId="5" fillId="0" borderId="0" xfId="1" applyFont="1" applyBorder="1" applyAlignment="1">
      <alignment horizontal="left" vertical="center"/>
    </xf>
    <xf numFmtId="0" fontId="9" fillId="0" borderId="0" xfId="1" applyFont="1" applyBorder="1" applyAlignment="1">
      <alignment horizontal="left" vertical="center"/>
    </xf>
    <xf numFmtId="0" fontId="11" fillId="0" borderId="0" xfId="1" applyFont="1" applyBorder="1" applyAlignment="1">
      <alignment horizontal="right" vertical="center"/>
    </xf>
    <xf numFmtId="0" fontId="12" fillId="0" borderId="0" xfId="1" applyFont="1" applyBorder="1" applyAlignment="1">
      <alignment vertical="center"/>
    </xf>
    <xf numFmtId="0" fontId="13" fillId="0" borderId="0" xfId="1" applyFont="1" applyBorder="1" applyAlignment="1">
      <alignment horizontal="right" vertical="center"/>
    </xf>
    <xf numFmtId="0" fontId="14" fillId="0" borderId="0" xfId="1" applyFont="1" applyBorder="1" applyAlignment="1">
      <alignment vertical="center"/>
    </xf>
    <xf numFmtId="0" fontId="9" fillId="0" borderId="0" xfId="1" applyFont="1" applyAlignment="1">
      <alignment horizontal="left"/>
    </xf>
    <xf numFmtId="0" fontId="9" fillId="0" borderId="0" xfId="1" applyFont="1" applyBorder="1" applyAlignment="1"/>
    <xf numFmtId="0" fontId="4" fillId="0" borderId="0" xfId="1" applyBorder="1" applyAlignment="1"/>
    <xf numFmtId="0" fontId="5" fillId="0" borderId="0" xfId="1" applyFont="1" applyBorder="1" applyAlignment="1">
      <alignment horizontal="right" vertical="center"/>
    </xf>
    <xf numFmtId="3" fontId="5" fillId="0" borderId="0" xfId="1" applyNumberFormat="1" applyFont="1" applyAlignment="1">
      <alignment horizontal="right" vertical="center"/>
    </xf>
    <xf numFmtId="0" fontId="6" fillId="0" borderId="0" xfId="1" applyFont="1" applyBorder="1" applyAlignment="1">
      <alignment horizontal="left" vertical="center"/>
    </xf>
    <xf numFmtId="0" fontId="4" fillId="4" borderId="0" xfId="1" applyFill="1" applyBorder="1" applyAlignment="1">
      <alignmen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0" xfId="1"/>
    <xf numFmtId="0" fontId="9" fillId="0" borderId="0" xfId="1" applyFont="1" applyBorder="1"/>
    <xf numFmtId="0" fontId="9" fillId="0" borderId="0" xfId="1" applyFont="1" applyAlignment="1" applyProtection="1">
      <alignment vertical="center"/>
    </xf>
    <xf numFmtId="0" fontId="9" fillId="0" borderId="19" xfId="1" applyFont="1" applyBorder="1" applyAlignment="1" applyProtection="1">
      <alignment vertical="center"/>
    </xf>
    <xf numFmtId="0" fontId="5" fillId="0" borderId="0" xfId="1" applyFont="1" applyBorder="1" applyAlignment="1" applyProtection="1">
      <alignment vertical="center"/>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9" fillId="0" borderId="0" xfId="1" applyFont="1" applyBorder="1" applyAlignment="1" applyProtection="1">
      <alignment horizontal="left" vertical="top" wrapText="1"/>
    </xf>
    <xf numFmtId="0" fontId="9" fillId="0" borderId="0" xfId="1" applyFont="1" applyBorder="1" applyAlignment="1" applyProtection="1">
      <alignment vertical="top" wrapText="1"/>
    </xf>
    <xf numFmtId="0" fontId="6" fillId="0" borderId="0" xfId="1" applyFont="1" applyAlignment="1" applyProtection="1">
      <alignment vertical="center"/>
    </xf>
    <xf numFmtId="0" fontId="6" fillId="0" borderId="19"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vertical="center"/>
    </xf>
    <xf numFmtId="0" fontId="4" fillId="0" borderId="19" xfId="1" applyBorder="1" applyAlignment="1" applyProtection="1">
      <alignment vertical="center"/>
    </xf>
    <xf numFmtId="0" fontId="14" fillId="0" borderId="0" xfId="1" applyFont="1" applyBorder="1" applyAlignment="1" applyProtection="1">
      <alignment vertical="center"/>
    </xf>
    <xf numFmtId="0" fontId="43" fillId="0" borderId="0" xfId="1" applyFont="1" applyBorder="1" applyAlignment="1" applyProtection="1">
      <alignment vertical="center"/>
    </xf>
    <xf numFmtId="0" fontId="4" fillId="0" borderId="0" xfId="1" applyAlignment="1" applyProtection="1">
      <alignment vertical="center"/>
      <protection locked="0"/>
    </xf>
    <xf numFmtId="0" fontId="4" fillId="0" borderId="0" xfId="1" applyAlignment="1">
      <alignment horizontal="left" vertical="top" wrapText="1"/>
    </xf>
    <xf numFmtId="0" fontId="6" fillId="4" borderId="0" xfId="1" applyFont="1" applyFill="1" applyBorder="1" applyAlignment="1" applyProtection="1">
      <alignment vertical="center"/>
    </xf>
    <xf numFmtId="0" fontId="9" fillId="4" borderId="0" xfId="1" applyFont="1" applyFill="1" applyBorder="1" applyAlignment="1" applyProtection="1">
      <alignment horizontal="centerContinuous" vertical="center"/>
    </xf>
    <xf numFmtId="0" fontId="9" fillId="4" borderId="0" xfId="1" applyFont="1" applyFill="1" applyBorder="1" applyAlignment="1" applyProtection="1">
      <alignment vertical="center"/>
    </xf>
    <xf numFmtId="0" fontId="9" fillId="4" borderId="0" xfId="1" applyFont="1" applyFill="1" applyBorder="1" applyAlignment="1" applyProtection="1">
      <alignment horizontal="left" vertical="center"/>
    </xf>
    <xf numFmtId="0" fontId="9" fillId="4" borderId="0" xfId="1" applyFont="1" applyFill="1" applyBorder="1" applyAlignment="1" applyProtection="1">
      <alignment horizontal="center" vertical="center"/>
    </xf>
    <xf numFmtId="0" fontId="9" fillId="4" borderId="20" xfId="1" applyFont="1" applyFill="1" applyBorder="1" applyAlignment="1" applyProtection="1">
      <alignment horizontal="center" vertical="center"/>
    </xf>
    <xf numFmtId="0" fontId="9" fillId="4" borderId="21" xfId="1" applyFont="1" applyFill="1" applyBorder="1" applyAlignment="1" applyProtection="1">
      <alignment horizontal="center" vertical="center"/>
    </xf>
    <xf numFmtId="0" fontId="9" fillId="4" borderId="22" xfId="1" applyFont="1" applyFill="1" applyBorder="1" applyAlignment="1" applyProtection="1">
      <alignment horizontal="center" vertical="center"/>
    </xf>
    <xf numFmtId="0" fontId="13" fillId="4" borderId="0" xfId="1" applyFont="1" applyFill="1" applyBorder="1" applyAlignment="1" applyProtection="1">
      <alignment vertical="center"/>
    </xf>
    <xf numFmtId="0" fontId="5" fillId="4" borderId="0" xfId="1" applyFont="1" applyFill="1" applyBorder="1" applyAlignment="1" applyProtection="1">
      <alignment horizontal="center" vertical="center"/>
    </xf>
    <xf numFmtId="0" fontId="5" fillId="4" borderId="0" xfId="1" applyFont="1" applyFill="1" applyBorder="1" applyAlignment="1" applyProtection="1">
      <alignment vertical="center"/>
    </xf>
    <xf numFmtId="0" fontId="5" fillId="4" borderId="21" xfId="2" applyFont="1" applyFill="1" applyBorder="1" applyAlignment="1" applyProtection="1">
      <alignment horizontal="center" vertical="center"/>
    </xf>
    <xf numFmtId="0" fontId="5" fillId="4" borderId="22" xfId="2" applyFont="1" applyFill="1" applyBorder="1" applyAlignment="1" applyProtection="1">
      <alignment horizontal="center" vertical="center"/>
    </xf>
    <xf numFmtId="0" fontId="6" fillId="0" borderId="0" xfId="1" applyFont="1" applyAlignment="1" applyProtection="1">
      <alignment vertical="center"/>
      <protection locked="0"/>
    </xf>
    <xf numFmtId="0" fontId="13" fillId="0" borderId="0" xfId="1" applyFont="1" applyAlignment="1" applyProtection="1">
      <alignment vertical="center"/>
    </xf>
    <xf numFmtId="0" fontId="13" fillId="0" borderId="19" xfId="1" applyFont="1" applyBorder="1" applyAlignment="1" applyProtection="1">
      <alignment vertical="center"/>
    </xf>
    <xf numFmtId="0" fontId="13" fillId="0" borderId="0" xfId="1" applyFont="1" applyBorder="1" applyAlignment="1" applyProtection="1">
      <alignment horizontal="left" vertical="center"/>
    </xf>
    <xf numFmtId="0" fontId="13" fillId="0" borderId="0" xfId="1" applyFont="1" applyBorder="1" applyAlignment="1" applyProtection="1">
      <alignment vertical="center"/>
    </xf>
    <xf numFmtId="0" fontId="5" fillId="4" borderId="0" xfId="1" applyFont="1" applyFill="1" applyAlignment="1" applyProtection="1">
      <alignment horizontal="center" vertical="center"/>
    </xf>
    <xf numFmtId="0" fontId="44" fillId="0" borderId="0" xfId="1" applyFont="1" applyBorder="1" applyAlignment="1" applyProtection="1">
      <alignment vertical="center"/>
    </xf>
    <xf numFmtId="0" fontId="4" fillId="0" borderId="0" xfId="1" applyBorder="1" applyAlignment="1" applyProtection="1">
      <alignment horizontal="left" vertical="center"/>
    </xf>
    <xf numFmtId="14" fontId="6" fillId="0" borderId="19" xfId="1" applyNumberFormat="1" applyFont="1" applyBorder="1" applyAlignment="1" applyProtection="1">
      <alignment horizontal="left" vertical="center"/>
    </xf>
    <xf numFmtId="0" fontId="6" fillId="0" borderId="0" xfId="1" applyFont="1" applyBorder="1" applyAlignment="1" applyProtection="1">
      <alignment horizontal="center" vertical="center"/>
    </xf>
    <xf numFmtId="0" fontId="4" fillId="0" borderId="0" xfId="1" applyBorder="1" applyAlignment="1" applyProtection="1">
      <alignment horizontal="centerContinuous" vertical="center"/>
    </xf>
    <xf numFmtId="0" fontId="17" fillId="0" borderId="0" xfId="1" applyFont="1" applyBorder="1" applyAlignment="1" applyProtection="1">
      <alignment horizontal="left" vertical="center"/>
    </xf>
    <xf numFmtId="0" fontId="19" fillId="0" borderId="0" xfId="1" applyFont="1" applyBorder="1" applyAlignment="1" applyProtection="1">
      <alignment horizontal="left" vertical="center"/>
    </xf>
    <xf numFmtId="0" fontId="9" fillId="0" borderId="0" xfId="1" applyFont="1" applyAlignment="1">
      <alignment vertical="center"/>
    </xf>
    <xf numFmtId="0" fontId="6" fillId="0" borderId="0" xfId="1" applyFont="1" applyBorder="1" applyAlignment="1">
      <alignment vertical="center"/>
    </xf>
    <xf numFmtId="0" fontId="9" fillId="0" borderId="0" xfId="1" applyFont="1" applyAlignment="1" applyProtection="1">
      <alignment vertical="center"/>
      <protection locked="0"/>
    </xf>
    <xf numFmtId="171" fontId="45" fillId="30" borderId="0" xfId="1" applyNumberFormat="1" applyFont="1" applyFill="1" applyBorder="1" applyAlignment="1">
      <alignment horizontal="right" vertical="center"/>
    </xf>
    <xf numFmtId="171" fontId="45" fillId="4" borderId="0" xfId="1" applyNumberFormat="1" applyFont="1" applyFill="1" applyBorder="1" applyAlignment="1">
      <alignment horizontal="right" vertical="center"/>
    </xf>
    <xf numFmtId="0" fontId="46" fillId="0" borderId="0" xfId="1" applyFont="1" applyAlignment="1">
      <alignment vertical="center"/>
    </xf>
    <xf numFmtId="0" fontId="46" fillId="0" borderId="0" xfId="1" applyFont="1" applyAlignment="1" applyProtection="1">
      <alignment vertical="center"/>
      <protection locked="0"/>
    </xf>
    <xf numFmtId="0" fontId="14" fillId="31" borderId="36" xfId="1" applyFont="1" applyFill="1" applyBorder="1" applyAlignment="1" applyProtection="1">
      <alignment horizontal="center" vertical="center"/>
      <protection locked="0"/>
    </xf>
    <xf numFmtId="0" fontId="6" fillId="0" borderId="25" xfId="1" applyFont="1" applyBorder="1" applyAlignment="1">
      <alignment vertical="center"/>
    </xf>
    <xf numFmtId="0" fontId="14" fillId="31" borderId="25" xfId="1" applyFont="1" applyFill="1" applyBorder="1" applyAlignment="1" applyProtection="1">
      <alignment horizontal="center" vertical="center"/>
      <protection locked="0"/>
    </xf>
    <xf numFmtId="171" fontId="45" fillId="0" borderId="0" xfId="1" applyNumberFormat="1" applyFont="1" applyFill="1" applyBorder="1" applyAlignment="1">
      <alignment horizontal="right" vertical="center"/>
    </xf>
    <xf numFmtId="172" fontId="9" fillId="30" borderId="34" xfId="1" applyNumberFormat="1" applyFont="1" applyFill="1" applyBorder="1" applyAlignment="1">
      <alignment horizontal="center" vertical="center" wrapText="1"/>
    </xf>
    <xf numFmtId="0" fontId="9" fillId="0" borderId="39" xfId="1" applyFont="1" applyBorder="1" applyAlignment="1">
      <alignment vertical="center"/>
    </xf>
    <xf numFmtId="0" fontId="9" fillId="0" borderId="36" xfId="1" applyFont="1" applyBorder="1" applyAlignment="1" applyProtection="1">
      <alignment vertical="center"/>
      <protection locked="0"/>
    </xf>
    <xf numFmtId="0" fontId="9" fillId="0" borderId="40" xfId="1" applyFont="1" applyBorder="1" applyAlignment="1">
      <alignment vertical="center"/>
    </xf>
    <xf numFmtId="0" fontId="9" fillId="0" borderId="25" xfId="1" applyFont="1" applyBorder="1" applyAlignment="1">
      <alignment horizontal="center" vertical="center"/>
    </xf>
    <xf numFmtId="0" fontId="9" fillId="0" borderId="3" xfId="1" applyFont="1" applyBorder="1" applyAlignment="1" applyProtection="1">
      <alignment vertical="center"/>
      <protection locked="0"/>
    </xf>
    <xf numFmtId="172" fontId="9" fillId="0" borderId="41" xfId="1" applyNumberFormat="1" applyFont="1" applyFill="1" applyBorder="1" applyAlignment="1">
      <alignment horizontal="center" vertical="center" wrapText="1"/>
    </xf>
    <xf numFmtId="172" fontId="9" fillId="30" borderId="41" xfId="1" applyNumberFormat="1" applyFont="1" applyFill="1" applyBorder="1" applyAlignment="1">
      <alignment horizontal="center" vertical="center" wrapText="1"/>
    </xf>
    <xf numFmtId="0" fontId="47" fillId="0" borderId="0" xfId="1" applyFont="1" applyBorder="1" applyAlignment="1">
      <alignment vertical="center"/>
    </xf>
    <xf numFmtId="172" fontId="50" fillId="0" borderId="0" xfId="1" applyNumberFormat="1" applyFont="1" applyFill="1" applyBorder="1" applyAlignment="1">
      <alignment horizontal="center" vertical="center" wrapText="1"/>
    </xf>
    <xf numFmtId="172" fontId="50" fillId="30" borderId="0" xfId="1" applyNumberFormat="1" applyFont="1" applyFill="1" applyBorder="1" applyAlignment="1">
      <alignment horizontal="center" vertical="center" wrapText="1"/>
    </xf>
    <xf numFmtId="172" fontId="51" fillId="30" borderId="25" xfId="1" applyNumberFormat="1" applyFont="1" applyFill="1" applyBorder="1" applyAlignment="1">
      <alignment horizontal="center" vertical="center" wrapText="1"/>
    </xf>
    <xf numFmtId="172" fontId="51" fillId="0" borderId="0" xfId="1" applyNumberFormat="1" applyFont="1" applyFill="1" applyBorder="1" applyAlignment="1">
      <alignment horizontal="center" vertical="center" wrapText="1"/>
    </xf>
    <xf numFmtId="172" fontId="51" fillId="30" borderId="0" xfId="1" applyNumberFormat="1" applyFont="1" applyFill="1" applyBorder="1" applyAlignment="1">
      <alignment horizontal="center" vertical="center" wrapText="1"/>
    </xf>
    <xf numFmtId="172" fontId="51" fillId="30" borderId="40" xfId="1" applyNumberFormat="1" applyFont="1" applyFill="1" applyBorder="1" applyAlignment="1">
      <alignment horizontal="center" vertical="center"/>
    </xf>
    <xf numFmtId="172" fontId="51" fillId="0" borderId="0" xfId="1" applyNumberFormat="1" applyFont="1" applyFill="1" applyBorder="1" applyAlignment="1">
      <alignment horizontal="center" vertical="center"/>
    </xf>
    <xf numFmtId="172" fontId="51" fillId="0" borderId="40" xfId="1" applyNumberFormat="1" applyFont="1" applyFill="1" applyBorder="1" applyAlignment="1">
      <alignment horizontal="center" vertical="center"/>
    </xf>
    <xf numFmtId="172" fontId="14" fillId="30" borderId="40" xfId="1" applyNumberFormat="1" applyFont="1" applyFill="1" applyBorder="1" applyAlignment="1">
      <alignment horizontal="centerContinuous" vertical="center"/>
    </xf>
    <xf numFmtId="172" fontId="14" fillId="0" borderId="0" xfId="1" applyNumberFormat="1" applyFont="1" applyFill="1" applyBorder="1" applyAlignment="1">
      <alignment horizontal="centerContinuous" vertical="center"/>
    </xf>
    <xf numFmtId="172" fontId="14" fillId="30" borderId="0" xfId="1" applyNumberFormat="1" applyFont="1" applyFill="1" applyBorder="1" applyAlignment="1">
      <alignment horizontal="centerContinuous" vertical="center"/>
    </xf>
    <xf numFmtId="0" fontId="9" fillId="0" borderId="0" xfId="1" applyFont="1" applyAlignment="1">
      <alignment horizontal="right" vertical="center"/>
    </xf>
    <xf numFmtId="0" fontId="5" fillId="0" borderId="0" xfId="1" applyFont="1" applyAlignment="1">
      <alignment horizontal="right" vertical="center"/>
    </xf>
    <xf numFmtId="0" fontId="53" fillId="0" borderId="0" xfId="1" applyFont="1" applyAlignment="1">
      <alignment horizontal="right" vertical="center"/>
    </xf>
    <xf numFmtId="0" fontId="54" fillId="0" borderId="24" xfId="1" applyFont="1" applyBorder="1" applyAlignment="1">
      <alignment horizontal="centerContinuous" vertical="center"/>
    </xf>
    <xf numFmtId="0" fontId="9" fillId="0" borderId="0" xfId="1" applyFont="1" applyAlignment="1">
      <alignment horizontal="centerContinuous" vertical="center"/>
    </xf>
    <xf numFmtId="0" fontId="18" fillId="0" borderId="0" xfId="1" applyFont="1" applyAlignment="1">
      <alignment horizontal="right" vertical="center"/>
    </xf>
    <xf numFmtId="14" fontId="9" fillId="0" borderId="0" xfId="1" applyNumberFormat="1" applyFont="1" applyAlignment="1">
      <alignment horizontal="left" vertical="center"/>
    </xf>
    <xf numFmtId="0" fontId="9" fillId="0" borderId="0" xfId="1" applyFont="1" applyAlignment="1">
      <alignment horizontal="center" vertical="center"/>
    </xf>
    <xf numFmtId="0" fontId="55" fillId="0" borderId="0" xfId="1" applyFont="1" applyAlignment="1">
      <alignment vertical="center"/>
    </xf>
    <xf numFmtId="0" fontId="56" fillId="0" borderId="0" xfId="1" applyFont="1" applyBorder="1" applyAlignment="1">
      <alignment vertical="center"/>
    </xf>
    <xf numFmtId="0" fontId="18" fillId="0" borderId="0" xfId="1" applyFont="1" applyBorder="1" applyAlignment="1">
      <alignment vertical="center"/>
    </xf>
    <xf numFmtId="0" fontId="20" fillId="0" borderId="44" xfId="1" applyFont="1" applyBorder="1" applyAlignment="1">
      <alignment vertical="center"/>
    </xf>
    <xf numFmtId="0" fontId="20" fillId="0" borderId="2" xfId="1" applyFont="1" applyBorder="1" applyAlignment="1">
      <alignment vertical="center"/>
    </xf>
    <xf numFmtId="0" fontId="20" fillId="0" borderId="39" xfId="1" applyFont="1" applyBorder="1" applyAlignment="1">
      <alignment vertical="center"/>
    </xf>
    <xf numFmtId="0" fontId="14" fillId="0" borderId="0" xfId="1" applyFont="1" applyAlignment="1">
      <alignment horizontal="right" vertical="center"/>
    </xf>
    <xf numFmtId="0" fontId="4" fillId="0" borderId="0" xfId="1" applyAlignment="1">
      <alignment horizontal="center"/>
    </xf>
    <xf numFmtId="0" fontId="59" fillId="0" borderId="0" xfId="1" applyFont="1" applyAlignment="1">
      <alignment horizontal="left"/>
    </xf>
    <xf numFmtId="0" fontId="20" fillId="0" borderId="19" xfId="1" applyFont="1" applyBorder="1" applyAlignment="1">
      <alignment vertical="center"/>
    </xf>
    <xf numFmtId="0" fontId="20" fillId="0" borderId="0" xfId="1" applyFont="1" applyBorder="1" applyAlignment="1">
      <alignment vertical="center"/>
    </xf>
    <xf numFmtId="0" fontId="20" fillId="0" borderId="40" xfId="1" applyFont="1" applyBorder="1" applyAlignment="1">
      <alignment vertical="center"/>
    </xf>
    <xf numFmtId="0" fontId="43" fillId="0" borderId="0" xfId="1" applyFont="1" applyAlignment="1">
      <alignment horizontal="right" vertical="top"/>
    </xf>
    <xf numFmtId="0" fontId="43" fillId="0" borderId="0" xfId="1" applyFont="1" applyAlignment="1">
      <alignment horizontal="right" vertical="center"/>
    </xf>
    <xf numFmtId="0" fontId="20" fillId="0" borderId="42" xfId="1" applyFont="1" applyBorder="1" applyAlignment="1">
      <alignment vertical="center"/>
    </xf>
    <xf numFmtId="0" fontId="20" fillId="0" borderId="23" xfId="1" applyFont="1" applyBorder="1" applyAlignment="1">
      <alignment vertical="center"/>
    </xf>
    <xf numFmtId="0" fontId="20" fillId="0" borderId="43" xfId="1" applyFont="1" applyBorder="1" applyAlignment="1">
      <alignment vertical="center"/>
    </xf>
    <xf numFmtId="0" fontId="18" fillId="0" borderId="0" xfId="1" applyFont="1" applyAlignment="1">
      <alignment horizontal="right" vertical="top"/>
    </xf>
    <xf numFmtId="0" fontId="17" fillId="0" borderId="0" xfId="1" applyFont="1" applyBorder="1" applyAlignment="1">
      <alignment vertical="top"/>
    </xf>
    <xf numFmtId="0" fontId="4" fillId="0" borderId="36" xfId="1" applyBorder="1" applyProtection="1">
      <protection locked="0"/>
    </xf>
    <xf numFmtId="0" fontId="4" fillId="0" borderId="0" xfId="1" applyProtection="1"/>
    <xf numFmtId="0" fontId="15" fillId="0" borderId="0" xfId="1" applyFont="1" applyProtection="1"/>
    <xf numFmtId="0" fontId="4" fillId="0" borderId="19" xfId="1" applyBorder="1" applyProtection="1"/>
    <xf numFmtId="0" fontId="20" fillId="0" borderId="0" xfId="1" applyFont="1" applyBorder="1" applyProtection="1"/>
    <xf numFmtId="0" fontId="60" fillId="0" borderId="0" xfId="1" applyFont="1" applyProtection="1"/>
    <xf numFmtId="0" fontId="4" fillId="0" borderId="23" xfId="1" applyBorder="1" applyProtection="1"/>
    <xf numFmtId="0" fontId="4" fillId="0" borderId="44" xfId="1" applyBorder="1" applyProtection="1"/>
    <xf numFmtId="0" fontId="4" fillId="0" borderId="2" xfId="1" applyBorder="1" applyProtection="1"/>
    <xf numFmtId="0" fontId="4" fillId="0" borderId="39" xfId="1" applyBorder="1" applyProtection="1"/>
    <xf numFmtId="0" fontId="4" fillId="0" borderId="0" xfId="1" applyBorder="1" applyProtection="1"/>
    <xf numFmtId="0" fontId="4" fillId="0" borderId="40" xfId="1" applyBorder="1" applyProtection="1"/>
    <xf numFmtId="0" fontId="4" fillId="0" borderId="42" xfId="1" applyBorder="1" applyProtection="1"/>
    <xf numFmtId="0" fontId="4" fillId="0" borderId="43" xfId="1" applyBorder="1" applyProtection="1"/>
    <xf numFmtId="0" fontId="20" fillId="0" borderId="23" xfId="1" applyFont="1" applyBorder="1" applyProtection="1"/>
    <xf numFmtId="174" fontId="4" fillId="0" borderId="0" xfId="1" applyNumberFormat="1" applyProtection="1"/>
    <xf numFmtId="0" fontId="4" fillId="31" borderId="2" xfId="1" applyFill="1" applyBorder="1" applyProtection="1"/>
    <xf numFmtId="0" fontId="15" fillId="31" borderId="2" xfId="1" applyFont="1" applyFill="1" applyBorder="1" applyProtection="1"/>
    <xf numFmtId="0" fontId="61" fillId="31" borderId="2" xfId="1" applyFont="1" applyFill="1" applyBorder="1" applyAlignment="1">
      <alignment vertical="center" readingOrder="1"/>
    </xf>
    <xf numFmtId="174" fontId="14" fillId="0" borderId="0" xfId="1" applyNumberFormat="1" applyFont="1" applyBorder="1" applyProtection="1"/>
    <xf numFmtId="174" fontId="18" fillId="0" borderId="45" xfId="1" applyNumberFormat="1" applyFont="1" applyBorder="1" applyAlignment="1" applyProtection="1">
      <alignment horizontal="right"/>
    </xf>
    <xf numFmtId="174" fontId="6" fillId="0" borderId="46" xfId="1" applyNumberFormat="1" applyFont="1" applyBorder="1" applyProtection="1"/>
    <xf numFmtId="174" fontId="6" fillId="0" borderId="41" xfId="1" applyNumberFormat="1" applyFont="1" applyBorder="1" applyProtection="1"/>
    <xf numFmtId="174" fontId="6" fillId="0" borderId="47" xfId="1" applyNumberFormat="1" applyFont="1" applyBorder="1" applyProtection="1"/>
    <xf numFmtId="174" fontId="6" fillId="0" borderId="48" xfId="1" applyNumberFormat="1" applyFont="1" applyBorder="1" applyProtection="1"/>
    <xf numFmtId="0" fontId="63" fillId="0" borderId="47" xfId="1" applyFont="1" applyBorder="1" applyAlignment="1" applyProtection="1">
      <alignment horizontal="center"/>
      <protection locked="0"/>
    </xf>
    <xf numFmtId="0" fontId="55" fillId="0" borderId="49" xfId="1" applyFont="1" applyBorder="1" applyProtection="1">
      <protection locked="0"/>
    </xf>
    <xf numFmtId="174" fontId="6" fillId="0" borderId="0" xfId="1" applyNumberFormat="1" applyFont="1" applyBorder="1" applyAlignment="1" applyProtection="1">
      <alignment vertical="center"/>
    </xf>
    <xf numFmtId="174" fontId="16" fillId="0" borderId="50" xfId="1" applyNumberFormat="1" applyFont="1" applyBorder="1" applyAlignment="1" applyProtection="1">
      <alignment vertical="center"/>
    </xf>
    <xf numFmtId="174" fontId="6" fillId="0" borderId="19" xfId="1" applyNumberFormat="1" applyFont="1" applyBorder="1" applyAlignment="1" applyProtection="1">
      <alignment vertical="center"/>
    </xf>
    <xf numFmtId="0" fontId="20" fillId="0" borderId="19" xfId="1" applyFont="1" applyBorder="1" applyAlignment="1" applyProtection="1">
      <alignment horizontal="center" vertical="center"/>
    </xf>
    <xf numFmtId="0" fontId="15" fillId="0" borderId="30" xfId="1" applyFont="1" applyFill="1" applyBorder="1" applyAlignment="1" applyProtection="1">
      <alignment vertical="center"/>
    </xf>
    <xf numFmtId="174" fontId="14" fillId="0" borderId="51" xfId="1" applyNumberFormat="1" applyFont="1" applyFill="1" applyBorder="1" applyAlignment="1" applyProtection="1">
      <alignment vertical="center"/>
    </xf>
    <xf numFmtId="174" fontId="6" fillId="0" borderId="52" xfId="1" applyNumberFormat="1" applyFont="1" applyBorder="1" applyAlignment="1" applyProtection="1">
      <alignment vertical="center"/>
    </xf>
    <xf numFmtId="174" fontId="6" fillId="0" borderId="2" xfId="1" applyNumberFormat="1" applyFont="1" applyBorder="1" applyAlignment="1" applyProtection="1">
      <alignment vertical="center"/>
    </xf>
    <xf numFmtId="174" fontId="6" fillId="0" borderId="44" xfId="1" applyNumberFormat="1" applyFont="1" applyBorder="1" applyAlignment="1" applyProtection="1">
      <alignment vertical="center"/>
    </xf>
    <xf numFmtId="0" fontId="63" fillId="0" borderId="44" xfId="1" applyFont="1" applyBorder="1" applyAlignment="1" applyProtection="1">
      <alignment horizontal="center" vertical="center"/>
    </xf>
    <xf numFmtId="174" fontId="6" fillId="0" borderId="3" xfId="1" applyNumberFormat="1" applyFont="1" applyBorder="1" applyAlignment="1" applyProtection="1">
      <alignment vertical="center"/>
    </xf>
    <xf numFmtId="174" fontId="6" fillId="0" borderId="25" xfId="1" applyNumberFormat="1" applyFont="1" applyBorder="1" applyAlignment="1" applyProtection="1">
      <alignment vertical="center"/>
    </xf>
    <xf numFmtId="174" fontId="14" fillId="30" borderId="51" xfId="1" applyNumberFormat="1" applyFont="1" applyFill="1" applyBorder="1" applyAlignment="1" applyProtection="1">
      <alignment vertical="center"/>
    </xf>
    <xf numFmtId="0" fontId="55" fillId="0" borderId="34" xfId="1" applyFont="1" applyBorder="1" applyAlignment="1" applyProtection="1">
      <alignment vertical="center"/>
    </xf>
    <xf numFmtId="174" fontId="4" fillId="0" borderId="0" xfId="1" applyNumberFormat="1" applyBorder="1" applyAlignment="1" applyProtection="1">
      <alignment vertical="center"/>
    </xf>
    <xf numFmtId="174" fontId="16" fillId="30" borderId="53" xfId="1" applyNumberFormat="1" applyFont="1" applyFill="1" applyBorder="1" applyAlignment="1" applyProtection="1">
      <alignment vertical="center"/>
    </xf>
    <xf numFmtId="174" fontId="6" fillId="0" borderId="50" xfId="1" applyNumberFormat="1" applyFont="1" applyBorder="1" applyAlignment="1" applyProtection="1">
      <alignment vertical="center"/>
    </xf>
    <xf numFmtId="0" fontId="15" fillId="0" borderId="25" xfId="1" applyFont="1" applyBorder="1" applyAlignment="1" applyProtection="1">
      <alignment vertical="center"/>
    </xf>
    <xf numFmtId="174" fontId="16" fillId="30" borderId="54" xfId="1" applyNumberFormat="1" applyFont="1" applyFill="1" applyBorder="1" applyAlignment="1" applyProtection="1">
      <alignment vertical="center"/>
    </xf>
    <xf numFmtId="174" fontId="5" fillId="0" borderId="0" xfId="1" applyNumberFormat="1" applyFont="1" applyBorder="1" applyAlignment="1" applyProtection="1">
      <alignment vertical="center"/>
    </xf>
    <xf numFmtId="174" fontId="14" fillId="30" borderId="53" xfId="1" applyNumberFormat="1" applyFont="1" applyFill="1" applyBorder="1" applyAlignment="1" applyProtection="1">
      <alignment vertical="center"/>
    </xf>
    <xf numFmtId="0" fontId="20" fillId="0" borderId="44" xfId="1" applyFont="1" applyBorder="1" applyAlignment="1" applyProtection="1">
      <alignment horizontal="center" vertical="center"/>
    </xf>
    <xf numFmtId="175" fontId="4" fillId="0" borderId="0" xfId="1" applyNumberFormat="1" applyBorder="1" applyAlignment="1" applyProtection="1">
      <alignment vertical="center"/>
    </xf>
    <xf numFmtId="175" fontId="16" fillId="30" borderId="53" xfId="1" applyNumberFormat="1" applyFont="1" applyFill="1" applyBorder="1" applyAlignment="1" applyProtection="1">
      <alignment vertical="center"/>
    </xf>
    <xf numFmtId="175" fontId="6" fillId="0" borderId="50" xfId="1" applyNumberFormat="1" applyFont="1" applyBorder="1" applyAlignment="1" applyProtection="1">
      <alignment vertical="center"/>
    </xf>
    <xf numFmtId="175" fontId="6" fillId="0" borderId="0" xfId="1" applyNumberFormat="1" applyFont="1" applyBorder="1" applyAlignment="1" applyProtection="1">
      <alignment vertical="center"/>
    </xf>
    <xf numFmtId="175" fontId="6" fillId="0" borderId="19" xfId="1" applyNumberFormat="1" applyFont="1" applyBorder="1" applyAlignment="1" applyProtection="1">
      <alignment vertical="center"/>
    </xf>
    <xf numFmtId="0" fontId="43" fillId="0" borderId="55" xfId="1" applyFont="1" applyBorder="1" applyAlignment="1" applyProtection="1">
      <alignment horizontal="center" vertical="top" wrapText="1"/>
    </xf>
    <xf numFmtId="0" fontId="14" fillId="31" borderId="52" xfId="1" applyFont="1" applyFill="1" applyBorder="1" applyAlignment="1" applyProtection="1">
      <alignment horizontal="center" vertical="center" wrapText="1"/>
      <protection locked="0"/>
    </xf>
    <xf numFmtId="0" fontId="14" fillId="31" borderId="2" xfId="1" applyFont="1" applyFill="1" applyBorder="1" applyAlignment="1" applyProtection="1">
      <alignment horizontal="center" vertical="center" wrapText="1"/>
      <protection locked="0"/>
    </xf>
    <xf numFmtId="0" fontId="14" fillId="31" borderId="44" xfId="1" applyFont="1" applyFill="1" applyBorder="1" applyAlignment="1" applyProtection="1">
      <alignment horizontal="center" vertical="center" wrapText="1"/>
      <protection locked="0"/>
    </xf>
    <xf numFmtId="0" fontId="15" fillId="0" borderId="44" xfId="1" applyFont="1" applyBorder="1" applyAlignment="1" applyProtection="1">
      <alignment horizontal="center" vertical="center" wrapText="1"/>
    </xf>
    <xf numFmtId="0" fontId="15" fillId="0" borderId="34" xfId="1" applyFont="1" applyBorder="1" applyAlignment="1" applyProtection="1">
      <alignment vertical="center" wrapText="1"/>
    </xf>
    <xf numFmtId="0" fontId="51" fillId="0" borderId="0" xfId="1" applyFont="1" applyBorder="1" applyAlignment="1" applyProtection="1">
      <alignment horizontal="center" vertical="top" wrapText="1"/>
    </xf>
    <xf numFmtId="0" fontId="65" fillId="0" borderId="55" xfId="1" applyFont="1" applyBorder="1" applyAlignment="1" applyProtection="1">
      <alignment horizontal="center" vertical="top" wrapText="1"/>
    </xf>
    <xf numFmtId="0" fontId="64" fillId="4" borderId="56" xfId="1" applyFont="1" applyFill="1" applyBorder="1" applyAlignment="1" applyProtection="1">
      <alignment horizontal="center" vertical="top" wrapText="1"/>
    </xf>
    <xf numFmtId="0" fontId="15" fillId="0" borderId="58" xfId="1" applyFont="1" applyBorder="1" applyAlignment="1" applyProtection="1">
      <alignment horizontal="center"/>
    </xf>
    <xf numFmtId="0" fontId="4" fillId="0" borderId="3" xfId="1" applyBorder="1" applyProtection="1"/>
    <xf numFmtId="0" fontId="60" fillId="0" borderId="0" xfId="1" applyFont="1"/>
    <xf numFmtId="0" fontId="43" fillId="0" borderId="0" xfId="1" applyFont="1" applyAlignment="1" applyProtection="1">
      <alignment horizontal="right" vertical="center"/>
    </xf>
    <xf numFmtId="0" fontId="60" fillId="0" borderId="0" xfId="1" applyFont="1" applyAlignment="1" applyProtection="1">
      <alignment vertical="center"/>
    </xf>
    <xf numFmtId="0" fontId="66" fillId="0" borderId="0" xfId="1" applyFont="1"/>
    <xf numFmtId="0" fontId="56" fillId="0" borderId="0" xfId="1" applyFont="1"/>
    <xf numFmtId="0" fontId="18" fillId="0" borderId="0" xfId="1" applyFont="1"/>
    <xf numFmtId="0" fontId="60" fillId="0" borderId="0" xfId="1" applyFont="1" applyProtection="1">
      <protection locked="0"/>
    </xf>
    <xf numFmtId="0" fontId="4" fillId="31" borderId="57" xfId="1" applyFill="1" applyBorder="1" applyAlignment="1">
      <alignment vertical="center"/>
    </xf>
    <xf numFmtId="174" fontId="18" fillId="0" borderId="50" xfId="1" applyNumberFormat="1" applyFont="1" applyBorder="1" applyAlignment="1" applyProtection="1">
      <alignment horizontal="right"/>
    </xf>
    <xf numFmtId="174" fontId="6" fillId="0" borderId="40" xfId="1" applyNumberFormat="1" applyFont="1" applyBorder="1" applyProtection="1"/>
    <xf numFmtId="174" fontId="6" fillId="0" borderId="0" xfId="1" applyNumberFormat="1" applyFont="1" applyBorder="1" applyProtection="1"/>
    <xf numFmtId="174" fontId="6" fillId="0" borderId="19" xfId="1" applyNumberFormat="1" applyFont="1" applyBorder="1" applyProtection="1"/>
    <xf numFmtId="174" fontId="6" fillId="0" borderId="25" xfId="1" applyNumberFormat="1" applyFont="1" applyBorder="1" applyProtection="1"/>
    <xf numFmtId="0" fontId="63" fillId="0" borderId="19" xfId="1" applyFont="1" applyBorder="1" applyAlignment="1" applyProtection="1">
      <alignment horizontal="center"/>
      <protection locked="0"/>
    </xf>
    <xf numFmtId="0" fontId="55" fillId="0" borderId="30" xfId="1" applyFont="1" applyBorder="1" applyProtection="1">
      <protection locked="0"/>
    </xf>
    <xf numFmtId="174" fontId="14" fillId="0" borderId="55" xfId="1" applyNumberFormat="1" applyFont="1" applyFill="1" applyBorder="1" applyAlignment="1" applyProtection="1">
      <alignment vertical="center"/>
    </xf>
    <xf numFmtId="174" fontId="6" fillId="0" borderId="56" xfId="1" applyNumberFormat="1" applyFont="1" applyBorder="1" applyAlignment="1" applyProtection="1">
      <alignment vertical="center"/>
    </xf>
    <xf numFmtId="174" fontId="6" fillId="0" borderId="57" xfId="1" applyNumberFormat="1" applyFont="1" applyBorder="1" applyAlignment="1" applyProtection="1">
      <alignment vertical="center"/>
    </xf>
    <xf numFmtId="174" fontId="6" fillId="0" borderId="58" xfId="1" applyNumberFormat="1" applyFont="1" applyBorder="1" applyAlignment="1" applyProtection="1">
      <alignment vertical="center"/>
    </xf>
    <xf numFmtId="0" fontId="63" fillId="0" borderId="58" xfId="1" applyFont="1" applyBorder="1" applyAlignment="1" applyProtection="1">
      <alignment horizontal="center" vertical="center"/>
    </xf>
    <xf numFmtId="0" fontId="13" fillId="0" borderId="3" xfId="1" applyFont="1" applyBorder="1" applyAlignment="1" applyProtection="1">
      <alignment vertical="top" wrapText="1"/>
    </xf>
    <xf numFmtId="0" fontId="66" fillId="0" borderId="0" xfId="1" applyFont="1" applyAlignment="1">
      <alignment vertical="center"/>
    </xf>
    <xf numFmtId="0" fontId="4" fillId="0" borderId="0" xfId="1" applyAlignment="1" applyProtection="1">
      <alignment horizontal="left"/>
    </xf>
    <xf numFmtId="0" fontId="9" fillId="0" borderId="0" xfId="1" applyFont="1" applyFill="1" applyBorder="1" applyAlignment="1" applyProtection="1">
      <alignment horizontal="left" vertical="center"/>
    </xf>
    <xf numFmtId="0" fontId="4" fillId="0" borderId="0" xfId="1" applyBorder="1" applyAlignment="1" applyProtection="1">
      <alignment horizontal="right" vertical="center"/>
    </xf>
    <xf numFmtId="0" fontId="6" fillId="0" borderId="0" xfId="1" applyFont="1" applyFill="1" applyAlignment="1" applyProtection="1">
      <alignment vertical="center"/>
    </xf>
    <xf numFmtId="0" fontId="6" fillId="0" borderId="0" xfId="1" applyFont="1" applyAlignment="1" applyProtection="1">
      <alignment horizontal="right" vertical="center"/>
    </xf>
    <xf numFmtId="0" fontId="6" fillId="0" borderId="0" xfId="1" applyFont="1" applyFill="1" applyBorder="1" applyAlignment="1" applyProtection="1">
      <alignment vertical="center"/>
    </xf>
    <xf numFmtId="49" fontId="6" fillId="0" borderId="0" xfId="1" applyNumberFormat="1" applyFont="1" applyBorder="1" applyAlignment="1" applyProtection="1">
      <alignment vertical="center"/>
    </xf>
    <xf numFmtId="0" fontId="6" fillId="0" borderId="0" xfId="1" applyFont="1" applyBorder="1" applyAlignment="1" applyProtection="1">
      <alignment horizontal="right" vertical="center"/>
    </xf>
    <xf numFmtId="49" fontId="71" fillId="0" borderId="0" xfId="1" applyNumberFormat="1" applyFont="1" applyBorder="1" applyAlignment="1" applyProtection="1">
      <alignment vertical="center"/>
    </xf>
    <xf numFmtId="0" fontId="72" fillId="0" borderId="0" xfId="1" applyFont="1" applyAlignment="1" applyProtection="1">
      <alignment vertical="center"/>
    </xf>
    <xf numFmtId="0" fontId="15" fillId="0" borderId="0" xfId="1" applyFont="1" applyBorder="1" applyAlignment="1" applyProtection="1">
      <alignment horizontal="left" vertical="center"/>
    </xf>
    <xf numFmtId="0" fontId="72" fillId="0" borderId="59" xfId="1" applyFont="1" applyBorder="1" applyAlignment="1" applyProtection="1">
      <alignment vertical="center"/>
    </xf>
    <xf numFmtId="0" fontId="72" fillId="0" borderId="46" xfId="1" applyFont="1" applyBorder="1" applyAlignment="1" applyProtection="1">
      <alignment vertical="center"/>
    </xf>
    <xf numFmtId="0" fontId="72" fillId="0" borderId="41" xfId="1" applyFont="1" applyBorder="1" applyAlignment="1" applyProtection="1">
      <alignment vertical="center"/>
    </xf>
    <xf numFmtId="0" fontId="72" fillId="0" borderId="60" xfId="1" applyFont="1" applyBorder="1" applyAlignment="1" applyProtection="1">
      <alignment vertical="center"/>
    </xf>
    <xf numFmtId="176" fontId="6" fillId="0" borderId="0" xfId="1" applyNumberFormat="1" applyFont="1" applyBorder="1" applyAlignment="1" applyProtection="1">
      <alignment vertical="center"/>
    </xf>
    <xf numFmtId="0" fontId="6" fillId="0" borderId="2" xfId="1" applyFont="1" applyFill="1" applyBorder="1" applyAlignment="1" applyProtection="1">
      <alignment vertical="center"/>
    </xf>
    <xf numFmtId="0" fontId="6" fillId="0" borderId="39" xfId="1" applyFont="1" applyBorder="1" applyAlignment="1" applyProtection="1">
      <alignment vertical="center"/>
    </xf>
    <xf numFmtId="0" fontId="31" fillId="0" borderId="0" xfId="1" applyFont="1" applyAlignment="1" applyProtection="1">
      <alignment horizontal="centerContinuous" vertical="center"/>
    </xf>
    <xf numFmtId="0" fontId="72" fillId="0" borderId="64" xfId="1" applyFont="1" applyBorder="1" applyAlignment="1" applyProtection="1">
      <alignment vertical="center"/>
    </xf>
    <xf numFmtId="0" fontId="72" fillId="0" borderId="40" xfId="1" applyFont="1" applyBorder="1" applyAlignment="1" applyProtection="1">
      <alignment vertical="center"/>
    </xf>
    <xf numFmtId="0" fontId="72" fillId="0" borderId="0" xfId="1" applyFont="1" applyBorder="1" applyAlignment="1" applyProtection="1">
      <alignment vertical="center"/>
    </xf>
    <xf numFmtId="0" fontId="72" fillId="0" borderId="32" xfId="1" applyFont="1" applyBorder="1" applyAlignment="1" applyProtection="1">
      <alignment vertical="center"/>
    </xf>
    <xf numFmtId="176" fontId="6" fillId="31" borderId="0" xfId="1" applyNumberFormat="1" applyFont="1" applyFill="1" applyBorder="1" applyAlignment="1" applyProtection="1">
      <alignment vertical="center"/>
      <protection locked="0"/>
    </xf>
    <xf numFmtId="176" fontId="6" fillId="0" borderId="65" xfId="1" applyNumberFormat="1" applyFont="1" applyFill="1" applyBorder="1" applyAlignment="1" applyProtection="1">
      <alignment vertical="center"/>
    </xf>
    <xf numFmtId="176" fontId="6" fillId="0" borderId="0" xfId="1" applyNumberFormat="1" applyFont="1" applyFill="1" applyBorder="1" applyAlignment="1" applyProtection="1">
      <alignment vertical="center"/>
    </xf>
    <xf numFmtId="176" fontId="6" fillId="0" borderId="66" xfId="1" applyNumberFormat="1" applyFont="1" applyFill="1" applyBorder="1" applyAlignment="1" applyProtection="1">
      <alignment vertical="center"/>
    </xf>
    <xf numFmtId="176" fontId="6" fillId="0" borderId="67" xfId="1" applyNumberFormat="1" applyFont="1" applyFill="1" applyBorder="1" applyAlignment="1" applyProtection="1">
      <alignment vertical="center"/>
    </xf>
    <xf numFmtId="0" fontId="13" fillId="0" borderId="40" xfId="1" applyFont="1" applyBorder="1" applyAlignment="1" applyProtection="1">
      <alignment vertical="center"/>
    </xf>
    <xf numFmtId="0" fontId="6" fillId="0" borderId="0" xfId="1" applyFont="1" applyBorder="1" applyAlignment="1" applyProtection="1"/>
    <xf numFmtId="0" fontId="70" fillId="0" borderId="0" xfId="1" applyFont="1" applyAlignment="1" applyProtection="1">
      <alignment vertical="center"/>
    </xf>
    <xf numFmtId="0" fontId="70" fillId="0" borderId="64" xfId="1" applyFont="1" applyBorder="1" applyAlignment="1" applyProtection="1">
      <alignment vertical="center"/>
    </xf>
    <xf numFmtId="0" fontId="70" fillId="0" borderId="40" xfId="1" applyFont="1" applyBorder="1" applyAlignment="1" applyProtection="1">
      <alignment vertical="center"/>
    </xf>
    <xf numFmtId="0" fontId="70" fillId="0" borderId="0" xfId="1" applyFont="1" applyBorder="1" applyAlignment="1" applyProtection="1">
      <alignment vertical="center"/>
    </xf>
    <xf numFmtId="0" fontId="70" fillId="0" borderId="32" xfId="1" applyFont="1" applyBorder="1" applyAlignment="1" applyProtection="1">
      <alignment vertical="center"/>
    </xf>
    <xf numFmtId="0" fontId="44" fillId="0" borderId="0" xfId="1" applyFont="1" applyAlignment="1" applyProtection="1">
      <alignment horizontal="right" vertical="center"/>
    </xf>
    <xf numFmtId="0" fontId="44" fillId="0" borderId="64" xfId="1" applyFont="1" applyBorder="1" applyAlignment="1" applyProtection="1">
      <alignment horizontal="right" vertical="center"/>
    </xf>
    <xf numFmtId="0" fontId="44" fillId="0" borderId="40" xfId="1" applyFont="1" applyBorder="1" applyAlignment="1" applyProtection="1">
      <alignment horizontal="right" vertical="center"/>
    </xf>
    <xf numFmtId="0" fontId="44" fillId="0" borderId="0" xfId="1" applyFont="1" applyBorder="1" applyAlignment="1" applyProtection="1">
      <alignment horizontal="right" vertical="center"/>
    </xf>
    <xf numFmtId="0" fontId="44" fillId="0" borderId="32" xfId="1" applyFont="1" applyBorder="1" applyAlignment="1" applyProtection="1">
      <alignment horizontal="right" vertical="center"/>
    </xf>
    <xf numFmtId="176" fontId="6" fillId="0" borderId="68"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176" fontId="6" fillId="0" borderId="70" xfId="1" applyNumberFormat="1" applyFont="1" applyFill="1" applyBorder="1" applyAlignment="1" applyProtection="1">
      <alignment vertical="center"/>
    </xf>
    <xf numFmtId="0" fontId="6" fillId="0" borderId="23" xfId="1" applyFont="1" applyBorder="1" applyAlignment="1" applyProtection="1">
      <alignment vertical="center"/>
    </xf>
    <xf numFmtId="0" fontId="14" fillId="0" borderId="43" xfId="1" applyFont="1" applyBorder="1" applyAlignment="1" applyProtection="1">
      <alignment vertical="center"/>
    </xf>
    <xf numFmtId="0" fontId="13" fillId="4" borderId="0" xfId="1" applyFont="1" applyFill="1" applyBorder="1" applyAlignment="1" applyProtection="1">
      <alignment horizontal="center" vertical="center"/>
    </xf>
    <xf numFmtId="0" fontId="13" fillId="0" borderId="2" xfId="1" applyFont="1" applyFill="1" applyBorder="1" applyAlignment="1" applyProtection="1">
      <alignment horizontal="center" vertical="center"/>
    </xf>
    <xf numFmtId="0" fontId="13" fillId="0" borderId="2" xfId="1" applyFont="1" applyBorder="1" applyAlignment="1" applyProtection="1">
      <alignment horizontal="center" vertical="center"/>
    </xf>
    <xf numFmtId="0" fontId="4" fillId="0" borderId="2" xfId="1" applyBorder="1" applyAlignment="1" applyProtection="1">
      <alignment horizontal="right" vertical="center"/>
    </xf>
    <xf numFmtId="0" fontId="13" fillId="0" borderId="0" xfId="1" applyFont="1" applyBorder="1" applyAlignment="1" applyProtection="1">
      <alignment horizontal="centerContinuous" vertical="center"/>
    </xf>
    <xf numFmtId="0" fontId="4" fillId="0" borderId="23" xfId="1" applyBorder="1" applyAlignment="1" applyProtection="1">
      <alignment vertical="center"/>
    </xf>
    <xf numFmtId="0" fontId="6" fillId="0" borderId="64" xfId="1" applyFont="1" applyBorder="1" applyAlignment="1" applyProtection="1">
      <alignment vertical="center"/>
    </xf>
    <xf numFmtId="0" fontId="6" fillId="0" borderId="40" xfId="1" applyFont="1" applyBorder="1" applyAlignment="1" applyProtection="1">
      <alignment vertical="center"/>
    </xf>
    <xf numFmtId="0" fontId="6" fillId="0" borderId="32" xfId="1" applyFont="1" applyBorder="1" applyAlignment="1" applyProtection="1">
      <alignment vertical="center"/>
    </xf>
    <xf numFmtId="0" fontId="4" fillId="0" borderId="0" xfId="1" applyAlignment="1" applyProtection="1">
      <alignment vertical="top"/>
    </xf>
    <xf numFmtId="0" fontId="4" fillId="0" borderId="0" xfId="1" applyFill="1" applyAlignment="1" applyProtection="1">
      <alignment vertical="top"/>
    </xf>
    <xf numFmtId="0" fontId="4" fillId="0" borderId="0" xfId="1" applyAlignment="1" applyProtection="1">
      <alignment horizontal="right" vertical="top"/>
    </xf>
    <xf numFmtId="176" fontId="6" fillId="0" borderId="0" xfId="61" applyNumberFormat="1" applyFont="1" applyBorder="1" applyAlignment="1" applyProtection="1">
      <alignment vertical="center"/>
    </xf>
    <xf numFmtId="0" fontId="6" fillId="0" borderId="2" xfId="1" applyFont="1" applyBorder="1" applyAlignment="1" applyProtection="1">
      <alignment horizontal="right" vertical="center"/>
    </xf>
    <xf numFmtId="0" fontId="6" fillId="0" borderId="2" xfId="1" applyFont="1" applyBorder="1" applyAlignment="1" applyProtection="1">
      <alignment vertical="center"/>
    </xf>
    <xf numFmtId="0" fontId="12" fillId="0" borderId="0" xfId="1" applyFont="1" applyBorder="1" applyAlignment="1" applyProtection="1">
      <alignment horizontal="left" vertical="center"/>
    </xf>
    <xf numFmtId="2" fontId="7" fillId="0" borderId="32" xfId="2" applyNumberFormat="1" applyBorder="1" applyAlignment="1" applyProtection="1">
      <alignment horizontal="left" vertical="center"/>
    </xf>
    <xf numFmtId="177" fontId="9" fillId="0" borderId="44" xfId="1" applyNumberFormat="1" applyFont="1" applyBorder="1" applyAlignment="1" applyProtection="1">
      <alignment horizontal="centerContinuous" vertical="center"/>
    </xf>
    <xf numFmtId="177" fontId="9" fillId="0" borderId="2" xfId="1" applyNumberFormat="1" applyFont="1" applyBorder="1" applyAlignment="1" applyProtection="1">
      <alignment horizontal="centerContinuous" vertical="center"/>
    </xf>
    <xf numFmtId="177" fontId="9" fillId="0" borderId="39" xfId="1" applyNumberFormat="1" applyFont="1" applyBorder="1" applyAlignment="1" applyProtection="1">
      <alignment horizontal="centerContinuous" vertical="center"/>
    </xf>
    <xf numFmtId="0" fontId="6" fillId="0" borderId="23" xfId="1" applyFont="1" applyBorder="1" applyAlignment="1" applyProtection="1">
      <alignment horizontal="right" vertical="center"/>
    </xf>
    <xf numFmtId="0" fontId="4" fillId="0" borderId="0" xfId="1" applyFill="1" applyAlignment="1" applyProtection="1">
      <alignment vertical="center"/>
    </xf>
    <xf numFmtId="0" fontId="6" fillId="0" borderId="32" xfId="1" applyFont="1" applyBorder="1" applyAlignment="1" applyProtection="1">
      <alignment horizontal="left" vertical="center"/>
    </xf>
    <xf numFmtId="0" fontId="4" fillId="0" borderId="39" xfId="1" applyBorder="1" applyAlignment="1" applyProtection="1">
      <alignment vertical="center"/>
    </xf>
    <xf numFmtId="176" fontId="6" fillId="33" borderId="72" xfId="1" applyNumberFormat="1" applyFont="1" applyFill="1" applyBorder="1" applyAlignment="1" applyProtection="1">
      <alignment vertical="center"/>
    </xf>
    <xf numFmtId="176" fontId="6" fillId="0" borderId="72" xfId="1" applyNumberFormat="1" applyFont="1" applyFill="1" applyBorder="1" applyAlignment="1" applyProtection="1">
      <alignment vertical="center"/>
    </xf>
    <xf numFmtId="0" fontId="9" fillId="0" borderId="0" xfId="1" applyFont="1" applyFill="1" applyBorder="1" applyAlignment="1" applyProtection="1">
      <alignment horizontal="right" vertical="center"/>
    </xf>
    <xf numFmtId="0" fontId="6" fillId="31" borderId="0" xfId="1" applyFont="1" applyFill="1" applyBorder="1" applyAlignment="1" applyProtection="1">
      <alignment vertical="center"/>
      <protection locked="0"/>
    </xf>
    <xf numFmtId="176" fontId="6" fillId="31" borderId="65" xfId="1" applyNumberFormat="1" applyFont="1" applyFill="1" applyBorder="1" applyAlignment="1" applyProtection="1">
      <alignment vertical="center"/>
      <protection locked="0"/>
    </xf>
    <xf numFmtId="0" fontId="20" fillId="0" borderId="0" xfId="1" applyFont="1" applyBorder="1" applyAlignment="1" applyProtection="1">
      <alignment horizontal="right" vertical="center"/>
    </xf>
    <xf numFmtId="0" fontId="48" fillId="0" borderId="0" xfId="1" applyFont="1" applyBorder="1" applyAlignment="1" applyProtection="1">
      <alignment vertical="center"/>
    </xf>
    <xf numFmtId="0" fontId="6" fillId="0" borderId="40" xfId="1" applyFont="1" applyBorder="1" applyAlignment="1" applyProtection="1">
      <alignment horizontal="left" vertical="center"/>
    </xf>
    <xf numFmtId="177" fontId="70" fillId="0" borderId="0" xfId="1" applyNumberFormat="1" applyFont="1" applyBorder="1" applyAlignment="1" applyProtection="1">
      <alignment vertical="center"/>
    </xf>
    <xf numFmtId="176" fontId="6" fillId="0" borderId="43" xfId="1" applyNumberFormat="1" applyFont="1" applyFill="1" applyBorder="1" applyAlignment="1" applyProtection="1">
      <alignment vertical="center"/>
    </xf>
    <xf numFmtId="0" fontId="44" fillId="0" borderId="73" xfId="1" applyFont="1" applyBorder="1" applyAlignment="1" applyProtection="1">
      <alignment horizontal="right" vertical="center"/>
    </xf>
    <xf numFmtId="0" fontId="76" fillId="0" borderId="74" xfId="1" applyFont="1" applyBorder="1" applyAlignment="1" applyProtection="1">
      <alignment vertical="center"/>
    </xf>
    <xf numFmtId="0" fontId="76" fillId="0" borderId="75" xfId="1" applyFont="1" applyBorder="1" applyAlignment="1" applyProtection="1">
      <alignment vertical="center"/>
    </xf>
    <xf numFmtId="0" fontId="76" fillId="0" borderId="76" xfId="1" applyFont="1" applyBorder="1" applyAlignment="1" applyProtection="1">
      <alignment vertical="center"/>
    </xf>
    <xf numFmtId="177" fontId="77" fillId="0" borderId="2" xfId="1" applyNumberFormat="1" applyFont="1" applyBorder="1" applyAlignment="1" applyProtection="1">
      <alignment horizontal="centerContinuous" vertical="center"/>
    </xf>
    <xf numFmtId="0" fontId="13" fillId="0" borderId="2" xfId="1" applyFont="1" applyBorder="1" applyAlignment="1" applyProtection="1">
      <alignment vertical="center"/>
    </xf>
    <xf numFmtId="178" fontId="6" fillId="0" borderId="0" xfId="1" applyNumberFormat="1" applyFont="1" applyBorder="1" applyAlignment="1" applyProtection="1">
      <alignment vertical="center"/>
    </xf>
    <xf numFmtId="178" fontId="6" fillId="0" borderId="65" xfId="1" applyNumberFormat="1" applyFont="1" applyFill="1" applyBorder="1" applyAlignment="1" applyProtection="1">
      <alignment vertical="center"/>
    </xf>
    <xf numFmtId="178" fontId="6" fillId="0" borderId="67" xfId="1" applyNumberFormat="1" applyFont="1" applyFill="1" applyBorder="1" applyAlignment="1" applyProtection="1">
      <alignment vertical="center"/>
    </xf>
    <xf numFmtId="0" fontId="13" fillId="0" borderId="0" xfId="1" applyFont="1" applyBorder="1" applyAlignment="1" applyProtection="1">
      <alignment horizontal="right" vertical="center"/>
    </xf>
    <xf numFmtId="0" fontId="14" fillId="0" borderId="40" xfId="1" applyFont="1" applyBorder="1" applyAlignment="1" applyProtection="1">
      <alignment vertical="center"/>
    </xf>
    <xf numFmtId="178" fontId="6" fillId="0" borderId="40" xfId="1" applyNumberFormat="1" applyFont="1" applyFill="1" applyBorder="1" applyAlignment="1" applyProtection="1">
      <alignment vertical="center"/>
    </xf>
    <xf numFmtId="0" fontId="44" fillId="0" borderId="0" xfId="1" applyFont="1" applyAlignment="1" applyProtection="1">
      <alignment horizontal="left" vertical="center"/>
    </xf>
    <xf numFmtId="179" fontId="78" fillId="0" borderId="3" xfId="1" applyNumberFormat="1" applyFont="1" applyBorder="1" applyAlignment="1" applyProtection="1">
      <alignment horizontal="center" vertical="center"/>
    </xf>
    <xf numFmtId="0" fontId="4" fillId="0" borderId="57" xfId="1" applyBorder="1" applyAlignment="1" applyProtection="1">
      <alignment vertical="center"/>
    </xf>
    <xf numFmtId="0" fontId="44" fillId="34" borderId="0" xfId="1" applyFont="1" applyFill="1" applyAlignment="1" applyProtection="1">
      <alignment horizontal="left" vertical="center"/>
    </xf>
    <xf numFmtId="0" fontId="75" fillId="0" borderId="0" xfId="1" applyFont="1" applyBorder="1" applyAlignment="1" applyProtection="1">
      <alignment horizontal="center" vertical="center"/>
    </xf>
    <xf numFmtId="0" fontId="13" fillId="0" borderId="0" xfId="1" applyFont="1" applyBorder="1" applyAlignment="1" applyProtection="1">
      <alignment horizontal="center" vertical="center"/>
    </xf>
    <xf numFmtId="0" fontId="4" fillId="0" borderId="2" xfId="1" applyBorder="1" applyAlignment="1" applyProtection="1">
      <alignment vertical="center"/>
    </xf>
    <xf numFmtId="0" fontId="4" fillId="0" borderId="0" xfId="1" applyAlignment="1" applyProtection="1">
      <alignment horizontal="centerContinuous" vertical="center"/>
    </xf>
    <xf numFmtId="0" fontId="44" fillId="0" borderId="0" xfId="1" applyFont="1" applyFill="1" applyBorder="1" applyAlignment="1" applyProtection="1">
      <alignment horizontal="right" vertical="top"/>
    </xf>
    <xf numFmtId="0" fontId="44" fillId="0" borderId="0" xfId="1" applyFont="1" applyBorder="1" applyAlignment="1" applyProtection="1">
      <alignment horizontal="left" vertical="top"/>
    </xf>
    <xf numFmtId="0" fontId="16" fillId="0" borderId="0" xfId="1" applyFont="1" applyBorder="1" applyAlignment="1" applyProtection="1">
      <alignment vertical="top"/>
    </xf>
    <xf numFmtId="0" fontId="16" fillId="0" borderId="0" xfId="1" applyFont="1" applyBorder="1" applyAlignment="1" applyProtection="1">
      <alignment horizontal="right" vertical="top"/>
    </xf>
    <xf numFmtId="14" fontId="6" fillId="0" borderId="0" xfId="1" applyNumberFormat="1" applyFont="1" applyAlignment="1" applyProtection="1">
      <alignment horizontal="left" vertical="top"/>
    </xf>
    <xf numFmtId="0" fontId="6" fillId="0" borderId="0" xfId="1" applyFont="1" applyAlignment="1" applyProtection="1">
      <alignment horizontal="left" vertical="top"/>
    </xf>
    <xf numFmtId="0" fontId="18" fillId="4" borderId="0" xfId="1" applyFont="1" applyFill="1" applyAlignment="1" applyProtection="1">
      <alignment horizontal="right" vertical="top"/>
    </xf>
    <xf numFmtId="0" fontId="18" fillId="0" borderId="0" xfId="1" applyFont="1" applyBorder="1" applyAlignment="1" applyProtection="1">
      <alignment vertical="center"/>
    </xf>
    <xf numFmtId="2" fontId="80" fillId="36" borderId="1" xfId="122" applyNumberFormat="1" applyFont="1" applyProtection="1"/>
    <xf numFmtId="0" fontId="15" fillId="0" borderId="0" xfId="1" applyFont="1" applyBorder="1" applyAlignment="1" applyProtection="1">
      <alignment vertical="center"/>
    </xf>
    <xf numFmtId="9" fontId="4" fillId="0" borderId="0" xfId="1" applyNumberFormat="1" applyAlignment="1" applyProtection="1">
      <alignment vertical="center"/>
    </xf>
    <xf numFmtId="0" fontId="35" fillId="0" borderId="0" xfId="105" applyProtection="1"/>
    <xf numFmtId="3" fontId="6" fillId="0" borderId="34" xfId="1" applyNumberFormat="1" applyFont="1" applyBorder="1" applyAlignment="1" applyProtection="1">
      <alignment vertical="center"/>
    </xf>
    <xf numFmtId="3" fontId="6" fillId="31" borderId="44" xfId="1" applyNumberFormat="1" applyFont="1" applyFill="1" applyBorder="1" applyAlignment="1" applyProtection="1">
      <alignment vertical="center"/>
      <protection locked="0"/>
    </xf>
    <xf numFmtId="3" fontId="6" fillId="33" borderId="62" xfId="1" applyNumberFormat="1" applyFont="1" applyFill="1" applyBorder="1" applyAlignment="1" applyProtection="1">
      <alignment vertical="center"/>
      <protection locked="0"/>
    </xf>
    <xf numFmtId="3" fontId="6" fillId="0" borderId="62" xfId="1" applyNumberFormat="1" applyFont="1" applyFill="1" applyBorder="1" applyAlignment="1" applyProtection="1">
      <alignment vertical="center"/>
    </xf>
    <xf numFmtId="0" fontId="16" fillId="0" borderId="44" xfId="1" applyFont="1" applyFill="1" applyBorder="1" applyAlignment="1" applyProtection="1">
      <alignment vertical="center"/>
    </xf>
    <xf numFmtId="0" fontId="16" fillId="0" borderId="2" xfId="1" applyFont="1" applyFill="1" applyBorder="1" applyAlignment="1" applyProtection="1">
      <alignment vertical="center"/>
    </xf>
    <xf numFmtId="0" fontId="16" fillId="0" borderId="39" xfId="1" applyFont="1" applyFill="1" applyBorder="1" applyAlignment="1" applyProtection="1">
      <alignment vertical="center"/>
    </xf>
    <xf numFmtId="3" fontId="6" fillId="0" borderId="25" xfId="1" applyNumberFormat="1" applyFont="1" applyBorder="1" applyAlignment="1" applyProtection="1">
      <alignment vertical="center"/>
    </xf>
    <xf numFmtId="3" fontId="6" fillId="0" borderId="19" xfId="1" applyNumberFormat="1" applyFont="1" applyFill="1" applyBorder="1" applyAlignment="1" applyProtection="1">
      <alignment vertical="center"/>
    </xf>
    <xf numFmtId="3" fontId="6" fillId="0" borderId="69" xfId="1" applyNumberFormat="1" applyFont="1" applyFill="1" applyBorder="1" applyAlignment="1" applyProtection="1">
      <alignment vertical="center"/>
    </xf>
    <xf numFmtId="0" fontId="16" fillId="0" borderId="42" xfId="1" applyFont="1" applyFill="1" applyBorder="1" applyAlignment="1" applyProtection="1">
      <alignment vertical="center"/>
    </xf>
    <xf numFmtId="0" fontId="16" fillId="0" borderId="23" xfId="1" applyFont="1" applyFill="1" applyBorder="1" applyAlignment="1" applyProtection="1">
      <alignment vertical="center"/>
    </xf>
    <xf numFmtId="0" fontId="16" fillId="0" borderId="43" xfId="1" applyFont="1" applyFill="1" applyBorder="1" applyAlignment="1" applyProtection="1">
      <alignment vertical="center"/>
    </xf>
    <xf numFmtId="179" fontId="6" fillId="0" borderId="40" xfId="1" applyNumberFormat="1" applyFont="1" applyBorder="1" applyAlignment="1" applyProtection="1">
      <alignment vertical="center"/>
    </xf>
    <xf numFmtId="0" fontId="14" fillId="4" borderId="44" xfId="1" applyFont="1" applyFill="1" applyBorder="1" applyAlignment="1" applyProtection="1">
      <alignment horizontal="center" vertical="center"/>
    </xf>
    <xf numFmtId="0" fontId="14" fillId="0" borderId="44" xfId="1" applyFont="1" applyBorder="1" applyAlignment="1" applyProtection="1">
      <alignment horizontal="center" vertical="center"/>
    </xf>
    <xf numFmtId="0" fontId="14" fillId="0" borderId="80" xfId="1" applyFont="1" applyBorder="1" applyAlignment="1" applyProtection="1">
      <alignment horizontal="center" vertical="center"/>
    </xf>
    <xf numFmtId="0" fontId="14" fillId="0" borderId="61" xfId="1" applyFont="1" applyBorder="1" applyAlignment="1" applyProtection="1">
      <alignment horizontal="center" vertical="center"/>
    </xf>
    <xf numFmtId="0" fontId="14" fillId="0" borderId="2" xfId="1" applyFont="1" applyBorder="1" applyAlignment="1" applyProtection="1">
      <alignment horizontal="center" vertical="center"/>
    </xf>
    <xf numFmtId="0" fontId="14" fillId="0" borderId="44" xfId="1" applyFont="1" applyBorder="1" applyAlignment="1" applyProtection="1">
      <alignment horizontal="right" vertical="center"/>
    </xf>
    <xf numFmtId="0" fontId="9" fillId="0" borderId="2" xfId="1" applyFont="1" applyBorder="1" applyAlignment="1" applyProtection="1">
      <alignment vertical="center"/>
    </xf>
    <xf numFmtId="0" fontId="6" fillId="0" borderId="39" xfId="1" applyFont="1" applyBorder="1" applyAlignment="1" applyProtection="1">
      <alignment horizontal="center" vertical="center"/>
    </xf>
    <xf numFmtId="0" fontId="14" fillId="4" borderId="42" xfId="1" applyFont="1" applyFill="1" applyBorder="1" applyAlignment="1" applyProtection="1">
      <alignment horizontal="center" vertical="center"/>
    </xf>
    <xf numFmtId="0" fontId="14" fillId="0" borderId="42" xfId="1" applyFont="1" applyBorder="1" applyAlignment="1" applyProtection="1">
      <alignment horizontal="center" vertical="center"/>
    </xf>
    <xf numFmtId="0" fontId="14" fillId="0" borderId="23" xfId="1" applyFont="1" applyBorder="1" applyAlignment="1" applyProtection="1">
      <alignment horizontal="center" vertical="center"/>
    </xf>
    <xf numFmtId="0" fontId="4" fillId="0" borderId="43" xfId="1" applyBorder="1" applyAlignment="1" applyProtection="1">
      <alignment vertical="center"/>
    </xf>
    <xf numFmtId="0" fontId="43" fillId="0" borderId="36" xfId="1" applyFont="1" applyBorder="1" applyAlignment="1" applyProtection="1">
      <alignment vertical="center"/>
    </xf>
    <xf numFmtId="0" fontId="13" fillId="27" borderId="0" xfId="1" applyFont="1" applyFill="1" applyBorder="1" applyAlignment="1" applyProtection="1">
      <alignment horizontal="left" vertical="top" wrapText="1"/>
    </xf>
    <xf numFmtId="0" fontId="83" fillId="27" borderId="0" xfId="1" applyFont="1" applyFill="1" applyBorder="1" applyAlignment="1" applyProtection="1">
      <alignment vertical="top"/>
    </xf>
    <xf numFmtId="0" fontId="83" fillId="27" borderId="78" xfId="1" applyFont="1" applyFill="1" applyBorder="1" applyAlignment="1" applyProtection="1">
      <alignment vertical="top"/>
    </xf>
    <xf numFmtId="0" fontId="83" fillId="27" borderId="24" xfId="1" applyFont="1" applyFill="1" applyBorder="1" applyAlignment="1" applyProtection="1">
      <alignment vertical="top"/>
    </xf>
    <xf numFmtId="0" fontId="84" fillId="27" borderId="79" xfId="1" applyFont="1" applyFill="1" applyBorder="1" applyAlignment="1" applyProtection="1">
      <alignment vertical="top"/>
    </xf>
    <xf numFmtId="3" fontId="6" fillId="0" borderId="0" xfId="1" applyNumberFormat="1" applyFont="1" applyFill="1" applyBorder="1" applyAlignment="1" applyProtection="1">
      <alignment vertical="center"/>
    </xf>
    <xf numFmtId="3" fontId="6" fillId="31" borderId="19" xfId="1" applyNumberFormat="1" applyFont="1" applyFill="1" applyBorder="1" applyAlignment="1" applyProtection="1">
      <alignment vertical="center"/>
      <protection locked="0"/>
    </xf>
    <xf numFmtId="3" fontId="6" fillId="31" borderId="66" xfId="1" applyNumberFormat="1" applyFont="1" applyFill="1" applyBorder="1" applyAlignment="1" applyProtection="1">
      <alignment vertical="center"/>
      <protection locked="0"/>
    </xf>
    <xf numFmtId="3" fontId="6" fillId="0" borderId="66" xfId="1" applyNumberFormat="1" applyFont="1" applyFill="1" applyBorder="1" applyAlignment="1" applyProtection="1">
      <alignment vertical="center"/>
    </xf>
    <xf numFmtId="0" fontId="75" fillId="0" borderId="0" xfId="1" applyFont="1" applyBorder="1" applyAlignment="1" applyProtection="1">
      <alignment vertical="center"/>
    </xf>
    <xf numFmtId="0" fontId="20" fillId="0" borderId="0" xfId="1" applyFont="1" applyBorder="1" applyAlignment="1" applyProtection="1">
      <alignment horizontal="left" vertical="center"/>
    </xf>
    <xf numFmtId="0" fontId="20" fillId="0" borderId="0" xfId="1" applyFont="1" applyAlignment="1" applyProtection="1">
      <alignment vertical="center"/>
    </xf>
    <xf numFmtId="0" fontId="14" fillId="0" borderId="57" xfId="1" applyFont="1" applyBorder="1" applyAlignment="1" applyProtection="1">
      <alignment horizontal="center" vertical="center"/>
    </xf>
    <xf numFmtId="0" fontId="14" fillId="0" borderId="0" xfId="1" applyFont="1" applyBorder="1" applyAlignment="1" applyProtection="1">
      <alignment horizontal="center" vertical="center"/>
    </xf>
    <xf numFmtId="0" fontId="6" fillId="0" borderId="40" xfId="1" applyFont="1" applyBorder="1" applyAlignment="1" applyProtection="1">
      <alignment horizontal="center" vertical="center"/>
    </xf>
    <xf numFmtId="0" fontId="4" fillId="0" borderId="0" xfId="1" applyFill="1" applyBorder="1" applyAlignment="1" applyProtection="1">
      <alignment vertical="center"/>
    </xf>
    <xf numFmtId="0" fontId="5" fillId="0" borderId="23" xfId="1" applyFont="1" applyBorder="1" applyAlignment="1" applyProtection="1">
      <alignment vertical="center"/>
    </xf>
    <xf numFmtId="0" fontId="16" fillId="0" borderId="0" xfId="1" applyFont="1" applyBorder="1" applyAlignment="1" applyProtection="1">
      <alignment vertical="center"/>
    </xf>
    <xf numFmtId="14" fontId="6" fillId="0" borderId="0" xfId="1" applyNumberFormat="1" applyFont="1" applyAlignment="1" applyProtection="1">
      <alignment horizontal="left" vertical="center"/>
    </xf>
    <xf numFmtId="0" fontId="6" fillId="0" borderId="0" xfId="1" applyFont="1" applyAlignment="1" applyProtection="1">
      <alignment horizontal="left" vertical="center"/>
    </xf>
    <xf numFmtId="0" fontId="16" fillId="0" borderId="0" xfId="1" applyFont="1" applyBorder="1" applyAlignment="1" applyProtection="1">
      <alignment horizontal="right" vertical="center"/>
    </xf>
    <xf numFmtId="0" fontId="44" fillId="0" borderId="0" xfId="1" applyFont="1" applyBorder="1" applyAlignment="1" applyProtection="1">
      <alignment horizontal="left" vertical="center"/>
    </xf>
    <xf numFmtId="0" fontId="17" fillId="0" borderId="0" xfId="1" applyFont="1" applyBorder="1" applyAlignment="1" applyProtection="1">
      <alignment vertical="center"/>
    </xf>
    <xf numFmtId="0" fontId="20" fillId="0" borderId="0" xfId="1" applyFont="1" applyBorder="1" applyAlignment="1" applyProtection="1">
      <alignment vertical="center"/>
    </xf>
    <xf numFmtId="0" fontId="20" fillId="0" borderId="0" xfId="67" applyFont="1" applyAlignment="1" applyProtection="1">
      <alignment vertical="center"/>
    </xf>
    <xf numFmtId="0" fontId="20" fillId="0" borderId="64" xfId="1" applyFont="1" applyBorder="1" applyAlignment="1" applyProtection="1">
      <alignment vertical="center"/>
    </xf>
    <xf numFmtId="0" fontId="20" fillId="0" borderId="32" xfId="1" applyFont="1" applyBorder="1" applyAlignment="1" applyProtection="1">
      <alignment vertical="center"/>
    </xf>
    <xf numFmtId="0" fontId="20" fillId="0" borderId="40" xfId="1" applyFont="1" applyBorder="1" applyAlignment="1" applyProtection="1">
      <alignment vertical="center"/>
    </xf>
    <xf numFmtId="0" fontId="20" fillId="0" borderId="30" xfId="1" applyFont="1" applyBorder="1" applyAlignment="1" applyProtection="1">
      <alignment vertical="center"/>
    </xf>
    <xf numFmtId="0" fontId="20" fillId="0" borderId="0" xfId="1" applyFont="1" applyAlignment="1" applyProtection="1">
      <alignment horizontal="left" vertical="center"/>
    </xf>
    <xf numFmtId="0" fontId="20" fillId="0" borderId="0" xfId="1" applyFont="1" applyAlignment="1" applyProtection="1">
      <alignment vertical="center"/>
      <protection locked="0"/>
    </xf>
    <xf numFmtId="2" fontId="20" fillId="0" borderId="0" xfId="1" applyNumberFormat="1" applyFont="1" applyBorder="1" applyAlignment="1" applyProtection="1">
      <alignment vertical="center"/>
    </xf>
    <xf numFmtId="0" fontId="20" fillId="31" borderId="40" xfId="1" applyFont="1" applyFill="1" applyBorder="1" applyAlignment="1" applyProtection="1">
      <alignment horizontal="left" vertical="center"/>
      <protection locked="0"/>
    </xf>
    <xf numFmtId="0" fontId="85" fillId="0" borderId="83" xfId="1" applyFont="1" applyBorder="1" applyAlignment="1" applyProtection="1">
      <alignment horizontal="center" vertical="center"/>
    </xf>
    <xf numFmtId="0" fontId="20" fillId="0" borderId="43" xfId="1" applyFont="1" applyBorder="1" applyAlignment="1" applyProtection="1">
      <alignment vertical="center"/>
    </xf>
    <xf numFmtId="0" fontId="20" fillId="0" borderId="39" xfId="1" applyFont="1" applyBorder="1" applyAlignment="1" applyProtection="1">
      <alignment vertical="center"/>
    </xf>
    <xf numFmtId="0" fontId="86" fillId="0" borderId="0" xfId="1" applyFont="1" applyAlignment="1" applyProtection="1">
      <alignment vertical="center"/>
    </xf>
    <xf numFmtId="0" fontId="31" fillId="0" borderId="0" xfId="1" applyFont="1" applyAlignment="1" applyProtection="1">
      <alignment vertical="center"/>
    </xf>
    <xf numFmtId="0" fontId="85" fillId="0" borderId="82" xfId="1" applyFont="1" applyBorder="1" applyAlignment="1" applyProtection="1">
      <alignment horizontal="center" vertical="center"/>
    </xf>
    <xf numFmtId="0" fontId="20" fillId="0" borderId="40" xfId="1" applyFont="1" applyBorder="1" applyAlignment="1" applyProtection="1">
      <alignment horizontal="left" vertical="center"/>
    </xf>
    <xf numFmtId="0" fontId="9" fillId="0" borderId="0" xfId="67"/>
    <xf numFmtId="0" fontId="20" fillId="0" borderId="0" xfId="67" applyFont="1" applyBorder="1" applyAlignment="1" applyProtection="1">
      <alignment horizontal="left" vertical="center"/>
    </xf>
    <xf numFmtId="0" fontId="55" fillId="0" borderId="47" xfId="67" applyFont="1" applyFill="1" applyBorder="1" applyAlignment="1" applyProtection="1">
      <alignment vertical="center"/>
    </xf>
    <xf numFmtId="4" fontId="20" fillId="0" borderId="46" xfId="67" applyNumberFormat="1" applyFont="1" applyFill="1" applyBorder="1" applyAlignment="1" applyProtection="1">
      <alignment vertical="center"/>
    </xf>
    <xf numFmtId="0" fontId="20" fillId="0" borderId="87" xfId="67" applyFont="1" applyBorder="1" applyAlignment="1">
      <alignment horizontal="center" vertical="center"/>
    </xf>
    <xf numFmtId="0" fontId="20" fillId="0" borderId="60" xfId="67" applyFont="1" applyBorder="1"/>
    <xf numFmtId="4" fontId="20" fillId="0" borderId="0" xfId="67" applyNumberFormat="1" applyFont="1" applyFill="1" applyBorder="1" applyAlignment="1" applyProtection="1">
      <alignment vertical="center"/>
    </xf>
    <xf numFmtId="4" fontId="20" fillId="31" borderId="40" xfId="1" applyNumberFormat="1" applyFont="1" applyFill="1" applyBorder="1" applyAlignment="1" applyProtection="1">
      <alignment horizontal="center" vertical="center"/>
      <protection locked="0"/>
    </xf>
    <xf numFmtId="0" fontId="55" fillId="0" borderId="19" xfId="67" applyFont="1" applyFill="1" applyBorder="1" applyAlignment="1" applyProtection="1">
      <alignment vertical="center"/>
    </xf>
    <xf numFmtId="4" fontId="20" fillId="0" borderId="40" xfId="67" applyNumberFormat="1" applyFont="1" applyFill="1" applyBorder="1" applyAlignment="1" applyProtection="1">
      <alignment vertical="center"/>
    </xf>
    <xf numFmtId="4" fontId="20" fillId="31" borderId="82" xfId="1" applyNumberFormat="1" applyFont="1" applyFill="1" applyBorder="1" applyAlignment="1" applyProtection="1">
      <alignment horizontal="center" vertical="center"/>
      <protection locked="0"/>
    </xf>
    <xf numFmtId="4" fontId="20" fillId="31" borderId="66" xfId="1" applyNumberFormat="1" applyFont="1" applyFill="1" applyBorder="1" applyAlignment="1" applyProtection="1">
      <alignment horizontal="center" vertical="center"/>
      <protection locked="0"/>
    </xf>
    <xf numFmtId="2" fontId="20" fillId="31" borderId="67" xfId="1" applyNumberFormat="1" applyFont="1" applyFill="1" applyBorder="1" applyAlignment="1" applyProtection="1">
      <alignment horizontal="center" vertical="center"/>
      <protection locked="0"/>
    </xf>
    <xf numFmtId="0" fontId="20" fillId="0" borderId="65" xfId="67" applyFont="1" applyBorder="1" applyAlignment="1">
      <alignment horizontal="center" vertical="center"/>
    </xf>
    <xf numFmtId="179" fontId="20" fillId="31" borderId="40" xfId="1" applyNumberFormat="1" applyFont="1" applyFill="1" applyBorder="1" applyAlignment="1" applyProtection="1">
      <alignment horizontal="center" vertical="center"/>
      <protection locked="0"/>
    </xf>
    <xf numFmtId="180" fontId="20" fillId="31" borderId="65" xfId="1" applyNumberFormat="1" applyFont="1" applyFill="1" applyBorder="1" applyAlignment="1" applyProtection="1">
      <alignment vertical="center"/>
      <protection locked="0"/>
    </xf>
    <xf numFmtId="0" fontId="20" fillId="0" borderId="32" xfId="67" applyFont="1" applyBorder="1"/>
    <xf numFmtId="4" fontId="20" fillId="31" borderId="67" xfId="1" applyNumberFormat="1" applyFont="1" applyFill="1" applyBorder="1" applyAlignment="1" applyProtection="1">
      <alignment horizontal="center" vertical="center"/>
      <protection locked="0"/>
    </xf>
    <xf numFmtId="0" fontId="20" fillId="0" borderId="65" xfId="1" applyFont="1" applyBorder="1" applyAlignment="1">
      <alignment horizontal="center" vertical="center"/>
    </xf>
    <xf numFmtId="4" fontId="20" fillId="31" borderId="67" xfId="67" applyNumberFormat="1" applyFont="1" applyFill="1" applyBorder="1" applyAlignment="1" applyProtection="1">
      <alignment horizontal="center" vertical="center"/>
      <protection locked="0"/>
    </xf>
    <xf numFmtId="4" fontId="20" fillId="31" borderId="82" xfId="67" applyNumberFormat="1" applyFont="1" applyFill="1" applyBorder="1" applyAlignment="1" applyProtection="1">
      <alignment horizontal="center" vertical="center"/>
      <protection locked="0"/>
    </xf>
    <xf numFmtId="4" fontId="20" fillId="31" borderId="66" xfId="67" applyNumberFormat="1" applyFont="1" applyFill="1" applyBorder="1" applyAlignment="1" applyProtection="1">
      <alignment horizontal="center" vertical="center"/>
      <protection locked="0"/>
    </xf>
    <xf numFmtId="2" fontId="20" fillId="31" borderId="67" xfId="67" applyNumberFormat="1" applyFont="1" applyFill="1" applyBorder="1" applyAlignment="1" applyProtection="1">
      <alignment horizontal="center" vertical="center"/>
      <protection locked="0"/>
    </xf>
    <xf numFmtId="179" fontId="20" fillId="31" borderId="40" xfId="67" applyNumberFormat="1" applyFont="1" applyFill="1" applyBorder="1" applyAlignment="1" applyProtection="1">
      <alignment horizontal="center" vertical="center"/>
      <protection locked="0"/>
    </xf>
    <xf numFmtId="180" fontId="20" fillId="31" borderId="65" xfId="67" applyNumberFormat="1" applyFont="1" applyFill="1" applyBorder="1" applyAlignment="1" applyProtection="1">
      <alignment vertical="center"/>
      <protection locked="0"/>
    </xf>
    <xf numFmtId="0" fontId="20" fillId="31" borderId="40" xfId="67" applyFont="1" applyFill="1" applyBorder="1" applyAlignment="1" applyProtection="1">
      <alignment horizontal="left" vertical="center"/>
      <protection locked="0"/>
    </xf>
    <xf numFmtId="0" fontId="87" fillId="33" borderId="0" xfId="67" applyFont="1" applyFill="1" applyBorder="1" applyAlignment="1" applyProtection="1">
      <alignment horizontal="left" vertical="center"/>
    </xf>
    <xf numFmtId="0" fontId="87" fillId="33" borderId="30" xfId="1" applyFont="1" applyFill="1" applyBorder="1" applyAlignment="1" applyProtection="1">
      <alignment vertical="center"/>
    </xf>
    <xf numFmtId="0" fontId="88" fillId="33" borderId="0" xfId="67" applyFont="1" applyFill="1"/>
    <xf numFmtId="4" fontId="87" fillId="37" borderId="67" xfId="67" applyNumberFormat="1" applyFont="1" applyFill="1" applyBorder="1" applyAlignment="1" applyProtection="1">
      <alignment horizontal="center" vertical="center"/>
      <protection locked="0"/>
    </xf>
    <xf numFmtId="0" fontId="89" fillId="33" borderId="19" xfId="67" applyFont="1" applyFill="1" applyBorder="1" applyAlignment="1" applyProtection="1">
      <alignment vertical="center"/>
    </xf>
    <xf numFmtId="4" fontId="87" fillId="33" borderId="40" xfId="67" applyNumberFormat="1" applyFont="1" applyFill="1" applyBorder="1" applyAlignment="1" applyProtection="1">
      <alignment vertical="center"/>
    </xf>
    <xf numFmtId="4" fontId="87" fillId="37" borderId="82" xfId="67" applyNumberFormat="1" applyFont="1" applyFill="1" applyBorder="1" applyAlignment="1" applyProtection="1">
      <alignment horizontal="center" vertical="center"/>
      <protection locked="0"/>
    </xf>
    <xf numFmtId="4" fontId="87" fillId="37" borderId="66" xfId="67" applyNumberFormat="1" applyFont="1" applyFill="1" applyBorder="1" applyAlignment="1" applyProtection="1">
      <alignment horizontal="center" vertical="center"/>
      <protection locked="0"/>
    </xf>
    <xf numFmtId="2" fontId="87" fillId="37" borderId="67" xfId="67" applyNumberFormat="1" applyFont="1" applyFill="1" applyBorder="1" applyAlignment="1" applyProtection="1">
      <alignment horizontal="center" vertical="center"/>
      <protection locked="0"/>
    </xf>
    <xf numFmtId="0" fontId="87" fillId="33" borderId="65" xfId="1" applyFont="1" applyFill="1" applyBorder="1" applyAlignment="1">
      <alignment horizontal="center" vertical="center"/>
    </xf>
    <xf numFmtId="179" fontId="87" fillId="37" borderId="40" xfId="67" applyNumberFormat="1" applyFont="1" applyFill="1" applyBorder="1" applyAlignment="1" applyProtection="1">
      <alignment horizontal="center" vertical="center"/>
      <protection locked="0"/>
    </xf>
    <xf numFmtId="180" fontId="87" fillId="37" borderId="65" xfId="67" applyNumberFormat="1" applyFont="1" applyFill="1" applyBorder="1" applyAlignment="1" applyProtection="1">
      <alignment vertical="center"/>
      <protection locked="0"/>
    </xf>
    <xf numFmtId="0" fontId="87" fillId="37" borderId="40" xfId="67" applyFont="1" applyFill="1" applyBorder="1" applyAlignment="1" applyProtection="1">
      <alignment horizontal="left" vertical="center"/>
      <protection locked="0"/>
    </xf>
    <xf numFmtId="0" fontId="87" fillId="37" borderId="32" xfId="67" applyFont="1" applyFill="1" applyBorder="1"/>
    <xf numFmtId="0" fontId="90" fillId="0" borderId="0" xfId="67" applyFont="1" applyAlignment="1" applyProtection="1">
      <alignment vertical="center"/>
    </xf>
    <xf numFmtId="0" fontId="20" fillId="0" borderId="0" xfId="1" applyFont="1" applyFill="1" applyBorder="1" applyAlignment="1" applyProtection="1">
      <alignment vertical="center"/>
    </xf>
    <xf numFmtId="0" fontId="90" fillId="0" borderId="0" xfId="67" applyFont="1" applyBorder="1" applyAlignment="1" applyProtection="1">
      <alignment vertical="center"/>
    </xf>
    <xf numFmtId="180" fontId="20" fillId="31" borderId="65" xfId="1" applyNumberFormat="1" applyFont="1" applyFill="1" applyBorder="1" applyAlignment="1" applyProtection="1">
      <alignment vertical="center"/>
    </xf>
    <xf numFmtId="0" fontId="90" fillId="0" borderId="64" xfId="1" applyFont="1" applyBorder="1" applyAlignment="1" applyProtection="1">
      <alignment vertical="center"/>
    </xf>
    <xf numFmtId="0" fontId="90" fillId="0" borderId="0" xfId="1" applyFont="1" applyBorder="1" applyAlignment="1" applyProtection="1">
      <alignment vertical="center"/>
    </xf>
    <xf numFmtId="0" fontId="90" fillId="0" borderId="32" xfId="1" applyFont="1" applyBorder="1" applyAlignment="1" applyProtection="1">
      <alignment vertical="center"/>
    </xf>
    <xf numFmtId="0" fontId="20" fillId="0" borderId="0" xfId="67" applyFont="1" applyAlignment="1" applyProtection="1">
      <alignment horizontal="right" vertical="center"/>
    </xf>
    <xf numFmtId="0" fontId="20" fillId="0" borderId="0" xfId="1" applyFont="1" applyAlignment="1" applyProtection="1">
      <alignment horizontal="right" vertical="center"/>
    </xf>
    <xf numFmtId="0" fontId="20" fillId="0" borderId="64" xfId="1" applyFont="1" applyBorder="1" applyAlignment="1" applyProtection="1">
      <alignment horizontal="right" vertical="center"/>
    </xf>
    <xf numFmtId="0" fontId="20" fillId="0" borderId="32" xfId="1" applyFont="1" applyBorder="1" applyAlignment="1" applyProtection="1">
      <alignment horizontal="right" vertical="center"/>
    </xf>
    <xf numFmtId="0" fontId="20" fillId="0" borderId="40" xfId="1" applyFont="1" applyBorder="1" applyAlignment="1" applyProtection="1">
      <alignment horizontal="right" vertical="center"/>
    </xf>
    <xf numFmtId="0" fontId="85" fillId="0" borderId="39" xfId="1" applyFont="1" applyBorder="1" applyAlignment="1" applyProtection="1">
      <alignment horizontal="center" vertical="center"/>
    </xf>
    <xf numFmtId="0" fontId="85" fillId="0" borderId="44" xfId="1" applyFont="1" applyFill="1" applyBorder="1" applyAlignment="1" applyProtection="1">
      <alignment horizontal="center" vertical="center"/>
    </xf>
    <xf numFmtId="0" fontId="85" fillId="0" borderId="39" xfId="1" applyFont="1" applyFill="1" applyBorder="1" applyAlignment="1" applyProtection="1">
      <alignment horizontal="center" vertical="center"/>
    </xf>
    <xf numFmtId="9" fontId="15" fillId="0" borderId="80" xfId="1" applyNumberFormat="1" applyFont="1" applyBorder="1" applyAlignment="1" applyProtection="1">
      <alignment horizontal="center" vertical="center"/>
    </xf>
    <xf numFmtId="9" fontId="15" fillId="0" borderId="61" xfId="1" applyNumberFormat="1" applyFont="1" applyBorder="1" applyAlignment="1" applyProtection="1">
      <alignment horizontal="center" vertical="center"/>
    </xf>
    <xf numFmtId="0" fontId="15" fillId="0" borderId="39" xfId="1" applyFont="1" applyBorder="1" applyAlignment="1" applyProtection="1">
      <alignment vertical="center"/>
    </xf>
    <xf numFmtId="0" fontId="15" fillId="0" borderId="25" xfId="1" applyFont="1" applyBorder="1" applyAlignment="1" applyProtection="1">
      <alignment horizontal="center" vertical="center"/>
    </xf>
    <xf numFmtId="0" fontId="20" fillId="0" borderId="30" xfId="1" applyFont="1" applyBorder="1" applyAlignment="1" applyProtection="1">
      <alignment horizontal="right" vertical="center"/>
    </xf>
    <xf numFmtId="181" fontId="55" fillId="0" borderId="40" xfId="1" applyNumberFormat="1" applyFont="1" applyFill="1" applyBorder="1" applyAlignment="1" applyProtection="1">
      <alignment vertical="center"/>
      <protection locked="0"/>
    </xf>
    <xf numFmtId="0" fontId="55" fillId="0" borderId="19" xfId="1" applyFont="1" applyFill="1" applyBorder="1" applyAlignment="1" applyProtection="1">
      <alignment vertical="center"/>
    </xf>
    <xf numFmtId="4" fontId="20" fillId="0" borderId="40" xfId="1" applyNumberFormat="1" applyFont="1" applyFill="1" applyBorder="1" applyAlignment="1" applyProtection="1">
      <alignment vertical="center"/>
    </xf>
    <xf numFmtId="0" fontId="55" fillId="0" borderId="82" xfId="1" applyFont="1" applyBorder="1" applyAlignment="1" applyProtection="1">
      <alignment vertical="center"/>
    </xf>
    <xf numFmtId="181" fontId="55" fillId="0" borderId="66" xfId="1" applyNumberFormat="1" applyFont="1" applyBorder="1" applyAlignment="1" applyProtection="1">
      <alignment vertical="center"/>
    </xf>
    <xf numFmtId="0" fontId="85" fillId="0" borderId="67" xfId="1" applyFont="1" applyBorder="1" applyAlignment="1" applyProtection="1">
      <alignment horizontal="right" vertical="center"/>
    </xf>
    <xf numFmtId="0" fontId="85" fillId="0" borderId="65" xfId="1" applyFont="1" applyBorder="1" applyAlignment="1" applyProtection="1">
      <alignment horizontal="center" vertical="center"/>
    </xf>
    <xf numFmtId="0" fontId="85" fillId="0" borderId="40" xfId="1" applyFont="1" applyBorder="1" applyAlignment="1" applyProtection="1">
      <alignment horizontal="center" vertical="center"/>
    </xf>
    <xf numFmtId="0" fontId="15" fillId="0" borderId="40" xfId="1" applyFont="1" applyBorder="1" applyAlignment="1" applyProtection="1">
      <alignment horizontal="left" vertical="center"/>
    </xf>
    <xf numFmtId="0" fontId="85" fillId="0" borderId="68" xfId="1" applyFont="1" applyBorder="1" applyAlignment="1" applyProtection="1">
      <alignment horizontal="center" vertical="center"/>
    </xf>
    <xf numFmtId="0" fontId="63" fillId="0" borderId="0" xfId="1" applyFont="1" applyAlignment="1" applyProtection="1">
      <alignment horizontal="right" vertical="center"/>
    </xf>
    <xf numFmtId="0" fontId="82" fillId="0" borderId="0" xfId="1" applyFont="1" applyAlignment="1" applyProtection="1">
      <alignment vertical="center"/>
    </xf>
    <xf numFmtId="0" fontId="63" fillId="0" borderId="0" xfId="1" applyFont="1" applyBorder="1" applyAlignment="1" applyProtection="1">
      <alignment vertical="center"/>
    </xf>
    <xf numFmtId="0" fontId="20" fillId="4" borderId="0" xfId="1" applyFont="1" applyFill="1" applyProtection="1"/>
    <xf numFmtId="182" fontId="20" fillId="4" borderId="65" xfId="1" applyNumberFormat="1" applyFont="1" applyFill="1" applyBorder="1" applyAlignment="1" applyProtection="1">
      <alignment vertical="center"/>
    </xf>
    <xf numFmtId="2" fontId="20" fillId="0" borderId="0" xfId="1" applyNumberFormat="1" applyFont="1" applyBorder="1" applyAlignment="1" applyProtection="1">
      <alignment horizontal="center" vertical="center"/>
    </xf>
    <xf numFmtId="182" fontId="20" fillId="4" borderId="72" xfId="1" applyNumberFormat="1" applyFont="1" applyFill="1" applyBorder="1" applyAlignment="1" applyProtection="1">
      <alignment horizontal="center" vertical="center"/>
    </xf>
    <xf numFmtId="181" fontId="20" fillId="0" borderId="40" xfId="1" applyNumberFormat="1" applyFont="1" applyBorder="1" applyAlignment="1" applyProtection="1">
      <alignment vertical="center"/>
    </xf>
    <xf numFmtId="182" fontId="20" fillId="4" borderId="66" xfId="1" applyNumberFormat="1" applyFont="1" applyFill="1" applyBorder="1" applyAlignment="1" applyProtection="1">
      <alignment vertical="center"/>
    </xf>
    <xf numFmtId="2" fontId="20" fillId="0" borderId="65" xfId="1" applyNumberFormat="1" applyFont="1" applyBorder="1" applyAlignment="1">
      <alignment horizontal="center"/>
    </xf>
    <xf numFmtId="182" fontId="20" fillId="4" borderId="0" xfId="1" applyNumberFormat="1" applyFont="1" applyFill="1" applyBorder="1" applyAlignment="1" applyProtection="1">
      <alignment horizontal="center" vertical="center"/>
    </xf>
    <xf numFmtId="0" fontId="20" fillId="0" borderId="43" xfId="1" applyFont="1" applyBorder="1" applyAlignment="1" applyProtection="1">
      <alignment horizontal="right" vertical="center"/>
    </xf>
    <xf numFmtId="182" fontId="20" fillId="4" borderId="69" xfId="1" applyNumberFormat="1" applyFont="1" applyFill="1" applyBorder="1" applyAlignment="1" applyProtection="1">
      <alignment vertical="center"/>
    </xf>
    <xf numFmtId="0" fontId="20" fillId="31" borderId="43" xfId="1" applyFont="1" applyFill="1" applyBorder="1" applyAlignment="1" applyProtection="1">
      <alignment horizontal="left" vertical="center"/>
      <protection locked="0"/>
    </xf>
    <xf numFmtId="0" fontId="20" fillId="0" borderId="73" xfId="1" applyFont="1" applyBorder="1" applyAlignment="1" applyProtection="1">
      <alignment horizontal="right" vertical="center"/>
    </xf>
    <xf numFmtId="0" fontId="20" fillId="0" borderId="75" xfId="1" applyFont="1" applyBorder="1" applyAlignment="1" applyProtection="1">
      <alignment horizontal="right" vertical="center"/>
    </xf>
    <xf numFmtId="0" fontId="90" fillId="0" borderId="76" xfId="1" applyFont="1" applyBorder="1" applyAlignment="1" applyProtection="1">
      <alignment horizontal="left" vertical="center"/>
    </xf>
    <xf numFmtId="0" fontId="90" fillId="0" borderId="74" xfId="1" applyFont="1" applyBorder="1" applyAlignment="1" applyProtection="1">
      <alignment horizontal="left" vertical="center"/>
    </xf>
    <xf numFmtId="0" fontId="20" fillId="0" borderId="75" xfId="1" applyFont="1" applyBorder="1" applyAlignment="1" applyProtection="1">
      <alignment vertical="center"/>
    </xf>
    <xf numFmtId="0" fontId="90" fillId="0" borderId="75" xfId="1" applyFont="1" applyBorder="1" applyAlignment="1" applyProtection="1">
      <alignment vertical="center"/>
    </xf>
    <xf numFmtId="0" fontId="20" fillId="0" borderId="89" xfId="1" applyFont="1" applyBorder="1" applyAlignment="1" applyProtection="1">
      <alignment vertical="center"/>
    </xf>
    <xf numFmtId="9" fontId="20" fillId="0" borderId="62" xfId="1" applyNumberFormat="1" applyFont="1" applyBorder="1" applyAlignment="1" applyProtection="1">
      <alignment horizontal="center" vertical="center"/>
    </xf>
    <xf numFmtId="0" fontId="15" fillId="0" borderId="2" xfId="1" applyFont="1" applyBorder="1" applyAlignment="1" applyProtection="1">
      <alignment vertical="center"/>
    </xf>
    <xf numFmtId="0" fontId="15" fillId="0" borderId="61" xfId="1" applyFont="1" applyBorder="1" applyAlignment="1" applyProtection="1">
      <alignment vertical="center"/>
    </xf>
    <xf numFmtId="2" fontId="15" fillId="0" borderId="72" xfId="1" applyNumberFormat="1" applyFont="1" applyFill="1" applyBorder="1" applyAlignment="1" applyProtection="1">
      <alignment horizontal="left" vertical="center"/>
    </xf>
    <xf numFmtId="2" fontId="15" fillId="0" borderId="40" xfId="1" applyNumberFormat="1" applyFont="1" applyBorder="1" applyAlignment="1" applyProtection="1">
      <alignment horizontal="right" vertical="center"/>
    </xf>
    <xf numFmtId="0" fontId="15" fillId="0" borderId="40" xfId="1" applyFont="1" applyBorder="1" applyAlignment="1" applyProtection="1">
      <alignment vertical="center"/>
    </xf>
    <xf numFmtId="0" fontId="55" fillId="0" borderId="0" xfId="1" applyFont="1" applyBorder="1" applyAlignment="1" applyProtection="1">
      <alignment vertical="center"/>
    </xf>
    <xf numFmtId="0" fontId="15" fillId="0" borderId="58" xfId="1" applyFont="1" applyBorder="1" applyAlignment="1" applyProtection="1">
      <alignment vertical="center"/>
    </xf>
    <xf numFmtId="0" fontId="15" fillId="0" borderId="57" xfId="1" applyFont="1" applyBorder="1" applyAlignment="1" applyProtection="1">
      <alignment vertical="center"/>
    </xf>
    <xf numFmtId="0" fontId="15" fillId="0" borderId="77" xfId="1" applyFont="1" applyBorder="1" applyAlignment="1" applyProtection="1">
      <alignment horizontal="left" vertical="center"/>
    </xf>
    <xf numFmtId="0" fontId="14" fillId="4" borderId="0" xfId="1" applyFont="1" applyFill="1" applyAlignment="1" applyProtection="1">
      <alignment horizontal="right" vertical="center"/>
    </xf>
    <xf numFmtId="14" fontId="20" fillId="0" borderId="0" xfId="1" applyNumberFormat="1" applyFont="1" applyAlignment="1" applyProtection="1">
      <alignment horizontal="left" vertical="center"/>
    </xf>
    <xf numFmtId="0" fontId="20" fillId="0" borderId="0" xfId="1" applyFont="1" applyFill="1" applyBorder="1" applyAlignment="1" applyProtection="1">
      <alignment horizontal="right" vertical="center"/>
    </xf>
    <xf numFmtId="0" fontId="20" fillId="0" borderId="0" xfId="1" applyFont="1" applyFill="1" applyBorder="1" applyAlignment="1" applyProtection="1">
      <alignment horizontal="left" vertical="center"/>
    </xf>
    <xf numFmtId="0" fontId="9" fillId="4" borderId="0" xfId="1" applyFont="1" applyFill="1" applyBorder="1" applyAlignment="1" applyProtection="1">
      <alignment horizontal="right" vertical="center"/>
    </xf>
    <xf numFmtId="0" fontId="15" fillId="0" borderId="0" xfId="1" applyFont="1" applyAlignment="1" applyProtection="1">
      <alignment vertical="center"/>
    </xf>
    <xf numFmtId="186" fontId="15" fillId="0" borderId="44" xfId="1" applyNumberFormat="1" applyFont="1" applyFill="1" applyBorder="1" applyAlignment="1" applyProtection="1">
      <alignment horizontal="right" vertical="center"/>
    </xf>
    <xf numFmtId="186" fontId="15" fillId="0" borderId="39" xfId="1" applyNumberFormat="1" applyFont="1" applyFill="1" applyBorder="1" applyAlignment="1" applyProtection="1">
      <alignment horizontal="right" vertical="center"/>
    </xf>
    <xf numFmtId="171" fontId="9" fillId="33" borderId="65"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xf>
    <xf numFmtId="0" fontId="9" fillId="0" borderId="0" xfId="1" applyFont="1" applyFill="1" applyBorder="1" applyAlignment="1" applyProtection="1">
      <alignment horizontal="center" vertical="center"/>
    </xf>
    <xf numFmtId="186" fontId="15" fillId="0" borderId="19" xfId="1" applyNumberFormat="1" applyFont="1" applyFill="1" applyBorder="1" applyAlignment="1" applyProtection="1">
      <alignment horizontal="right" vertical="center"/>
    </xf>
    <xf numFmtId="186" fontId="15" fillId="0" borderId="40" xfId="1" applyNumberFormat="1" applyFont="1" applyFill="1" applyBorder="1" applyAlignment="1" applyProtection="1">
      <alignment horizontal="right" vertical="center"/>
    </xf>
    <xf numFmtId="0" fontId="9" fillId="0" borderId="2" xfId="1" applyFont="1" applyFill="1" applyBorder="1" applyAlignment="1" applyProtection="1">
      <alignment horizontal="center" vertical="center"/>
    </xf>
    <xf numFmtId="0" fontId="6" fillId="35" borderId="59" xfId="1" applyFont="1" applyFill="1" applyBorder="1" applyAlignment="1" applyProtection="1">
      <alignment vertical="center"/>
    </xf>
    <xf numFmtId="0" fontId="6" fillId="35" borderId="41" xfId="1" applyFont="1" applyFill="1" applyBorder="1" applyAlignment="1" applyProtection="1">
      <alignment vertical="center"/>
    </xf>
    <xf numFmtId="0" fontId="6" fillId="35" borderId="60" xfId="1" applyFont="1" applyFill="1" applyBorder="1" applyAlignment="1" applyProtection="1">
      <alignment horizontal="left" vertical="center"/>
    </xf>
    <xf numFmtId="0" fontId="6" fillId="35" borderId="64" xfId="1" applyFont="1" applyFill="1" applyBorder="1" applyAlignment="1" applyProtection="1">
      <alignment vertical="center"/>
    </xf>
    <xf numFmtId="0" fontId="6" fillId="35" borderId="0" xfId="1" applyFont="1" applyFill="1" applyBorder="1" applyAlignment="1" applyProtection="1">
      <alignment vertical="center"/>
    </xf>
    <xf numFmtId="0" fontId="6" fillId="35" borderId="32" xfId="1" applyFont="1" applyFill="1" applyBorder="1" applyAlignment="1" applyProtection="1">
      <alignment horizontal="left" vertical="center"/>
    </xf>
    <xf numFmtId="0" fontId="6" fillId="35" borderId="78" xfId="1" applyFont="1" applyFill="1" applyBorder="1" applyAlignment="1" applyProtection="1">
      <alignment vertical="center"/>
    </xf>
    <xf numFmtId="0" fontId="6" fillId="35" borderId="24" xfId="1" applyFont="1" applyFill="1" applyBorder="1" applyAlignment="1" applyProtection="1">
      <alignment vertical="center"/>
    </xf>
    <xf numFmtId="0" fontId="6" fillId="35" borderId="79" xfId="1" applyFont="1" applyFill="1" applyBorder="1" applyAlignment="1" applyProtection="1">
      <alignment vertical="center"/>
    </xf>
    <xf numFmtId="0" fontId="16" fillId="0" borderId="65" xfId="1" applyFont="1" applyBorder="1" applyAlignment="1">
      <alignment horizontal="center" vertical="center"/>
    </xf>
    <xf numFmtId="0" fontId="16" fillId="0" borderId="66" xfId="1" applyFont="1" applyBorder="1" applyAlignment="1">
      <alignment horizontal="center" vertical="center"/>
    </xf>
    <xf numFmtId="0" fontId="16" fillId="0" borderId="67" xfId="1" applyFont="1" applyBorder="1" applyAlignment="1">
      <alignment horizontal="center" vertical="center"/>
    </xf>
    <xf numFmtId="0" fontId="5" fillId="0" borderId="0" xfId="1" applyFont="1" applyFill="1" applyBorder="1" applyAlignment="1" applyProtection="1">
      <alignment horizontal="center" vertical="center"/>
    </xf>
    <xf numFmtId="171" fontId="9" fillId="4" borderId="0" xfId="61" applyNumberFormat="1" applyFont="1" applyFill="1" applyBorder="1" applyAlignment="1" applyProtection="1">
      <alignment horizontal="right" vertical="center"/>
    </xf>
    <xf numFmtId="188" fontId="9" fillId="4" borderId="0" xfId="1" applyNumberFormat="1" applyFont="1" applyFill="1" applyBorder="1" applyAlignment="1" applyProtection="1">
      <alignment horizontal="right" vertical="center"/>
    </xf>
    <xf numFmtId="189" fontId="9" fillId="4" borderId="0" xfId="1" applyNumberFormat="1" applyFont="1" applyFill="1" applyBorder="1" applyAlignment="1" applyProtection="1">
      <alignment horizontal="right" vertical="center"/>
    </xf>
    <xf numFmtId="190" fontId="9" fillId="4" borderId="0" xfId="1" applyNumberFormat="1" applyFont="1" applyFill="1" applyBorder="1" applyAlignment="1" applyProtection="1">
      <alignment horizontal="right" vertical="center"/>
    </xf>
    <xf numFmtId="170" fontId="9" fillId="4" borderId="0" xfId="1" applyNumberFormat="1" applyFont="1" applyFill="1" applyBorder="1" applyAlignment="1" applyProtection="1">
      <alignment horizontal="right" vertical="center"/>
    </xf>
    <xf numFmtId="171" fontId="9" fillId="0" borderId="34" xfId="61" applyNumberFormat="1" applyFont="1" applyBorder="1" applyAlignment="1" applyProtection="1">
      <alignment horizontal="right" vertical="center"/>
    </xf>
    <xf numFmtId="188" fontId="9" fillId="0" borderId="61" xfId="1" applyNumberFormat="1" applyFont="1" applyBorder="1" applyAlignment="1" applyProtection="1">
      <alignment horizontal="right" vertical="center"/>
    </xf>
    <xf numFmtId="189" fontId="9" fillId="31" borderId="61" xfId="1" applyNumberFormat="1" applyFont="1" applyFill="1" applyBorder="1" applyAlignment="1" applyProtection="1">
      <alignment horizontal="right" vertical="center"/>
      <protection locked="0"/>
    </xf>
    <xf numFmtId="190" fontId="9" fillId="4" borderId="61" xfId="1" applyNumberFormat="1" applyFont="1" applyFill="1" applyBorder="1" applyAlignment="1" applyProtection="1">
      <alignment horizontal="right" vertical="center"/>
    </xf>
    <xf numFmtId="170" fontId="9" fillId="4" borderId="61" xfId="1" applyNumberFormat="1" applyFont="1" applyFill="1" applyBorder="1" applyAlignment="1" applyProtection="1">
      <alignment horizontal="right" vertical="center"/>
    </xf>
    <xf numFmtId="170" fontId="9" fillId="31" borderId="61" xfId="1" applyNumberFormat="1" applyFont="1" applyFill="1" applyBorder="1" applyAlignment="1" applyProtection="1">
      <alignment horizontal="right" vertical="center"/>
      <protection locked="0"/>
    </xf>
    <xf numFmtId="189" fontId="9" fillId="31" borderId="63" xfId="1" applyNumberFormat="1" applyFont="1" applyFill="1" applyBorder="1" applyAlignment="1" applyProtection="1">
      <alignment horizontal="right" vertical="center"/>
      <protection locked="0"/>
    </xf>
    <xf numFmtId="0" fontId="9" fillId="31" borderId="2" xfId="1" applyFont="1" applyFill="1" applyBorder="1" applyAlignment="1" applyProtection="1">
      <alignment vertical="center"/>
      <protection locked="0"/>
    </xf>
    <xf numFmtId="188" fontId="9" fillId="0" borderId="65" xfId="1" applyNumberFormat="1" applyFont="1" applyBorder="1" applyAlignment="1" applyProtection="1">
      <alignment horizontal="right" vertical="center"/>
    </xf>
    <xf numFmtId="189" fontId="9" fillId="31" borderId="65" xfId="1" applyNumberFormat="1" applyFont="1" applyFill="1" applyBorder="1" applyAlignment="1" applyProtection="1">
      <alignment horizontal="right" vertical="center"/>
      <protection locked="0"/>
    </xf>
    <xf numFmtId="190" fontId="9" fillId="4" borderId="65" xfId="1" applyNumberFormat="1" applyFont="1" applyFill="1" applyBorder="1" applyAlignment="1" applyProtection="1">
      <alignment horizontal="right" vertical="center"/>
    </xf>
    <xf numFmtId="170" fontId="9" fillId="4" borderId="65" xfId="1" applyNumberFormat="1" applyFont="1" applyFill="1" applyBorder="1" applyAlignment="1" applyProtection="1">
      <alignment horizontal="right" vertical="center"/>
    </xf>
    <xf numFmtId="170" fontId="9" fillId="31" borderId="65" xfId="1" applyNumberFormat="1" applyFont="1" applyFill="1" applyBorder="1" applyAlignment="1" applyProtection="1">
      <alignment horizontal="right" vertical="center"/>
      <protection locked="0"/>
    </xf>
    <xf numFmtId="189" fontId="9" fillId="31" borderId="67" xfId="1" applyNumberFormat="1" applyFont="1" applyFill="1" applyBorder="1" applyAlignment="1" applyProtection="1">
      <alignment horizontal="right" vertical="center"/>
      <protection locked="0"/>
    </xf>
    <xf numFmtId="0" fontId="9" fillId="31" borderId="0" xfId="1" applyFont="1" applyFill="1" applyBorder="1" applyAlignment="1" applyProtection="1">
      <alignment vertical="center"/>
      <protection locked="0"/>
    </xf>
    <xf numFmtId="0" fontId="9" fillId="0" borderId="0" xfId="67" applyFont="1" applyAlignment="1">
      <alignment horizontal="left"/>
    </xf>
    <xf numFmtId="0" fontId="9" fillId="0" borderId="0" xfId="1" applyFont="1" applyBorder="1" applyProtection="1"/>
    <xf numFmtId="0" fontId="6" fillId="0" borderId="90" xfId="1" applyFont="1" applyFill="1" applyBorder="1" applyAlignment="1" applyProtection="1">
      <alignment horizontal="center" vertical="center"/>
    </xf>
    <xf numFmtId="0" fontId="6" fillId="0" borderId="91" xfId="1" applyFont="1" applyFill="1" applyBorder="1" applyAlignment="1" applyProtection="1">
      <alignment horizontal="center" vertical="center"/>
    </xf>
    <xf numFmtId="0" fontId="6" fillId="0" borderId="92" xfId="1" applyFont="1" applyFill="1" applyBorder="1" applyAlignment="1" applyProtection="1">
      <alignment horizontal="center" vertical="center"/>
    </xf>
    <xf numFmtId="0" fontId="9" fillId="0" borderId="91" xfId="1" applyFont="1" applyBorder="1" applyAlignment="1" applyProtection="1">
      <alignment vertical="center"/>
    </xf>
    <xf numFmtId="177" fontId="9" fillId="31" borderId="91" xfId="1" applyNumberFormat="1" applyFont="1" applyFill="1" applyBorder="1" applyAlignment="1" applyProtection="1">
      <alignment horizontal="right" vertical="center"/>
      <protection locked="0"/>
    </xf>
    <xf numFmtId="0" fontId="9" fillId="0" borderId="91" xfId="1" applyFont="1" applyBorder="1" applyAlignment="1" applyProtection="1">
      <alignment horizontal="left" vertical="center"/>
    </xf>
    <xf numFmtId="0" fontId="13" fillId="0" borderId="91" xfId="1" applyFont="1" applyBorder="1" applyAlignment="1" applyProtection="1">
      <alignment vertical="center"/>
    </xf>
    <xf numFmtId="0" fontId="6" fillId="0" borderId="0" xfId="1" applyFont="1" applyFill="1" applyBorder="1" applyAlignment="1" applyProtection="1">
      <alignment horizontal="center" vertical="center"/>
    </xf>
    <xf numFmtId="0" fontId="4" fillId="0" borderId="0" xfId="1" applyBorder="1" applyAlignment="1" applyProtection="1">
      <alignment horizontal="centerContinuous"/>
    </xf>
    <xf numFmtId="0" fontId="6" fillId="0" borderId="0" xfId="1" applyFont="1" applyFill="1" applyBorder="1" applyAlignment="1" applyProtection="1">
      <alignment horizontal="centerContinuous" vertical="center"/>
    </xf>
    <xf numFmtId="0" fontId="6" fillId="0" borderId="40" xfId="1" applyFont="1" applyFill="1" applyBorder="1" applyAlignment="1" applyProtection="1">
      <alignment horizontal="center" vertical="center"/>
    </xf>
    <xf numFmtId="0" fontId="9" fillId="0" borderId="0" xfId="2" applyFont="1" applyBorder="1" applyAlignment="1" applyProtection="1">
      <alignment vertical="center"/>
    </xf>
    <xf numFmtId="177" fontId="9" fillId="4" borderId="0" xfId="2" applyNumberFormat="1" applyFont="1" applyFill="1" applyBorder="1" applyAlignment="1" applyProtection="1">
      <alignment horizontal="right" vertical="center"/>
    </xf>
    <xf numFmtId="0" fontId="9" fillId="0" borderId="0" xfId="2" applyFont="1" applyBorder="1" applyAlignment="1" applyProtection="1">
      <alignment horizontal="left" vertical="center"/>
    </xf>
    <xf numFmtId="186" fontId="16" fillId="0" borderId="0" xfId="1" applyNumberFormat="1" applyFont="1" applyFill="1" applyBorder="1" applyAlignment="1" applyProtection="1">
      <alignment horizontal="right" vertical="center"/>
    </xf>
    <xf numFmtId="0" fontId="14" fillId="0" borderId="0" xfId="1" applyFont="1" applyFill="1" applyBorder="1" applyAlignment="1" applyProtection="1">
      <alignment horizontal="left" vertical="center"/>
    </xf>
    <xf numFmtId="0" fontId="14" fillId="0" borderId="43" xfId="1" applyFont="1" applyFill="1" applyBorder="1" applyAlignment="1" applyProtection="1">
      <alignment horizontal="left" vertical="center"/>
    </xf>
    <xf numFmtId="0" fontId="9" fillId="0" borderId="40" xfId="1" applyFont="1" applyBorder="1" applyAlignment="1" applyProtection="1">
      <alignment vertical="center"/>
    </xf>
    <xf numFmtId="0" fontId="9" fillId="0" borderId="90" xfId="1" applyFont="1" applyFill="1" applyBorder="1" applyAlignment="1" applyProtection="1">
      <alignment horizontal="center" vertical="center"/>
    </xf>
    <xf numFmtId="0" fontId="9" fillId="0" borderId="91" xfId="1" applyFont="1" applyFill="1" applyBorder="1" applyAlignment="1" applyProtection="1">
      <alignment horizontal="center" vertical="center"/>
    </xf>
    <xf numFmtId="0" fontId="9" fillId="0" borderId="92" xfId="1" applyFont="1" applyFill="1" applyBorder="1" applyAlignment="1" applyProtection="1">
      <alignment horizontal="center" vertical="center"/>
    </xf>
    <xf numFmtId="0" fontId="5" fillId="0" borderId="91" xfId="1" applyFont="1" applyBorder="1" applyAlignment="1" applyProtection="1">
      <alignment vertical="center"/>
    </xf>
    <xf numFmtId="0" fontId="9" fillId="0" borderId="92" xfId="1" applyFont="1" applyBorder="1" applyAlignment="1" applyProtection="1">
      <alignment vertical="center"/>
    </xf>
    <xf numFmtId="0" fontId="9" fillId="0" borderId="0" xfId="1" applyFont="1" applyBorder="1" applyAlignment="1" applyProtection="1">
      <alignment horizontal="centerContinuous"/>
    </xf>
    <xf numFmtId="0" fontId="9" fillId="0" borderId="0" xfId="1" applyFont="1" applyFill="1" applyBorder="1" applyAlignment="1" applyProtection="1">
      <alignment horizontal="centerContinuous" vertical="center"/>
    </xf>
    <xf numFmtId="0" fontId="9" fillId="0" borderId="40" xfId="1" applyFont="1" applyFill="1" applyBorder="1" applyAlignment="1" applyProtection="1">
      <alignment horizontal="center" vertical="center"/>
    </xf>
    <xf numFmtId="177" fontId="9" fillId="4" borderId="0" xfId="1" applyNumberFormat="1" applyFont="1" applyFill="1" applyBorder="1" applyAlignment="1" applyProtection="1">
      <alignment horizontal="right" vertical="center"/>
    </xf>
    <xf numFmtId="188" fontId="6" fillId="0" borderId="0" xfId="1" applyNumberFormat="1" applyFont="1" applyBorder="1" applyAlignment="1" applyProtection="1">
      <alignment vertical="center"/>
    </xf>
    <xf numFmtId="0" fontId="15" fillId="0" borderId="0" xfId="67" applyFont="1" applyBorder="1" applyAlignment="1">
      <alignment horizontal="left"/>
    </xf>
    <xf numFmtId="15" fontId="6" fillId="0" borderId="0" xfId="1" applyNumberFormat="1" applyFont="1" applyBorder="1" applyAlignment="1" applyProtection="1">
      <alignment vertical="center"/>
    </xf>
    <xf numFmtId="0" fontId="15" fillId="0" borderId="24" xfId="67" applyFont="1" applyBorder="1" applyAlignment="1">
      <alignment horizontal="left"/>
    </xf>
    <xf numFmtId="0" fontId="6" fillId="35" borderId="60" xfId="1" applyFont="1" applyFill="1" applyBorder="1" applyAlignment="1" applyProtection="1">
      <alignment vertical="center"/>
    </xf>
    <xf numFmtId="0" fontId="76" fillId="0" borderId="90" xfId="1" applyFont="1" applyBorder="1" applyAlignment="1" applyProtection="1">
      <alignment vertical="center"/>
    </xf>
    <xf numFmtId="0" fontId="76" fillId="0" borderId="91" xfId="1" applyFont="1" applyBorder="1" applyAlignment="1" applyProtection="1">
      <alignment vertical="center"/>
    </xf>
    <xf numFmtId="0" fontId="76" fillId="0" borderId="92" xfId="1" applyFont="1" applyBorder="1" applyAlignment="1" applyProtection="1">
      <alignment vertical="center"/>
    </xf>
    <xf numFmtId="177" fontId="9" fillId="31" borderId="91" xfId="1" applyNumberFormat="1" applyFont="1" applyFill="1" applyBorder="1" applyAlignment="1" applyProtection="1">
      <alignment vertical="center"/>
      <protection locked="0"/>
    </xf>
    <xf numFmtId="0" fontId="72" fillId="35" borderId="64" xfId="1" applyFont="1" applyFill="1" applyBorder="1" applyAlignment="1" applyProtection="1">
      <alignment vertical="center"/>
    </xf>
    <xf numFmtId="0" fontId="72" fillId="35" borderId="0" xfId="1" applyFont="1" applyFill="1" applyBorder="1" applyAlignment="1" applyProtection="1">
      <alignment vertical="center"/>
    </xf>
    <xf numFmtId="0" fontId="6" fillId="35" borderId="32" xfId="1" applyFont="1" applyFill="1" applyBorder="1" applyAlignment="1" applyProtection="1">
      <alignment vertical="center"/>
    </xf>
    <xf numFmtId="0" fontId="76" fillId="0" borderId="0" xfId="1" applyFont="1" applyBorder="1" applyAlignment="1" applyProtection="1">
      <alignment vertical="center"/>
    </xf>
    <xf numFmtId="0" fontId="76" fillId="0" borderId="40" xfId="1" applyFont="1" applyBorder="1" applyAlignment="1" applyProtection="1">
      <alignment vertical="center"/>
    </xf>
    <xf numFmtId="0" fontId="72" fillId="35" borderId="78" xfId="1" applyFont="1" applyFill="1" applyBorder="1" applyAlignment="1" applyProtection="1">
      <alignment vertical="center"/>
    </xf>
    <xf numFmtId="0" fontId="72" fillId="35" borderId="24" xfId="1" applyFont="1" applyFill="1" applyBorder="1" applyAlignment="1" applyProtection="1">
      <alignment vertical="center"/>
    </xf>
    <xf numFmtId="0" fontId="14" fillId="0" borderId="40" xfId="1" applyFont="1" applyFill="1" applyBorder="1" applyAlignment="1" applyProtection="1">
      <alignment horizontal="left" vertical="center"/>
    </xf>
    <xf numFmtId="0" fontId="14" fillId="0" borderId="19" xfId="1" applyFont="1" applyBorder="1" applyAlignment="1" applyProtection="1">
      <alignment vertical="center"/>
    </xf>
    <xf numFmtId="0" fontId="70" fillId="0" borderId="0" xfId="1" applyFont="1" applyAlignment="1" applyProtection="1">
      <alignment vertical="center"/>
      <protection locked="0"/>
    </xf>
    <xf numFmtId="0" fontId="9" fillId="0" borderId="80" xfId="1" applyFont="1" applyFill="1" applyBorder="1" applyAlignment="1" applyProtection="1">
      <alignment horizontal="center" vertical="center"/>
    </xf>
    <xf numFmtId="0" fontId="9" fillId="0" borderId="62" xfId="1" applyFont="1" applyFill="1" applyBorder="1" applyAlignment="1" applyProtection="1">
      <alignment horizontal="center" vertical="center"/>
    </xf>
    <xf numFmtId="0" fontId="9" fillId="0" borderId="63" xfId="1" applyFont="1" applyFill="1" applyBorder="1" applyAlignment="1" applyProtection="1">
      <alignment horizontal="center" vertical="center"/>
    </xf>
    <xf numFmtId="177" fontId="9" fillId="4" borderId="2" xfId="1" applyNumberFormat="1" applyFont="1" applyFill="1" applyBorder="1" applyAlignment="1" applyProtection="1">
      <alignment horizontal="center" vertical="center"/>
    </xf>
    <xf numFmtId="0" fontId="9" fillId="0" borderId="2" xfId="1" applyFont="1" applyBorder="1" applyAlignment="1" applyProtection="1">
      <alignment horizontal="left" vertical="center"/>
    </xf>
    <xf numFmtId="0" fontId="94" fillId="0" borderId="0" xfId="1" applyFont="1" applyAlignment="1" applyProtection="1">
      <alignment horizontal="right" vertical="center"/>
    </xf>
    <xf numFmtId="0" fontId="5" fillId="0" borderId="65" xfId="1" applyFont="1" applyFill="1" applyBorder="1" applyAlignment="1" applyProtection="1">
      <alignment horizontal="center" vertical="center"/>
    </xf>
    <xf numFmtId="0" fontId="5" fillId="0" borderId="67" xfId="1" applyFont="1" applyFill="1" applyBorder="1" applyAlignment="1" applyProtection="1">
      <alignment horizontal="center" vertical="center"/>
    </xf>
    <xf numFmtId="177" fontId="9" fillId="4" borderId="0" xfId="1" applyNumberFormat="1" applyFont="1" applyFill="1" applyBorder="1" applyAlignment="1" applyProtection="1">
      <alignment horizontal="center" vertical="center"/>
    </xf>
    <xf numFmtId="0" fontId="44" fillId="0" borderId="0" xfId="1" applyFont="1" applyBorder="1" applyAlignment="1" applyProtection="1">
      <alignment horizontal="right" vertical="top"/>
    </xf>
    <xf numFmtId="0" fontId="9" fillId="0" borderId="0" xfId="1" applyFont="1" applyBorder="1" applyAlignment="1" applyProtection="1">
      <alignment horizontal="left" vertical="top"/>
    </xf>
    <xf numFmtId="0" fontId="43" fillId="0" borderId="0" xfId="1" applyFont="1" applyBorder="1" applyAlignment="1" applyProtection="1">
      <alignment vertical="top"/>
    </xf>
    <xf numFmtId="0" fontId="43" fillId="4" borderId="0" xfId="1" applyFont="1" applyFill="1" applyAlignment="1" applyProtection="1">
      <alignment horizontal="right" vertical="top"/>
    </xf>
    <xf numFmtId="0" fontId="16" fillId="0" borderId="0" xfId="1" applyFont="1" applyBorder="1" applyAlignment="1" applyProtection="1">
      <alignment horizontal="left" vertical="top"/>
    </xf>
    <xf numFmtId="0" fontId="68" fillId="0" borderId="0" xfId="1" applyFont="1" applyBorder="1" applyAlignment="1" applyProtection="1"/>
    <xf numFmtId="14" fontId="9" fillId="0" borderId="0" xfId="1" applyNumberFormat="1" applyFont="1" applyAlignment="1" applyProtection="1">
      <alignment horizontal="left" vertical="top"/>
    </xf>
    <xf numFmtId="0" fontId="9" fillId="0" borderId="0" xfId="1" applyFont="1" applyAlignment="1" applyProtection="1">
      <alignment horizontal="left" vertical="top"/>
    </xf>
    <xf numFmtId="0" fontId="18" fillId="0" borderId="0" xfId="1" applyFont="1" applyBorder="1" applyAlignment="1" applyProtection="1">
      <alignment vertical="top"/>
    </xf>
    <xf numFmtId="0" fontId="43" fillId="31" borderId="96" xfId="106" applyFont="1" applyFill="1" applyBorder="1" applyAlignment="1" applyProtection="1">
      <alignment horizontal="center" vertical="center"/>
      <protection locked="0"/>
    </xf>
    <xf numFmtId="0" fontId="43" fillId="31" borderId="97" xfId="106" applyFont="1" applyFill="1" applyBorder="1" applyAlignment="1" applyProtection="1">
      <alignment horizontal="center" vertical="center"/>
      <protection locked="0"/>
    </xf>
    <xf numFmtId="0" fontId="43" fillId="31" borderId="33" xfId="106" applyFont="1" applyFill="1" applyBorder="1" applyAlignment="1" applyProtection="1">
      <alignment horizontal="center" vertical="center"/>
      <protection locked="0"/>
    </xf>
    <xf numFmtId="0" fontId="43" fillId="31" borderId="99" xfId="106" applyFont="1" applyFill="1" applyBorder="1" applyAlignment="1" applyProtection="1">
      <alignment horizontal="center" vertical="center"/>
      <protection locked="0"/>
    </xf>
    <xf numFmtId="0" fontId="43" fillId="31" borderId="92" xfId="106" applyFont="1" applyFill="1" applyBorder="1" applyAlignment="1" applyProtection="1">
      <alignment horizontal="center" vertical="center"/>
      <protection locked="0"/>
    </xf>
    <xf numFmtId="0" fontId="43" fillId="31" borderId="91" xfId="106" applyFont="1" applyFill="1" applyBorder="1" applyAlignment="1" applyProtection="1">
      <alignment horizontal="center" vertical="center"/>
      <protection locked="0"/>
    </xf>
    <xf numFmtId="0" fontId="43" fillId="31" borderId="26" xfId="106" applyFont="1" applyFill="1" applyBorder="1" applyAlignment="1" applyProtection="1">
      <alignment horizontal="center" vertical="center"/>
      <protection locked="0"/>
    </xf>
    <xf numFmtId="0" fontId="31" fillId="0" borderId="0" xfId="55">
      <alignment horizontal="center"/>
    </xf>
    <xf numFmtId="0" fontId="31" fillId="0" borderId="0" xfId="55" applyFont="1">
      <alignment horizontal="center"/>
    </xf>
    <xf numFmtId="0" fontId="43" fillId="31" borderId="37" xfId="106" applyFont="1" applyFill="1" applyBorder="1" applyAlignment="1" applyProtection="1">
      <alignment horizontal="center" vertical="center"/>
      <protection locked="0"/>
    </xf>
    <xf numFmtId="0" fontId="43" fillId="31" borderId="100" xfId="106" applyFont="1" applyFill="1" applyBorder="1" applyAlignment="1" applyProtection="1">
      <alignment horizontal="center" vertical="center"/>
      <protection locked="0"/>
    </xf>
    <xf numFmtId="0" fontId="43" fillId="31" borderId="31" xfId="106" applyFont="1" applyFill="1" applyBorder="1" applyAlignment="1" applyProtection="1">
      <alignment horizontal="center" vertical="center"/>
      <protection locked="0"/>
    </xf>
    <xf numFmtId="2" fontId="4" fillId="0" borderId="0" xfId="1" applyNumberFormat="1"/>
    <xf numFmtId="2" fontId="4" fillId="0" borderId="0" xfId="1" applyNumberFormat="1" applyAlignment="1">
      <alignment horizontal="center"/>
    </xf>
    <xf numFmtId="177" fontId="4" fillId="0" borderId="0" xfId="1" applyNumberFormat="1" applyAlignment="1">
      <alignment horizontal="center"/>
    </xf>
    <xf numFmtId="177" fontId="4" fillId="0" borderId="0" xfId="1" applyNumberFormat="1"/>
    <xf numFmtId="0" fontId="4" fillId="0" borderId="0" xfId="1" applyBorder="1"/>
    <xf numFmtId="2" fontId="4" fillId="0" borderId="0" xfId="1" applyNumberFormat="1" applyBorder="1"/>
    <xf numFmtId="2" fontId="4" fillId="0" borderId="0" xfId="1" applyNumberFormat="1" applyBorder="1" applyAlignment="1">
      <alignment horizontal="center"/>
    </xf>
    <xf numFmtId="177" fontId="4" fillId="0" borderId="0" xfId="1" applyNumberFormat="1" applyBorder="1" applyAlignment="1">
      <alignment horizontal="center"/>
    </xf>
    <xf numFmtId="177" fontId="4" fillId="0" borderId="0" xfId="1" applyNumberFormat="1" applyBorder="1"/>
    <xf numFmtId="0" fontId="4" fillId="0" borderId="0" xfId="1" applyBorder="1" applyAlignment="1">
      <alignment horizontal="center"/>
    </xf>
    <xf numFmtId="0" fontId="20" fillId="0" borderId="0" xfId="1" applyFont="1" applyBorder="1"/>
    <xf numFmtId="0" fontId="20" fillId="0" borderId="0" xfId="1" applyFont="1" applyBorder="1" applyAlignment="1">
      <alignment horizontal="center"/>
    </xf>
    <xf numFmtId="2" fontId="20" fillId="0" borderId="0" xfId="1" applyNumberFormat="1" applyFont="1" applyBorder="1" applyAlignment="1">
      <alignment horizontal="center"/>
    </xf>
    <xf numFmtId="2" fontId="20" fillId="0" borderId="0" xfId="1" applyNumberFormat="1" applyFont="1" applyBorder="1" applyAlignment="1">
      <alignment horizontal="left"/>
    </xf>
    <xf numFmtId="177" fontId="20" fillId="0" borderId="0" xfId="1" applyNumberFormat="1" applyFont="1" applyBorder="1" applyAlignment="1" applyProtection="1">
      <alignment horizontal="center"/>
      <protection locked="0"/>
    </xf>
    <xf numFmtId="177" fontId="20" fillId="0" borderId="0" xfId="1" applyNumberFormat="1" applyFont="1" applyBorder="1" applyAlignment="1">
      <alignment horizontal="right"/>
    </xf>
    <xf numFmtId="177" fontId="20" fillId="0" borderId="0" xfId="1" applyNumberFormat="1" applyFont="1" applyBorder="1" applyAlignment="1">
      <alignment horizontal="center"/>
    </xf>
    <xf numFmtId="192" fontId="20" fillId="0" borderId="0" xfId="1" applyNumberFormat="1" applyFont="1" applyBorder="1" applyAlignment="1">
      <alignment horizontal="left"/>
    </xf>
    <xf numFmtId="2" fontId="20" fillId="0" borderId="47" xfId="67" applyNumberFormat="1" applyFont="1" applyBorder="1" applyAlignment="1">
      <alignment horizontal="center"/>
    </xf>
    <xf numFmtId="177" fontId="20" fillId="38" borderId="46" xfId="67" applyNumberFormat="1" applyFont="1" applyFill="1" applyBorder="1" applyAlignment="1">
      <alignment horizontal="center"/>
    </xf>
    <xf numFmtId="0" fontId="9" fillId="0" borderId="19" xfId="67" applyBorder="1"/>
    <xf numFmtId="0" fontId="9" fillId="0" borderId="40" xfId="67" applyBorder="1"/>
    <xf numFmtId="0" fontId="9" fillId="0" borderId="0" xfId="67" applyBorder="1"/>
    <xf numFmtId="2" fontId="20" fillId="0" borderId="19" xfId="67" applyNumberFormat="1" applyFont="1" applyBorder="1" applyAlignment="1">
      <alignment horizontal="center"/>
    </xf>
    <xf numFmtId="177" fontId="20" fillId="38" borderId="40" xfId="67" applyNumberFormat="1" applyFont="1" applyFill="1" applyBorder="1" applyAlignment="1">
      <alignment horizontal="center"/>
    </xf>
    <xf numFmtId="177" fontId="20" fillId="38" borderId="100" xfId="67" applyNumberFormat="1" applyFont="1" applyFill="1" applyBorder="1" applyAlignment="1">
      <alignment horizontal="center"/>
    </xf>
    <xf numFmtId="177" fontId="20" fillId="38" borderId="92" xfId="67" applyNumberFormat="1" applyFont="1" applyFill="1" applyBorder="1" applyAlignment="1">
      <alignment horizontal="center"/>
    </xf>
    <xf numFmtId="2" fontId="20" fillId="0" borderId="0" xfId="67" applyNumberFormat="1" applyFont="1" applyBorder="1" applyAlignment="1">
      <alignment horizontal="center"/>
    </xf>
    <xf numFmtId="2" fontId="20" fillId="0" borderId="90" xfId="67" applyNumberFormat="1" applyFont="1" applyBorder="1" applyAlignment="1">
      <alignment horizontal="center"/>
    </xf>
    <xf numFmtId="0" fontId="20" fillId="0" borderId="0" xfId="1" applyFont="1"/>
    <xf numFmtId="2" fontId="20" fillId="0" borderId="0" xfId="1" applyNumberFormat="1" applyFont="1" applyAlignment="1">
      <alignment horizontal="left"/>
    </xf>
    <xf numFmtId="2" fontId="20" fillId="0" borderId="106" xfId="67" applyNumberFormat="1" applyFont="1" applyBorder="1" applyAlignment="1">
      <alignment horizontal="center"/>
    </xf>
    <xf numFmtId="177" fontId="20" fillId="38" borderId="97" xfId="67" applyNumberFormat="1" applyFont="1" applyFill="1" applyBorder="1" applyAlignment="1">
      <alignment horizontal="center"/>
    </xf>
    <xf numFmtId="0" fontId="20" fillId="0" borderId="0" xfId="1" applyFont="1" applyProtection="1">
      <protection locked="0"/>
    </xf>
    <xf numFmtId="2" fontId="20" fillId="0" borderId="42" xfId="67" applyNumberFormat="1" applyFont="1" applyBorder="1" applyAlignment="1">
      <alignment horizontal="center"/>
    </xf>
    <xf numFmtId="2" fontId="5" fillId="0" borderId="44" xfId="67" applyNumberFormat="1" applyFont="1" applyBorder="1" applyAlignment="1">
      <alignment horizontal="center"/>
    </xf>
    <xf numFmtId="0" fontId="5" fillId="0" borderId="39" xfId="67" applyFont="1" applyBorder="1" applyAlignment="1">
      <alignment horizontal="center"/>
    </xf>
    <xf numFmtId="2" fontId="5" fillId="0" borderId="2" xfId="67" applyNumberFormat="1" applyFont="1" applyBorder="1" applyAlignment="1">
      <alignment horizontal="center"/>
    </xf>
    <xf numFmtId="9" fontId="5" fillId="0" borderId="19" xfId="61" applyFont="1" applyBorder="1" applyAlignment="1">
      <alignment horizontal="center"/>
    </xf>
    <xf numFmtId="9" fontId="5" fillId="0" borderId="40" xfId="61" applyFont="1" applyBorder="1" applyAlignment="1">
      <alignment horizontal="center"/>
    </xf>
    <xf numFmtId="0" fontId="5" fillId="0" borderId="0" xfId="67" applyFont="1" applyBorder="1" applyAlignment="1">
      <alignment horizontal="center"/>
    </xf>
    <xf numFmtId="2" fontId="9" fillId="0" borderId="0" xfId="67" applyNumberFormat="1" applyBorder="1" applyAlignment="1">
      <alignment horizontal="center"/>
    </xf>
    <xf numFmtId="9" fontId="5" fillId="0" borderId="43" xfId="61" applyFont="1" applyBorder="1" applyAlignment="1">
      <alignment horizontal="center"/>
    </xf>
    <xf numFmtId="9" fontId="5" fillId="0" borderId="0" xfId="61" applyFont="1" applyBorder="1" applyAlignment="1">
      <alignment horizontal="center"/>
    </xf>
    <xf numFmtId="9" fontId="5" fillId="0" borderId="42" xfId="61" applyFont="1" applyBorder="1" applyAlignment="1">
      <alignment horizontal="center"/>
    </xf>
    <xf numFmtId="177" fontId="4" fillId="4" borderId="0" xfId="1" applyNumberFormat="1" applyFill="1" applyAlignment="1">
      <alignment horizontal="center"/>
    </xf>
    <xf numFmtId="2" fontId="4" fillId="4" borderId="0" xfId="1" applyNumberFormat="1" applyFill="1"/>
    <xf numFmtId="177" fontId="20" fillId="0" borderId="0" xfId="67" applyNumberFormat="1" applyFont="1"/>
    <xf numFmtId="1" fontId="5" fillId="4" borderId="0" xfId="1" applyNumberFormat="1" applyFont="1" applyFill="1"/>
    <xf numFmtId="0" fontId="4" fillId="0" borderId="0" xfId="1" applyAlignment="1">
      <alignment horizontal="right"/>
    </xf>
    <xf numFmtId="177" fontId="18" fillId="0" borderId="0" xfId="1" applyNumberFormat="1" applyFont="1"/>
    <xf numFmtId="0" fontId="31" fillId="0" borderId="0" xfId="55" applyAlignment="1">
      <alignment horizontal="center"/>
    </xf>
    <xf numFmtId="2" fontId="55" fillId="0" borderId="0" xfId="1" applyNumberFormat="1" applyFont="1" applyBorder="1" applyAlignment="1" applyProtection="1">
      <alignment horizontal="center" vertical="center"/>
    </xf>
    <xf numFmtId="2" fontId="15" fillId="0" borderId="59" xfId="1" applyNumberFormat="1" applyFont="1" applyBorder="1" applyAlignment="1" applyProtection="1">
      <alignment horizontal="left" vertical="center"/>
    </xf>
    <xf numFmtId="2" fontId="15" fillId="4" borderId="41" xfId="1" applyNumberFormat="1" applyFont="1" applyFill="1" applyBorder="1" applyAlignment="1" applyProtection="1">
      <alignment vertical="center"/>
    </xf>
    <xf numFmtId="0" fontId="15" fillId="0" borderId="41" xfId="1" applyFont="1" applyBorder="1" applyAlignment="1" applyProtection="1">
      <alignment horizontal="left" vertical="center"/>
    </xf>
    <xf numFmtId="2" fontId="15" fillId="31" borderId="41" xfId="1" applyNumberFormat="1" applyFont="1" applyFill="1" applyBorder="1" applyAlignment="1" applyProtection="1">
      <alignment vertical="center"/>
      <protection locked="0"/>
    </xf>
    <xf numFmtId="0" fontId="4" fillId="0" borderId="41" xfId="1" applyBorder="1" applyAlignment="1" applyProtection="1">
      <alignment vertical="center"/>
    </xf>
    <xf numFmtId="0" fontId="55" fillId="0" borderId="41" xfId="1" applyFont="1" applyBorder="1" applyAlignment="1" applyProtection="1">
      <alignment vertical="center"/>
    </xf>
    <xf numFmtId="0" fontId="15" fillId="0" borderId="60" xfId="1" applyFont="1" applyBorder="1" applyAlignment="1" applyProtection="1">
      <alignment vertical="center"/>
    </xf>
    <xf numFmtId="2" fontId="15" fillId="0" borderId="78" xfId="1" applyNumberFormat="1" applyFont="1" applyBorder="1" applyAlignment="1" applyProtection="1">
      <alignment horizontal="left" vertical="center"/>
    </xf>
    <xf numFmtId="2" fontId="15" fillId="31" borderId="24" xfId="1" applyNumberFormat="1" applyFont="1" applyFill="1" applyBorder="1" applyAlignment="1" applyProtection="1">
      <alignment vertical="center"/>
      <protection locked="0"/>
    </xf>
    <xf numFmtId="0" fontId="15" fillId="0" borderId="24" xfId="1" applyFont="1" applyBorder="1" applyAlignment="1" applyProtection="1">
      <alignment horizontal="left" vertical="center"/>
    </xf>
    <xf numFmtId="0" fontId="4" fillId="0" borderId="24" xfId="1" applyBorder="1" applyAlignment="1" applyProtection="1">
      <alignment vertical="center"/>
    </xf>
    <xf numFmtId="0" fontId="55" fillId="0" borderId="24" xfId="1" applyFont="1" applyBorder="1" applyAlignment="1" applyProtection="1">
      <alignment vertical="center"/>
    </xf>
    <xf numFmtId="0" fontId="15" fillId="0" borderId="79" xfId="1" applyFont="1" applyBorder="1" applyAlignment="1" applyProtection="1">
      <alignment vertical="center"/>
    </xf>
    <xf numFmtId="0" fontId="20" fillId="31" borderId="0" xfId="1" applyFont="1" applyFill="1" applyAlignment="1" applyProtection="1">
      <alignment vertical="center"/>
      <protection locked="0"/>
    </xf>
    <xf numFmtId="0" fontId="100" fillId="0" borderId="0" xfId="1" applyFont="1" applyAlignment="1" applyProtection="1">
      <alignment vertical="center"/>
    </xf>
    <xf numFmtId="2" fontId="4" fillId="0" borderId="0" xfId="1" applyNumberFormat="1" applyAlignment="1" applyProtection="1">
      <alignment vertical="center"/>
    </xf>
    <xf numFmtId="177" fontId="4" fillId="0" borderId="0" xfId="1" applyNumberFormat="1" applyAlignment="1" applyProtection="1">
      <alignment vertical="center"/>
    </xf>
    <xf numFmtId="0" fontId="15" fillId="0" borderId="107" xfId="1" applyFont="1" applyBorder="1" applyAlignment="1" applyProtection="1">
      <alignment vertical="center"/>
    </xf>
    <xf numFmtId="2" fontId="15" fillId="31" borderId="95" xfId="1" applyNumberFormat="1" applyFont="1" applyFill="1" applyBorder="1" applyAlignment="1" applyProtection="1">
      <alignment vertical="center"/>
      <protection locked="0"/>
    </xf>
    <xf numFmtId="0" fontId="15" fillId="0" borderId="95" xfId="1" applyFont="1" applyBorder="1" applyAlignment="1" applyProtection="1">
      <alignment vertical="center"/>
    </xf>
    <xf numFmtId="0" fontId="15" fillId="0" borderId="108" xfId="1" applyFont="1" applyBorder="1" applyAlignment="1" applyProtection="1">
      <alignment vertical="center"/>
    </xf>
    <xf numFmtId="0" fontId="5" fillId="0" borderId="0" xfId="1" applyFont="1" applyAlignment="1" applyProtection="1">
      <alignment horizontal="left" vertical="center"/>
    </xf>
    <xf numFmtId="0" fontId="101" fillId="0" borderId="0" xfId="1" applyFont="1" applyAlignment="1" applyProtection="1">
      <alignment horizontal="left" vertical="center"/>
    </xf>
    <xf numFmtId="49" fontId="9" fillId="0" borderId="0" xfId="67" applyNumberFormat="1" applyFont="1" applyAlignment="1">
      <alignment horizontal="left"/>
    </xf>
    <xf numFmtId="0" fontId="102" fillId="39" borderId="3" xfId="1" applyFont="1" applyFill="1" applyBorder="1" applyAlignment="1">
      <alignment horizontal="center" vertical="center" wrapText="1"/>
    </xf>
    <xf numFmtId="49" fontId="9" fillId="0" borderId="3" xfId="67" applyNumberFormat="1" applyFont="1" applyBorder="1" applyAlignment="1">
      <alignment horizontal="left"/>
    </xf>
    <xf numFmtId="49" fontId="9" fillId="0" borderId="109" xfId="67" applyNumberFormat="1" applyFont="1" applyBorder="1" applyAlignment="1">
      <alignment horizontal="left"/>
    </xf>
    <xf numFmtId="193" fontId="4" fillId="0" borderId="0" xfId="1" applyNumberFormat="1" applyAlignment="1" applyProtection="1">
      <alignment vertical="center"/>
    </xf>
    <xf numFmtId="0" fontId="5" fillId="0" borderId="0" xfId="1" applyFont="1" applyAlignment="1" applyProtection="1">
      <alignment vertical="center"/>
    </xf>
    <xf numFmtId="0" fontId="4" fillId="0" borderId="44" xfId="1" applyBorder="1" applyAlignment="1" applyProtection="1">
      <alignment vertical="center"/>
    </xf>
    <xf numFmtId="0" fontId="5" fillId="0" borderId="57" xfId="1" applyFont="1" applyBorder="1" applyAlignment="1" applyProtection="1">
      <alignment vertical="center"/>
    </xf>
    <xf numFmtId="0" fontId="5" fillId="0" borderId="77" xfId="1" applyFont="1" applyBorder="1" applyAlignment="1" applyProtection="1">
      <alignment vertical="center"/>
    </xf>
    <xf numFmtId="194" fontId="4" fillId="31" borderId="0" xfId="1" applyNumberFormat="1" applyFill="1" applyBorder="1" applyAlignment="1" applyProtection="1">
      <alignment vertical="center"/>
      <protection locked="0"/>
    </xf>
    <xf numFmtId="195" fontId="4" fillId="0" borderId="0" xfId="1" applyNumberFormat="1" applyBorder="1" applyAlignment="1" applyProtection="1">
      <alignment vertical="center"/>
    </xf>
    <xf numFmtId="0" fontId="4" fillId="31" borderId="0" xfId="1" applyNumberFormat="1" applyFill="1" applyBorder="1" applyAlignment="1" applyProtection="1">
      <alignment vertical="center"/>
      <protection locked="0"/>
    </xf>
    <xf numFmtId="0" fontId="5" fillId="0" borderId="43" xfId="1" applyFont="1" applyBorder="1" applyAlignment="1" applyProtection="1">
      <alignment vertical="center"/>
    </xf>
    <xf numFmtId="0" fontId="5" fillId="0" borderId="40" xfId="1" applyFont="1" applyBorder="1" applyAlignment="1" applyProtection="1">
      <alignment vertical="center"/>
    </xf>
    <xf numFmtId="0" fontId="9" fillId="0" borderId="110" xfId="67" applyFont="1" applyBorder="1" applyAlignment="1" applyProtection="1">
      <alignment horizontal="center" vertical="center" wrapText="1"/>
    </xf>
    <xf numFmtId="0" fontId="4" fillId="0" borderId="0" xfId="1" applyBorder="1" applyAlignment="1" applyProtection="1"/>
    <xf numFmtId="0" fontId="5" fillId="0" borderId="58" xfId="1" applyFont="1" applyBorder="1" applyAlignment="1" applyProtection="1">
      <alignment vertical="center"/>
    </xf>
    <xf numFmtId="196" fontId="4" fillId="0" borderId="0" xfId="1" applyNumberFormat="1" applyAlignment="1" applyProtection="1">
      <alignment vertical="center"/>
    </xf>
    <xf numFmtId="0" fontId="4" fillId="0" borderId="42" xfId="1" applyBorder="1" applyAlignment="1" applyProtection="1">
      <alignment vertical="center"/>
    </xf>
    <xf numFmtId="0" fontId="70" fillId="4" borderId="43" xfId="1" applyFont="1" applyFill="1" applyBorder="1" applyAlignment="1" applyProtection="1">
      <alignment vertical="center"/>
    </xf>
    <xf numFmtId="0" fontId="15" fillId="0" borderId="64" xfId="1" applyFont="1" applyBorder="1" applyAlignment="1" applyProtection="1">
      <alignment vertical="center"/>
    </xf>
    <xf numFmtId="2" fontId="15" fillId="31" borderId="0" xfId="1" applyNumberFormat="1" applyFont="1" applyFill="1" applyBorder="1" applyAlignment="1" applyProtection="1">
      <alignment vertical="center"/>
      <protection locked="0"/>
    </xf>
    <xf numFmtId="2" fontId="15" fillId="0" borderId="0" xfId="1" applyNumberFormat="1" applyFont="1" applyBorder="1" applyAlignment="1" applyProtection="1">
      <alignment vertical="center"/>
    </xf>
    <xf numFmtId="177" fontId="15" fillId="0" borderId="32" xfId="1" applyNumberFormat="1" applyFont="1" applyBorder="1" applyAlignment="1" applyProtection="1">
      <alignment vertical="center"/>
    </xf>
    <xf numFmtId="0" fontId="15" fillId="0" borderId="78" xfId="1" applyFont="1" applyBorder="1" applyAlignment="1" applyProtection="1">
      <alignment vertical="center"/>
    </xf>
    <xf numFmtId="2" fontId="15" fillId="0" borderId="24" xfId="1" applyNumberFormat="1" applyFont="1" applyBorder="1" applyAlignment="1" applyProtection="1">
      <alignment vertical="center"/>
    </xf>
    <xf numFmtId="177" fontId="15" fillId="0" borderId="79" xfId="1" applyNumberFormat="1" applyFont="1" applyBorder="1" applyAlignment="1" applyProtection="1">
      <alignment vertical="center"/>
    </xf>
    <xf numFmtId="4" fontId="15" fillId="4" borderId="0" xfId="1" applyNumberFormat="1" applyFont="1" applyFill="1" applyBorder="1" applyAlignment="1" applyProtection="1">
      <alignment horizontal="center" vertical="center"/>
    </xf>
    <xf numFmtId="0" fontId="4" fillId="4" borderId="0" xfId="1" applyFill="1" applyBorder="1" applyAlignment="1" applyProtection="1">
      <alignment vertical="center"/>
    </xf>
    <xf numFmtId="4" fontId="15" fillId="4" borderId="44" xfId="1" applyNumberFormat="1" applyFont="1" applyFill="1" applyBorder="1" applyAlignment="1" applyProtection="1">
      <alignment vertical="center"/>
    </xf>
    <xf numFmtId="4" fontId="15" fillId="4" borderId="2" xfId="1" applyNumberFormat="1" applyFont="1" applyFill="1" applyBorder="1" applyAlignment="1" applyProtection="1">
      <alignment vertical="center"/>
    </xf>
    <xf numFmtId="184" fontId="15" fillId="0" borderId="2" xfId="1" applyNumberFormat="1" applyFont="1" applyBorder="1" applyAlignment="1" applyProtection="1">
      <alignment vertical="center"/>
    </xf>
    <xf numFmtId="185" fontId="5" fillId="0" borderId="3" xfId="1" applyNumberFormat="1" applyFont="1" applyBorder="1" applyAlignment="1" applyProtection="1">
      <alignment horizontal="right" vertical="center"/>
    </xf>
    <xf numFmtId="184" fontId="20" fillId="0" borderId="58" xfId="1" applyNumberFormat="1" applyFont="1" applyBorder="1" applyAlignment="1" applyProtection="1">
      <alignment horizontal="center" vertical="center"/>
    </xf>
    <xf numFmtId="4" fontId="5" fillId="4" borderId="57" xfId="1" applyNumberFormat="1" applyFont="1" applyFill="1" applyBorder="1" applyAlignment="1" applyProtection="1">
      <alignment vertical="center"/>
    </xf>
    <xf numFmtId="0" fontId="5" fillId="4" borderId="57" xfId="1" applyFont="1" applyFill="1" applyBorder="1" applyAlignment="1" applyProtection="1">
      <alignment vertical="center"/>
    </xf>
    <xf numFmtId="4" fontId="5" fillId="4" borderId="77" xfId="1" applyNumberFormat="1" applyFont="1" applyFill="1" applyBorder="1" applyAlignment="1" applyProtection="1">
      <alignment vertical="center"/>
    </xf>
    <xf numFmtId="4" fontId="5" fillId="0" borderId="3" xfId="53" applyFont="1">
      <alignment vertical="center" shrinkToFit="1"/>
    </xf>
    <xf numFmtId="4" fontId="5" fillId="4" borderId="19" xfId="1" applyNumberFormat="1" applyFont="1" applyFill="1" applyBorder="1" applyAlignment="1" applyProtection="1">
      <alignment vertical="center"/>
    </xf>
    <xf numFmtId="4" fontId="5" fillId="4" borderId="0" xfId="1" applyNumberFormat="1" applyFont="1" applyFill="1" applyBorder="1" applyAlignment="1" applyProtection="1">
      <alignment vertical="center"/>
    </xf>
    <xf numFmtId="0" fontId="4" fillId="4" borderId="0" xfId="1" applyFill="1" applyBorder="1" applyAlignment="1" applyProtection="1">
      <alignment horizontal="right" vertical="center"/>
    </xf>
    <xf numFmtId="4" fontId="5" fillId="4" borderId="40" xfId="1" applyNumberFormat="1" applyFont="1" applyFill="1" applyBorder="1" applyAlignment="1" applyProtection="1">
      <alignment vertical="center"/>
    </xf>
    <xf numFmtId="3" fontId="9" fillId="0" borderId="3" xfId="53" applyNumberFormat="1">
      <alignment vertical="center" shrinkToFit="1"/>
    </xf>
    <xf numFmtId="3" fontId="15" fillId="4" borderId="19" xfId="1" applyNumberFormat="1" applyFont="1" applyFill="1" applyBorder="1" applyAlignment="1" applyProtection="1">
      <alignment horizontal="center" vertical="center"/>
    </xf>
    <xf numFmtId="184" fontId="15" fillId="0" borderId="0" xfId="1" applyNumberFormat="1" applyFont="1" applyBorder="1" applyAlignment="1" applyProtection="1">
      <alignment vertical="center"/>
    </xf>
    <xf numFmtId="185" fontId="13" fillId="0" borderId="3" xfId="1" applyNumberFormat="1" applyFont="1" applyBorder="1" applyAlignment="1" applyProtection="1">
      <alignment horizontal="right" vertical="center"/>
    </xf>
    <xf numFmtId="4" fontId="13" fillId="0" borderId="57" xfId="1" applyNumberFormat="1" applyFont="1" applyBorder="1" applyAlignment="1" applyProtection="1">
      <alignment horizontal="center" vertical="center"/>
    </xf>
    <xf numFmtId="0" fontId="13" fillId="0" borderId="77" xfId="1" applyFont="1" applyBorder="1" applyAlignment="1" applyProtection="1">
      <alignment vertical="center"/>
    </xf>
    <xf numFmtId="4" fontId="13" fillId="0" borderId="57" xfId="1" applyNumberFormat="1" applyFont="1" applyBorder="1" applyAlignment="1" applyProtection="1">
      <alignment vertical="center"/>
    </xf>
    <xf numFmtId="4" fontId="13" fillId="0" borderId="77" xfId="1" applyNumberFormat="1" applyFont="1" applyBorder="1" applyAlignment="1" applyProtection="1">
      <alignment vertical="center"/>
    </xf>
    <xf numFmtId="0" fontId="13" fillId="0" borderId="57" xfId="1" applyFont="1" applyBorder="1" applyAlignment="1" applyProtection="1">
      <alignment vertical="center"/>
    </xf>
    <xf numFmtId="2" fontId="55" fillId="4" borderId="19" xfId="1" applyNumberFormat="1" applyFont="1" applyFill="1" applyBorder="1" applyAlignment="1" applyProtection="1">
      <alignment vertical="center"/>
    </xf>
    <xf numFmtId="2" fontId="55" fillId="4" borderId="0" xfId="1" applyNumberFormat="1" applyFont="1" applyFill="1" applyBorder="1" applyAlignment="1" applyProtection="1">
      <alignment vertical="center"/>
    </xf>
    <xf numFmtId="185" fontId="55" fillId="0" borderId="36" xfId="1" applyNumberFormat="1" applyFont="1" applyBorder="1" applyAlignment="1" applyProtection="1">
      <alignment horizontal="center" vertical="center"/>
    </xf>
    <xf numFmtId="185" fontId="55" fillId="0" borderId="68" xfId="1" applyNumberFormat="1" applyFont="1" applyBorder="1" applyAlignment="1" applyProtection="1">
      <alignment horizontal="right" vertical="center"/>
    </xf>
    <xf numFmtId="3" fontId="55" fillId="0" borderId="43" xfId="1" applyNumberFormat="1" applyFont="1" applyBorder="1" applyAlignment="1" applyProtection="1">
      <alignment vertical="center"/>
    </xf>
    <xf numFmtId="3" fontId="55" fillId="0" borderId="23" xfId="1" applyNumberFormat="1" applyFont="1" applyBorder="1" applyAlignment="1" applyProtection="1">
      <alignment vertical="center"/>
    </xf>
    <xf numFmtId="0" fontId="55" fillId="0" borderId="43" xfId="1" applyFont="1" applyBorder="1" applyAlignment="1" applyProtection="1">
      <alignment vertical="center"/>
    </xf>
    <xf numFmtId="4" fontId="15" fillId="4" borderId="19" xfId="1" applyNumberFormat="1" applyFont="1" applyFill="1" applyBorder="1" applyAlignment="1" applyProtection="1">
      <alignment vertical="center"/>
    </xf>
    <xf numFmtId="4" fontId="15" fillId="4" borderId="0" xfId="1" applyNumberFormat="1" applyFont="1" applyFill="1" applyBorder="1" applyAlignment="1" applyProtection="1">
      <alignment vertical="center"/>
    </xf>
    <xf numFmtId="185" fontId="4" fillId="0" borderId="25" xfId="1" applyNumberFormat="1" applyBorder="1" applyAlignment="1" applyProtection="1">
      <alignment horizontal="right" vertical="center"/>
    </xf>
    <xf numFmtId="185" fontId="15" fillId="0" borderId="65" xfId="1" applyNumberFormat="1" applyFont="1" applyBorder="1" applyAlignment="1" applyProtection="1">
      <alignment horizontal="right" vertical="center"/>
    </xf>
    <xf numFmtId="0" fontId="4" fillId="0" borderId="40" xfId="1" applyBorder="1" applyAlignment="1" applyProtection="1">
      <alignment vertical="center"/>
    </xf>
    <xf numFmtId="4" fontId="15" fillId="0" borderId="65" xfId="1" applyNumberFormat="1" applyFont="1" applyBorder="1" applyAlignment="1" applyProtection="1">
      <alignment vertical="center"/>
    </xf>
    <xf numFmtId="4" fontId="15" fillId="0" borderId="66" xfId="1" applyNumberFormat="1" applyFont="1" applyBorder="1" applyAlignment="1" applyProtection="1">
      <alignment vertical="center"/>
    </xf>
    <xf numFmtId="4" fontId="15" fillId="31" borderId="67" xfId="1" applyNumberFormat="1" applyFont="1" applyFill="1" applyBorder="1" applyAlignment="1" applyProtection="1">
      <alignment vertical="center"/>
      <protection locked="0"/>
    </xf>
    <xf numFmtId="4" fontId="15" fillId="0" borderId="0" xfId="1" applyNumberFormat="1" applyFont="1" applyBorder="1" applyAlignment="1" applyProtection="1">
      <alignment vertical="center"/>
    </xf>
    <xf numFmtId="4" fontId="15" fillId="0" borderId="40" xfId="1" applyNumberFormat="1" applyFont="1" applyBorder="1" applyAlignment="1" applyProtection="1">
      <alignment vertical="center"/>
    </xf>
    <xf numFmtId="185" fontId="15" fillId="0" borderId="68" xfId="1" applyNumberFormat="1" applyFont="1" applyBorder="1" applyAlignment="1" applyProtection="1">
      <alignment horizontal="right" vertical="center"/>
    </xf>
    <xf numFmtId="4" fontId="85" fillId="4" borderId="19" xfId="1" applyNumberFormat="1" applyFont="1" applyFill="1" applyBorder="1" applyAlignment="1" applyProtection="1">
      <alignment horizontal="center" vertical="center"/>
    </xf>
    <xf numFmtId="4" fontId="85" fillId="4" borderId="0" xfId="1" applyNumberFormat="1" applyFont="1" applyFill="1" applyBorder="1" applyAlignment="1" applyProtection="1">
      <alignment horizontal="center" vertical="center"/>
    </xf>
    <xf numFmtId="185" fontId="15" fillId="0" borderId="34" xfId="1" applyNumberFormat="1" applyFont="1" applyBorder="1" applyAlignment="1" applyProtection="1">
      <alignment horizontal="center" vertical="center"/>
    </xf>
    <xf numFmtId="185" fontId="15" fillId="0" borderId="61" xfId="1" applyNumberFormat="1" applyFont="1" applyBorder="1" applyAlignment="1" applyProtection="1">
      <alignment horizontal="center" vertical="center"/>
    </xf>
    <xf numFmtId="0" fontId="15" fillId="0" borderId="39" xfId="1" applyFont="1" applyBorder="1" applyAlignment="1" applyProtection="1">
      <alignment horizontal="center" vertical="center"/>
    </xf>
    <xf numFmtId="4" fontId="85" fillId="0" borderId="61" xfId="1" applyNumberFormat="1" applyFont="1" applyBorder="1" applyAlignment="1" applyProtection="1">
      <alignment horizontal="center" vertical="center"/>
    </xf>
    <xf numFmtId="0" fontId="15" fillId="0" borderId="62" xfId="1" applyFont="1" applyBorder="1" applyAlignment="1" applyProtection="1">
      <alignment horizontal="center" vertical="center"/>
    </xf>
    <xf numFmtId="0" fontId="15" fillId="0" borderId="63" xfId="1" applyFont="1" applyBorder="1" applyAlignment="1" applyProtection="1">
      <alignment horizontal="center" vertical="center"/>
    </xf>
    <xf numFmtId="185" fontId="85" fillId="0" borderId="25" xfId="1" applyNumberFormat="1" applyFont="1" applyBorder="1" applyAlignment="1" applyProtection="1">
      <alignment horizontal="center" vertical="center"/>
    </xf>
    <xf numFmtId="185" fontId="85" fillId="0" borderId="65" xfId="1" applyNumberFormat="1" applyFont="1" applyBorder="1" applyAlignment="1" applyProtection="1">
      <alignment horizontal="center" vertical="center"/>
    </xf>
    <xf numFmtId="4" fontId="85" fillId="0" borderId="65" xfId="1" applyNumberFormat="1" applyFont="1" applyBorder="1" applyAlignment="1" applyProtection="1">
      <alignment horizontal="center" vertical="center"/>
    </xf>
    <xf numFmtId="0" fontId="4" fillId="0" borderId="66" xfId="1" applyBorder="1" applyAlignment="1" applyProtection="1">
      <alignment vertical="center"/>
    </xf>
    <xf numFmtId="0" fontId="4" fillId="0" borderId="67" xfId="1" applyBorder="1" applyAlignment="1" applyProtection="1">
      <alignment vertical="center"/>
    </xf>
    <xf numFmtId="0" fontId="5" fillId="0" borderId="25" xfId="1" applyFont="1" applyBorder="1" applyAlignment="1" applyProtection="1">
      <alignment horizontal="left" vertical="center"/>
    </xf>
    <xf numFmtId="4" fontId="15" fillId="0" borderId="19" xfId="1" applyNumberFormat="1" applyFont="1" applyBorder="1" applyAlignment="1" applyProtection="1">
      <alignment vertical="center"/>
    </xf>
    <xf numFmtId="185" fontId="55" fillId="0" borderId="3" xfId="1" applyNumberFormat="1" applyFont="1" applyBorder="1" applyAlignment="1" applyProtection="1">
      <alignment horizontal="center" vertical="center"/>
    </xf>
    <xf numFmtId="185" fontId="55" fillId="0" borderId="8" xfId="1" applyNumberFormat="1" applyFont="1" applyBorder="1" applyAlignment="1" applyProtection="1">
      <alignment horizontal="right" vertical="center"/>
    </xf>
    <xf numFmtId="3" fontId="55" fillId="0" borderId="77" xfId="1" applyNumberFormat="1" applyFont="1" applyBorder="1" applyAlignment="1" applyProtection="1">
      <alignment vertical="center"/>
    </xf>
    <xf numFmtId="3" fontId="55" fillId="0" borderId="57" xfId="1" applyNumberFormat="1" applyFont="1" applyBorder="1" applyAlignment="1" applyProtection="1">
      <alignment vertical="center"/>
    </xf>
    <xf numFmtId="0" fontId="55" fillId="0" borderId="77" xfId="1" applyFont="1" applyBorder="1" applyAlignment="1" applyProtection="1">
      <alignment vertical="center"/>
    </xf>
    <xf numFmtId="185" fontId="15" fillId="0" borderId="80" xfId="1" applyNumberFormat="1" applyFont="1" applyBorder="1" applyAlignment="1" applyProtection="1">
      <alignment horizontal="right" vertical="center"/>
    </xf>
    <xf numFmtId="3" fontId="15" fillId="0" borderId="39" xfId="1" applyNumberFormat="1" applyFont="1" applyBorder="1" applyAlignment="1" applyProtection="1">
      <alignment vertical="center"/>
    </xf>
    <xf numFmtId="3" fontId="15" fillId="31" borderId="0" xfId="1" applyNumberFormat="1" applyFont="1" applyFill="1" applyBorder="1" applyAlignment="1" applyProtection="1">
      <alignment vertical="center"/>
      <protection locked="0"/>
    </xf>
    <xf numFmtId="4" fontId="15" fillId="31" borderId="40" xfId="1" applyNumberFormat="1" applyFont="1" applyFill="1" applyBorder="1" applyAlignment="1" applyProtection="1">
      <alignment vertical="center"/>
      <protection locked="0"/>
    </xf>
    <xf numFmtId="3" fontId="15" fillId="0" borderId="43" xfId="1" applyNumberFormat="1" applyFont="1" applyBorder="1" applyAlignment="1" applyProtection="1">
      <alignment vertical="center"/>
    </xf>
    <xf numFmtId="0" fontId="4" fillId="0" borderId="65" xfId="1" applyBorder="1" applyAlignment="1" applyProtection="1">
      <alignment vertical="center"/>
    </xf>
    <xf numFmtId="4" fontId="15" fillId="31" borderId="70" xfId="1" applyNumberFormat="1" applyFont="1" applyFill="1" applyBorder="1" applyAlignment="1" applyProtection="1">
      <alignment vertical="center"/>
      <protection locked="0"/>
    </xf>
    <xf numFmtId="0" fontId="15" fillId="0" borderId="0" xfId="1" applyFont="1" applyBorder="1" applyAlignment="1" applyProtection="1">
      <alignment horizontal="center" vertical="center"/>
    </xf>
    <xf numFmtId="0" fontId="15" fillId="0" borderId="19" xfId="1" applyFont="1" applyBorder="1" applyAlignment="1" applyProtection="1">
      <alignment horizontal="center" vertical="center"/>
    </xf>
    <xf numFmtId="0" fontId="15" fillId="0" borderId="2" xfId="1" applyFont="1" applyBorder="1" applyAlignment="1" applyProtection="1">
      <alignment horizontal="center" vertical="center"/>
    </xf>
    <xf numFmtId="0" fontId="15" fillId="0" borderId="61" xfId="1" applyFont="1" applyBorder="1" applyAlignment="1" applyProtection="1">
      <alignment horizontal="center" vertical="center"/>
    </xf>
    <xf numFmtId="0" fontId="85" fillId="0" borderId="0" xfId="1" applyFont="1" applyBorder="1" applyAlignment="1" applyProtection="1">
      <alignment horizontal="center" vertical="center"/>
    </xf>
    <xf numFmtId="0" fontId="85" fillId="0" borderId="19" xfId="1" applyFont="1" applyBorder="1" applyAlignment="1" applyProtection="1">
      <alignment horizontal="center" vertical="center"/>
    </xf>
    <xf numFmtId="0" fontId="85" fillId="0" borderId="0" xfId="1" applyFont="1" applyBorder="1" applyAlignment="1" applyProtection="1">
      <alignment horizontal="right" vertical="center"/>
    </xf>
    <xf numFmtId="185" fontId="4" fillId="0" borderId="36" xfId="1" applyNumberFormat="1" applyBorder="1" applyAlignment="1" applyProtection="1">
      <alignment horizontal="right" vertical="center"/>
    </xf>
    <xf numFmtId="185" fontId="4" fillId="0" borderId="23" xfId="1" applyNumberFormat="1" applyBorder="1" applyAlignment="1" applyProtection="1">
      <alignment horizontal="right" vertical="center"/>
    </xf>
    <xf numFmtId="2" fontId="55" fillId="0" borderId="0" xfId="1" applyNumberFormat="1" applyFont="1" applyBorder="1" applyAlignment="1" applyProtection="1">
      <alignment vertical="center"/>
    </xf>
    <xf numFmtId="2" fontId="55" fillId="0" borderId="19" xfId="1" applyNumberFormat="1" applyFont="1" applyBorder="1" applyAlignment="1" applyProtection="1">
      <alignment vertical="center"/>
    </xf>
    <xf numFmtId="3" fontId="55" fillId="0" borderId="68" xfId="1" applyNumberFormat="1" applyFont="1" applyBorder="1" applyAlignment="1" applyProtection="1">
      <alignment vertical="center"/>
    </xf>
    <xf numFmtId="3" fontId="55" fillId="0" borderId="69" xfId="1" applyNumberFormat="1" applyFont="1" applyBorder="1" applyAlignment="1" applyProtection="1">
      <alignment vertical="center"/>
    </xf>
    <xf numFmtId="3" fontId="55" fillId="0" borderId="70" xfId="1" applyNumberFormat="1" applyFont="1" applyBorder="1" applyAlignment="1" applyProtection="1">
      <alignment vertical="center"/>
    </xf>
    <xf numFmtId="3" fontId="55" fillId="0" borderId="83" xfId="1" applyNumberFormat="1" applyFont="1" applyBorder="1" applyAlignment="1" applyProtection="1">
      <alignment vertical="center"/>
    </xf>
    <xf numFmtId="185" fontId="4" fillId="0" borderId="65" xfId="1" applyNumberFormat="1" applyBorder="1" applyAlignment="1" applyProtection="1">
      <alignment horizontal="right" vertical="center"/>
    </xf>
    <xf numFmtId="3" fontId="15" fillId="0" borderId="61" xfId="1" applyNumberFormat="1" applyFont="1" applyBorder="1" applyAlignment="1" applyProtection="1">
      <alignment vertical="center"/>
    </xf>
    <xf numFmtId="3" fontId="15" fillId="0" borderId="62" xfId="1" applyNumberFormat="1" applyFont="1" applyBorder="1" applyAlignment="1" applyProtection="1">
      <alignment vertical="center"/>
    </xf>
    <xf numFmtId="3" fontId="15" fillId="0" borderId="63" xfId="1" applyNumberFormat="1" applyFont="1" applyBorder="1" applyAlignment="1" applyProtection="1">
      <alignment vertical="center"/>
    </xf>
    <xf numFmtId="3" fontId="15" fillId="31" borderId="80" xfId="1" applyNumberFormat="1" applyFont="1" applyFill="1" applyBorder="1" applyAlignment="1" applyProtection="1">
      <alignment vertical="center"/>
      <protection locked="0"/>
    </xf>
    <xf numFmtId="3" fontId="15" fillId="31" borderId="63" xfId="1" applyNumberFormat="1" applyFont="1" applyFill="1" applyBorder="1" applyAlignment="1" applyProtection="1">
      <alignment vertical="center"/>
      <protection locked="0"/>
    </xf>
    <xf numFmtId="3" fontId="15" fillId="0" borderId="68" xfId="1" applyNumberFormat="1" applyFont="1" applyBorder="1" applyAlignment="1" applyProtection="1">
      <alignment vertical="center"/>
    </xf>
    <xf numFmtId="3" fontId="15" fillId="0" borderId="69" xfId="1" applyNumberFormat="1" applyFont="1" applyBorder="1" applyAlignment="1" applyProtection="1">
      <alignment vertical="center"/>
    </xf>
    <xf numFmtId="3" fontId="15" fillId="0" borderId="70" xfId="1" applyNumberFormat="1" applyFont="1" applyBorder="1" applyAlignment="1" applyProtection="1">
      <alignment vertical="center"/>
    </xf>
    <xf numFmtId="3" fontId="15" fillId="31" borderId="83" xfId="1" applyNumberFormat="1" applyFont="1" applyFill="1" applyBorder="1" applyAlignment="1" applyProtection="1">
      <alignment vertical="center"/>
      <protection locked="0"/>
    </xf>
    <xf numFmtId="3" fontId="15" fillId="31" borderId="70" xfId="1" applyNumberFormat="1" applyFont="1" applyFill="1" applyBorder="1" applyAlignment="1" applyProtection="1">
      <alignment vertical="center"/>
      <protection locked="0"/>
    </xf>
    <xf numFmtId="0" fontId="15" fillId="0" borderId="25" xfId="1" applyFont="1" applyBorder="1" applyAlignment="1" applyProtection="1">
      <alignment horizontal="left" vertical="center"/>
    </xf>
    <xf numFmtId="0" fontId="15" fillId="0" borderId="34" xfId="1" applyFont="1" applyBorder="1" applyAlignment="1" applyProtection="1">
      <alignment horizontal="center" vertical="center"/>
    </xf>
    <xf numFmtId="0" fontId="15" fillId="0" borderId="80" xfId="1" applyFont="1" applyBorder="1" applyAlignment="1" applyProtection="1">
      <alignment horizontal="center" vertical="center"/>
    </xf>
    <xf numFmtId="0" fontId="85" fillId="0" borderId="25" xfId="1" applyFont="1" applyBorder="1" applyAlignment="1" applyProtection="1">
      <alignment horizontal="center" vertical="center"/>
    </xf>
    <xf numFmtId="10" fontId="15" fillId="31" borderId="65" xfId="1" applyNumberFormat="1" applyFont="1" applyFill="1" applyBorder="1" applyAlignment="1" applyProtection="1">
      <alignment horizontal="center" vertical="center"/>
      <protection locked="0"/>
    </xf>
    <xf numFmtId="10" fontId="15" fillId="0" borderId="66" xfId="1" applyNumberFormat="1" applyFont="1" applyFill="1" applyBorder="1" applyAlignment="1" applyProtection="1">
      <alignment horizontal="center" vertical="center"/>
    </xf>
    <xf numFmtId="0" fontId="85" fillId="0" borderId="67" xfId="1" applyFont="1" applyBorder="1" applyAlignment="1" applyProtection="1">
      <alignment horizontal="center" vertical="center"/>
    </xf>
    <xf numFmtId="0" fontId="85" fillId="0" borderId="42" xfId="1" applyFont="1" applyBorder="1" applyAlignment="1" applyProtection="1">
      <alignment horizontal="center" vertical="center"/>
    </xf>
    <xf numFmtId="0" fontId="85" fillId="0" borderId="23" xfId="1" applyFont="1" applyBorder="1" applyAlignment="1" applyProtection="1">
      <alignment horizontal="center" vertical="center"/>
    </xf>
    <xf numFmtId="0" fontId="85" fillId="0" borderId="43" xfId="1" applyFont="1" applyBorder="1" applyAlignment="1" applyProtection="1">
      <alignment horizontal="center" vertical="center"/>
    </xf>
    <xf numFmtId="0" fontId="85" fillId="0" borderId="69" xfId="1" applyFont="1" applyBorder="1" applyAlignment="1" applyProtection="1">
      <alignment horizontal="center" vertical="center"/>
    </xf>
    <xf numFmtId="0" fontId="85" fillId="0" borderId="70" xfId="1" applyFont="1" applyBorder="1" applyAlignment="1" applyProtection="1">
      <alignment horizontal="center" vertical="center"/>
    </xf>
    <xf numFmtId="0" fontId="5" fillId="0" borderId="36" xfId="1" applyFont="1" applyBorder="1" applyAlignment="1" applyProtection="1">
      <alignment horizontal="left" vertical="center"/>
    </xf>
    <xf numFmtId="0" fontId="20" fillId="4" borderId="0" xfId="1" applyFont="1" applyFill="1" applyBorder="1" applyAlignment="1" applyProtection="1">
      <alignment vertical="center"/>
    </xf>
    <xf numFmtId="0" fontId="20" fillId="4" borderId="40" xfId="1" applyFont="1" applyFill="1" applyBorder="1" applyAlignment="1" applyProtection="1">
      <alignment horizontal="right" vertical="center"/>
    </xf>
    <xf numFmtId="185" fontId="5" fillId="31" borderId="34" xfId="1" applyNumberFormat="1" applyFont="1" applyFill="1" applyBorder="1" applyAlignment="1" applyProtection="1">
      <alignment horizontal="right" vertical="center"/>
      <protection locked="0"/>
    </xf>
    <xf numFmtId="184" fontId="20" fillId="0" borderId="44" xfId="1" applyNumberFormat="1" applyFont="1" applyBorder="1" applyAlignment="1" applyProtection="1">
      <alignment horizontal="center" vertical="center"/>
    </xf>
    <xf numFmtId="0" fontId="15" fillId="0" borderId="39" xfId="1" applyFont="1" applyBorder="1" applyAlignment="1" applyProtection="1">
      <alignment horizontal="left" vertical="center"/>
    </xf>
    <xf numFmtId="3" fontId="15" fillId="31" borderId="77" xfId="1" applyNumberFormat="1" applyFont="1" applyFill="1" applyBorder="1" applyAlignment="1" applyProtection="1">
      <alignment horizontal="right" vertical="center"/>
      <protection locked="0"/>
    </xf>
    <xf numFmtId="0" fontId="15" fillId="0" borderId="77" xfId="1" applyFont="1" applyBorder="1" applyAlignment="1" applyProtection="1">
      <alignment vertical="center"/>
    </xf>
    <xf numFmtId="0" fontId="15" fillId="0" borderId="36" xfId="1" applyFont="1" applyBorder="1" applyAlignment="1" applyProtection="1">
      <alignment vertical="center"/>
    </xf>
    <xf numFmtId="0" fontId="15" fillId="0" borderId="23" xfId="1" applyFont="1" applyBorder="1" applyAlignment="1" applyProtection="1">
      <alignment vertical="center"/>
    </xf>
    <xf numFmtId="0" fontId="15" fillId="31" borderId="77" xfId="1" applyFont="1" applyFill="1" applyBorder="1" applyAlignment="1" applyProtection="1">
      <alignment horizontal="right" vertical="center"/>
      <protection locked="0"/>
    </xf>
    <xf numFmtId="0" fontId="15" fillId="4" borderId="0" xfId="1" applyFont="1" applyFill="1" applyBorder="1" applyAlignment="1" applyProtection="1">
      <alignment vertical="center"/>
    </xf>
    <xf numFmtId="0" fontId="20" fillId="4" borderId="40" xfId="1" applyFont="1" applyFill="1" applyBorder="1" applyAlignment="1" applyProtection="1">
      <alignment vertical="center"/>
    </xf>
    <xf numFmtId="0" fontId="70" fillId="4" borderId="40" xfId="1" applyFont="1" applyFill="1" applyBorder="1" applyAlignment="1" applyProtection="1">
      <alignment vertical="center"/>
    </xf>
    <xf numFmtId="2" fontId="13" fillId="0" borderId="0" xfId="1" applyNumberFormat="1" applyFont="1" applyBorder="1" applyAlignment="1" applyProtection="1">
      <alignment vertical="center"/>
    </xf>
    <xf numFmtId="2" fontId="13" fillId="0" borderId="0" xfId="1" applyNumberFormat="1" applyFont="1" applyBorder="1" applyAlignment="1" applyProtection="1">
      <alignment horizontal="right" vertical="center"/>
    </xf>
    <xf numFmtId="2" fontId="13" fillId="0" borderId="58" xfId="1" applyNumberFormat="1" applyFont="1" applyBorder="1" applyAlignment="1" applyProtection="1">
      <alignment vertical="center"/>
    </xf>
    <xf numFmtId="2" fontId="13" fillId="0" borderId="77" xfId="1" applyNumberFormat="1" applyFont="1" applyBorder="1" applyAlignment="1" applyProtection="1">
      <alignment vertical="center"/>
    </xf>
    <xf numFmtId="2" fontId="13" fillId="0" borderId="58" xfId="1" applyNumberFormat="1" applyFont="1" applyBorder="1" applyAlignment="1" applyProtection="1">
      <alignment horizontal="right" vertical="center"/>
    </xf>
    <xf numFmtId="2" fontId="13" fillId="0" borderId="77" xfId="1" applyNumberFormat="1" applyFont="1" applyBorder="1" applyAlignment="1" applyProtection="1">
      <alignment horizontal="right" vertical="center"/>
    </xf>
    <xf numFmtId="2" fontId="13" fillId="0" borderId="3" xfId="1" applyNumberFormat="1" applyFont="1" applyBorder="1" applyAlignment="1" applyProtection="1">
      <alignment vertical="center"/>
    </xf>
    <xf numFmtId="0" fontId="15" fillId="0" borderId="3" xfId="1" applyFont="1" applyBorder="1" applyAlignment="1" applyProtection="1">
      <alignment horizontal="center" vertical="center"/>
    </xf>
    <xf numFmtId="0" fontId="55" fillId="0" borderId="57" xfId="1" applyFont="1" applyBorder="1" applyAlignment="1" applyProtection="1">
      <alignment vertical="center"/>
    </xf>
    <xf numFmtId="0" fontId="15" fillId="0" borderId="0" xfId="1" applyFont="1" applyBorder="1" applyAlignment="1" applyProtection="1">
      <alignment horizontal="right" vertical="center"/>
    </xf>
    <xf numFmtId="2" fontId="55" fillId="0" borderId="58" xfId="1" applyNumberFormat="1" applyFont="1" applyBorder="1" applyAlignment="1" applyProtection="1">
      <alignment vertical="center"/>
    </xf>
    <xf numFmtId="2" fontId="55" fillId="0" borderId="77" xfId="1" applyNumberFormat="1" applyFont="1" applyBorder="1" applyAlignment="1" applyProtection="1">
      <alignment vertical="center"/>
    </xf>
    <xf numFmtId="2" fontId="55" fillId="0" borderId="58" xfId="1" applyNumberFormat="1" applyFont="1" applyBorder="1" applyAlignment="1" applyProtection="1">
      <alignment horizontal="right" vertical="center"/>
    </xf>
    <xf numFmtId="2" fontId="55" fillId="0" borderId="77" xfId="1" applyNumberFormat="1" applyFont="1" applyBorder="1" applyAlignment="1" applyProtection="1">
      <alignment horizontal="right" vertical="center"/>
    </xf>
    <xf numFmtId="2" fontId="55" fillId="0" borderId="3" xfId="1" applyNumberFormat="1" applyFont="1" applyBorder="1" applyAlignment="1" applyProtection="1">
      <alignment vertical="center"/>
    </xf>
    <xf numFmtId="2" fontId="15" fillId="0" borderId="44" xfId="1" applyNumberFormat="1" applyFont="1" applyBorder="1" applyAlignment="1" applyProtection="1">
      <alignment vertical="center"/>
    </xf>
    <xf numFmtId="2" fontId="15" fillId="0" borderId="39" xfId="1" applyNumberFormat="1" applyFont="1" applyBorder="1" applyAlignment="1" applyProtection="1">
      <alignment vertical="center"/>
    </xf>
    <xf numFmtId="2" fontId="15" fillId="0" borderId="44" xfId="1" applyNumberFormat="1" applyFont="1" applyBorder="1" applyAlignment="1" applyProtection="1">
      <alignment horizontal="right" vertical="center"/>
    </xf>
    <xf numFmtId="2" fontId="15" fillId="0" borderId="39" xfId="1" applyNumberFormat="1" applyFont="1" applyBorder="1" applyAlignment="1" applyProtection="1">
      <alignment horizontal="right" vertical="center"/>
    </xf>
    <xf numFmtId="2" fontId="15" fillId="0" borderId="34" xfId="1" applyNumberFormat="1" applyFont="1" applyBorder="1" applyAlignment="1" applyProtection="1">
      <alignment vertical="center"/>
    </xf>
    <xf numFmtId="0" fontId="15" fillId="0" borderId="44" xfId="1" applyFont="1" applyBorder="1" applyAlignment="1" applyProtection="1">
      <alignment vertical="center"/>
    </xf>
    <xf numFmtId="3" fontId="15" fillId="31" borderId="19" xfId="1" applyNumberFormat="1" applyFont="1" applyFill="1" applyBorder="1" applyAlignment="1" applyProtection="1">
      <alignment vertical="center"/>
      <protection locked="0"/>
    </xf>
    <xf numFmtId="3" fontId="15" fillId="31" borderId="40" xfId="1" applyNumberFormat="1" applyFont="1" applyFill="1" applyBorder="1" applyAlignment="1" applyProtection="1">
      <alignment vertical="center"/>
      <protection locked="0"/>
    </xf>
    <xf numFmtId="3" fontId="15" fillId="31" borderId="19" xfId="1" applyNumberFormat="1" applyFont="1" applyFill="1" applyBorder="1" applyAlignment="1" applyProtection="1">
      <alignment horizontal="left" vertical="center"/>
      <protection locked="0"/>
    </xf>
    <xf numFmtId="3" fontId="15" fillId="31" borderId="40" xfId="1" applyNumberFormat="1" applyFont="1" applyFill="1" applyBorder="1" applyAlignment="1" applyProtection="1">
      <alignment horizontal="left" vertical="center"/>
      <protection locked="0"/>
    </xf>
    <xf numFmtId="3" fontId="15" fillId="31" borderId="25" xfId="1" applyNumberFormat="1" applyFont="1" applyFill="1" applyBorder="1" applyAlignment="1" applyProtection="1">
      <alignment horizontal="left" vertical="center"/>
      <protection locked="0"/>
    </xf>
    <xf numFmtId="0" fontId="15" fillId="0" borderId="19" xfId="1" applyFont="1" applyBorder="1" applyAlignment="1" applyProtection="1">
      <alignment vertical="center"/>
    </xf>
    <xf numFmtId="0" fontId="15" fillId="0" borderId="42" xfId="1" applyFont="1" applyBorder="1" applyAlignment="1" applyProtection="1">
      <alignment vertical="center"/>
    </xf>
    <xf numFmtId="197" fontId="15" fillId="31" borderId="44" xfId="1" applyNumberFormat="1" applyFont="1" applyFill="1" applyBorder="1" applyAlignment="1" applyProtection="1">
      <alignment vertical="center"/>
      <protection locked="0"/>
    </xf>
    <xf numFmtId="0" fontId="15" fillId="0" borderId="42" xfId="1" applyFont="1" applyBorder="1" applyAlignment="1" applyProtection="1">
      <alignment horizontal="right" vertical="center"/>
    </xf>
    <xf numFmtId="0" fontId="15" fillId="0" borderId="23" xfId="1" applyFont="1" applyBorder="1" applyAlignment="1" applyProtection="1">
      <alignment horizontal="right" vertical="center"/>
    </xf>
    <xf numFmtId="0" fontId="15" fillId="31" borderId="44" xfId="1" applyFont="1" applyFill="1" applyBorder="1" applyAlignment="1" applyProtection="1">
      <alignment vertical="center"/>
      <protection locked="0"/>
    </xf>
    <xf numFmtId="0" fontId="15" fillId="31" borderId="39" xfId="1" applyFont="1" applyFill="1" applyBorder="1" applyAlignment="1" applyProtection="1">
      <alignment vertical="center"/>
      <protection locked="0"/>
    </xf>
    <xf numFmtId="0" fontId="15" fillId="31" borderId="44" xfId="1" applyFont="1" applyFill="1" applyBorder="1" applyAlignment="1" applyProtection="1">
      <alignment horizontal="right" vertical="center"/>
      <protection locked="0"/>
    </xf>
    <xf numFmtId="0" fontId="15" fillId="31" borderId="39" xfId="1" applyFont="1" applyFill="1" applyBorder="1" applyAlignment="1" applyProtection="1">
      <alignment horizontal="right" vertical="center"/>
      <protection locked="0"/>
    </xf>
    <xf numFmtId="0" fontId="15" fillId="31" borderId="34" xfId="1" applyFont="1" applyFill="1" applyBorder="1" applyAlignment="1" applyProtection="1">
      <alignment vertical="center"/>
      <protection locked="0"/>
    </xf>
    <xf numFmtId="2" fontId="15" fillId="31" borderId="44" xfId="1" applyNumberFormat="1" applyFont="1" applyFill="1" applyBorder="1" applyAlignment="1" applyProtection="1">
      <alignment vertical="center"/>
      <protection locked="0"/>
    </xf>
    <xf numFmtId="2" fontId="15" fillId="31" borderId="39" xfId="1" applyNumberFormat="1" applyFont="1" applyFill="1" applyBorder="1" applyAlignment="1" applyProtection="1">
      <alignment vertical="center"/>
      <protection locked="0"/>
    </xf>
    <xf numFmtId="2" fontId="15" fillId="31" borderId="44" xfId="1" applyNumberFormat="1" applyFont="1" applyFill="1" applyBorder="1" applyAlignment="1" applyProtection="1">
      <alignment horizontal="right" vertical="center"/>
      <protection locked="0"/>
    </xf>
    <xf numFmtId="2" fontId="15" fillId="31" borderId="39" xfId="1" applyNumberFormat="1" applyFont="1" applyFill="1" applyBorder="1" applyAlignment="1" applyProtection="1">
      <alignment horizontal="right" vertical="center"/>
      <protection locked="0"/>
    </xf>
    <xf numFmtId="2" fontId="15" fillId="31" borderId="34" xfId="1" applyNumberFormat="1" applyFont="1" applyFill="1" applyBorder="1" applyAlignment="1" applyProtection="1">
      <alignment vertical="center"/>
      <protection locked="0"/>
    </xf>
    <xf numFmtId="0" fontId="55" fillId="0" borderId="40" xfId="1" applyFont="1" applyBorder="1" applyAlignment="1" applyProtection="1">
      <alignment vertical="center"/>
    </xf>
    <xf numFmtId="2" fontId="55" fillId="0" borderId="44" xfId="1" applyNumberFormat="1" applyFont="1" applyBorder="1" applyAlignment="1" applyProtection="1">
      <alignment vertical="center"/>
    </xf>
    <xf numFmtId="2" fontId="55" fillId="0" borderId="39" xfId="1" applyNumberFormat="1" applyFont="1" applyBorder="1" applyAlignment="1" applyProtection="1">
      <alignment vertical="center"/>
    </xf>
    <xf numFmtId="2" fontId="55" fillId="0" borderId="44" xfId="1" applyNumberFormat="1" applyFont="1" applyBorder="1" applyAlignment="1" applyProtection="1">
      <alignment horizontal="right" vertical="center"/>
    </xf>
    <xf numFmtId="2" fontId="55" fillId="0" borderId="39" xfId="1" applyNumberFormat="1" applyFont="1" applyBorder="1" applyAlignment="1" applyProtection="1">
      <alignment horizontal="right" vertical="center"/>
    </xf>
    <xf numFmtId="2" fontId="55" fillId="0" borderId="34" xfId="1" applyNumberFormat="1" applyFont="1" applyBorder="1" applyAlignment="1" applyProtection="1">
      <alignment vertical="center"/>
    </xf>
    <xf numFmtId="0" fontId="55" fillId="0" borderId="39" xfId="1" applyFont="1" applyBorder="1" applyAlignment="1" applyProtection="1">
      <alignment vertical="center"/>
    </xf>
    <xf numFmtId="3" fontId="55" fillId="0" borderId="42" xfId="1" applyNumberFormat="1" applyFont="1" applyBorder="1" applyAlignment="1" applyProtection="1">
      <alignment vertical="center"/>
    </xf>
    <xf numFmtId="3" fontId="55" fillId="0" borderId="42" xfId="1" applyNumberFormat="1" applyFont="1" applyBorder="1" applyAlignment="1" applyProtection="1">
      <alignment horizontal="right" vertical="center"/>
    </xf>
    <xf numFmtId="3" fontId="55" fillId="0" borderId="43" xfId="1" applyNumberFormat="1" applyFont="1" applyBorder="1" applyAlignment="1" applyProtection="1">
      <alignment horizontal="right" vertical="center"/>
    </xf>
    <xf numFmtId="3" fontId="55" fillId="0" borderId="36" xfId="1" applyNumberFormat="1" applyFont="1" applyBorder="1" applyAlignment="1" applyProtection="1">
      <alignment vertical="center"/>
    </xf>
    <xf numFmtId="0" fontId="15" fillId="0" borderId="36" xfId="1" applyFont="1" applyBorder="1" applyAlignment="1" applyProtection="1">
      <alignment horizontal="center" vertical="center"/>
    </xf>
    <xf numFmtId="0" fontId="55" fillId="0" borderId="42" xfId="1" applyFont="1" applyBorder="1" applyAlignment="1" applyProtection="1">
      <alignment vertical="center"/>
    </xf>
    <xf numFmtId="3" fontId="15" fillId="0" borderId="44" xfId="1" applyNumberFormat="1" applyFont="1" applyBorder="1" applyAlignment="1" applyProtection="1">
      <alignment vertical="center"/>
    </xf>
    <xf numFmtId="3" fontId="15" fillId="0" borderId="44" xfId="1" applyNumberFormat="1" applyFont="1" applyBorder="1" applyAlignment="1" applyProtection="1">
      <alignment horizontal="right" vertical="center"/>
    </xf>
    <xf numFmtId="3" fontId="15" fillId="0" borderId="39" xfId="1" applyNumberFormat="1" applyFont="1" applyBorder="1" applyAlignment="1" applyProtection="1">
      <alignment horizontal="right" vertical="center"/>
    </xf>
    <xf numFmtId="3" fontId="15" fillId="0" borderId="34" xfId="1" applyNumberFormat="1" applyFont="1" applyBorder="1" applyAlignment="1" applyProtection="1">
      <alignment vertical="center"/>
    </xf>
    <xf numFmtId="184" fontId="15" fillId="0" borderId="44" xfId="61" applyNumberFormat="1" applyFont="1" applyFill="1" applyBorder="1" applyAlignment="1" applyProtection="1">
      <alignment vertical="center"/>
    </xf>
    <xf numFmtId="3" fontId="15" fillId="0" borderId="42" xfId="1" applyNumberFormat="1" applyFont="1" applyBorder="1" applyAlignment="1" applyProtection="1">
      <alignment vertical="center"/>
    </xf>
    <xf numFmtId="3" fontId="15" fillId="0" borderId="42" xfId="1" applyNumberFormat="1" applyFont="1" applyBorder="1" applyAlignment="1" applyProtection="1">
      <alignment horizontal="right" vertical="center"/>
    </xf>
    <xf numFmtId="3" fontId="15" fillId="0" borderId="43" xfId="1" applyNumberFormat="1" applyFont="1" applyBorder="1" applyAlignment="1" applyProtection="1">
      <alignment horizontal="right" vertical="center"/>
    </xf>
    <xf numFmtId="3" fontId="15" fillId="0" borderId="25" xfId="1" applyNumberFormat="1" applyFont="1" applyBorder="1" applyAlignment="1" applyProtection="1">
      <alignment vertical="center"/>
    </xf>
    <xf numFmtId="184" fontId="15" fillId="31" borderId="19" xfId="61" applyNumberFormat="1" applyFont="1" applyFill="1" applyBorder="1" applyAlignment="1" applyProtection="1">
      <alignment vertical="center"/>
      <protection locked="0"/>
    </xf>
    <xf numFmtId="3" fontId="15" fillId="0" borderId="58" xfId="1" applyNumberFormat="1" applyFont="1" applyBorder="1" applyAlignment="1" applyProtection="1">
      <alignment vertical="center"/>
    </xf>
    <xf numFmtId="3" fontId="15" fillId="0" borderId="77" xfId="1" applyNumberFormat="1" applyFont="1" applyBorder="1" applyAlignment="1" applyProtection="1">
      <alignment vertical="center"/>
    </xf>
    <xf numFmtId="3" fontId="15" fillId="0" borderId="58" xfId="1" applyNumberFormat="1" applyFont="1" applyBorder="1" applyAlignment="1" applyProtection="1">
      <alignment horizontal="right" vertical="center"/>
    </xf>
    <xf numFmtId="3" fontId="15" fillId="0" borderId="77" xfId="1" applyNumberFormat="1" applyFont="1" applyBorder="1" applyAlignment="1" applyProtection="1">
      <alignment horizontal="right" vertical="center"/>
    </xf>
    <xf numFmtId="3" fontId="15" fillId="0" borderId="3" xfId="1" applyNumberFormat="1" applyFont="1" applyBorder="1" applyAlignment="1" applyProtection="1">
      <alignment vertical="center"/>
    </xf>
    <xf numFmtId="3" fontId="15" fillId="31" borderId="44" xfId="1" applyNumberFormat="1" applyFont="1" applyFill="1" applyBorder="1" applyAlignment="1" applyProtection="1">
      <alignment vertical="center"/>
      <protection locked="0"/>
    </xf>
    <xf numFmtId="3" fontId="15" fillId="31" borderId="39" xfId="1" applyNumberFormat="1" applyFont="1" applyFill="1" applyBorder="1" applyAlignment="1" applyProtection="1">
      <alignment vertical="center"/>
      <protection locked="0"/>
    </xf>
    <xf numFmtId="3" fontId="15" fillId="31" borderId="44" xfId="1" applyNumberFormat="1" applyFont="1" applyFill="1" applyBorder="1" applyAlignment="1" applyProtection="1">
      <alignment horizontal="right" vertical="center"/>
      <protection locked="0"/>
    </xf>
    <xf numFmtId="3" fontId="15" fillId="31" borderId="39" xfId="1" applyNumberFormat="1" applyFont="1" applyFill="1" applyBorder="1" applyAlignment="1" applyProtection="1">
      <alignment horizontal="right" vertical="center"/>
      <protection locked="0"/>
    </xf>
    <xf numFmtId="3" fontId="15" fillId="31" borderId="25" xfId="1" applyNumberFormat="1" applyFont="1" applyFill="1" applyBorder="1" applyAlignment="1" applyProtection="1">
      <alignment vertical="center"/>
      <protection locked="0"/>
    </xf>
    <xf numFmtId="3" fontId="15" fillId="0" borderId="19" xfId="1" applyNumberFormat="1" applyFont="1" applyBorder="1" applyAlignment="1" applyProtection="1">
      <alignment vertical="center"/>
    </xf>
    <xf numFmtId="3" fontId="15" fillId="0" borderId="40" xfId="1" applyNumberFormat="1" applyFont="1" applyBorder="1" applyAlignment="1" applyProtection="1">
      <alignment vertical="center"/>
    </xf>
    <xf numFmtId="3" fontId="15" fillId="0" borderId="19" xfId="1" applyNumberFormat="1" applyFont="1" applyBorder="1" applyAlignment="1" applyProtection="1">
      <alignment horizontal="right" vertical="center"/>
    </xf>
    <xf numFmtId="3" fontId="15" fillId="0" borderId="40" xfId="1" applyNumberFormat="1" applyFont="1" applyBorder="1" applyAlignment="1" applyProtection="1">
      <alignment horizontal="right" vertical="center"/>
    </xf>
    <xf numFmtId="198" fontId="15" fillId="31" borderId="19" xfId="1" applyNumberFormat="1" applyFont="1" applyFill="1" applyBorder="1" applyAlignment="1" applyProtection="1">
      <alignment vertical="center"/>
      <protection locked="0"/>
    </xf>
    <xf numFmtId="0" fontId="15" fillId="0" borderId="23" xfId="1" applyFont="1" applyBorder="1" applyAlignment="1" applyProtection="1">
      <alignment horizontal="center" vertical="center"/>
    </xf>
    <xf numFmtId="0" fontId="46" fillId="0" borderId="0" xfId="1" applyFont="1" applyAlignment="1" applyProtection="1">
      <alignment vertical="center"/>
    </xf>
    <xf numFmtId="0" fontId="15" fillId="0" borderId="34" xfId="1" applyFont="1" applyBorder="1" applyAlignment="1" applyProtection="1">
      <alignment vertical="center"/>
    </xf>
    <xf numFmtId="0" fontId="15" fillId="0" borderId="44" xfId="1" applyFont="1" applyBorder="1" applyAlignment="1" applyProtection="1">
      <alignment horizontal="right" vertical="center"/>
    </xf>
    <xf numFmtId="0" fontId="15" fillId="0" borderId="43" xfId="1" applyFont="1" applyBorder="1" applyAlignment="1" applyProtection="1">
      <alignment vertical="center"/>
    </xf>
    <xf numFmtId="0" fontId="70" fillId="0" borderId="43" xfId="1" applyFont="1" applyBorder="1" applyAlignment="1" applyProtection="1">
      <alignment vertical="center"/>
    </xf>
    <xf numFmtId="0" fontId="104" fillId="0" borderId="0" xfId="55" applyFont="1">
      <alignment horizontal="center"/>
    </xf>
    <xf numFmtId="0" fontId="4" fillId="31" borderId="44" xfId="1" applyFill="1" applyBorder="1" applyAlignment="1" applyProtection="1">
      <alignment vertical="center"/>
      <protection locked="0"/>
    </xf>
    <xf numFmtId="0" fontId="15" fillId="31" borderId="2" xfId="1" applyFont="1" applyFill="1" applyBorder="1" applyAlignment="1" applyProtection="1">
      <alignment vertical="center"/>
      <protection locked="0"/>
    </xf>
    <xf numFmtId="0" fontId="104" fillId="0" borderId="34" xfId="55" applyFont="1" applyBorder="1">
      <alignment horizontal="center"/>
    </xf>
    <xf numFmtId="0" fontId="15" fillId="31" borderId="0" xfId="1" applyFont="1" applyFill="1" applyBorder="1" applyAlignment="1" applyProtection="1">
      <alignment vertical="center"/>
      <protection locked="0"/>
    </xf>
    <xf numFmtId="0" fontId="104" fillId="0" borderId="25" xfId="55" applyFont="1" applyBorder="1">
      <alignment horizontal="center"/>
    </xf>
    <xf numFmtId="0" fontId="4" fillId="4" borderId="19" xfId="1" applyFill="1" applyBorder="1" applyAlignment="1" applyProtection="1">
      <alignment vertical="center"/>
    </xf>
    <xf numFmtId="0" fontId="15" fillId="4" borderId="40" xfId="1" applyFont="1" applyFill="1" applyBorder="1" applyAlignment="1" applyProtection="1">
      <alignment vertical="center"/>
    </xf>
    <xf numFmtId="0" fontId="15" fillId="4" borderId="44" xfId="1" applyFont="1" applyFill="1" applyBorder="1" applyAlignment="1" applyProtection="1">
      <alignment vertical="center"/>
    </xf>
    <xf numFmtId="0" fontId="15" fillId="4" borderId="2" xfId="1" applyFont="1" applyFill="1" applyBorder="1" applyAlignment="1" applyProtection="1">
      <alignment horizontal="right" vertical="center"/>
    </xf>
    <xf numFmtId="0" fontId="4" fillId="0" borderId="25" xfId="1" applyBorder="1"/>
    <xf numFmtId="0" fontId="15" fillId="4" borderId="39" xfId="1" applyFont="1" applyFill="1" applyBorder="1" applyAlignment="1" applyProtection="1">
      <alignment horizontal="right" vertical="center"/>
    </xf>
    <xf numFmtId="0" fontId="15" fillId="4" borderId="42" xfId="1" applyFont="1" applyFill="1" applyBorder="1" applyAlignment="1" applyProtection="1">
      <alignment vertical="center"/>
    </xf>
    <xf numFmtId="0" fontId="55" fillId="4" borderId="23" xfId="1" applyFont="1" applyFill="1" applyBorder="1" applyAlignment="1" applyProtection="1">
      <alignment horizontal="left" vertical="center"/>
    </xf>
    <xf numFmtId="0" fontId="4" fillId="0" borderId="36" xfId="1" applyBorder="1"/>
    <xf numFmtId="0" fontId="55" fillId="4" borderId="43" xfId="1" applyFont="1" applyFill="1" applyBorder="1" applyAlignment="1" applyProtection="1">
      <alignment horizontal="left" vertical="center"/>
    </xf>
    <xf numFmtId="0" fontId="20" fillId="4" borderId="40" xfId="1" applyFont="1" applyFill="1" applyBorder="1" applyAlignment="1" applyProtection="1">
      <alignment horizontal="left" vertical="center"/>
    </xf>
    <xf numFmtId="0" fontId="4" fillId="4" borderId="23" xfId="1" applyFill="1" applyBorder="1" applyAlignment="1" applyProtection="1">
      <alignment vertical="center"/>
    </xf>
    <xf numFmtId="171" fontId="13" fillId="0" borderId="0" xfId="1" applyNumberFormat="1" applyFont="1" applyBorder="1" applyAlignment="1" applyProtection="1">
      <alignment vertical="center"/>
    </xf>
    <xf numFmtId="185" fontId="13" fillId="0" borderId="0" xfId="1" applyNumberFormat="1" applyFont="1" applyBorder="1" applyAlignment="1" applyProtection="1">
      <alignment vertical="center"/>
    </xf>
    <xf numFmtId="171" fontId="13" fillId="0" borderId="3" xfId="1" applyNumberFormat="1" applyFont="1" applyBorder="1" applyAlignment="1" applyProtection="1">
      <alignment vertical="center"/>
    </xf>
    <xf numFmtId="185" fontId="13" fillId="0" borderId="57" xfId="1" applyNumberFormat="1" applyFont="1" applyBorder="1" applyAlignment="1" applyProtection="1">
      <alignment vertical="center"/>
    </xf>
    <xf numFmtId="185" fontId="13" fillId="0" borderId="77" xfId="1" applyNumberFormat="1" applyFont="1" applyBorder="1" applyAlignment="1" applyProtection="1">
      <alignment vertical="center"/>
    </xf>
    <xf numFmtId="171" fontId="15" fillId="31" borderId="19" xfId="1" applyNumberFormat="1" applyFont="1" applyFill="1" applyBorder="1" applyAlignment="1" applyProtection="1">
      <alignment vertical="center"/>
      <protection locked="0"/>
    </xf>
    <xf numFmtId="185" fontId="15" fillId="0" borderId="25" xfId="1" applyNumberFormat="1" applyFont="1" applyBorder="1" applyAlignment="1" applyProtection="1">
      <alignment vertical="center"/>
    </xf>
    <xf numFmtId="185" fontId="15" fillId="0" borderId="0" xfId="1" applyNumberFormat="1" applyFont="1" applyBorder="1" applyAlignment="1" applyProtection="1">
      <alignment vertical="center"/>
    </xf>
    <xf numFmtId="185" fontId="15" fillId="0" borderId="40" xfId="1" applyNumberFormat="1" applyFont="1" applyBorder="1" applyAlignment="1" applyProtection="1">
      <alignment vertical="center"/>
    </xf>
    <xf numFmtId="185" fontId="55" fillId="0" borderId="40" xfId="1" applyNumberFormat="1" applyFont="1" applyBorder="1" applyAlignment="1" applyProtection="1">
      <alignment vertical="center"/>
    </xf>
    <xf numFmtId="171" fontId="15" fillId="0" borderId="19" xfId="1" applyNumberFormat="1" applyFont="1" applyBorder="1" applyAlignment="1" applyProtection="1">
      <alignment vertical="center"/>
    </xf>
    <xf numFmtId="185" fontId="15" fillId="0" borderId="43" xfId="1" applyNumberFormat="1" applyFont="1" applyBorder="1" applyAlignment="1" applyProtection="1">
      <alignment vertical="center"/>
    </xf>
    <xf numFmtId="171" fontId="15" fillId="0" borderId="44" xfId="1" applyNumberFormat="1" applyFont="1" applyBorder="1" applyAlignment="1" applyProtection="1">
      <alignment vertical="center"/>
    </xf>
    <xf numFmtId="185" fontId="15" fillId="31" borderId="34" xfId="1" applyNumberFormat="1" applyFont="1" applyFill="1" applyBorder="1" applyAlignment="1" applyProtection="1">
      <alignment vertical="center"/>
      <protection locked="0"/>
    </xf>
    <xf numFmtId="187" fontId="15" fillId="31" borderId="2" xfId="1" applyNumberFormat="1" applyFont="1" applyFill="1" applyBorder="1" applyAlignment="1" applyProtection="1">
      <alignment vertical="center"/>
      <protection locked="0"/>
    </xf>
    <xf numFmtId="185" fontId="15" fillId="0" borderId="39" xfId="1" applyNumberFormat="1" applyFont="1" applyBorder="1" applyAlignment="1" applyProtection="1">
      <alignment vertical="center"/>
    </xf>
    <xf numFmtId="185" fontId="15" fillId="0" borderId="2" xfId="1" applyNumberFormat="1" applyFont="1" applyBorder="1" applyAlignment="1" applyProtection="1">
      <alignment vertical="center"/>
    </xf>
    <xf numFmtId="185" fontId="55" fillId="0" borderId="39" xfId="1" applyNumberFormat="1" applyFont="1" applyBorder="1" applyAlignment="1" applyProtection="1">
      <alignment vertical="center"/>
    </xf>
    <xf numFmtId="171" fontId="15" fillId="0" borderId="19" xfId="1" applyNumberFormat="1" applyFont="1" applyBorder="1" applyAlignment="1" applyProtection="1">
      <alignment horizontal="center" vertical="center"/>
    </xf>
    <xf numFmtId="185" fontId="15" fillId="0" borderId="25" xfId="1" applyNumberFormat="1" applyFont="1" applyBorder="1" applyAlignment="1" applyProtection="1">
      <alignment horizontal="center" vertical="center"/>
    </xf>
    <xf numFmtId="185" fontId="15" fillId="0" borderId="0" xfId="1" applyNumberFormat="1" applyFont="1" applyBorder="1" applyAlignment="1" applyProtection="1">
      <alignment horizontal="center" vertical="center"/>
    </xf>
    <xf numFmtId="187" fontId="15" fillId="0" borderId="44" xfId="1" applyNumberFormat="1" applyFont="1" applyBorder="1" applyAlignment="1" applyProtection="1">
      <alignment vertical="center"/>
    </xf>
    <xf numFmtId="187" fontId="15" fillId="31" borderId="39" xfId="1" applyNumberFormat="1" applyFont="1" applyFill="1" applyBorder="1" applyAlignment="1" applyProtection="1">
      <alignment vertical="center"/>
      <protection locked="0"/>
    </xf>
    <xf numFmtId="187" fontId="15" fillId="31" borderId="34" xfId="1" applyNumberFormat="1" applyFont="1" applyFill="1" applyBorder="1" applyAlignment="1" applyProtection="1">
      <alignment vertical="center"/>
      <protection locked="0"/>
    </xf>
    <xf numFmtId="185" fontId="15" fillId="0" borderId="39" xfId="1" applyNumberFormat="1" applyFont="1" applyBorder="1" applyAlignment="1" applyProtection="1">
      <alignment horizontal="center" vertical="center"/>
    </xf>
    <xf numFmtId="185" fontId="15" fillId="31" borderId="25" xfId="1" applyNumberFormat="1" applyFont="1" applyFill="1" applyBorder="1" applyAlignment="1" applyProtection="1">
      <alignment vertical="center"/>
      <protection locked="0"/>
    </xf>
    <xf numFmtId="187" fontId="15" fillId="0" borderId="19" xfId="1" applyNumberFormat="1" applyFont="1" applyBorder="1" applyAlignment="1" applyProtection="1">
      <alignment vertical="center"/>
    </xf>
    <xf numFmtId="187" fontId="15" fillId="31" borderId="40" xfId="1" applyNumberFormat="1" applyFont="1" applyFill="1" applyBorder="1" applyAlignment="1" applyProtection="1">
      <alignment vertical="center"/>
      <protection locked="0"/>
    </xf>
    <xf numFmtId="187" fontId="15" fillId="31" borderId="25" xfId="1" applyNumberFormat="1" applyFont="1" applyFill="1" applyBorder="1" applyAlignment="1" applyProtection="1">
      <alignment vertical="center"/>
      <protection locked="0"/>
    </xf>
    <xf numFmtId="185" fontId="15" fillId="0" borderId="40" xfId="1" applyNumberFormat="1" applyFont="1" applyBorder="1" applyAlignment="1" applyProtection="1">
      <alignment horizontal="center" vertical="center"/>
    </xf>
    <xf numFmtId="185" fontId="15" fillId="0" borderId="90" xfId="1" applyNumberFormat="1" applyFont="1" applyBorder="1" applyAlignment="1" applyProtection="1">
      <alignment horizontal="center" vertical="center"/>
    </xf>
    <xf numFmtId="185" fontId="15" fillId="0" borderId="27" xfId="1" applyNumberFormat="1" applyFont="1" applyBorder="1" applyAlignment="1" applyProtection="1">
      <alignment horizontal="center" vertical="center"/>
    </xf>
    <xf numFmtId="185" fontId="15" fillId="0" borderId="92" xfId="1" applyNumberFormat="1" applyFont="1" applyBorder="1" applyAlignment="1" applyProtection="1">
      <alignment horizontal="center" vertical="center"/>
    </xf>
    <xf numFmtId="185" fontId="15" fillId="0" borderId="91" xfId="1" applyNumberFormat="1" applyFont="1" applyBorder="1" applyAlignment="1" applyProtection="1">
      <alignment vertical="center"/>
    </xf>
    <xf numFmtId="185" fontId="105" fillId="0" borderId="0" xfId="1" applyNumberFormat="1" applyFont="1" applyBorder="1" applyAlignment="1" applyProtection="1">
      <alignment vertical="top"/>
    </xf>
    <xf numFmtId="185" fontId="15" fillId="0" borderId="92" xfId="1" applyNumberFormat="1" applyFont="1" applyBorder="1" applyAlignment="1" applyProtection="1">
      <alignment vertical="center"/>
    </xf>
    <xf numFmtId="185" fontId="64" fillId="0" borderId="19" xfId="1" applyNumberFormat="1" applyFont="1" applyBorder="1" applyAlignment="1" applyProtection="1">
      <alignment horizontal="center" vertical="top"/>
    </xf>
    <xf numFmtId="185" fontId="64" fillId="0" borderId="25" xfId="1" applyNumberFormat="1" applyFont="1" applyBorder="1" applyAlignment="1" applyProtection="1">
      <alignment horizontal="center" vertical="top"/>
    </xf>
    <xf numFmtId="185" fontId="15" fillId="0" borderId="42" xfId="1" applyNumberFormat="1" applyFont="1" applyBorder="1" applyAlignment="1" applyProtection="1">
      <alignment vertical="center"/>
    </xf>
    <xf numFmtId="185" fontId="15" fillId="0" borderId="36" xfId="1" applyNumberFormat="1" applyFont="1" applyBorder="1" applyAlignment="1" applyProtection="1">
      <alignment vertical="center"/>
    </xf>
    <xf numFmtId="185" fontId="15" fillId="0" borderId="23" xfId="1" applyNumberFormat="1" applyFont="1" applyBorder="1" applyAlignment="1" applyProtection="1">
      <alignment vertical="center"/>
    </xf>
    <xf numFmtId="185" fontId="55" fillId="0" borderId="43" xfId="1" applyNumberFormat="1" applyFont="1" applyBorder="1" applyAlignment="1" applyProtection="1">
      <alignment vertical="center"/>
    </xf>
    <xf numFmtId="185" fontId="4" fillId="0" borderId="0" xfId="1" applyNumberFormat="1" applyBorder="1" applyAlignment="1" applyProtection="1">
      <alignment vertical="center"/>
    </xf>
    <xf numFmtId="0" fontId="13" fillId="31" borderId="0" xfId="1" applyFont="1" applyFill="1" applyBorder="1" applyAlignment="1" applyProtection="1">
      <alignment horizontal="left" vertical="center"/>
    </xf>
    <xf numFmtId="185" fontId="4" fillId="0" borderId="0" xfId="1" applyNumberFormat="1" applyAlignment="1" applyProtection="1">
      <alignment vertical="center"/>
    </xf>
    <xf numFmtId="185" fontId="4" fillId="0" borderId="23" xfId="1" applyNumberFormat="1" applyBorder="1" applyAlignment="1" applyProtection="1">
      <alignment vertical="center"/>
    </xf>
    <xf numFmtId="0" fontId="70" fillId="0" borderId="43" xfId="1" applyFont="1" applyBorder="1" applyAlignment="1" applyProtection="1">
      <alignment horizontal="left" vertical="center"/>
    </xf>
    <xf numFmtId="49" fontId="81" fillId="0" borderId="44" xfId="1" applyNumberFormat="1" applyFont="1" applyBorder="1" applyAlignment="1" applyProtection="1">
      <alignment horizontal="left" vertical="center"/>
    </xf>
    <xf numFmtId="4" fontId="15" fillId="31" borderId="39" xfId="95" applyNumberFormat="1" applyFont="1" applyFill="1" applyBorder="1" applyAlignment="1" applyProtection="1">
      <alignment horizontal="right" vertical="center"/>
      <protection locked="0"/>
    </xf>
    <xf numFmtId="0" fontId="15" fillId="0" borderId="2" xfId="1" applyFont="1" applyBorder="1" applyAlignment="1" applyProtection="1">
      <alignment horizontal="right" vertical="center"/>
    </xf>
    <xf numFmtId="49" fontId="15" fillId="0" borderId="19" xfId="1" applyNumberFormat="1" applyFont="1" applyBorder="1" applyAlignment="1" applyProtection="1">
      <alignment horizontal="right" vertical="center"/>
    </xf>
    <xf numFmtId="4" fontId="15" fillId="31" borderId="40" xfId="1" applyNumberFormat="1" applyFont="1" applyFill="1" applyBorder="1" applyAlignment="1" applyProtection="1">
      <alignment horizontal="right" vertical="center"/>
      <protection locked="0"/>
    </xf>
    <xf numFmtId="0" fontId="15" fillId="31" borderId="40" xfId="1" applyFont="1" applyFill="1" applyBorder="1" applyAlignment="1" applyProtection="1">
      <alignment vertical="center"/>
      <protection locked="0"/>
    </xf>
    <xf numFmtId="0" fontId="15" fillId="0" borderId="34" xfId="95" applyFont="1" applyBorder="1" applyAlignment="1" applyProtection="1">
      <alignment horizontal="right" vertical="center"/>
    </xf>
    <xf numFmtId="49" fontId="15" fillId="0" borderId="39" xfId="1" applyNumberFormat="1" applyFont="1" applyBorder="1" applyAlignment="1" applyProtection="1">
      <alignment horizontal="left" vertical="center" indent="1"/>
    </xf>
    <xf numFmtId="174" fontId="15" fillId="0" borderId="39" xfId="95" applyNumberFormat="1" applyFont="1" applyBorder="1" applyAlignment="1" applyProtection="1">
      <alignment horizontal="right" vertical="center"/>
    </xf>
    <xf numFmtId="0" fontId="15" fillId="0" borderId="25" xfId="95" applyFont="1" applyBorder="1" applyAlignment="1" applyProtection="1">
      <alignment horizontal="right" vertical="center"/>
    </xf>
    <xf numFmtId="49" fontId="15" fillId="0" borderId="40" xfId="1" applyNumberFormat="1" applyFont="1" applyBorder="1" applyAlignment="1" applyProtection="1">
      <alignment horizontal="left" vertical="center" indent="1"/>
    </xf>
    <xf numFmtId="174" fontId="15" fillId="0" borderId="40" xfId="95" applyNumberFormat="1" applyFont="1" applyBorder="1" applyAlignment="1" applyProtection="1">
      <alignment horizontal="right" vertical="center"/>
    </xf>
    <xf numFmtId="49" fontId="15" fillId="0" borderId="38" xfId="95" applyNumberFormat="1" applyFont="1" applyBorder="1" applyAlignment="1" applyProtection="1">
      <alignment horizontal="right" vertical="center"/>
    </xf>
    <xf numFmtId="0" fontId="15" fillId="0" borderId="38" xfId="95" applyFont="1" applyBorder="1" applyAlignment="1" applyProtection="1">
      <alignment horizontal="right" vertical="center"/>
    </xf>
    <xf numFmtId="49" fontId="15" fillId="0" borderId="100" xfId="1" applyNumberFormat="1" applyFont="1" applyBorder="1" applyAlignment="1" applyProtection="1">
      <alignment horizontal="left" vertical="center" indent="1"/>
    </xf>
    <xf numFmtId="174" fontId="15" fillId="0" borderId="100" xfId="95" applyNumberFormat="1" applyFont="1" applyBorder="1" applyAlignment="1" applyProtection="1">
      <alignment horizontal="right" vertical="center"/>
    </xf>
    <xf numFmtId="0" fontId="15" fillId="0" borderId="104" xfId="1" applyFont="1" applyBorder="1" applyAlignment="1" applyProtection="1">
      <alignment vertical="center"/>
    </xf>
    <xf numFmtId="0" fontId="15" fillId="0" borderId="100" xfId="1" applyFont="1" applyBorder="1" applyAlignment="1" applyProtection="1">
      <alignment vertical="center"/>
    </xf>
    <xf numFmtId="49" fontId="15" fillId="0" borderId="92" xfId="1" applyNumberFormat="1" applyFont="1" applyBorder="1" applyAlignment="1" applyProtection="1">
      <alignment horizontal="left" vertical="center" indent="1"/>
    </xf>
    <xf numFmtId="49" fontId="15" fillId="0" borderId="40" xfId="95" applyNumberFormat="1" applyFont="1" applyBorder="1" applyAlignment="1" applyProtection="1">
      <alignment horizontal="right" vertical="center"/>
    </xf>
    <xf numFmtId="49" fontId="81" fillId="0" borderId="19" xfId="1" applyNumberFormat="1" applyFont="1" applyBorder="1" applyAlignment="1" applyProtection="1">
      <alignment horizontal="left" vertical="center"/>
    </xf>
    <xf numFmtId="49" fontId="15" fillId="0" borderId="100" xfId="95" applyNumberFormat="1" applyFont="1" applyBorder="1" applyAlignment="1" applyProtection="1">
      <alignment horizontal="right" vertical="center"/>
    </xf>
    <xf numFmtId="0" fontId="15" fillId="0" borderId="36" xfId="95" applyFont="1" applyBorder="1" applyAlignment="1" applyProtection="1">
      <alignment horizontal="right" vertical="center"/>
    </xf>
    <xf numFmtId="49" fontId="15" fillId="0" borderId="43" xfId="1" applyNumberFormat="1" applyFont="1" applyBorder="1" applyAlignment="1" applyProtection="1">
      <alignment horizontal="left" vertical="center" indent="1"/>
    </xf>
    <xf numFmtId="49" fontId="15" fillId="0" borderId="43" xfId="95" applyNumberFormat="1" applyFont="1" applyBorder="1" applyAlignment="1" applyProtection="1">
      <alignment horizontal="right" vertical="center"/>
    </xf>
    <xf numFmtId="49" fontId="106" fillId="0" borderId="19" xfId="1" applyNumberFormat="1" applyFont="1" applyBorder="1" applyAlignment="1" applyProtection="1">
      <alignment vertical="center"/>
    </xf>
    <xf numFmtId="0" fontId="15" fillId="0" borderId="43" xfId="1" applyFont="1" applyBorder="1" applyAlignment="1">
      <alignment vertical="center"/>
    </xf>
    <xf numFmtId="0" fontId="20" fillId="0" borderId="34" xfId="1" applyFont="1" applyBorder="1" applyAlignment="1" applyProtection="1">
      <alignment horizontal="right" vertical="center"/>
    </xf>
    <xf numFmtId="0" fontId="20" fillId="0" borderId="39" xfId="1" applyFont="1" applyBorder="1" applyAlignment="1" applyProtection="1">
      <alignment horizontal="center" vertical="center"/>
    </xf>
    <xf numFmtId="0" fontId="55" fillId="0" borderId="36" xfId="1" applyFont="1" applyBorder="1" applyAlignment="1" applyProtection="1">
      <alignment horizontal="right" vertical="center"/>
    </xf>
    <xf numFmtId="0" fontId="55" fillId="0" borderId="43" xfId="1" applyFont="1" applyBorder="1" applyAlignment="1" applyProtection="1">
      <alignment horizontal="center" vertical="center"/>
    </xf>
    <xf numFmtId="0" fontId="55" fillId="0" borderId="43" xfId="1" applyFont="1" applyBorder="1" applyAlignment="1" applyProtection="1">
      <alignment horizontal="right" vertical="center"/>
    </xf>
    <xf numFmtId="0" fontId="4" fillId="4" borderId="44" xfId="1" applyFill="1" applyBorder="1" applyAlignment="1" applyProtection="1">
      <alignment vertical="center"/>
    </xf>
    <xf numFmtId="0" fontId="4" fillId="4" borderId="2" xfId="1" applyFill="1" applyBorder="1" applyAlignment="1" applyProtection="1">
      <alignment vertical="center"/>
    </xf>
    <xf numFmtId="0" fontId="20" fillId="4" borderId="2" xfId="1" applyFont="1" applyFill="1" applyBorder="1" applyAlignment="1" applyProtection="1">
      <alignment vertical="center"/>
    </xf>
    <xf numFmtId="0" fontId="20" fillId="4" borderId="39" xfId="1" applyFont="1" applyFill="1" applyBorder="1" applyAlignment="1" applyProtection="1">
      <alignment horizontal="left" vertical="center"/>
    </xf>
    <xf numFmtId="0" fontId="4" fillId="4" borderId="42" xfId="1" applyFill="1" applyBorder="1" applyAlignment="1" applyProtection="1">
      <alignment vertical="center"/>
    </xf>
    <xf numFmtId="2" fontId="5" fillId="0" borderId="57" xfId="1" applyNumberFormat="1" applyFont="1" applyBorder="1" applyAlignment="1" applyProtection="1">
      <alignment vertical="center"/>
    </xf>
    <xf numFmtId="199" fontId="15" fillId="0" borderId="0" xfId="1" applyNumberFormat="1" applyFont="1" applyBorder="1" applyAlignment="1" applyProtection="1">
      <alignment vertical="center"/>
    </xf>
    <xf numFmtId="9" fontId="15" fillId="0" borderId="40" xfId="61" applyFont="1" applyBorder="1" applyAlignment="1" applyProtection="1">
      <alignment horizontal="center" vertical="center"/>
    </xf>
    <xf numFmtId="49" fontId="15" fillId="0" borderId="0" xfId="1" applyNumberFormat="1" applyFont="1" applyBorder="1" applyAlignment="1" applyProtection="1">
      <alignment horizontal="left" vertical="center"/>
    </xf>
    <xf numFmtId="49" fontId="15" fillId="31" borderId="0" xfId="1" applyNumberFormat="1" applyFont="1" applyFill="1" applyBorder="1" applyAlignment="1" applyProtection="1">
      <alignment horizontal="right" vertical="center"/>
      <protection locked="0"/>
    </xf>
    <xf numFmtId="2" fontId="15" fillId="0" borderId="40" xfId="1" applyNumberFormat="1" applyFont="1" applyBorder="1" applyAlignment="1" applyProtection="1">
      <alignment vertical="center"/>
    </xf>
    <xf numFmtId="2" fontId="6" fillId="0" borderId="23" xfId="1" applyNumberFormat="1" applyFont="1" applyBorder="1" applyAlignment="1" applyProtection="1">
      <alignment vertical="center"/>
    </xf>
    <xf numFmtId="2" fontId="9" fillId="0" borderId="43" xfId="1" applyNumberFormat="1" applyFont="1" applyBorder="1" applyAlignment="1" applyProtection="1">
      <alignment vertical="center"/>
    </xf>
    <xf numFmtId="0" fontId="4" fillId="0" borderId="44" xfId="1" applyBorder="1"/>
    <xf numFmtId="0" fontId="20" fillId="0" borderId="2" xfId="1" applyFont="1" applyBorder="1" applyAlignment="1" applyProtection="1">
      <alignment vertical="center"/>
    </xf>
    <xf numFmtId="16" fontId="9" fillId="0" borderId="44" xfId="1" applyNumberFormat="1" applyFont="1" applyBorder="1" applyAlignment="1" applyProtection="1">
      <alignment horizontal="right" vertical="center"/>
    </xf>
    <xf numFmtId="0" fontId="4" fillId="0" borderId="39" xfId="1" applyBorder="1"/>
    <xf numFmtId="2" fontId="9" fillId="0" borderId="19" xfId="1" applyNumberFormat="1" applyFont="1" applyBorder="1" applyAlignment="1" applyProtection="1">
      <alignment horizontal="right" vertical="center"/>
    </xf>
    <xf numFmtId="0" fontId="9" fillId="0" borderId="19" xfId="1" applyFont="1" applyBorder="1" applyAlignment="1" applyProtection="1">
      <alignment horizontal="right" vertical="center"/>
    </xf>
    <xf numFmtId="0" fontId="9" fillId="0" borderId="42" xfId="1" applyFont="1" applyBorder="1" applyAlignment="1" applyProtection="1">
      <alignment horizontal="right" vertical="center"/>
    </xf>
    <xf numFmtId="0" fontId="4" fillId="0" borderId="43" xfId="1" applyBorder="1"/>
    <xf numFmtId="0" fontId="5" fillId="0" borderId="42" xfId="1" applyFont="1" applyBorder="1" applyAlignment="1">
      <alignment horizontal="right"/>
    </xf>
    <xf numFmtId="0" fontId="5" fillId="0" borderId="43" xfId="1" applyFont="1" applyBorder="1"/>
    <xf numFmtId="0" fontId="9" fillId="0" borderId="57" xfId="1" applyFont="1" applyBorder="1" applyAlignment="1" applyProtection="1">
      <alignment vertical="center"/>
    </xf>
    <xf numFmtId="0" fontId="4" fillId="0" borderId="77" xfId="1" applyBorder="1" applyAlignment="1" applyProtection="1">
      <alignment vertical="center"/>
    </xf>
    <xf numFmtId="0" fontId="5" fillId="0" borderId="57" xfId="1" applyFont="1" applyBorder="1" applyAlignment="1" applyProtection="1">
      <alignment horizontal="left" vertical="center"/>
    </xf>
    <xf numFmtId="0" fontId="20" fillId="0" borderId="57" xfId="1" applyFont="1" applyBorder="1" applyAlignment="1" applyProtection="1">
      <alignment horizontal="right" vertical="top"/>
    </xf>
    <xf numFmtId="0" fontId="20" fillId="0" borderId="77" xfId="1" applyFont="1" applyBorder="1" applyAlignment="1" applyProtection="1">
      <alignment horizontal="left"/>
    </xf>
    <xf numFmtId="0" fontId="70" fillId="0" borderId="0" xfId="1" applyFont="1" applyAlignment="1" applyProtection="1">
      <alignment horizontal="left" vertical="center"/>
    </xf>
    <xf numFmtId="177" fontId="108" fillId="0" borderId="0" xfId="1" applyNumberFormat="1" applyFont="1" applyAlignment="1" applyProtection="1">
      <alignment vertical="center"/>
    </xf>
    <xf numFmtId="0" fontId="18" fillId="0" borderId="0" xfId="1" applyFont="1" applyAlignment="1" applyProtection="1">
      <alignment vertical="center"/>
    </xf>
    <xf numFmtId="0" fontId="4" fillId="0" borderId="40" xfId="1" applyBorder="1"/>
    <xf numFmtId="0" fontId="4" fillId="0" borderId="40" xfId="1" applyBorder="1" applyAlignment="1">
      <alignment vertical="center"/>
    </xf>
    <xf numFmtId="0" fontId="4" fillId="0" borderId="0" xfId="1" applyBorder="1" applyAlignment="1">
      <alignment horizontal="right" vertical="center"/>
    </xf>
    <xf numFmtId="0" fontId="4" fillId="0" borderId="0" xfId="1" applyBorder="1" applyAlignment="1">
      <alignment horizontal="left"/>
    </xf>
    <xf numFmtId="0" fontId="6" fillId="0" borderId="40" xfId="1" applyFont="1" applyBorder="1" applyAlignment="1">
      <alignment vertical="center"/>
    </xf>
    <xf numFmtId="49" fontId="6" fillId="0" borderId="40" xfId="1" applyNumberFormat="1" applyFont="1" applyBorder="1" applyAlignment="1">
      <alignment vertical="center"/>
    </xf>
    <xf numFmtId="49" fontId="6" fillId="0" borderId="0" xfId="1" applyNumberFormat="1" applyFont="1" applyBorder="1" applyAlignment="1">
      <alignment vertical="center"/>
    </xf>
    <xf numFmtId="49" fontId="71" fillId="0" borderId="40" xfId="1" applyNumberFormat="1" applyFont="1" applyBorder="1" applyAlignment="1">
      <alignment vertical="center"/>
    </xf>
    <xf numFmtId="0" fontId="72" fillId="0" borderId="0" xfId="1" applyFont="1" applyBorder="1" applyAlignment="1">
      <alignment vertical="center"/>
    </xf>
    <xf numFmtId="0" fontId="72" fillId="0" borderId="40" xfId="1" applyFont="1" applyBorder="1" applyAlignment="1">
      <alignment vertical="center"/>
    </xf>
    <xf numFmtId="0" fontId="15" fillId="0" borderId="0" xfId="1" applyFont="1" applyBorder="1" applyAlignment="1">
      <alignment horizontal="left" vertical="center"/>
    </xf>
    <xf numFmtId="170" fontId="6" fillId="0" borderId="0" xfId="1" applyNumberFormat="1" applyFont="1" applyFill="1" applyBorder="1" applyAlignment="1" applyProtection="1">
      <alignment vertical="center"/>
    </xf>
    <xf numFmtId="170" fontId="6" fillId="0" borderId="40" xfId="1" applyNumberFormat="1" applyFont="1" applyFill="1" applyBorder="1" applyAlignment="1" applyProtection="1">
      <alignment vertical="center"/>
    </xf>
    <xf numFmtId="0" fontId="6" fillId="0" borderId="0" xfId="1" applyFont="1" applyFill="1" applyBorder="1" applyAlignment="1">
      <alignment horizontal="right" vertical="center"/>
    </xf>
    <xf numFmtId="0" fontId="6" fillId="0" borderId="0" xfId="1" applyFont="1" applyFill="1" applyBorder="1" applyAlignment="1">
      <alignment vertical="center"/>
    </xf>
    <xf numFmtId="0" fontId="6" fillId="0" borderId="40" xfId="1" applyFont="1" applyFill="1" applyBorder="1" applyAlignment="1" applyProtection="1">
      <alignment vertical="center"/>
    </xf>
    <xf numFmtId="0" fontId="31" fillId="0" borderId="0" xfId="1" applyFont="1" applyBorder="1" applyAlignment="1">
      <alignment horizontal="centerContinuous" vertical="center"/>
    </xf>
    <xf numFmtId="176" fontId="6" fillId="0" borderId="40" xfId="1" applyNumberFormat="1" applyFont="1" applyFill="1" applyBorder="1" applyAlignment="1" applyProtection="1">
      <alignment vertical="center"/>
    </xf>
    <xf numFmtId="0" fontId="13" fillId="0" borderId="0" xfId="1" applyFont="1" applyBorder="1" applyAlignment="1">
      <alignment vertical="center"/>
    </xf>
    <xf numFmtId="0" fontId="6" fillId="0" borderId="0" xfId="1" applyFont="1" applyBorder="1" applyAlignment="1"/>
    <xf numFmtId="0" fontId="70" fillId="0" borderId="0" xfId="1" applyFont="1" applyBorder="1" applyAlignment="1">
      <alignment vertical="center"/>
    </xf>
    <xf numFmtId="0" fontId="70" fillId="0" borderId="40" xfId="1" applyFont="1" applyBorder="1" applyAlignment="1">
      <alignment vertical="center"/>
    </xf>
    <xf numFmtId="0" fontId="44" fillId="0" borderId="0" xfId="1" applyFont="1" applyBorder="1" applyAlignment="1">
      <alignment horizontal="right" vertical="center"/>
    </xf>
    <xf numFmtId="0" fontId="44" fillId="0" borderId="40" xfId="1" applyFont="1" applyBorder="1" applyAlignment="1">
      <alignment horizontal="right" vertical="center"/>
    </xf>
    <xf numFmtId="0" fontId="13" fillId="0" borderId="0" xfId="1" applyFont="1" applyBorder="1" applyAlignment="1">
      <alignment horizontal="center" vertical="center"/>
    </xf>
    <xf numFmtId="0" fontId="13" fillId="0" borderId="40" xfId="1" applyFont="1" applyBorder="1" applyAlignment="1">
      <alignment horizontal="center" vertical="center"/>
    </xf>
    <xf numFmtId="0" fontId="43" fillId="0" borderId="0" xfId="1" applyFont="1" applyBorder="1" applyAlignment="1">
      <alignment vertical="center"/>
    </xf>
    <xf numFmtId="0" fontId="4" fillId="0" borderId="0" xfId="1" applyBorder="1" applyAlignment="1">
      <alignment horizontal="centerContinuous" vertical="center"/>
    </xf>
    <xf numFmtId="0" fontId="13" fillId="0" borderId="40" xfId="1" applyFont="1" applyBorder="1" applyAlignment="1">
      <alignment horizontal="centerContinuous" vertical="center"/>
    </xf>
    <xf numFmtId="0" fontId="13" fillId="0" borderId="0" xfId="1" applyFont="1" applyBorder="1" applyAlignment="1">
      <alignment horizontal="centerContinuous" vertical="center"/>
    </xf>
    <xf numFmtId="0" fontId="73" fillId="0" borderId="0" xfId="1" applyFont="1" applyBorder="1" applyAlignment="1">
      <alignment vertical="top"/>
    </xf>
    <xf numFmtId="0" fontId="4" fillId="0" borderId="0" xfId="1" applyBorder="1" applyAlignment="1">
      <alignment vertical="top"/>
    </xf>
    <xf numFmtId="0" fontId="4" fillId="0" borderId="40" xfId="1" applyBorder="1" applyAlignment="1">
      <alignment vertical="top"/>
    </xf>
    <xf numFmtId="0" fontId="4" fillId="0" borderId="0" xfId="1" applyBorder="1" applyAlignment="1">
      <alignment horizontal="right" vertical="top"/>
    </xf>
    <xf numFmtId="177" fontId="9" fillId="0" borderId="0" xfId="1" applyNumberFormat="1" applyFont="1" applyBorder="1" applyAlignment="1">
      <alignment horizontal="centerContinuous" vertical="center"/>
    </xf>
    <xf numFmtId="177" fontId="9" fillId="0" borderId="40" xfId="1" applyNumberFormat="1" applyFont="1" applyBorder="1" applyAlignment="1">
      <alignment horizontal="centerContinuous" vertical="center"/>
    </xf>
    <xf numFmtId="0" fontId="6" fillId="0" borderId="0" xfId="1" applyFont="1" applyBorder="1" applyAlignment="1">
      <alignment horizontal="centerContinuous" vertical="center"/>
    </xf>
    <xf numFmtId="0" fontId="4" fillId="0" borderId="40" xfId="1" applyBorder="1" applyAlignment="1">
      <alignment horizontal="centerContinuous" vertical="center"/>
    </xf>
    <xf numFmtId="0" fontId="4" fillId="37" borderId="25" xfId="1" applyFill="1" applyBorder="1" applyProtection="1">
      <protection locked="0"/>
    </xf>
    <xf numFmtId="0" fontId="4" fillId="37" borderId="19" xfId="1" applyFill="1" applyBorder="1" applyProtection="1">
      <protection locked="0"/>
    </xf>
    <xf numFmtId="0" fontId="4" fillId="37" borderId="0" xfId="1" applyFill="1" applyBorder="1" applyProtection="1">
      <protection locked="0"/>
    </xf>
    <xf numFmtId="0" fontId="4" fillId="37" borderId="40" xfId="1" applyFill="1" applyBorder="1" applyProtection="1">
      <protection locked="0"/>
    </xf>
    <xf numFmtId="0" fontId="4" fillId="0" borderId="19" xfId="1" applyBorder="1"/>
    <xf numFmtId="0" fontId="13" fillId="0" borderId="40" xfId="1" applyFont="1" applyBorder="1" applyAlignment="1">
      <alignment vertical="center"/>
    </xf>
    <xf numFmtId="2" fontId="4" fillId="40" borderId="0" xfId="1" applyNumberFormat="1" applyFill="1" applyBorder="1" applyProtection="1">
      <protection locked="0"/>
    </xf>
    <xf numFmtId="2" fontId="4" fillId="37" borderId="19" xfId="1" applyNumberFormat="1" applyFill="1" applyBorder="1" applyProtection="1">
      <protection locked="0"/>
    </xf>
    <xf numFmtId="2" fontId="4" fillId="37" borderId="0" xfId="1" applyNumberFormat="1" applyFill="1" applyBorder="1" applyProtection="1">
      <protection locked="0"/>
    </xf>
    <xf numFmtId="2" fontId="4" fillId="37" borderId="40" xfId="1" applyNumberFormat="1" applyFill="1" applyBorder="1" applyProtection="1">
      <protection locked="0"/>
    </xf>
    <xf numFmtId="2" fontId="9" fillId="37" borderId="0" xfId="1" applyNumberFormat="1" applyFont="1" applyFill="1" applyBorder="1" applyProtection="1">
      <protection locked="0"/>
    </xf>
    <xf numFmtId="0" fontId="4" fillId="0" borderId="42" xfId="1" applyBorder="1"/>
    <xf numFmtId="0" fontId="4" fillId="0" borderId="23" xfId="1" applyBorder="1"/>
    <xf numFmtId="0" fontId="9" fillId="0" borderId="23" xfId="1" applyFont="1" applyBorder="1"/>
    <xf numFmtId="0" fontId="9" fillId="0" borderId="43" xfId="1" applyFont="1" applyBorder="1"/>
    <xf numFmtId="0" fontId="13" fillId="0" borderId="43" xfId="1" applyFont="1" applyBorder="1" applyAlignment="1">
      <alignment vertical="center"/>
    </xf>
    <xf numFmtId="0" fontId="9" fillId="0" borderId="40" xfId="1" applyFont="1" applyBorder="1"/>
    <xf numFmtId="0" fontId="44" fillId="0" borderId="2" xfId="1" applyFont="1" applyBorder="1" applyAlignment="1">
      <alignment horizontal="right" vertical="center"/>
    </xf>
    <xf numFmtId="2" fontId="5" fillId="30" borderId="44" xfId="1" applyNumberFormat="1" applyFont="1" applyFill="1" applyBorder="1" applyAlignment="1">
      <alignment horizontal="center"/>
    </xf>
    <xf numFmtId="2" fontId="5" fillId="30" borderId="2" xfId="1" applyNumberFormat="1" applyFont="1" applyFill="1" applyBorder="1" applyAlignment="1">
      <alignment horizontal="center"/>
    </xf>
    <xf numFmtId="2" fontId="5" fillId="30" borderId="39" xfId="1" applyNumberFormat="1" applyFont="1" applyFill="1" applyBorder="1" applyAlignment="1">
      <alignment horizontal="center"/>
    </xf>
    <xf numFmtId="2" fontId="5" fillId="30" borderId="44" xfId="1" applyNumberFormat="1" applyFont="1" applyFill="1" applyBorder="1" applyAlignment="1">
      <alignment horizontal="right"/>
    </xf>
    <xf numFmtId="2" fontId="5" fillId="30" borderId="39" xfId="1" applyNumberFormat="1" applyFont="1" applyFill="1" applyBorder="1" applyAlignment="1">
      <alignment horizontal="right"/>
    </xf>
    <xf numFmtId="0" fontId="31" fillId="0" borderId="2" xfId="1" applyFont="1" applyBorder="1" applyAlignment="1">
      <alignment horizontal="centerContinuous" vertical="center"/>
    </xf>
    <xf numFmtId="2" fontId="5" fillId="30" borderId="42" xfId="1" applyNumberFormat="1" applyFont="1" applyFill="1" applyBorder="1" applyAlignment="1">
      <alignment horizontal="centerContinuous"/>
    </xf>
    <xf numFmtId="2" fontId="5" fillId="30" borderId="23" xfId="1" applyNumberFormat="1" applyFont="1" applyFill="1" applyBorder="1" applyAlignment="1">
      <alignment horizontal="centerContinuous"/>
    </xf>
    <xf numFmtId="2" fontId="5" fillId="30" borderId="43" xfId="1" applyNumberFormat="1" applyFont="1" applyFill="1" applyBorder="1" applyAlignment="1">
      <alignment horizontal="centerContinuous"/>
    </xf>
    <xf numFmtId="2" fontId="5" fillId="30" borderId="42" xfId="1" applyNumberFormat="1" applyFont="1" applyFill="1" applyBorder="1" applyAlignment="1">
      <alignment horizontal="right"/>
    </xf>
    <xf numFmtId="2" fontId="5" fillId="30" borderId="43" xfId="1" applyNumberFormat="1" applyFont="1" applyFill="1" applyBorder="1" applyAlignment="1">
      <alignment horizontal="right"/>
    </xf>
    <xf numFmtId="0" fontId="13" fillId="0" borderId="0" xfId="1" applyFont="1" applyBorder="1" applyAlignment="1">
      <alignment horizontal="centerContinuous"/>
    </xf>
    <xf numFmtId="0" fontId="4" fillId="0" borderId="0" xfId="1" applyBorder="1" applyAlignment="1">
      <alignment horizontal="centerContinuous"/>
    </xf>
    <xf numFmtId="0" fontId="44" fillId="0" borderId="0" xfId="1" applyFont="1" applyBorder="1" applyAlignment="1">
      <alignment horizontal="left" vertical="top"/>
    </xf>
    <xf numFmtId="0" fontId="16" fillId="0" borderId="40" xfId="1" applyFont="1" applyBorder="1" applyAlignment="1">
      <alignment vertical="top"/>
    </xf>
    <xf numFmtId="0" fontId="16" fillId="0" borderId="0" xfId="1" applyFont="1" applyBorder="1" applyAlignment="1">
      <alignment vertical="top"/>
    </xf>
    <xf numFmtId="0" fontId="16" fillId="0" borderId="0" xfId="1" applyFont="1" applyBorder="1" applyAlignment="1">
      <alignment horizontal="right" vertical="top"/>
    </xf>
    <xf numFmtId="14" fontId="6" fillId="0" borderId="40" xfId="1" applyNumberFormat="1" applyFont="1" applyBorder="1" applyAlignment="1">
      <alignment horizontal="left" vertical="top"/>
    </xf>
    <xf numFmtId="0" fontId="9" fillId="0" borderId="0" xfId="1" applyFont="1" applyBorder="1" applyAlignment="1">
      <alignment vertical="top"/>
    </xf>
    <xf numFmtId="0" fontId="4" fillId="0" borderId="0" xfId="1" applyBorder="1" applyAlignment="1" applyProtection="1">
      <alignment vertical="center"/>
      <protection locked="0"/>
    </xf>
    <xf numFmtId="0" fontId="9" fillId="0" borderId="0" xfId="1" applyFont="1" applyBorder="1" applyAlignment="1">
      <alignment horizontal="right" vertical="center"/>
    </xf>
    <xf numFmtId="0" fontId="20" fillId="0" borderId="0" xfId="1" applyFont="1" applyAlignment="1">
      <alignment horizontal="center" vertical="center"/>
    </xf>
    <xf numFmtId="0" fontId="4" fillId="0" borderId="0" xfId="1" applyFill="1" applyAlignment="1">
      <alignment vertical="center"/>
    </xf>
    <xf numFmtId="0" fontId="4" fillId="0" borderId="25" xfId="1" applyBorder="1" applyAlignment="1">
      <alignment vertical="center"/>
    </xf>
    <xf numFmtId="0" fontId="20" fillId="0" borderId="25" xfId="1" applyFont="1" applyBorder="1" applyAlignment="1">
      <alignment vertical="center"/>
    </xf>
    <xf numFmtId="0" fontId="4" fillId="0" borderId="36" xfId="1" applyBorder="1" applyAlignment="1">
      <alignment vertical="center"/>
    </xf>
    <xf numFmtId="3" fontId="6" fillId="4" borderId="0" xfId="1" applyNumberFormat="1" applyFont="1" applyFill="1" applyBorder="1" applyAlignment="1">
      <alignment horizontal="right" vertical="center"/>
    </xf>
    <xf numFmtId="0" fontId="6" fillId="4" borderId="0" xfId="1" applyFont="1" applyFill="1" applyBorder="1" applyAlignment="1">
      <alignment horizontal="right" vertical="center"/>
    </xf>
    <xf numFmtId="0" fontId="9" fillId="4" borderId="0" xfId="1" applyFont="1" applyFill="1" applyBorder="1" applyAlignment="1">
      <alignment horizontal="left" vertical="center"/>
    </xf>
    <xf numFmtId="0" fontId="9" fillId="4" borderId="0" xfId="1" applyFont="1" applyFill="1" applyBorder="1" applyAlignment="1">
      <alignment horizontal="right" vertical="center"/>
    </xf>
    <xf numFmtId="4" fontId="6" fillId="4" borderId="0" xfId="1" applyNumberFormat="1" applyFont="1" applyFill="1" applyBorder="1" applyAlignment="1">
      <alignment horizontal="right" vertical="center"/>
    </xf>
    <xf numFmtId="0" fontId="109" fillId="4" borderId="0" xfId="1" applyFont="1" applyFill="1" applyBorder="1" applyAlignment="1" applyProtection="1">
      <alignment horizontal="right" vertical="center"/>
    </xf>
    <xf numFmtId="0" fontId="20" fillId="0" borderId="0" xfId="1" applyFont="1" applyAlignment="1" applyProtection="1">
      <alignment horizontal="center" vertical="center"/>
      <protection locked="0"/>
    </xf>
    <xf numFmtId="188" fontId="4" fillId="0" borderId="0" xfId="1" applyNumberFormat="1" applyBorder="1" applyAlignment="1">
      <alignment horizontal="right" vertical="center"/>
    </xf>
    <xf numFmtId="0" fontId="4" fillId="0" borderId="0" xfId="1" applyFill="1"/>
    <xf numFmtId="0" fontId="110" fillId="0" borderId="34" xfId="1" applyFont="1" applyBorder="1" applyAlignment="1">
      <alignment horizontal="center" wrapText="1"/>
    </xf>
    <xf numFmtId="190" fontId="110" fillId="0" borderId="115" xfId="1" applyNumberFormat="1" applyFont="1" applyBorder="1" applyAlignment="1"/>
    <xf numFmtId="190" fontId="110" fillId="0" borderId="116" xfId="1" applyNumberFormat="1" applyFont="1" applyBorder="1" applyAlignment="1"/>
    <xf numFmtId="0" fontId="110" fillId="0" borderId="35" xfId="1" applyFont="1" applyBorder="1" applyAlignment="1">
      <alignment horizontal="center" wrapText="1"/>
    </xf>
    <xf numFmtId="190" fontId="111" fillId="30" borderId="58" xfId="1" applyNumberFormat="1" applyFont="1" applyFill="1" applyBorder="1" applyAlignment="1"/>
    <xf numFmtId="190" fontId="111" fillId="30" borderId="57" xfId="1" applyNumberFormat="1" applyFont="1" applyFill="1" applyBorder="1" applyAlignment="1"/>
    <xf numFmtId="0" fontId="111" fillId="30" borderId="3" xfId="1" applyFont="1" applyFill="1" applyBorder="1" applyAlignment="1">
      <alignment horizontal="center" wrapText="1"/>
    </xf>
    <xf numFmtId="190" fontId="110" fillId="0" borderId="58" xfId="1" applyNumberFormat="1" applyFont="1" applyBorder="1" applyAlignment="1"/>
    <xf numFmtId="190" fontId="110" fillId="0" borderId="8" xfId="1" applyNumberFormat="1" applyFont="1" applyBorder="1" applyAlignment="1"/>
    <xf numFmtId="0" fontId="110" fillId="0" borderId="25" xfId="1" applyFont="1" applyBorder="1" applyAlignment="1">
      <alignment horizontal="center" wrapText="1"/>
    </xf>
    <xf numFmtId="3" fontId="111" fillId="30" borderId="58" xfId="1" applyNumberFormat="1" applyFont="1" applyFill="1" applyBorder="1" applyAlignment="1">
      <alignment horizontal="center"/>
    </xf>
    <xf numFmtId="3" fontId="111" fillId="30" borderId="57" xfId="1" applyNumberFormat="1" applyFont="1" applyFill="1" applyBorder="1" applyAlignment="1">
      <alignment horizontal="center"/>
    </xf>
    <xf numFmtId="172" fontId="110" fillId="0" borderId="58" xfId="1" applyNumberFormat="1" applyFont="1" applyBorder="1" applyAlignment="1"/>
    <xf numFmtId="172" fontId="110" fillId="0" borderId="8" xfId="1" applyNumberFormat="1" applyFont="1" applyBorder="1" applyAlignment="1"/>
    <xf numFmtId="172" fontId="111" fillId="0" borderId="58" xfId="1" applyNumberFormat="1" applyFont="1" applyBorder="1" applyAlignment="1"/>
    <xf numFmtId="172" fontId="111" fillId="0" borderId="57" xfId="1" applyNumberFormat="1" applyFont="1" applyBorder="1" applyAlignment="1"/>
    <xf numFmtId="0" fontId="111" fillId="0" borderId="3" xfId="1" applyFont="1" applyBorder="1" applyAlignment="1">
      <alignment horizontal="center" wrapText="1"/>
    </xf>
    <xf numFmtId="3" fontId="110" fillId="0" borderId="44" xfId="1" applyNumberFormat="1" applyFont="1" applyBorder="1" applyAlignment="1">
      <alignment horizontal="center"/>
    </xf>
    <xf numFmtId="3" fontId="110" fillId="0" borderId="61" xfId="1" applyNumberFormat="1" applyFont="1" applyBorder="1" applyAlignment="1">
      <alignment horizontal="center"/>
    </xf>
    <xf numFmtId="3" fontId="110" fillId="0" borderId="19" xfId="1" applyNumberFormat="1" applyFont="1" applyBorder="1" applyAlignment="1">
      <alignment horizontal="center"/>
    </xf>
    <xf numFmtId="3" fontId="110" fillId="0" borderId="0" xfId="1" applyNumberFormat="1" applyFont="1" applyBorder="1" applyAlignment="1">
      <alignment horizontal="center"/>
    </xf>
    <xf numFmtId="0" fontId="110" fillId="0" borderId="27" xfId="1" applyFont="1" applyBorder="1" applyAlignment="1">
      <alignment horizontal="center" wrapText="1"/>
    </xf>
    <xf numFmtId="0" fontId="111" fillId="0" borderId="25" xfId="1" applyFont="1" applyBorder="1" applyAlignment="1">
      <alignment horizontal="center" wrapText="1"/>
    </xf>
    <xf numFmtId="0" fontId="111" fillId="0" borderId="19" xfId="1" applyFont="1" applyBorder="1" applyAlignment="1">
      <alignment horizontal="center"/>
    </xf>
    <xf numFmtId="0" fontId="111" fillId="30" borderId="72" xfId="1" applyFont="1" applyFill="1" applyBorder="1" applyAlignment="1">
      <alignment horizontal="center"/>
    </xf>
    <xf numFmtId="0" fontId="9" fillId="30" borderId="65" xfId="1" applyFont="1" applyFill="1" applyBorder="1" applyAlignment="1">
      <alignment vertical="center"/>
    </xf>
    <xf numFmtId="0" fontId="111" fillId="0" borderId="0" xfId="1" applyFont="1" applyBorder="1" applyAlignment="1">
      <alignment horizontal="center"/>
    </xf>
    <xf numFmtId="0" fontId="9" fillId="0" borderId="25" xfId="1" applyFont="1" applyBorder="1" applyAlignment="1">
      <alignment horizontal="right" vertical="center"/>
    </xf>
    <xf numFmtId="0" fontId="111" fillId="0" borderId="0" xfId="1" applyFont="1" applyBorder="1" applyAlignment="1">
      <alignment horizontal="left" wrapText="1"/>
    </xf>
    <xf numFmtId="0" fontId="9" fillId="0" borderId="40" xfId="1" applyFont="1" applyBorder="1" applyAlignment="1">
      <alignment horizontal="center" vertical="center"/>
    </xf>
    <xf numFmtId="0" fontId="9" fillId="0" borderId="3" xfId="1" applyFont="1" applyBorder="1" applyAlignment="1">
      <alignment horizontal="right" vertical="center"/>
    </xf>
    <xf numFmtId="0" fontId="110" fillId="0" borderId="2" xfId="1" applyFont="1" applyBorder="1"/>
    <xf numFmtId="0" fontId="9" fillId="0" borderId="2" xfId="1" applyFont="1" applyBorder="1" applyAlignment="1">
      <alignment vertical="center"/>
    </xf>
    <xf numFmtId="0" fontId="9" fillId="0" borderId="39" xfId="1" applyFont="1" applyBorder="1" applyAlignment="1">
      <alignment horizontal="center" vertical="center"/>
    </xf>
    <xf numFmtId="0" fontId="9" fillId="0" borderId="23" xfId="1" applyFont="1" applyBorder="1" applyAlignment="1">
      <alignment horizontal="right" vertical="center"/>
    </xf>
    <xf numFmtId="0" fontId="4" fillId="2" borderId="0" xfId="1" applyFill="1" applyBorder="1" applyAlignment="1">
      <alignment vertical="center"/>
    </xf>
    <xf numFmtId="0" fontId="9" fillId="2" borderId="0" xfId="1" applyFont="1" applyFill="1" applyBorder="1" applyAlignment="1">
      <alignment horizontal="left" vertical="center"/>
    </xf>
    <xf numFmtId="0" fontId="9" fillId="2" borderId="0" xfId="1" applyFont="1" applyFill="1" applyBorder="1" applyAlignment="1">
      <alignment horizontal="right" vertical="center"/>
    </xf>
    <xf numFmtId="0" fontId="20" fillId="2" borderId="0" xfId="1" applyFont="1" applyFill="1" applyBorder="1" applyAlignment="1">
      <alignment vertical="center"/>
    </xf>
    <xf numFmtId="0" fontId="20" fillId="2" borderId="0" xfId="1" applyFont="1" applyFill="1" applyAlignment="1">
      <alignment horizontal="center" vertical="center"/>
    </xf>
    <xf numFmtId="0" fontId="4" fillId="2" borderId="0" xfId="1" applyFill="1" applyAlignment="1">
      <alignment vertical="center"/>
    </xf>
    <xf numFmtId="0" fontId="4" fillId="0" borderId="59" xfId="1" applyBorder="1" applyAlignment="1">
      <alignment vertical="center"/>
    </xf>
    <xf numFmtId="0" fontId="4" fillId="0" borderId="46" xfId="1" applyBorder="1" applyAlignment="1">
      <alignment vertical="center"/>
    </xf>
    <xf numFmtId="0" fontId="4" fillId="30" borderId="41" xfId="1" applyFill="1" applyBorder="1" applyAlignment="1">
      <alignment vertical="center"/>
    </xf>
    <xf numFmtId="0" fontId="4" fillId="0" borderId="47" xfId="1" applyBorder="1" applyAlignment="1">
      <alignment vertical="center"/>
    </xf>
    <xf numFmtId="0" fontId="9" fillId="0" borderId="46" xfId="1" applyFont="1" applyBorder="1" applyAlignment="1">
      <alignment horizontal="left" vertical="center"/>
    </xf>
    <xf numFmtId="0" fontId="9" fillId="0" borderId="41" xfId="1" applyFont="1" applyBorder="1" applyAlignment="1">
      <alignment horizontal="right" vertical="center"/>
    </xf>
    <xf numFmtId="0" fontId="4" fillId="0" borderId="41" xfId="1" applyBorder="1" applyAlignment="1">
      <alignment vertical="center"/>
    </xf>
    <xf numFmtId="0" fontId="20" fillId="0" borderId="49" xfId="1" applyFont="1" applyBorder="1" applyAlignment="1">
      <alignment horizontal="center" vertical="center"/>
    </xf>
    <xf numFmtId="0" fontId="20" fillId="0" borderId="30" xfId="1" applyFont="1" applyBorder="1" applyAlignment="1">
      <alignment horizontal="center" vertical="center"/>
    </xf>
    <xf numFmtId="0" fontId="4" fillId="0" borderId="64" xfId="1" applyBorder="1" applyAlignment="1">
      <alignment vertical="center"/>
    </xf>
    <xf numFmtId="0" fontId="4" fillId="30" borderId="0" xfId="1" applyFill="1" applyBorder="1" applyAlignment="1">
      <alignment vertical="center"/>
    </xf>
    <xf numFmtId="0" fontId="4" fillId="0" borderId="19" xfId="1" applyBorder="1" applyAlignment="1">
      <alignment vertical="center"/>
    </xf>
    <xf numFmtId="0" fontId="9" fillId="0" borderId="40" xfId="1" applyFont="1" applyBorder="1" applyAlignment="1">
      <alignment horizontal="left" vertical="center"/>
    </xf>
    <xf numFmtId="185" fontId="4" fillId="0" borderId="19" xfId="1" applyNumberFormat="1" applyBorder="1" applyAlignment="1">
      <alignment vertical="center"/>
    </xf>
    <xf numFmtId="0" fontId="6" fillId="0" borderId="127" xfId="105" applyFont="1" applyBorder="1" applyAlignment="1" applyProtection="1">
      <alignment horizontal="right" vertical="center"/>
    </xf>
    <xf numFmtId="0" fontId="20" fillId="0" borderId="127" xfId="1" applyFont="1" applyBorder="1" applyAlignment="1">
      <alignment vertical="center"/>
    </xf>
    <xf numFmtId="0" fontId="16" fillId="0" borderId="125" xfId="1" applyFont="1" applyBorder="1" applyAlignment="1">
      <alignment vertical="center"/>
    </xf>
    <xf numFmtId="0" fontId="20" fillId="0" borderId="0" xfId="1" applyFont="1" applyBorder="1" applyAlignment="1">
      <alignment horizontal="right" vertical="center"/>
    </xf>
    <xf numFmtId="0" fontId="6" fillId="0" borderId="2" xfId="1" applyFont="1" applyBorder="1" applyAlignment="1">
      <alignment horizontal="right" vertical="center"/>
    </xf>
    <xf numFmtId="0" fontId="16" fillId="0" borderId="39" xfId="1" applyFont="1" applyBorder="1" applyAlignment="1">
      <alignment vertical="center"/>
    </xf>
    <xf numFmtId="0" fontId="16" fillId="0" borderId="0" xfId="1" applyFont="1" applyBorder="1" applyAlignment="1">
      <alignment vertical="center"/>
    </xf>
    <xf numFmtId="0" fontId="4" fillId="0" borderId="128" xfId="1" applyBorder="1" applyAlignment="1">
      <alignment vertical="center"/>
    </xf>
    <xf numFmtId="0" fontId="4" fillId="0" borderId="43" xfId="1" applyBorder="1" applyAlignment="1">
      <alignment vertical="center"/>
    </xf>
    <xf numFmtId="0" fontId="4" fillId="30" borderId="23" xfId="1" applyFill="1" applyBorder="1" applyAlignment="1">
      <alignment vertical="center"/>
    </xf>
    <xf numFmtId="0" fontId="4" fillId="0" borderId="42" xfId="1" applyBorder="1" applyAlignment="1">
      <alignment vertical="center"/>
    </xf>
    <xf numFmtId="0" fontId="9" fillId="0" borderId="43" xfId="1" applyFont="1" applyBorder="1" applyAlignment="1">
      <alignment horizontal="left" vertical="center"/>
    </xf>
    <xf numFmtId="0" fontId="4" fillId="0" borderId="23" xfId="1" applyBorder="1" applyAlignment="1">
      <alignment vertical="center"/>
    </xf>
    <xf numFmtId="0" fontId="6" fillId="32" borderId="0" xfId="1" applyFont="1" applyFill="1" applyBorder="1" applyAlignment="1" applyProtection="1">
      <alignment horizontal="left" vertical="center"/>
      <protection locked="0"/>
    </xf>
    <xf numFmtId="0" fontId="4" fillId="0" borderId="78" xfId="1" applyBorder="1" applyAlignment="1">
      <alignment vertical="center"/>
    </xf>
    <xf numFmtId="0" fontId="4" fillId="0" borderId="130" xfId="1" applyBorder="1" applyAlignment="1">
      <alignment vertical="center"/>
    </xf>
    <xf numFmtId="0" fontId="4" fillId="30" borderId="24" xfId="1" applyFill="1" applyBorder="1" applyAlignment="1">
      <alignment vertical="center"/>
    </xf>
    <xf numFmtId="0" fontId="4" fillId="0" borderId="131" xfId="1" applyBorder="1" applyAlignment="1">
      <alignment vertical="center"/>
    </xf>
    <xf numFmtId="0" fontId="9" fillId="0" borderId="130" xfId="1" applyFont="1" applyBorder="1" applyAlignment="1">
      <alignment horizontal="left" vertical="center"/>
    </xf>
    <xf numFmtId="0" fontId="9" fillId="0" borderId="24" xfId="1" applyFont="1" applyBorder="1" applyAlignment="1">
      <alignment horizontal="right" vertical="center"/>
    </xf>
    <xf numFmtId="0" fontId="4" fillId="0" borderId="24" xfId="1" applyBorder="1" applyAlignment="1">
      <alignment vertical="center"/>
    </xf>
    <xf numFmtId="0" fontId="20" fillId="0" borderId="132" xfId="1" applyFont="1" applyBorder="1" applyAlignment="1">
      <alignment horizontal="center" vertical="center"/>
    </xf>
    <xf numFmtId="0" fontId="4" fillId="3" borderId="0" xfId="1" applyFill="1" applyBorder="1" applyAlignment="1">
      <alignment vertical="center"/>
    </xf>
    <xf numFmtId="188" fontId="6" fillId="0" borderId="44" xfId="1" applyNumberFormat="1" applyFont="1" applyBorder="1" applyAlignment="1">
      <alignment horizontal="right" vertical="center"/>
    </xf>
    <xf numFmtId="202" fontId="4" fillId="0" borderId="39" xfId="1" applyNumberFormat="1" applyBorder="1" applyAlignment="1">
      <alignment horizontal="right" vertical="center"/>
    </xf>
    <xf numFmtId="188" fontId="6" fillId="30" borderId="44" xfId="1" applyNumberFormat="1" applyFont="1" applyFill="1" applyBorder="1" applyAlignment="1">
      <alignment horizontal="right" vertical="center"/>
    </xf>
    <xf numFmtId="0" fontId="6" fillId="0" borderId="44" xfId="1" applyFont="1" applyBorder="1" applyAlignment="1">
      <alignment horizontal="right" vertical="center"/>
    </xf>
    <xf numFmtId="49" fontId="4" fillId="0" borderId="2" xfId="1" applyNumberFormat="1" applyBorder="1" applyAlignment="1">
      <alignment horizontal="left" vertical="center"/>
    </xf>
    <xf numFmtId="0" fontId="4" fillId="0" borderId="39" xfId="1" applyBorder="1" applyAlignment="1">
      <alignment vertical="center"/>
    </xf>
    <xf numFmtId="0" fontId="20" fillId="0" borderId="34" xfId="1" applyFont="1" applyBorder="1" applyAlignment="1">
      <alignment horizontal="center" vertical="center"/>
    </xf>
    <xf numFmtId="188" fontId="6" fillId="0" borderId="19" xfId="1" applyNumberFormat="1" applyFont="1" applyBorder="1" applyAlignment="1">
      <alignment horizontal="right" vertical="center"/>
    </xf>
    <xf numFmtId="202" fontId="4" fillId="0" borderId="40" xfId="1" applyNumberFormat="1" applyBorder="1" applyAlignment="1">
      <alignment horizontal="right" vertical="center"/>
    </xf>
    <xf numFmtId="188" fontId="6" fillId="30" borderId="19" xfId="1" applyNumberFormat="1" applyFont="1" applyFill="1" applyBorder="1" applyAlignment="1">
      <alignment horizontal="right" vertical="center"/>
    </xf>
    <xf numFmtId="49" fontId="4" fillId="0" borderId="0" xfId="1" applyNumberFormat="1" applyBorder="1" applyAlignment="1">
      <alignment horizontal="left" vertical="center"/>
    </xf>
    <xf numFmtId="0" fontId="20" fillId="0" borderId="25" xfId="1" applyFont="1" applyBorder="1" applyAlignment="1">
      <alignment horizontal="center" vertical="center"/>
    </xf>
    <xf numFmtId="188" fontId="13" fillId="0" borderId="58" xfId="1" applyNumberFormat="1" applyFont="1" applyBorder="1" applyAlignment="1">
      <alignment horizontal="right" vertical="center"/>
    </xf>
    <xf numFmtId="202" fontId="4" fillId="0" borderId="77" xfId="1" applyNumberFormat="1" applyBorder="1" applyAlignment="1">
      <alignment horizontal="right" vertical="center"/>
    </xf>
    <xf numFmtId="188" fontId="13" fillId="30" borderId="58" xfId="1" applyNumberFormat="1" applyFont="1" applyFill="1" applyBorder="1" applyAlignment="1">
      <alignment horizontal="right" vertical="center"/>
    </xf>
    <xf numFmtId="0" fontId="6" fillId="0" borderId="57" xfId="1" applyFont="1" applyBorder="1" applyAlignment="1">
      <alignment horizontal="right" vertical="center"/>
    </xf>
    <xf numFmtId="49" fontId="5" fillId="0" borderId="57" xfId="1" applyNumberFormat="1" applyFont="1" applyBorder="1" applyAlignment="1">
      <alignment horizontal="left" vertical="center"/>
    </xf>
    <xf numFmtId="0" fontId="4" fillId="0" borderId="57" xfId="1" applyBorder="1" applyAlignment="1">
      <alignment vertical="center"/>
    </xf>
    <xf numFmtId="188" fontId="6" fillId="0" borderId="42" xfId="1" applyNumberFormat="1" applyFont="1" applyBorder="1" applyAlignment="1">
      <alignment horizontal="right" vertical="center"/>
    </xf>
    <xf numFmtId="202" fontId="4" fillId="0" borderId="43" xfId="1" applyNumberFormat="1" applyBorder="1" applyAlignment="1">
      <alignment horizontal="right" vertical="center"/>
    </xf>
    <xf numFmtId="188" fontId="6" fillId="30" borderId="42" xfId="1" applyNumberFormat="1" applyFont="1" applyFill="1" applyBorder="1" applyAlignment="1">
      <alignment horizontal="right" vertical="center"/>
    </xf>
    <xf numFmtId="0" fontId="9" fillId="3" borderId="0" xfId="67" applyFill="1" applyBorder="1" applyAlignment="1">
      <alignment vertical="center"/>
    </xf>
    <xf numFmtId="0" fontId="6" fillId="0" borderId="2" xfId="67" applyFont="1" applyBorder="1" applyAlignment="1">
      <alignment horizontal="right" vertical="center"/>
    </xf>
    <xf numFmtId="2" fontId="6" fillId="0" borderId="2" xfId="67" applyNumberFormat="1" applyFont="1" applyBorder="1" applyAlignment="1">
      <alignment vertical="center"/>
    </xf>
    <xf numFmtId="0" fontId="6" fillId="0" borderId="2" xfId="67" applyFont="1" applyBorder="1" applyAlignment="1">
      <alignment vertical="center"/>
    </xf>
    <xf numFmtId="0" fontId="13" fillId="0" borderId="2" xfId="67" applyFont="1" applyBorder="1" applyAlignment="1">
      <alignment vertical="center"/>
    </xf>
    <xf numFmtId="0" fontId="20" fillId="0" borderId="25" xfId="67" applyFont="1" applyBorder="1" applyAlignment="1">
      <alignment horizontal="center" vertical="center"/>
    </xf>
    <xf numFmtId="0" fontId="9" fillId="0" borderId="23" xfId="67" applyFont="1" applyBorder="1" applyAlignment="1">
      <alignment horizontal="right" vertical="center"/>
    </xf>
    <xf numFmtId="1" fontId="9" fillId="0" borderId="23" xfId="67" applyNumberFormat="1" applyBorder="1" applyAlignment="1">
      <alignment vertical="center"/>
    </xf>
    <xf numFmtId="0" fontId="9" fillId="0" borderId="23" xfId="67" applyBorder="1" applyAlignment="1">
      <alignment vertical="center"/>
    </xf>
    <xf numFmtId="0" fontId="14" fillId="0" borderId="23" xfId="67" applyFont="1" applyBorder="1" applyAlignment="1">
      <alignment vertical="center"/>
    </xf>
    <xf numFmtId="0" fontId="20" fillId="0" borderId="36" xfId="67" applyFont="1" applyBorder="1" applyAlignment="1" applyProtection="1">
      <alignment horizontal="center" vertical="center"/>
      <protection locked="0"/>
    </xf>
    <xf numFmtId="0" fontId="13" fillId="0" borderId="2" xfId="105" applyFont="1" applyBorder="1" applyAlignment="1" applyProtection="1">
      <alignment horizontal="right" vertical="center"/>
    </xf>
    <xf numFmtId="0" fontId="114" fillId="0" borderId="2" xfId="105" applyFont="1" applyBorder="1" applyAlignment="1" applyProtection="1">
      <alignment vertical="center"/>
    </xf>
    <xf numFmtId="0" fontId="20" fillId="0" borderId="39" xfId="105" applyFont="1" applyBorder="1" applyAlignment="1" applyProtection="1">
      <alignment vertical="center"/>
    </xf>
    <xf numFmtId="0" fontId="13" fillId="0" borderId="0" xfId="105" applyFont="1" applyBorder="1" applyAlignment="1" applyProtection="1">
      <alignment horizontal="right" vertical="center"/>
    </xf>
    <xf numFmtId="0" fontId="114" fillId="0" borderId="0" xfId="105" applyFont="1" applyBorder="1" applyAlignment="1" applyProtection="1">
      <alignment vertical="center"/>
    </xf>
    <xf numFmtId="0" fontId="14" fillId="0" borderId="0" xfId="105" applyFont="1" applyBorder="1" applyAlignment="1" applyProtection="1">
      <alignment vertical="center"/>
    </xf>
    <xf numFmtId="0" fontId="20" fillId="0" borderId="25" xfId="1" applyFont="1" applyBorder="1" applyAlignment="1" applyProtection="1">
      <alignment horizontal="center" vertical="center"/>
      <protection locked="0"/>
    </xf>
    <xf numFmtId="0" fontId="6" fillId="0" borderId="2" xfId="105" applyFont="1" applyBorder="1" applyAlignment="1" applyProtection="1">
      <alignment horizontal="right" vertical="center"/>
    </xf>
    <xf numFmtId="0" fontId="45" fillId="0" borderId="2" xfId="105" applyFont="1" applyBorder="1" applyAlignment="1" applyProtection="1">
      <alignment vertical="center"/>
    </xf>
    <xf numFmtId="0" fontId="13" fillId="0" borderId="19" xfId="105" applyFont="1" applyBorder="1" applyAlignment="1" applyProtection="1">
      <alignment horizontal="right" vertical="center"/>
    </xf>
    <xf numFmtId="0" fontId="45"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42" xfId="1" applyFont="1" applyBorder="1" applyAlignment="1">
      <alignment horizontal="right" vertical="center"/>
    </xf>
    <xf numFmtId="0" fontId="114" fillId="0" borderId="23" xfId="105" applyFont="1" applyBorder="1" applyAlignment="1" applyProtection="1">
      <alignment vertical="center"/>
    </xf>
    <xf numFmtId="0" fontId="16" fillId="0" borderId="43" xfId="105" applyFont="1" applyBorder="1" applyAlignment="1" applyProtection="1">
      <alignment vertical="center"/>
    </xf>
    <xf numFmtId="0" fontId="20" fillId="0" borderId="36" xfId="1" applyFont="1" applyBorder="1" applyAlignment="1">
      <alignment horizontal="center" vertical="center"/>
    </xf>
    <xf numFmtId="200" fontId="13" fillId="0" borderId="80" xfId="1" applyNumberFormat="1" applyFont="1" applyFill="1" applyBorder="1" applyAlignment="1">
      <alignment vertical="center"/>
    </xf>
    <xf numFmtId="171" fontId="13" fillId="0" borderId="63" xfId="1" applyNumberFormat="1" applyFont="1" applyFill="1" applyBorder="1" applyAlignment="1">
      <alignment vertical="center"/>
    </xf>
    <xf numFmtId="200" fontId="13" fillId="30" borderId="80" xfId="1" applyNumberFormat="1" applyFont="1" applyFill="1" applyBorder="1" applyAlignment="1">
      <alignment vertical="center"/>
    </xf>
    <xf numFmtId="171" fontId="13" fillId="30" borderId="63" xfId="1" applyNumberFormat="1" applyFont="1" applyFill="1" applyBorder="1" applyAlignment="1">
      <alignment vertical="center"/>
    </xf>
    <xf numFmtId="185" fontId="13" fillId="0" borderId="34" xfId="1" applyNumberFormat="1" applyFont="1" applyFill="1" applyBorder="1" applyAlignment="1">
      <alignment vertical="center"/>
    </xf>
    <xf numFmtId="171" fontId="13" fillId="0" borderId="34" xfId="1" applyNumberFormat="1" applyFont="1" applyFill="1" applyBorder="1" applyAlignment="1">
      <alignment vertical="center"/>
    </xf>
    <xf numFmtId="0" fontId="9" fillId="0" borderId="2" xfId="1" applyFont="1" applyFill="1" applyBorder="1" applyAlignment="1">
      <alignment horizontal="right" vertical="center"/>
    </xf>
    <xf numFmtId="0" fontId="114" fillId="0" borderId="2" xfId="105" applyFont="1" applyFill="1" applyBorder="1" applyAlignment="1" applyProtection="1">
      <alignment vertical="center"/>
    </xf>
    <xf numFmtId="0" fontId="14" fillId="0" borderId="2" xfId="105" applyFont="1" applyFill="1" applyBorder="1" applyAlignment="1" applyProtection="1">
      <alignment vertical="center"/>
    </xf>
    <xf numFmtId="0" fontId="14" fillId="0" borderId="39" xfId="105" applyFont="1" applyFill="1" applyBorder="1" applyAlignment="1" applyProtection="1">
      <alignment horizontal="left" vertical="center"/>
    </xf>
    <xf numFmtId="200" fontId="13" fillId="0" borderId="83" xfId="1" applyNumberFormat="1" applyFont="1" applyFill="1" applyBorder="1" applyAlignment="1">
      <alignment vertical="center"/>
    </xf>
    <xf numFmtId="171" fontId="13" fillId="0" borderId="70" xfId="1" applyNumberFormat="1" applyFont="1" applyFill="1" applyBorder="1" applyAlignment="1">
      <alignment vertical="center"/>
    </xf>
    <xf numFmtId="200" fontId="13" fillId="30" borderId="83" xfId="1" applyNumberFormat="1" applyFont="1" applyFill="1" applyBorder="1" applyAlignment="1">
      <alignment vertical="center"/>
    </xf>
    <xf numFmtId="171" fontId="13" fillId="30" borderId="70" xfId="1" applyNumberFormat="1" applyFont="1" applyFill="1" applyBorder="1" applyAlignment="1">
      <alignment vertical="center"/>
    </xf>
    <xf numFmtId="185" fontId="13" fillId="0" borderId="36" xfId="1" applyNumberFormat="1" applyFont="1" applyFill="1" applyBorder="1" applyAlignment="1">
      <alignment vertical="center"/>
    </xf>
    <xf numFmtId="171" fontId="13" fillId="0" borderId="36" xfId="1" applyNumberFormat="1" applyFont="1" applyFill="1" applyBorder="1" applyAlignment="1">
      <alignment vertical="center"/>
    </xf>
    <xf numFmtId="0" fontId="4" fillId="0" borderId="23" xfId="1" applyFill="1" applyBorder="1" applyAlignment="1">
      <alignment horizontal="right" vertical="center"/>
    </xf>
    <xf numFmtId="0" fontId="114" fillId="0" borderId="23" xfId="105" applyFont="1" applyFill="1" applyBorder="1" applyAlignment="1" applyProtection="1">
      <alignment vertical="center"/>
    </xf>
    <xf numFmtId="0" fontId="14" fillId="0" borderId="23" xfId="105" applyFont="1" applyFill="1" applyBorder="1" applyAlignment="1" applyProtection="1">
      <alignment vertical="center"/>
    </xf>
    <xf numFmtId="0" fontId="14" fillId="0" borderId="43" xfId="105" applyFont="1" applyFill="1" applyBorder="1" applyAlignment="1" applyProtection="1">
      <alignment horizontal="left" vertical="center"/>
    </xf>
    <xf numFmtId="200" fontId="6" fillId="4" borderId="80" xfId="1" applyNumberFormat="1" applyFont="1" applyFill="1" applyBorder="1" applyAlignment="1">
      <alignment vertical="center"/>
    </xf>
    <xf numFmtId="171" fontId="6" fillId="0" borderId="67" xfId="1" applyNumberFormat="1" applyFont="1" applyBorder="1" applyAlignment="1">
      <alignment vertical="center"/>
    </xf>
    <xf numFmtId="200" fontId="6" fillId="30" borderId="2" xfId="1" applyNumberFormat="1" applyFont="1" applyFill="1" applyBorder="1" applyAlignment="1">
      <alignment vertical="center"/>
    </xf>
    <xf numFmtId="171" fontId="6" fillId="30" borderId="67" xfId="1" applyNumberFormat="1" applyFont="1" applyFill="1" applyBorder="1" applyAlignment="1">
      <alignment vertical="center"/>
    </xf>
    <xf numFmtId="200" fontId="6" fillId="0" borderId="0" xfId="1" applyNumberFormat="1" applyFont="1" applyBorder="1" applyAlignment="1">
      <alignment vertical="center"/>
    </xf>
    <xf numFmtId="0" fontId="6" fillId="0" borderId="0" xfId="105" applyFont="1" applyBorder="1" applyAlignment="1" applyProtection="1">
      <alignment vertical="center"/>
    </xf>
    <xf numFmtId="0" fontId="9" fillId="0" borderId="0" xfId="105" applyFont="1" applyBorder="1" applyAlignment="1" applyProtection="1">
      <alignment vertical="center"/>
    </xf>
    <xf numFmtId="0" fontId="9" fillId="0" borderId="23" xfId="1" applyFont="1" applyFill="1" applyBorder="1" applyAlignment="1">
      <alignment horizontal="right" vertical="center"/>
    </xf>
    <xf numFmtId="200" fontId="9" fillId="0" borderId="82" xfId="1" applyNumberFormat="1" applyFont="1" applyBorder="1" applyAlignment="1">
      <alignment vertical="center"/>
    </xf>
    <xf numFmtId="200" fontId="9" fillId="30" borderId="0" xfId="1" applyNumberFormat="1" applyFont="1" applyFill="1" applyBorder="1" applyAlignment="1">
      <alignment vertical="center"/>
    </xf>
    <xf numFmtId="171" fontId="6" fillId="30" borderId="133" xfId="1" applyNumberFormat="1" applyFont="1" applyFill="1" applyBorder="1" applyAlignment="1">
      <alignment vertical="center"/>
    </xf>
    <xf numFmtId="200" fontId="9" fillId="0" borderId="0" xfId="1" applyNumberFormat="1" applyFont="1" applyBorder="1" applyAlignment="1">
      <alignment vertical="center"/>
    </xf>
    <xf numFmtId="0" fontId="6" fillId="0" borderId="57" xfId="105" applyFont="1" applyFill="1" applyBorder="1" applyAlignment="1" applyProtection="1">
      <alignment horizontal="left" vertical="center"/>
    </xf>
    <xf numFmtId="0" fontId="16" fillId="0" borderId="0" xfId="105" applyFont="1" applyBorder="1" applyAlignment="1" applyProtection="1">
      <alignment vertical="center"/>
    </xf>
    <xf numFmtId="200" fontId="9" fillId="0" borderId="81" xfId="1" applyNumberFormat="1" applyFont="1" applyFill="1" applyBorder="1" applyAlignment="1">
      <alignment vertical="center"/>
    </xf>
    <xf numFmtId="171" fontId="6" fillId="0" borderId="133" xfId="1" applyNumberFormat="1" applyFont="1" applyFill="1" applyBorder="1" applyAlignment="1">
      <alignment vertical="center"/>
    </xf>
    <xf numFmtId="200" fontId="9" fillId="30" borderId="58" xfId="1" applyNumberFormat="1" applyFont="1" applyFill="1" applyBorder="1" applyAlignment="1">
      <alignment vertical="center"/>
    </xf>
    <xf numFmtId="200" fontId="9" fillId="0" borderId="57" xfId="1" applyNumberFormat="1" applyFont="1" applyFill="1" applyBorder="1" applyAlignment="1">
      <alignment vertical="center"/>
    </xf>
    <xf numFmtId="0" fontId="16" fillId="0" borderId="58" xfId="105" applyFont="1" applyFill="1" applyBorder="1" applyAlignment="1" applyProtection="1">
      <alignment horizontal="left" vertical="center"/>
    </xf>
    <xf numFmtId="0" fontId="16" fillId="0" borderId="57" xfId="105" applyFont="1" applyFill="1" applyBorder="1" applyAlignment="1" applyProtection="1">
      <alignment horizontal="left" vertical="center"/>
    </xf>
    <xf numFmtId="0" fontId="14" fillId="0" borderId="77" xfId="105" applyFont="1" applyFill="1" applyBorder="1" applyAlignment="1" applyProtection="1">
      <alignment horizontal="left" vertical="center"/>
    </xf>
    <xf numFmtId="0" fontId="4" fillId="0" borderId="0" xfId="1" applyAlignment="1"/>
    <xf numFmtId="0" fontId="9" fillId="0" borderId="82" xfId="105" applyFont="1" applyBorder="1" applyAlignment="1" applyProtection="1">
      <alignment horizontal="center"/>
    </xf>
    <xf numFmtId="0" fontId="9" fillId="0" borderId="67" xfId="105" applyFont="1" applyBorder="1" applyAlignment="1" applyProtection="1">
      <alignment horizontal="center"/>
    </xf>
    <xf numFmtId="0" fontId="9" fillId="30" borderId="0" xfId="105" applyFont="1" applyFill="1" applyBorder="1" applyAlignment="1" applyProtection="1">
      <alignment horizontal="center"/>
    </xf>
    <xf numFmtId="0" fontId="9" fillId="30" borderId="67" xfId="105" applyFont="1" applyFill="1" applyBorder="1" applyAlignment="1" applyProtection="1">
      <alignment horizontal="center"/>
    </xf>
    <xf numFmtId="0" fontId="9" fillId="0" borderId="0" xfId="105" applyFont="1" applyBorder="1" applyAlignment="1" applyProtection="1">
      <alignment horizontal="center"/>
    </xf>
    <xf numFmtId="0" fontId="14" fillId="0" borderId="19" xfId="105" applyFont="1" applyBorder="1" applyAlignment="1" applyProtection="1">
      <alignment horizontal="left"/>
    </xf>
    <xf numFmtId="0" fontId="14" fillId="0" borderId="0" xfId="105" applyFont="1" applyBorder="1" applyAlignment="1" applyProtection="1">
      <alignment horizontal="left"/>
    </xf>
    <xf numFmtId="0" fontId="20" fillId="0" borderId="25" xfId="1" applyFont="1" applyBorder="1" applyAlignment="1">
      <alignment horizont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6" fillId="0" borderId="0" xfId="105" applyFont="1" applyBorder="1" applyAlignment="1" applyProtection="1">
      <alignment horizontal="right" vertical="center"/>
    </xf>
    <xf numFmtId="0" fontId="6" fillId="0" borderId="40" xfId="105" applyFont="1" applyBorder="1" applyAlignment="1" applyProtection="1">
      <alignment vertical="center"/>
    </xf>
    <xf numFmtId="0" fontId="20" fillId="0" borderId="19" xfId="105" applyFont="1" applyBorder="1" applyAlignment="1" applyProtection="1">
      <alignment horizontal="right" vertical="center"/>
    </xf>
    <xf numFmtId="0" fontId="20" fillId="0" borderId="136" xfId="105" applyFont="1" applyBorder="1" applyAlignment="1" applyProtection="1">
      <alignment horizontal="right"/>
    </xf>
    <xf numFmtId="0" fontId="114" fillId="0" borderId="0" xfId="105" applyFont="1" applyBorder="1" applyAlignment="1" applyProtection="1"/>
    <xf numFmtId="0" fontId="14" fillId="0" borderId="0" xfId="105" applyFont="1" applyBorder="1" applyAlignment="1" applyProtection="1"/>
    <xf numFmtId="0" fontId="6" fillId="0" borderId="139" xfId="105" applyFont="1" applyBorder="1" applyAlignment="1" applyProtection="1">
      <alignment horizontal="right" vertical="center"/>
    </xf>
    <xf numFmtId="0" fontId="114" fillId="0" borderId="139" xfId="105" applyFont="1" applyBorder="1" applyAlignment="1" applyProtection="1">
      <alignment vertical="center"/>
    </xf>
    <xf numFmtId="0" fontId="14" fillId="0" borderId="139" xfId="105" applyFont="1" applyBorder="1" applyAlignment="1" applyProtection="1">
      <alignment vertical="center"/>
    </xf>
    <xf numFmtId="0" fontId="14" fillId="0" borderId="138" xfId="105" applyFont="1" applyBorder="1" applyAlignment="1" applyProtection="1">
      <alignment vertical="center"/>
    </xf>
    <xf numFmtId="4" fontId="13" fillId="0" borderId="140" xfId="1" applyNumberFormat="1" applyFont="1" applyBorder="1" applyAlignment="1">
      <alignment horizontal="center" vertical="center"/>
    </xf>
    <xf numFmtId="3" fontId="13" fillId="0" borderId="141" xfId="1" applyNumberFormat="1" applyFont="1" applyBorder="1" applyAlignment="1">
      <alignment horizontal="center" vertical="center"/>
    </xf>
    <xf numFmtId="4" fontId="13" fillId="30" borderId="126" xfId="1" applyNumberFormat="1" applyFont="1" applyFill="1" applyBorder="1" applyAlignment="1">
      <alignment horizontal="center" vertical="center"/>
    </xf>
    <xf numFmtId="3" fontId="13" fillId="30" borderId="141" xfId="1" applyNumberFormat="1" applyFont="1" applyFill="1" applyBorder="1" applyAlignment="1">
      <alignment horizontal="center" vertical="center"/>
    </xf>
    <xf numFmtId="4" fontId="13" fillId="0" borderId="126" xfId="1" applyNumberFormat="1" applyFont="1" applyBorder="1" applyAlignment="1">
      <alignment horizontal="center" vertical="center"/>
    </xf>
    <xf numFmtId="0" fontId="20" fillId="0" borderId="127" xfId="105" applyFont="1" applyBorder="1" applyAlignment="1" applyProtection="1">
      <alignment horizontal="right" vertical="center"/>
    </xf>
    <xf numFmtId="0" fontId="14" fillId="0" borderId="127" xfId="105" applyFont="1" applyBorder="1" applyAlignment="1" applyProtection="1">
      <alignment vertical="center"/>
    </xf>
    <xf numFmtId="0" fontId="14" fillId="0" borderId="125" xfId="105" applyFont="1" applyBorder="1" applyAlignment="1" applyProtection="1">
      <alignment vertical="center"/>
    </xf>
    <xf numFmtId="4" fontId="13" fillId="0" borderId="142" xfId="1" applyNumberFormat="1" applyFont="1" applyBorder="1" applyAlignment="1">
      <alignment horizontal="center"/>
    </xf>
    <xf numFmtId="3" fontId="13" fillId="0" borderId="143" xfId="1" applyNumberFormat="1" applyFont="1" applyBorder="1" applyAlignment="1">
      <alignment horizontal="center"/>
    </xf>
    <xf numFmtId="4" fontId="13" fillId="30" borderId="134" xfId="1" applyNumberFormat="1" applyFont="1" applyFill="1" applyBorder="1" applyAlignment="1">
      <alignment horizontal="center"/>
    </xf>
    <xf numFmtId="3" fontId="13" fillId="30" borderId="143" xfId="1" applyNumberFormat="1" applyFont="1" applyFill="1" applyBorder="1" applyAlignment="1">
      <alignment horizontal="center"/>
    </xf>
    <xf numFmtId="4" fontId="13" fillId="0" borderId="134" xfId="1" applyNumberFormat="1" applyFont="1" applyBorder="1" applyAlignment="1">
      <alignment horizontal="center"/>
    </xf>
    <xf numFmtId="0" fontId="20" fillId="0" borderId="136" xfId="105" applyFont="1" applyBorder="1" applyAlignment="1" applyProtection="1"/>
    <xf numFmtId="0" fontId="14" fillId="0" borderId="136" xfId="105" applyFont="1" applyBorder="1" applyAlignment="1" applyProtection="1"/>
    <xf numFmtId="0" fontId="14" fillId="0" borderId="135" xfId="105" applyFont="1" applyBorder="1" applyAlignment="1" applyProtection="1"/>
    <xf numFmtId="0" fontId="9" fillId="0" borderId="83" xfId="105" applyFont="1" applyBorder="1" applyAlignment="1" applyProtection="1">
      <alignment horizontal="center" vertical="center"/>
    </xf>
    <xf numFmtId="0" fontId="9" fillId="0" borderId="70" xfId="105" applyFont="1" applyBorder="1" applyAlignment="1" applyProtection="1">
      <alignment horizontal="center" vertical="center"/>
    </xf>
    <xf numFmtId="0" fontId="9" fillId="30" borderId="23" xfId="105" applyFont="1" applyFill="1" applyBorder="1" applyAlignment="1" applyProtection="1">
      <alignment horizontal="center" vertical="center"/>
    </xf>
    <xf numFmtId="0" fontId="9" fillId="30" borderId="70" xfId="105" applyFont="1" applyFill="1" applyBorder="1" applyAlignment="1" applyProtection="1">
      <alignment horizontal="center" vertical="center"/>
    </xf>
    <xf numFmtId="0" fontId="9" fillId="0" borderId="23" xfId="105" applyFont="1" applyBorder="1" applyAlignment="1" applyProtection="1">
      <alignment horizontal="center" vertical="center"/>
    </xf>
    <xf numFmtId="0" fontId="6" fillId="0" borderId="144" xfId="105" applyFont="1" applyBorder="1" applyAlignment="1" applyProtection="1">
      <alignment horizontal="right" vertical="center"/>
    </xf>
    <xf numFmtId="0" fontId="114" fillId="0" borderId="144" xfId="105" applyFont="1" applyBorder="1" applyAlignment="1" applyProtection="1">
      <alignment vertical="center"/>
    </xf>
    <xf numFmtId="0" fontId="14" fillId="0" borderId="145" xfId="105" applyFont="1" applyBorder="1" applyAlignment="1" applyProtection="1">
      <alignment vertical="center"/>
    </xf>
    <xf numFmtId="0" fontId="6" fillId="0" borderId="44" xfId="105" applyFont="1" applyFill="1" applyBorder="1" applyAlignment="1" applyProtection="1">
      <alignment horizontal="right" vertical="center"/>
    </xf>
    <xf numFmtId="0" fontId="15" fillId="0" borderId="2" xfId="105" applyFont="1" applyFill="1" applyBorder="1" applyAlignment="1" applyProtection="1">
      <alignment vertical="center"/>
    </xf>
    <xf numFmtId="0" fontId="20" fillId="0" borderId="2" xfId="105" applyFont="1" applyFill="1" applyBorder="1" applyAlignment="1" applyProtection="1">
      <alignment vertical="center"/>
    </xf>
    <xf numFmtId="0" fontId="20" fillId="0" borderId="34" xfId="1" applyFont="1" applyBorder="1" applyAlignment="1" applyProtection="1">
      <alignment horizontal="center" vertical="center"/>
      <protection locked="0"/>
    </xf>
    <xf numFmtId="0" fontId="6" fillId="0" borderId="42" xfId="105" applyFont="1" applyFill="1" applyBorder="1" applyAlignment="1" applyProtection="1">
      <alignment horizontal="right" vertical="center"/>
    </xf>
    <xf numFmtId="0" fontId="6" fillId="0" borderId="0" xfId="1" quotePrefix="1" applyFont="1" applyBorder="1" applyAlignment="1">
      <alignment vertical="center"/>
    </xf>
    <xf numFmtId="0" fontId="13" fillId="0" borderId="0" xfId="105" applyFont="1" applyBorder="1" applyAlignment="1" applyProtection="1">
      <alignment vertical="center"/>
    </xf>
    <xf numFmtId="0" fontId="6" fillId="0" borderId="23" xfId="105" applyFont="1" applyBorder="1" applyAlignment="1" applyProtection="1">
      <alignment horizontal="right" vertical="center"/>
    </xf>
    <xf numFmtId="0" fontId="13" fillId="0" borderId="23" xfId="105" applyFont="1" applyBorder="1" applyAlignment="1" applyProtection="1">
      <alignment vertical="center"/>
    </xf>
    <xf numFmtId="0" fontId="14" fillId="0" borderId="23" xfId="105" applyFont="1" applyBorder="1" applyAlignment="1" applyProtection="1">
      <alignment vertical="center"/>
    </xf>
    <xf numFmtId="0" fontId="14" fillId="0" borderId="2" xfId="105" applyFont="1" applyBorder="1" applyAlignment="1" applyProtection="1">
      <alignment vertical="center"/>
    </xf>
    <xf numFmtId="205" fontId="5" fillId="0" borderId="23" xfId="105" applyNumberFormat="1" applyFont="1" applyBorder="1" applyAlignment="1" applyProtection="1">
      <alignment horizontal="center" vertical="center"/>
    </xf>
    <xf numFmtId="0" fontId="6" fillId="0" borderId="23" xfId="105" applyFont="1" applyBorder="1" applyAlignment="1" applyProtection="1">
      <alignment vertical="center"/>
    </xf>
    <xf numFmtId="0" fontId="6" fillId="0" borderId="43" xfId="105" applyFont="1" applyBorder="1" applyAlignment="1" applyProtection="1">
      <alignment vertical="center"/>
    </xf>
    <xf numFmtId="206" fontId="13" fillId="0" borderId="58" xfId="1" applyNumberFormat="1" applyFont="1" applyBorder="1" applyAlignment="1">
      <alignment horizontal="right" vertical="center"/>
    </xf>
    <xf numFmtId="206" fontId="13" fillId="0" borderId="77" xfId="1" applyNumberFormat="1" applyFont="1" applyBorder="1" applyAlignment="1">
      <alignment horizontal="right" vertical="center"/>
    </xf>
    <xf numFmtId="0" fontId="4" fillId="30" borderId="58" xfId="1" applyFill="1" applyBorder="1" applyAlignment="1">
      <alignment vertical="center"/>
    </xf>
    <xf numFmtId="206" fontId="13" fillId="30" borderId="77" xfId="1" applyNumberFormat="1" applyFont="1" applyFill="1" applyBorder="1" applyAlignment="1">
      <alignment horizontal="right" vertical="center"/>
    </xf>
    <xf numFmtId="0" fontId="4" fillId="0" borderId="58" xfId="1" applyBorder="1" applyAlignment="1">
      <alignment vertical="center"/>
    </xf>
    <xf numFmtId="206" fontId="13" fillId="4" borderId="77" xfId="1" applyNumberFormat="1" applyFont="1" applyFill="1" applyBorder="1" applyAlignment="1">
      <alignment horizontal="right" vertical="center"/>
    </xf>
    <xf numFmtId="0" fontId="13" fillId="0" borderId="57" xfId="1" applyFont="1" applyBorder="1" applyAlignment="1">
      <alignment horizontal="right" vertical="center"/>
    </xf>
    <xf numFmtId="0" fontId="114" fillId="0" borderId="57" xfId="105" applyFont="1" applyBorder="1" applyAlignment="1" applyProtection="1">
      <alignment vertical="center"/>
    </xf>
    <xf numFmtId="0" fontId="14" fillId="0" borderId="57" xfId="105" applyFont="1" applyBorder="1" applyAlignment="1" applyProtection="1">
      <alignment vertical="center"/>
    </xf>
    <xf numFmtId="0" fontId="6" fillId="0" borderId="2" xfId="105" applyFont="1" applyFill="1" applyBorder="1" applyAlignment="1" applyProtection="1">
      <alignment horizontal="right" vertical="center"/>
    </xf>
    <xf numFmtId="0" fontId="20" fillId="0" borderId="2" xfId="105" applyFont="1" applyFill="1" applyBorder="1" applyAlignment="1" applyProtection="1">
      <alignment horizontal="left" vertical="center"/>
    </xf>
    <xf numFmtId="0" fontId="13" fillId="0" borderId="23" xfId="105" applyFont="1" applyFill="1" applyBorder="1" applyAlignment="1" applyProtection="1">
      <alignment horizontal="right" vertical="center"/>
    </xf>
    <xf numFmtId="9" fontId="6" fillId="0" borderId="0" xfId="105" applyNumberFormat="1" applyFont="1" applyBorder="1" applyAlignment="1" applyProtection="1">
      <alignment horizontal="right" vertical="center"/>
    </xf>
    <xf numFmtId="0" fontId="6" fillId="0" borderId="0" xfId="105" quotePrefix="1" applyFont="1" applyBorder="1" applyAlignment="1" applyProtection="1">
      <alignment vertical="center"/>
    </xf>
    <xf numFmtId="0" fontId="20" fillId="0" borderId="0" xfId="105" applyFont="1" applyBorder="1" applyAlignment="1" applyProtection="1">
      <alignment vertical="center"/>
    </xf>
    <xf numFmtId="2" fontId="6" fillId="30" borderId="44" xfId="1" applyNumberFormat="1" applyFont="1" applyFill="1" applyBorder="1" applyAlignment="1">
      <alignment horizontal="right" vertical="center"/>
    </xf>
    <xf numFmtId="188" fontId="6" fillId="30" borderId="39" xfId="1" applyNumberFormat="1" applyFont="1" applyFill="1" applyBorder="1" applyAlignment="1">
      <alignment horizontal="right" vertical="center"/>
    </xf>
    <xf numFmtId="2" fontId="6" fillId="41" borderId="44" xfId="1" applyNumberFormat="1" applyFont="1" applyFill="1" applyBorder="1" applyAlignment="1">
      <alignment horizontal="right" vertical="center"/>
    </xf>
    <xf numFmtId="188" fontId="6" fillId="41" borderId="39" xfId="1" applyNumberFormat="1" applyFont="1" applyFill="1" applyBorder="1" applyAlignment="1">
      <alignment horizontal="right" vertical="center"/>
    </xf>
    <xf numFmtId="0" fontId="6" fillId="30" borderId="2" xfId="1" applyFont="1" applyFill="1" applyBorder="1" applyAlignment="1">
      <alignment horizontal="right" vertical="center"/>
    </xf>
    <xf numFmtId="0" fontId="45" fillId="30" borderId="2" xfId="105" applyFont="1" applyFill="1" applyBorder="1" applyAlignment="1" applyProtection="1">
      <alignment vertical="center"/>
    </xf>
    <xf numFmtId="0" fontId="4" fillId="30" borderId="2" xfId="1" applyFill="1" applyBorder="1" applyAlignment="1">
      <alignment vertical="center"/>
    </xf>
    <xf numFmtId="0" fontId="20" fillId="30" borderId="39" xfId="105" applyFont="1" applyFill="1" applyBorder="1" applyAlignment="1" applyProtection="1">
      <alignment vertical="center"/>
    </xf>
    <xf numFmtId="0" fontId="6" fillId="0" borderId="42" xfId="1" applyFont="1" applyFill="1" applyBorder="1" applyAlignment="1">
      <alignment horizontal="right" vertical="center"/>
    </xf>
    <xf numFmtId="0" fontId="45" fillId="0" borderId="23" xfId="105" applyFont="1" applyFill="1" applyBorder="1" applyAlignment="1" applyProtection="1">
      <alignment vertical="center"/>
    </xf>
    <xf numFmtId="0" fontId="4" fillId="0" borderId="23" xfId="1" applyFill="1" applyBorder="1" applyAlignment="1">
      <alignment vertical="center"/>
    </xf>
    <xf numFmtId="0" fontId="14" fillId="0" borderId="43" xfId="105" applyFont="1" applyFill="1" applyBorder="1" applyAlignment="1" applyProtection="1">
      <alignment vertical="center"/>
    </xf>
    <xf numFmtId="0" fontId="16" fillId="0" borderId="0" xfId="105" applyFont="1" applyBorder="1" applyAlignment="1">
      <alignment vertical="center"/>
    </xf>
    <xf numFmtId="0" fontId="6" fillId="0" borderId="0" xfId="105" applyFont="1" applyBorder="1" applyAlignment="1">
      <alignment vertical="center"/>
    </xf>
    <xf numFmtId="0" fontId="6" fillId="0" borderId="0" xfId="105" applyFont="1" applyFill="1" applyBorder="1" applyAlignment="1" applyProtection="1">
      <alignment horizontal="right" vertical="center"/>
    </xf>
    <xf numFmtId="0" fontId="6" fillId="0" borderId="23" xfId="1" applyFont="1" applyBorder="1" applyAlignment="1">
      <alignment horizontal="right" vertical="center"/>
    </xf>
    <xf numFmtId="0" fontId="16" fillId="0" borderId="23" xfId="105" applyFont="1" applyBorder="1" applyAlignment="1" applyProtection="1">
      <alignment vertical="center"/>
    </xf>
    <xf numFmtId="0" fontId="6" fillId="0" borderId="57" xfId="105" applyFont="1" applyFill="1" applyBorder="1" applyAlignment="1" applyProtection="1">
      <alignment horizontal="right" vertical="center"/>
    </xf>
    <xf numFmtId="0" fontId="16" fillId="0" borderId="57" xfId="105" applyFont="1" applyBorder="1" applyAlignment="1" applyProtection="1">
      <alignment vertical="center"/>
    </xf>
    <xf numFmtId="0" fontId="13" fillId="0" borderId="57" xfId="105" applyFont="1" applyBorder="1" applyAlignment="1" applyProtection="1">
      <alignment horizontal="left" vertical="center"/>
    </xf>
    <xf numFmtId="0" fontId="14" fillId="0" borderId="39" xfId="1" applyFont="1" applyBorder="1" applyAlignment="1">
      <alignment vertical="center"/>
    </xf>
    <xf numFmtId="0" fontId="16" fillId="0" borderId="2" xfId="105" applyFont="1" applyBorder="1" applyAlignment="1" applyProtection="1">
      <alignment vertical="center"/>
    </xf>
    <xf numFmtId="0" fontId="13" fillId="0" borderId="2" xfId="105" applyFont="1" applyBorder="1" applyAlignment="1" applyProtection="1">
      <alignment horizontal="left" vertical="center"/>
    </xf>
    <xf numFmtId="0" fontId="6" fillId="0" borderId="40" xfId="105" applyFont="1" applyBorder="1" applyAlignment="1">
      <alignment vertical="center"/>
    </xf>
    <xf numFmtId="0" fontId="20" fillId="0" borderId="25" xfId="1" applyFont="1" applyFill="1" applyBorder="1" applyAlignment="1">
      <alignment horizontal="center" vertical="center"/>
    </xf>
    <xf numFmtId="0" fontId="114" fillId="0" borderId="2" xfId="1" applyFont="1" applyBorder="1" applyAlignment="1">
      <alignment vertical="center"/>
    </xf>
    <xf numFmtId="0" fontId="115" fillId="0" borderId="0" xfId="1" applyFont="1" applyAlignment="1">
      <alignment vertical="center"/>
    </xf>
    <xf numFmtId="0" fontId="13" fillId="0" borderId="2" xfId="1" applyFont="1" applyFill="1" applyBorder="1" applyAlignment="1">
      <alignment horizontal="right" vertical="center"/>
    </xf>
    <xf numFmtId="0" fontId="14" fillId="0" borderId="2" xfId="1" applyFont="1" applyBorder="1" applyAlignment="1">
      <alignment vertical="center"/>
    </xf>
    <xf numFmtId="172" fontId="16" fillId="4" borderId="44" xfId="1" applyNumberFormat="1" applyFont="1" applyFill="1" applyBorder="1" applyAlignment="1">
      <alignment horizontal="right" vertical="center"/>
    </xf>
    <xf numFmtId="0" fontId="6" fillId="0" borderId="39" xfId="1" applyFont="1" applyBorder="1" applyAlignment="1">
      <alignment horizontal="left" vertical="center"/>
    </xf>
    <xf numFmtId="172" fontId="16" fillId="41" borderId="44" xfId="1" applyNumberFormat="1" applyFont="1" applyFill="1" applyBorder="1" applyAlignment="1">
      <alignment horizontal="right" vertical="center"/>
    </xf>
    <xf numFmtId="0" fontId="6" fillId="41" borderId="39" xfId="1" applyFont="1" applyFill="1" applyBorder="1" applyAlignment="1">
      <alignment horizontal="left" vertical="center"/>
    </xf>
    <xf numFmtId="0" fontId="115" fillId="0" borderId="2" xfId="1" applyFont="1" applyBorder="1" applyAlignment="1">
      <alignment vertical="center"/>
    </xf>
    <xf numFmtId="0" fontId="6" fillId="0" borderId="2" xfId="1" applyFont="1" applyBorder="1" applyAlignment="1">
      <alignment vertical="center"/>
    </xf>
    <xf numFmtId="172" fontId="14" fillId="4" borderId="42" xfId="1" applyNumberFormat="1" applyFont="1" applyFill="1" applyBorder="1" applyAlignment="1">
      <alignment horizontal="right" vertical="center"/>
    </xf>
    <xf numFmtId="0" fontId="6" fillId="0" borderId="43" xfId="1" applyFont="1" applyBorder="1" applyAlignment="1">
      <alignment horizontal="left" vertical="center"/>
    </xf>
    <xf numFmtId="172" fontId="14" fillId="41" borderId="42" xfId="1" applyNumberFormat="1" applyFont="1" applyFill="1" applyBorder="1" applyAlignment="1">
      <alignment horizontal="right" vertical="center"/>
    </xf>
    <xf numFmtId="0" fontId="6" fillId="41" borderId="43" xfId="1" applyFont="1" applyFill="1" applyBorder="1" applyAlignment="1">
      <alignment horizontal="left" vertical="center"/>
    </xf>
    <xf numFmtId="0" fontId="13" fillId="0" borderId="23" xfId="1" applyFont="1" applyBorder="1" applyAlignment="1">
      <alignment horizontal="right" vertical="center"/>
    </xf>
    <xf numFmtId="0" fontId="114" fillId="0" borderId="23" xfId="1" applyFont="1" applyBorder="1" applyAlignment="1">
      <alignment vertical="center"/>
    </xf>
    <xf numFmtId="0" fontId="14" fillId="0" borderId="23" xfId="1" applyFont="1" applyBorder="1" applyAlignment="1">
      <alignment vertical="center"/>
    </xf>
    <xf numFmtId="0" fontId="20" fillId="0" borderId="25" xfId="1" applyFont="1" applyBorder="1" applyAlignment="1" applyProtection="1">
      <alignment horizontal="center" vertical="center"/>
    </xf>
    <xf numFmtId="0" fontId="116" fillId="0" borderId="23" xfId="1" applyFont="1" applyBorder="1" applyAlignment="1">
      <alignment horizontal="right" vertical="center"/>
    </xf>
    <xf numFmtId="0" fontId="100" fillId="0" borderId="23" xfId="1" applyFont="1" applyBorder="1" applyAlignment="1">
      <alignment vertical="center"/>
    </xf>
    <xf numFmtId="0" fontId="13" fillId="0" borderId="58" xfId="1" applyFont="1" applyBorder="1" applyAlignment="1">
      <alignment horizontal="right" vertical="center"/>
    </xf>
    <xf numFmtId="0" fontId="4" fillId="0" borderId="57" xfId="1" applyFill="1" applyBorder="1" applyAlignment="1">
      <alignment vertical="center"/>
    </xf>
    <xf numFmtId="0" fontId="14" fillId="0" borderId="77" xfId="1" applyFont="1" applyFill="1" applyBorder="1" applyAlignment="1">
      <alignment vertical="center"/>
    </xf>
    <xf numFmtId="0" fontId="60" fillId="3" borderId="0" xfId="1" applyFont="1" applyFill="1" applyBorder="1" applyAlignment="1">
      <alignment vertical="center"/>
    </xf>
    <xf numFmtId="0" fontId="6" fillId="0" borderId="58" xfId="1" applyFont="1" applyBorder="1" applyAlignment="1">
      <alignment vertical="center"/>
    </xf>
    <xf numFmtId="0" fontId="118" fillId="0" borderId="77" xfId="1" applyFont="1" applyBorder="1" applyAlignment="1">
      <alignment horizontal="left" vertical="center"/>
    </xf>
    <xf numFmtId="0" fontId="13" fillId="4" borderId="58" xfId="1" applyFont="1" applyFill="1" applyBorder="1" applyAlignment="1" applyProtection="1">
      <alignment horizontal="right" vertical="center"/>
    </xf>
    <xf numFmtId="0" fontId="118" fillId="0" borderId="57" xfId="1" applyFont="1" applyBorder="1" applyAlignment="1">
      <alignment horizontal="left" vertical="center"/>
    </xf>
    <xf numFmtId="0" fontId="109" fillId="4" borderId="58" xfId="1" applyFont="1" applyFill="1" applyBorder="1" applyAlignment="1" applyProtection="1">
      <alignment horizontal="right" vertical="center"/>
    </xf>
    <xf numFmtId="0" fontId="109" fillId="0" borderId="57" xfId="1" applyFont="1" applyBorder="1" applyAlignment="1">
      <alignment horizontal="right" vertical="center"/>
    </xf>
    <xf numFmtId="0" fontId="16" fillId="0" borderId="77" xfId="1" applyFont="1" applyBorder="1" applyAlignment="1" applyProtection="1">
      <alignment vertical="center"/>
    </xf>
    <xf numFmtId="0" fontId="119" fillId="0" borderId="57" xfId="1" applyFont="1" applyFill="1" applyBorder="1" applyAlignment="1">
      <alignment horizontal="center" vertical="center"/>
    </xf>
    <xf numFmtId="0" fontId="18" fillId="0" borderId="57" xfId="1" applyFont="1" applyFill="1" applyBorder="1" applyAlignment="1">
      <alignment vertical="center"/>
    </xf>
    <xf numFmtId="0" fontId="18" fillId="0" borderId="77" xfId="1" applyFont="1" applyFill="1" applyBorder="1" applyAlignment="1">
      <alignment vertical="center"/>
    </xf>
    <xf numFmtId="3" fontId="120" fillId="4" borderId="0" xfId="1" applyNumberFormat="1" applyFont="1" applyFill="1" applyAlignment="1">
      <alignment horizontal="right" vertical="center"/>
    </xf>
    <xf numFmtId="3" fontId="120" fillId="4" borderId="0" xfId="1" applyNumberFormat="1" applyFont="1" applyFill="1" applyBorder="1" applyAlignment="1">
      <alignment horizontal="right" vertical="center"/>
    </xf>
    <xf numFmtId="3" fontId="120" fillId="4" borderId="0" xfId="1" applyNumberFormat="1" applyFont="1" applyFill="1" applyBorder="1" applyAlignment="1">
      <alignment horizontal="left" vertical="center"/>
    </xf>
    <xf numFmtId="3" fontId="77" fillId="4" borderId="48" xfId="1" applyNumberFormat="1" applyFont="1" applyFill="1" applyBorder="1" applyAlignment="1">
      <alignment horizontal="right" vertical="center"/>
    </xf>
    <xf numFmtId="3" fontId="77" fillId="4" borderId="146" xfId="1" applyNumberFormat="1" applyFont="1" applyFill="1" applyBorder="1" applyAlignment="1">
      <alignment horizontal="right" vertical="center"/>
    </xf>
    <xf numFmtId="3" fontId="77" fillId="4" borderId="47" xfId="1" applyNumberFormat="1" applyFont="1" applyFill="1" applyBorder="1" applyAlignment="1">
      <alignment horizontal="right" vertical="center"/>
    </xf>
    <xf numFmtId="3" fontId="77" fillId="4" borderId="48" xfId="1" applyNumberFormat="1" applyFont="1" applyFill="1" applyBorder="1" applyAlignment="1">
      <alignment horizontal="left" vertical="center"/>
    </xf>
    <xf numFmtId="3" fontId="77" fillId="4" borderId="60" xfId="105" applyNumberFormat="1" applyFont="1" applyFill="1" applyBorder="1" applyAlignment="1" applyProtection="1">
      <alignment horizontal="left" vertical="center"/>
    </xf>
    <xf numFmtId="3" fontId="121" fillId="32" borderId="0" xfId="1" applyNumberFormat="1" applyFont="1" applyFill="1" applyAlignment="1">
      <alignment horizontal="right" vertical="center"/>
    </xf>
    <xf numFmtId="3" fontId="120" fillId="4" borderId="47" xfId="105" applyNumberFormat="1" applyFont="1" applyFill="1" applyBorder="1" applyAlignment="1" applyProtection="1">
      <alignment horizontal="right" vertical="center"/>
    </xf>
    <xf numFmtId="3" fontId="120" fillId="4" borderId="29" xfId="1" applyNumberFormat="1" applyFont="1" applyFill="1" applyBorder="1" applyAlignment="1">
      <alignment horizontal="right" vertical="center"/>
    </xf>
    <xf numFmtId="3" fontId="120" fillId="4" borderId="19" xfId="1" applyNumberFormat="1" applyFont="1" applyFill="1" applyBorder="1" applyAlignment="1">
      <alignment horizontal="right" vertical="center"/>
    </xf>
    <xf numFmtId="3" fontId="120" fillId="4" borderId="32" xfId="1" applyNumberFormat="1" applyFont="1" applyFill="1" applyBorder="1" applyAlignment="1">
      <alignment horizontal="left" vertical="center"/>
    </xf>
    <xf numFmtId="3" fontId="120" fillId="4" borderId="25"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protection locked="0"/>
    </xf>
    <xf numFmtId="3" fontId="120" fillId="4" borderId="147" xfId="1" applyNumberFormat="1" applyFont="1" applyFill="1" applyBorder="1" applyAlignment="1">
      <alignment horizontal="right" vertical="center"/>
    </xf>
    <xf numFmtId="3" fontId="120" fillId="4" borderId="131" xfId="1" applyNumberFormat="1" applyFont="1" applyFill="1" applyBorder="1" applyAlignment="1">
      <alignment horizontal="right" vertical="center"/>
    </xf>
    <xf numFmtId="3" fontId="120" fillId="4" borderId="148" xfId="1" applyNumberFormat="1" applyFont="1" applyFill="1" applyBorder="1" applyAlignment="1">
      <alignment horizontal="right" vertical="center"/>
    </xf>
    <xf numFmtId="3" fontId="120" fillId="4" borderId="79" xfId="105" applyNumberFormat="1" applyFont="1" applyFill="1" applyBorder="1" applyAlignment="1">
      <alignment horizontal="left" vertical="center"/>
    </xf>
    <xf numFmtId="4" fontId="120" fillId="4" borderId="0" xfId="1" applyNumberFormat="1" applyFont="1" applyFill="1" applyAlignment="1">
      <alignment horizontal="right" vertical="center"/>
    </xf>
    <xf numFmtId="4" fontId="77" fillId="4" borderId="25" xfId="1" applyNumberFormat="1" applyFont="1" applyFill="1" applyBorder="1" applyAlignment="1">
      <alignment horizontal="right" vertical="center"/>
    </xf>
    <xf numFmtId="4" fontId="77" fillId="4" borderId="19" xfId="1" applyNumberFormat="1" applyFont="1" applyFill="1" applyBorder="1" applyAlignment="1">
      <alignment horizontal="right" vertical="center"/>
    </xf>
    <xf numFmtId="4" fontId="77" fillId="4" borderId="29" xfId="1" applyNumberFormat="1" applyFont="1" applyFill="1" applyBorder="1" applyAlignment="1">
      <alignment horizontal="right" vertical="center"/>
    </xf>
    <xf numFmtId="4" fontId="120" fillId="4" borderId="127" xfId="105" applyNumberFormat="1" applyFont="1" applyFill="1" applyBorder="1" applyAlignment="1" applyProtection="1">
      <alignment horizontal="right" vertical="center"/>
    </xf>
    <xf numFmtId="4" fontId="120" fillId="4" borderId="149" xfId="105" applyNumberFormat="1" applyFont="1" applyFill="1" applyBorder="1" applyAlignment="1" applyProtection="1">
      <alignment horizontal="center" vertical="center" wrapText="1"/>
    </xf>
    <xf numFmtId="3" fontId="120" fillId="4" borderId="0" xfId="105" applyNumberFormat="1" applyFont="1" applyFill="1" applyBorder="1" applyAlignment="1" applyProtection="1">
      <alignment horizontal="right" vertical="center"/>
    </xf>
    <xf numFmtId="3" fontId="77" fillId="4" borderId="32" xfId="105" applyNumberFormat="1" applyFont="1" applyFill="1" applyBorder="1" applyAlignment="1" applyProtection="1">
      <alignment horizontal="left" vertical="center"/>
    </xf>
    <xf numFmtId="4" fontId="120" fillId="4" borderId="0" xfId="105" applyNumberFormat="1" applyFont="1" applyFill="1" applyBorder="1" applyAlignment="1" applyProtection="1">
      <alignment horizontal="right" vertical="center"/>
    </xf>
    <xf numFmtId="4" fontId="120" fillId="4" borderId="32" xfId="105" applyNumberFormat="1" applyFont="1" applyFill="1" applyBorder="1" applyAlignment="1" applyProtection="1">
      <alignment horizontal="left" vertical="center"/>
    </xf>
    <xf numFmtId="4" fontId="120" fillId="4" borderId="25" xfId="1" applyNumberFormat="1" applyFont="1" applyFill="1" applyBorder="1" applyAlignment="1">
      <alignment horizontal="right" vertical="center"/>
    </xf>
    <xf numFmtId="4" fontId="120" fillId="4" borderId="19" xfId="1" applyNumberFormat="1" applyFont="1" applyFill="1" applyBorder="1" applyAlignment="1">
      <alignment horizontal="right" vertical="center"/>
    </xf>
    <xf numFmtId="4" fontId="120" fillId="4" borderId="29" xfId="1" applyNumberFormat="1" applyFont="1" applyFill="1" applyBorder="1" applyAlignment="1">
      <alignment horizontal="right" vertical="center"/>
    </xf>
    <xf numFmtId="3" fontId="120" fillId="4" borderId="136" xfId="105" applyNumberFormat="1" applyFont="1" applyFill="1" applyBorder="1" applyAlignment="1" applyProtection="1">
      <alignment horizontal="right" vertical="center"/>
    </xf>
    <xf numFmtId="3" fontId="120" fillId="4" borderId="150" xfId="105" applyNumberFormat="1" applyFont="1" applyFill="1" applyBorder="1" applyAlignment="1" applyProtection="1">
      <alignment horizontal="left" vertical="center"/>
    </xf>
    <xf numFmtId="4" fontId="77" fillId="4" borderId="151" xfId="1" applyNumberFormat="1" applyFont="1" applyFill="1" applyBorder="1" applyAlignment="1">
      <alignment horizontal="right" vertical="center"/>
    </xf>
    <xf numFmtId="4" fontId="77" fillId="4" borderId="126" xfId="1" applyNumberFormat="1" applyFont="1" applyFill="1" applyBorder="1" applyAlignment="1">
      <alignment horizontal="right" vertical="center"/>
    </xf>
    <xf numFmtId="4" fontId="77" fillId="4" borderId="152" xfId="1" applyNumberFormat="1" applyFont="1" applyFill="1" applyBorder="1" applyAlignment="1">
      <alignment horizontal="right" vertical="center"/>
    </xf>
    <xf numFmtId="4" fontId="77" fillId="0" borderId="25" xfId="1" applyNumberFormat="1" applyFont="1" applyFill="1" applyBorder="1" applyAlignment="1">
      <alignment horizontal="right" vertical="center"/>
    </xf>
    <xf numFmtId="4" fontId="77" fillId="0" borderId="19" xfId="1" applyNumberFormat="1" applyFont="1" applyFill="1" applyBorder="1" applyAlignment="1">
      <alignment horizontal="right" vertical="center"/>
    </xf>
    <xf numFmtId="4" fontId="77" fillId="0" borderId="29" xfId="1" applyNumberFormat="1" applyFont="1" applyFill="1" applyBorder="1" applyAlignment="1">
      <alignment horizontal="right" vertical="center"/>
    </xf>
    <xf numFmtId="3" fontId="120" fillId="0" borderId="153" xfId="1" applyNumberFormat="1" applyFont="1" applyFill="1" applyBorder="1" applyAlignment="1">
      <alignment horizontal="right" vertical="center"/>
    </xf>
    <xf numFmtId="3" fontId="120" fillId="0" borderId="134" xfId="1" applyNumberFormat="1" applyFont="1" applyFill="1" applyBorder="1" applyAlignment="1">
      <alignment horizontal="right" vertical="center"/>
    </xf>
    <xf numFmtId="3" fontId="120" fillId="0" borderId="154" xfId="1" applyNumberFormat="1" applyFont="1" applyFill="1" applyBorder="1" applyAlignment="1">
      <alignment horizontal="right" vertical="center"/>
    </xf>
    <xf numFmtId="4" fontId="77" fillId="0" borderId="151" xfId="1" applyNumberFormat="1" applyFont="1" applyFill="1" applyBorder="1" applyAlignment="1">
      <alignment horizontal="right" vertical="center"/>
    </xf>
    <xf numFmtId="4" fontId="77" fillId="0" borderId="126" xfId="1" applyNumberFormat="1" applyFont="1" applyFill="1" applyBorder="1" applyAlignment="1">
      <alignment horizontal="right" vertical="center"/>
    </xf>
    <xf numFmtId="4" fontId="77" fillId="0" borderId="152" xfId="1" applyNumberFormat="1" applyFont="1" applyFill="1" applyBorder="1" applyAlignment="1">
      <alignment horizontal="right" vertical="center"/>
    </xf>
    <xf numFmtId="4" fontId="120" fillId="4" borderId="149" xfId="105" applyNumberFormat="1" applyFont="1" applyFill="1" applyBorder="1" applyAlignment="1" applyProtection="1">
      <alignment horizontal="left" vertical="center"/>
    </xf>
    <xf numFmtId="3" fontId="77" fillId="4" borderId="150" xfId="105" applyNumberFormat="1" applyFont="1" applyFill="1" applyBorder="1" applyAlignment="1" applyProtection="1">
      <alignment horizontal="left" vertical="center"/>
    </xf>
    <xf numFmtId="4" fontId="77" fillId="4" borderId="32" xfId="105" applyNumberFormat="1" applyFont="1" applyFill="1" applyBorder="1" applyAlignment="1" applyProtection="1">
      <alignment horizontal="left" vertical="center"/>
    </xf>
    <xf numFmtId="3" fontId="77" fillId="4" borderId="3" xfId="1" applyNumberFormat="1" applyFont="1" applyFill="1" applyBorder="1" applyAlignment="1">
      <alignment horizontal="right" vertical="center"/>
    </xf>
    <xf numFmtId="3" fontId="77" fillId="4" borderId="58" xfId="1" applyNumberFormat="1" applyFont="1" applyFill="1" applyBorder="1" applyAlignment="1">
      <alignment horizontal="right" vertical="center"/>
    </xf>
    <xf numFmtId="3" fontId="77" fillId="4" borderId="155" xfId="1" applyNumberFormat="1" applyFont="1" applyFill="1" applyBorder="1" applyAlignment="1">
      <alignment horizontal="right" vertical="center"/>
    </xf>
    <xf numFmtId="3" fontId="120" fillId="4" borderId="58" xfId="105" applyNumberFormat="1" applyFont="1" applyFill="1" applyBorder="1" applyAlignment="1" applyProtection="1">
      <alignment horizontal="right" vertical="center"/>
    </xf>
    <xf numFmtId="3" fontId="77" fillId="4" borderId="156" xfId="105" applyNumberFormat="1" applyFont="1" applyFill="1" applyBorder="1" applyAlignment="1" applyProtection="1">
      <alignment horizontal="left" vertical="center"/>
    </xf>
    <xf numFmtId="3" fontId="120" fillId="4" borderId="34" xfId="1" applyNumberFormat="1" applyFont="1" applyFill="1" applyBorder="1" applyAlignment="1">
      <alignment horizontal="right" vertical="center"/>
    </xf>
    <xf numFmtId="3" fontId="120" fillId="4" borderId="44" xfId="1" applyNumberFormat="1" applyFont="1" applyFill="1" applyBorder="1" applyAlignment="1">
      <alignment horizontal="right" vertical="center"/>
    </xf>
    <xf numFmtId="3" fontId="120" fillId="4" borderId="157"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xf>
    <xf numFmtId="3" fontId="77" fillId="4" borderId="25" xfId="1" applyNumberFormat="1" applyFont="1" applyFill="1" applyBorder="1" applyAlignment="1">
      <alignment horizontal="right" vertical="center"/>
    </xf>
    <xf numFmtId="3" fontId="77" fillId="4" borderId="19" xfId="1" applyNumberFormat="1" applyFont="1" applyFill="1" applyBorder="1" applyAlignment="1">
      <alignment horizontal="right" vertical="center"/>
    </xf>
    <xf numFmtId="3" fontId="77" fillId="4" borderId="29" xfId="1" applyNumberFormat="1" applyFont="1" applyFill="1" applyBorder="1" applyAlignment="1">
      <alignment horizontal="right" vertical="center"/>
    </xf>
    <xf numFmtId="3" fontId="120" fillId="4" borderId="36" xfId="1" applyNumberFormat="1" applyFont="1" applyFill="1" applyBorder="1" applyAlignment="1">
      <alignment horizontal="right" vertical="center"/>
    </xf>
    <xf numFmtId="3" fontId="120" fillId="4" borderId="42" xfId="1" applyNumberFormat="1" applyFont="1" applyFill="1" applyBorder="1" applyAlignment="1">
      <alignment horizontal="right" vertical="center"/>
    </xf>
    <xf numFmtId="3" fontId="120" fillId="4" borderId="158" xfId="1" applyNumberFormat="1" applyFont="1" applyFill="1" applyBorder="1" applyAlignment="1">
      <alignment horizontal="right" vertical="center"/>
    </xf>
    <xf numFmtId="3" fontId="120" fillId="4" borderId="23" xfId="105" applyNumberFormat="1" applyFont="1" applyFill="1" applyBorder="1" applyAlignment="1" applyProtection="1">
      <alignment horizontal="right" vertical="center"/>
    </xf>
    <xf numFmtId="3" fontId="77" fillId="4" borderId="159" xfId="105" applyNumberFormat="1" applyFont="1" applyFill="1" applyBorder="1" applyAlignment="1" applyProtection="1">
      <alignment horizontal="left" vertical="center"/>
    </xf>
    <xf numFmtId="4" fontId="120" fillId="4" borderId="34" xfId="1" applyNumberFormat="1" applyFont="1" applyFill="1" applyBorder="1" applyAlignment="1">
      <alignment horizontal="right" vertical="center"/>
    </xf>
    <xf numFmtId="4" fontId="120" fillId="4" borderId="44" xfId="1" applyNumberFormat="1" applyFont="1" applyFill="1" applyBorder="1" applyAlignment="1">
      <alignment horizontal="right" vertical="center"/>
    </xf>
    <xf numFmtId="4" fontId="120" fillId="4" borderId="157" xfId="1" applyNumberFormat="1" applyFont="1" applyFill="1" applyBorder="1" applyAlignment="1">
      <alignment horizontal="right" vertical="center"/>
    </xf>
    <xf numFmtId="4" fontId="120" fillId="4" borderId="44" xfId="105" applyNumberFormat="1" applyFont="1" applyFill="1" applyBorder="1" applyAlignment="1" applyProtection="1">
      <alignment horizontal="right" vertical="center"/>
    </xf>
    <xf numFmtId="4" fontId="120" fillId="4" borderId="160" xfId="105" applyNumberFormat="1" applyFont="1" applyFill="1" applyBorder="1" applyAlignment="1" applyProtection="1">
      <alignment horizontal="left" vertical="center"/>
    </xf>
    <xf numFmtId="3" fontId="77" fillId="4" borderId="36" xfId="1" applyNumberFormat="1" applyFont="1" applyFill="1" applyBorder="1" applyAlignment="1">
      <alignment horizontal="right" vertical="center"/>
    </xf>
    <xf numFmtId="3" fontId="77" fillId="4" borderId="42" xfId="1" applyNumberFormat="1" applyFont="1" applyFill="1" applyBorder="1" applyAlignment="1">
      <alignment horizontal="right" vertical="center"/>
    </xf>
    <xf numFmtId="3" fontId="77" fillId="4" borderId="158" xfId="1" applyNumberFormat="1" applyFont="1" applyFill="1" applyBorder="1" applyAlignment="1">
      <alignment horizontal="right" vertical="center"/>
    </xf>
    <xf numFmtId="3" fontId="120" fillId="4" borderId="42" xfId="105" applyNumberFormat="1" applyFont="1" applyFill="1" applyBorder="1" applyAlignment="1" applyProtection="1">
      <alignment horizontal="right" vertical="center"/>
    </xf>
    <xf numFmtId="4" fontId="120" fillId="4" borderId="2" xfId="105" applyNumberFormat="1" applyFont="1" applyFill="1" applyBorder="1" applyAlignment="1" applyProtection="1">
      <alignment horizontal="right" vertical="center"/>
    </xf>
    <xf numFmtId="3" fontId="77" fillId="4" borderId="34" xfId="1" applyNumberFormat="1" applyFont="1" applyFill="1" applyBorder="1" applyAlignment="1">
      <alignment horizontal="right" vertical="center"/>
    </xf>
    <xf numFmtId="3" fontId="77" fillId="4" borderId="44" xfId="1" applyNumberFormat="1" applyFont="1" applyFill="1" applyBorder="1" applyAlignment="1">
      <alignment horizontal="right" vertical="center"/>
    </xf>
    <xf numFmtId="3" fontId="77" fillId="4" borderId="157" xfId="1" applyNumberFormat="1" applyFont="1" applyFill="1" applyBorder="1" applyAlignment="1">
      <alignment horizontal="right" vertical="center"/>
    </xf>
    <xf numFmtId="3" fontId="120" fillId="4" borderId="2" xfId="105" applyNumberFormat="1" applyFont="1" applyFill="1" applyBorder="1" applyAlignment="1" applyProtection="1">
      <alignment horizontal="right" vertical="center"/>
    </xf>
    <xf numFmtId="3" fontId="77" fillId="4" borderId="160" xfId="105" applyNumberFormat="1" applyFont="1" applyFill="1" applyBorder="1" applyAlignment="1" applyProtection="1">
      <alignment horizontal="left" vertical="center"/>
    </xf>
    <xf numFmtId="4" fontId="122" fillId="4" borderId="0" xfId="105" applyNumberFormat="1" applyFont="1" applyFill="1" applyBorder="1" applyAlignment="1" applyProtection="1">
      <alignment horizontal="right" vertical="center"/>
    </xf>
    <xf numFmtId="3" fontId="120" fillId="0" borderId="25" xfId="1" applyNumberFormat="1" applyFont="1" applyFill="1" applyBorder="1" applyAlignment="1">
      <alignment horizontal="right" vertical="center"/>
    </xf>
    <xf numFmtId="3" fontId="120" fillId="4" borderId="159" xfId="105" applyNumberFormat="1" applyFont="1" applyFill="1" applyBorder="1" applyAlignment="1" applyProtection="1">
      <alignment horizontal="left" vertical="center"/>
    </xf>
    <xf numFmtId="165" fontId="120" fillId="4" borderId="0" xfId="1" applyNumberFormat="1" applyFont="1" applyFill="1" applyAlignment="1">
      <alignment horizontal="right" vertical="center"/>
    </xf>
    <xf numFmtId="165" fontId="77" fillId="4" borderId="25" xfId="1" applyNumberFormat="1" applyFont="1" applyFill="1" applyBorder="1" applyAlignment="1">
      <alignment horizontal="right" vertical="center"/>
    </xf>
    <xf numFmtId="165" fontId="77" fillId="4" borderId="19" xfId="1" applyNumberFormat="1" applyFont="1" applyFill="1" applyBorder="1" applyAlignment="1">
      <alignment horizontal="right" vertical="center"/>
    </xf>
    <xf numFmtId="165" fontId="77" fillId="4" borderId="29" xfId="1" applyNumberFormat="1" applyFont="1" applyFill="1" applyBorder="1" applyAlignment="1">
      <alignment horizontal="right" vertical="center"/>
    </xf>
    <xf numFmtId="165" fontId="120" fillId="4" borderId="0" xfId="1" applyNumberFormat="1" applyFont="1" applyFill="1" applyBorder="1" applyAlignment="1">
      <alignment horizontal="right" vertical="center"/>
    </xf>
    <xf numFmtId="165" fontId="77" fillId="4" borderId="32" xfId="105" applyNumberFormat="1" applyFont="1" applyFill="1" applyBorder="1" applyAlignment="1" applyProtection="1">
      <alignment horizontal="left" vertical="center"/>
    </xf>
    <xf numFmtId="3" fontId="120" fillId="4" borderId="25" xfId="61" applyNumberFormat="1" applyFont="1" applyFill="1" applyBorder="1" applyAlignment="1">
      <alignment horizontal="right" vertical="center"/>
    </xf>
    <xf numFmtId="3" fontId="120" fillId="4" borderId="19" xfId="61" applyNumberFormat="1" applyFont="1" applyFill="1" applyBorder="1" applyAlignment="1">
      <alignment horizontal="right" vertical="center"/>
    </xf>
    <xf numFmtId="3" fontId="120" fillId="4" borderId="29" xfId="61" applyNumberFormat="1" applyFont="1" applyFill="1" applyBorder="1" applyAlignment="1">
      <alignment horizontal="right" vertical="center"/>
    </xf>
    <xf numFmtId="3" fontId="121" fillId="4" borderId="32" xfId="1" applyNumberFormat="1" applyFont="1" applyFill="1" applyBorder="1" applyAlignment="1">
      <alignment horizontal="left" vertical="center"/>
    </xf>
    <xf numFmtId="3" fontId="77" fillId="4" borderId="3" xfId="61" applyNumberFormat="1" applyFont="1" applyFill="1" applyBorder="1" applyAlignment="1">
      <alignment horizontal="right" vertical="center"/>
    </xf>
    <xf numFmtId="3" fontId="77" fillId="4" borderId="58" xfId="61" applyNumberFormat="1" applyFont="1" applyFill="1" applyBorder="1" applyAlignment="1">
      <alignment horizontal="right" vertical="center"/>
    </xf>
    <xf numFmtId="3" fontId="77" fillId="4" borderId="155" xfId="61" applyNumberFormat="1" applyFont="1" applyFill="1" applyBorder="1" applyAlignment="1">
      <alignment horizontal="right" vertical="center"/>
    </xf>
    <xf numFmtId="3" fontId="120" fillId="4" borderId="57" xfId="1" applyNumberFormat="1" applyFont="1" applyFill="1" applyBorder="1" applyAlignment="1">
      <alignment horizontal="right" vertical="center"/>
    </xf>
    <xf numFmtId="3" fontId="77" fillId="4" borderId="25" xfId="61" applyNumberFormat="1" applyFont="1" applyFill="1" applyBorder="1" applyAlignment="1">
      <alignment horizontal="right" vertical="center"/>
    </xf>
    <xf numFmtId="3" fontId="77" fillId="4" borderId="19" xfId="61" applyNumberFormat="1" applyFont="1" applyFill="1" applyBorder="1" applyAlignment="1">
      <alignment horizontal="right" vertical="center"/>
    </xf>
    <xf numFmtId="3" fontId="77" fillId="4" borderId="29" xfId="61" applyNumberFormat="1" applyFont="1" applyFill="1" applyBorder="1" applyAlignment="1">
      <alignment horizontal="right" vertical="center"/>
    </xf>
    <xf numFmtId="3" fontId="120" fillId="4" borderId="19" xfId="105" applyNumberFormat="1" applyFont="1" applyFill="1" applyBorder="1" applyAlignment="1" applyProtection="1">
      <alignment horizontal="right" vertical="center"/>
    </xf>
    <xf numFmtId="3" fontId="120" fillId="4" borderId="32" xfId="105" applyNumberFormat="1" applyFont="1" applyFill="1" applyBorder="1" applyAlignment="1">
      <alignment horizontal="left" vertical="center"/>
    </xf>
    <xf numFmtId="3" fontId="120" fillId="4" borderId="23" xfId="1" applyNumberFormat="1" applyFont="1" applyFill="1" applyBorder="1" applyAlignment="1">
      <alignment horizontal="right" vertical="center"/>
    </xf>
    <xf numFmtId="3" fontId="120" fillId="4" borderId="2" xfId="1" applyNumberFormat="1" applyFont="1" applyFill="1" applyBorder="1" applyAlignment="1">
      <alignment horizontal="right" vertical="center"/>
    </xf>
    <xf numFmtId="3" fontId="77" fillId="4" borderId="160" xfId="1" applyNumberFormat="1" applyFont="1" applyFill="1" applyBorder="1" applyAlignment="1">
      <alignment horizontal="left" vertical="center"/>
    </xf>
    <xf numFmtId="4" fontId="123" fillId="4" borderId="0" xfId="1" applyNumberFormat="1" applyFont="1" applyFill="1" applyAlignment="1">
      <alignment horizontal="right" vertical="center"/>
    </xf>
    <xf numFmtId="4" fontId="77" fillId="4" borderId="34" xfId="1" applyNumberFormat="1" applyFont="1" applyFill="1" applyBorder="1" applyAlignment="1">
      <alignment horizontal="right" vertical="center"/>
    </xf>
    <xf numFmtId="4" fontId="77" fillId="4" borderId="44" xfId="1" applyNumberFormat="1" applyFont="1" applyFill="1" applyBorder="1" applyAlignment="1">
      <alignment horizontal="right" vertical="center"/>
    </xf>
    <xf numFmtId="4" fontId="77" fillId="4" borderId="157" xfId="1" applyNumberFormat="1" applyFont="1" applyFill="1" applyBorder="1" applyAlignment="1">
      <alignment horizontal="right" vertical="center"/>
    </xf>
    <xf numFmtId="4" fontId="77" fillId="4" borderId="160" xfId="1" applyNumberFormat="1" applyFont="1" applyFill="1" applyBorder="1" applyAlignment="1">
      <alignment horizontal="left" vertical="center"/>
    </xf>
    <xf numFmtId="3" fontId="123" fillId="4" borderId="0" xfId="1" applyNumberFormat="1" applyFont="1" applyFill="1" applyAlignment="1">
      <alignment horizontal="right" vertical="center"/>
    </xf>
    <xf numFmtId="3" fontId="120" fillId="4" borderId="160" xfId="1" applyNumberFormat="1" applyFont="1" applyFill="1" applyBorder="1" applyAlignment="1">
      <alignment horizontal="left" vertical="center"/>
    </xf>
    <xf numFmtId="3" fontId="77" fillId="4" borderId="159" xfId="1" applyNumberFormat="1" applyFont="1" applyFill="1" applyBorder="1" applyAlignment="1">
      <alignment horizontal="left" vertical="center"/>
    </xf>
    <xf numFmtId="3" fontId="123" fillId="4" borderId="0" xfId="1" applyNumberFormat="1" applyFont="1" applyFill="1" applyAlignment="1">
      <alignment horizontal="center" vertical="center" wrapText="1"/>
    </xf>
    <xf numFmtId="3" fontId="77" fillId="4" borderId="147" xfId="1" applyNumberFormat="1" applyFont="1" applyFill="1" applyBorder="1" applyAlignment="1">
      <alignment horizontal="center" vertical="center" wrapText="1"/>
    </xf>
    <xf numFmtId="3" fontId="120" fillId="4" borderId="24" xfId="1" applyNumberFormat="1" applyFont="1" applyFill="1" applyBorder="1" applyAlignment="1">
      <alignment horizontal="center" vertical="center" wrapText="1"/>
    </xf>
    <xf numFmtId="3" fontId="77" fillId="4" borderId="79" xfId="1" applyNumberFormat="1" applyFont="1" applyFill="1" applyBorder="1" applyAlignment="1">
      <alignment horizontal="left" vertical="center" wrapText="1"/>
    </xf>
    <xf numFmtId="3" fontId="69" fillId="4" borderId="41" xfId="1" applyNumberFormat="1" applyFont="1" applyFill="1" applyBorder="1" applyAlignment="1">
      <alignment horizontal="left" vertical="center"/>
    </xf>
    <xf numFmtId="3" fontId="14" fillId="4" borderId="47" xfId="1" applyNumberFormat="1" applyFont="1" applyFill="1" applyBorder="1" applyAlignment="1">
      <alignment horizontal="center" vertical="center"/>
    </xf>
    <xf numFmtId="207" fontId="120" fillId="4" borderId="0" xfId="1" applyNumberFormat="1" applyFont="1" applyFill="1" applyAlignment="1">
      <alignment horizontal="left" vertical="center"/>
    </xf>
    <xf numFmtId="3" fontId="120" fillId="4" borderId="40" xfId="1" applyNumberFormat="1" applyFont="1" applyFill="1" applyBorder="1" applyAlignment="1">
      <alignment horizontal="right" vertical="center"/>
    </xf>
    <xf numFmtId="3" fontId="77" fillId="4" borderId="0" xfId="1" applyNumberFormat="1" applyFont="1" applyFill="1" applyBorder="1" applyAlignment="1">
      <alignment horizontal="left" vertical="center"/>
    </xf>
    <xf numFmtId="189" fontId="14" fillId="0" borderId="58" xfId="61" applyNumberFormat="1" applyFont="1" applyBorder="1" applyAlignment="1" applyProtection="1">
      <alignment vertical="center"/>
    </xf>
    <xf numFmtId="0" fontId="6" fillId="0" borderId="57" xfId="1" applyFont="1" applyBorder="1" applyAlignment="1" applyProtection="1">
      <alignment vertical="center"/>
    </xf>
    <xf numFmtId="0" fontId="5" fillId="0" borderId="2" xfId="1" applyFont="1" applyBorder="1" applyAlignment="1" applyProtection="1">
      <alignment vertical="center"/>
    </xf>
    <xf numFmtId="0" fontId="6" fillId="0" borderId="57" xfId="1" applyFont="1" applyBorder="1" applyAlignment="1" applyProtection="1">
      <alignment horizontal="left" vertical="center"/>
    </xf>
    <xf numFmtId="208" fontId="15" fillId="31" borderId="58" xfId="1" applyNumberFormat="1" applyFont="1" applyFill="1" applyBorder="1" applyAlignment="1" applyProtection="1">
      <alignment horizontal="center" vertical="center"/>
      <protection locked="0"/>
    </xf>
    <xf numFmtId="0" fontId="15" fillId="0" borderId="77" xfId="1" applyFont="1" applyBorder="1" applyAlignment="1" applyProtection="1">
      <alignment vertical="center" wrapText="1"/>
    </xf>
    <xf numFmtId="184" fontId="15" fillId="4" borderId="58" xfId="61" applyNumberFormat="1" applyFont="1" applyFill="1" applyBorder="1" applyAlignment="1" applyProtection="1">
      <alignment horizontal="center" vertical="center"/>
    </xf>
    <xf numFmtId="0" fontId="15" fillId="0" borderId="8" xfId="1" applyFont="1" applyBorder="1" applyAlignment="1" applyProtection="1">
      <alignment vertical="center"/>
    </xf>
    <xf numFmtId="170" fontId="6" fillId="4" borderId="19" xfId="1" applyNumberFormat="1" applyFont="1" applyFill="1" applyBorder="1" applyAlignment="1" applyProtection="1">
      <alignment horizontal="right" vertical="center"/>
    </xf>
    <xf numFmtId="170" fontId="6" fillId="4" borderId="62" xfId="1" applyNumberFormat="1" applyFont="1" applyFill="1" applyBorder="1" applyAlignment="1" applyProtection="1">
      <alignment horizontal="right" vertical="center"/>
    </xf>
    <xf numFmtId="181" fontId="6" fillId="31" borderId="63" xfId="105" applyNumberFormat="1" applyFont="1" applyFill="1" applyBorder="1" applyAlignment="1" applyProtection="1">
      <alignment vertical="center"/>
      <protection locked="0"/>
    </xf>
    <xf numFmtId="0" fontId="6" fillId="27" borderId="0" xfId="1" applyFont="1" applyFill="1" applyBorder="1" applyAlignment="1" applyProtection="1">
      <alignment vertical="center"/>
    </xf>
    <xf numFmtId="170" fontId="6" fillId="27" borderId="62" xfId="1" applyNumberFormat="1" applyFont="1" applyFill="1" applyBorder="1" applyAlignment="1" applyProtection="1">
      <alignment horizontal="right" vertical="center"/>
    </xf>
    <xf numFmtId="181" fontId="6" fillId="31" borderId="67" xfId="105" applyNumberFormat="1" applyFont="1" applyFill="1" applyBorder="1" applyAlignment="1" applyProtection="1">
      <alignment vertical="center"/>
      <protection locked="0"/>
    </xf>
    <xf numFmtId="0" fontId="6" fillId="31" borderId="80" xfId="105" applyFont="1" applyFill="1" applyBorder="1" applyAlignment="1" applyProtection="1">
      <alignment horizontal="left" vertical="center"/>
      <protection locked="0"/>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170" fontId="6" fillId="4" borderId="66" xfId="1" applyNumberFormat="1" applyFont="1" applyFill="1" applyBorder="1" applyAlignment="1" applyProtection="1">
      <alignment horizontal="right" vertical="center"/>
    </xf>
    <xf numFmtId="170" fontId="6" fillId="27" borderId="66" xfId="1" applyNumberFormat="1" applyFont="1" applyFill="1" applyBorder="1" applyAlignment="1" applyProtection="1">
      <alignment horizontal="right" vertical="center"/>
    </xf>
    <xf numFmtId="0" fontId="6" fillId="31" borderId="161" xfId="105" applyFont="1" applyFill="1" applyBorder="1" applyAlignment="1" applyProtection="1">
      <alignment horizontal="left" vertical="center"/>
      <protection locked="0"/>
    </xf>
    <xf numFmtId="0" fontId="6" fillId="31" borderId="121" xfId="105" applyFont="1" applyFill="1" applyBorder="1" applyAlignment="1" applyProtection="1">
      <alignment vertical="center"/>
      <protection locked="0"/>
    </xf>
    <xf numFmtId="189" fontId="14" fillId="0" borderId="19" xfId="61" applyNumberFormat="1" applyFont="1" applyBorder="1" applyAlignment="1" applyProtection="1">
      <alignment vertical="center"/>
    </xf>
    <xf numFmtId="188" fontId="9" fillId="0" borderId="162" xfId="1" applyNumberFormat="1" applyFont="1" applyBorder="1" applyAlignment="1" applyProtection="1">
      <alignment horizontal="center" vertical="center"/>
    </xf>
    <xf numFmtId="188" fontId="9" fillId="0" borderId="92" xfId="1" applyNumberFormat="1" applyFont="1" applyBorder="1" applyAlignment="1" applyProtection="1">
      <alignment horizontal="center" vertical="center"/>
    </xf>
    <xf numFmtId="189" fontId="14" fillId="27" borderId="0" xfId="61" applyNumberFormat="1" applyFont="1" applyFill="1" applyBorder="1" applyAlignment="1" applyProtection="1">
      <alignment horizontal="center" vertical="center"/>
    </xf>
    <xf numFmtId="188" fontId="9" fillId="27" borderId="162" xfId="1" applyNumberFormat="1" applyFont="1" applyFill="1" applyBorder="1" applyAlignment="1" applyProtection="1">
      <alignment horizontal="center" vertical="center"/>
    </xf>
    <xf numFmtId="188" fontId="9" fillId="27" borderId="92" xfId="1" applyNumberFormat="1" applyFont="1" applyFill="1" applyBorder="1" applyAlignment="1" applyProtection="1">
      <alignment horizontal="center" vertical="center"/>
    </xf>
    <xf numFmtId="189" fontId="14" fillId="0" borderId="0" xfId="61" applyNumberFormat="1" applyFont="1" applyBorder="1" applyAlignment="1" applyProtection="1">
      <alignment horizontal="center" vertical="center"/>
    </xf>
    <xf numFmtId="0" fontId="9" fillId="0" borderId="162" xfId="105" applyFont="1" applyBorder="1" applyAlignment="1" applyProtection="1">
      <alignment horizontal="center" vertical="center"/>
    </xf>
    <xf numFmtId="0" fontId="9" fillId="0" borderId="122" xfId="105" applyFont="1" applyBorder="1" applyAlignment="1" applyProtection="1">
      <alignment horizontal="center" vertical="center"/>
    </xf>
    <xf numFmtId="0" fontId="16" fillId="0" borderId="90" xfId="105" applyFont="1" applyBorder="1" applyAlignment="1" applyProtection="1">
      <alignment horizontal="left" vertical="center"/>
    </xf>
    <xf numFmtId="209" fontId="6" fillId="4" borderId="91" xfId="1" applyNumberFormat="1" applyFont="1" applyFill="1" applyBorder="1" applyAlignment="1" applyProtection="1">
      <alignment horizontal="center" vertical="center"/>
    </xf>
    <xf numFmtId="0" fontId="9" fillId="0" borderId="91" xfId="1" applyFont="1" applyBorder="1" applyProtection="1"/>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189" fontId="14" fillId="0" borderId="42" xfId="61" applyNumberFormat="1" applyFont="1" applyBorder="1" applyAlignment="1" applyProtection="1">
      <alignment vertical="center"/>
    </xf>
    <xf numFmtId="188" fontId="16" fillId="0" borderId="0" xfId="1" applyNumberFormat="1" applyFont="1" applyBorder="1" applyAlignment="1" applyProtection="1">
      <alignment vertical="center"/>
    </xf>
    <xf numFmtId="188" fontId="16" fillId="0" borderId="40" xfId="1" applyNumberFormat="1" applyFont="1" applyBorder="1" applyAlignment="1" applyProtection="1">
      <alignment vertical="center"/>
    </xf>
    <xf numFmtId="189" fontId="14" fillId="27" borderId="42" xfId="61" applyNumberFormat="1" applyFont="1" applyFill="1" applyBorder="1" applyAlignment="1" applyProtection="1">
      <alignment vertical="center"/>
    </xf>
    <xf numFmtId="188" fontId="16" fillId="27" borderId="0" xfId="1" applyNumberFormat="1" applyFont="1" applyFill="1" applyBorder="1" applyAlignment="1" applyProtection="1">
      <alignment vertical="center"/>
    </xf>
    <xf numFmtId="188" fontId="16" fillId="27" borderId="40" xfId="1" applyNumberFormat="1" applyFont="1" applyFill="1" applyBorder="1" applyAlignment="1" applyProtection="1">
      <alignment vertical="center"/>
    </xf>
    <xf numFmtId="0" fontId="16" fillId="0" borderId="19" xfId="105" applyFont="1" applyBorder="1" applyAlignment="1" applyProtection="1">
      <alignment horizontal="left" vertical="center"/>
    </xf>
    <xf numFmtId="189" fontId="14" fillId="0" borderId="44" xfId="61" applyNumberFormat="1" applyFont="1" applyBorder="1" applyAlignment="1" applyProtection="1">
      <alignment vertical="center"/>
    </xf>
    <xf numFmtId="0" fontId="6" fillId="0" borderId="2" xfId="1" applyFont="1" applyBorder="1" applyAlignment="1" applyProtection="1">
      <alignment horizontal="center" vertical="center"/>
    </xf>
    <xf numFmtId="3" fontId="6" fillId="4" borderId="39" xfId="1" applyNumberFormat="1" applyFont="1" applyFill="1" applyBorder="1" applyAlignment="1" applyProtection="1">
      <alignment horizontal="right" vertical="center"/>
    </xf>
    <xf numFmtId="189" fontId="14" fillId="27" borderId="44" xfId="61" applyNumberFormat="1" applyFont="1" applyFill="1" applyBorder="1" applyAlignment="1" applyProtection="1">
      <alignment vertical="center"/>
    </xf>
    <xf numFmtId="0" fontId="6" fillId="27" borderId="2" xfId="1" applyFont="1" applyFill="1" applyBorder="1" applyAlignment="1" applyProtection="1">
      <alignment horizontal="center" vertical="center"/>
    </xf>
    <xf numFmtId="3" fontId="6" fillId="27" borderId="39" xfId="1" applyNumberFormat="1" applyFont="1" applyFill="1" applyBorder="1" applyAlignment="1" applyProtection="1">
      <alignment horizontal="right" vertical="center"/>
    </xf>
    <xf numFmtId="0" fontId="16" fillId="0" borderId="2" xfId="105" applyFont="1" applyBorder="1" applyAlignment="1" applyProtection="1">
      <alignment horizontal="left" vertical="center"/>
    </xf>
    <xf numFmtId="190" fontId="6" fillId="4" borderId="163" xfId="105" applyNumberFormat="1" applyFont="1" applyFill="1" applyBorder="1" applyAlignment="1" applyProtection="1">
      <alignment vertical="center"/>
    </xf>
    <xf numFmtId="0" fontId="6" fillId="27" borderId="0" xfId="1" applyFont="1" applyFill="1" applyBorder="1" applyAlignment="1" applyProtection="1">
      <alignment horizontal="center" vertical="center"/>
    </xf>
    <xf numFmtId="0" fontId="6" fillId="27" borderId="0" xfId="1" applyFont="1" applyFill="1" applyBorder="1" applyAlignment="1" applyProtection="1">
      <alignment horizontal="left" vertical="center"/>
    </xf>
    <xf numFmtId="182" fontId="6" fillId="4" borderId="163" xfId="61" applyNumberFormat="1" applyFont="1" applyFill="1" applyBorder="1" applyAlignment="1" applyProtection="1">
      <alignment vertical="center"/>
    </xf>
    <xf numFmtId="188" fontId="14" fillId="0" borderId="44" xfId="1" applyNumberFormat="1" applyFont="1" applyBorder="1" applyAlignment="1" applyProtection="1">
      <alignment horizontal="right" vertical="center"/>
    </xf>
    <xf numFmtId="0" fontId="6" fillId="31" borderId="163" xfId="1" applyFont="1" applyFill="1" applyBorder="1" applyAlignment="1" applyProtection="1">
      <alignment horizontal="center" vertical="center"/>
      <protection locked="0"/>
    </xf>
    <xf numFmtId="177" fontId="6" fillId="31" borderId="39" xfId="105" applyNumberFormat="1" applyFont="1" applyFill="1" applyBorder="1" applyAlignment="1" applyProtection="1">
      <alignment horizontal="center" vertical="center"/>
      <protection locked="0"/>
    </xf>
    <xf numFmtId="188" fontId="14" fillId="27" borderId="44" xfId="1" applyNumberFormat="1" applyFont="1" applyFill="1" applyBorder="1" applyAlignment="1" applyProtection="1">
      <alignment horizontal="right" vertical="center"/>
    </xf>
    <xf numFmtId="0" fontId="6" fillId="31" borderId="62" xfId="1" applyFont="1" applyFill="1" applyBorder="1" applyAlignment="1" applyProtection="1">
      <alignment vertical="center"/>
      <protection locked="0"/>
    </xf>
    <xf numFmtId="0" fontId="9" fillId="0" borderId="39" xfId="1" applyFont="1" applyBorder="1" applyProtection="1"/>
    <xf numFmtId="0" fontId="20" fillId="0" borderId="162" xfId="105" applyFont="1" applyBorder="1" applyAlignment="1" applyProtection="1">
      <alignment horizontal="center" vertical="center" wrapText="1"/>
    </xf>
    <xf numFmtId="0" fontId="9" fillId="0" borderId="92" xfId="105" applyFont="1" applyBorder="1" applyAlignment="1" applyProtection="1">
      <alignment horizontal="center" vertical="center"/>
    </xf>
    <xf numFmtId="0" fontId="20" fillId="27" borderId="162" xfId="105" applyFont="1" applyFill="1" applyBorder="1" applyAlignment="1" applyProtection="1">
      <alignment horizontal="center" vertical="center" wrapText="1"/>
    </xf>
    <xf numFmtId="0" fontId="9" fillId="27" borderId="92" xfId="105" applyFont="1" applyFill="1" applyBorder="1" applyAlignment="1" applyProtection="1">
      <alignment horizontal="center" vertical="center"/>
    </xf>
    <xf numFmtId="209" fontId="6" fillId="4" borderId="0" xfId="1" applyNumberFormat="1" applyFont="1" applyFill="1" applyBorder="1" applyAlignment="1" applyProtection="1">
      <alignment horizontal="center" vertical="center"/>
    </xf>
    <xf numFmtId="210" fontId="6" fillId="0" borderId="2" xfId="1" applyNumberFormat="1" applyFont="1" applyBorder="1" applyAlignment="1" applyProtection="1">
      <alignment horizontal="right" vertical="center"/>
    </xf>
    <xf numFmtId="210" fontId="6" fillId="31" borderId="39" xfId="1" applyNumberFormat="1" applyFont="1" applyFill="1" applyBorder="1" applyAlignment="1" applyProtection="1">
      <alignment horizontal="right" vertical="center"/>
      <protection locked="0"/>
    </xf>
    <xf numFmtId="210" fontId="6" fillId="27" borderId="2" xfId="1" applyNumberFormat="1" applyFont="1" applyFill="1" applyBorder="1" applyAlignment="1" applyProtection="1">
      <alignment horizontal="right" vertical="center"/>
    </xf>
    <xf numFmtId="0" fontId="16" fillId="0" borderId="44" xfId="105" applyFont="1" applyBorder="1" applyAlignment="1" applyProtection="1">
      <alignment horizontal="left" vertical="center"/>
    </xf>
    <xf numFmtId="180" fontId="6" fillId="31" borderId="163"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44" xfId="61" applyNumberFormat="1" applyFont="1" applyFill="1" applyBorder="1" applyAlignment="1" applyProtection="1">
      <alignmen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2"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4" xfId="1" applyNumberFormat="1" applyFont="1" applyFill="1" applyBorder="1" applyAlignment="1" applyProtection="1">
      <alignment horizontal="right" vertical="center"/>
    </xf>
    <xf numFmtId="189" fontId="14" fillId="0" borderId="19" xfId="61" applyNumberFormat="1" applyFont="1" applyFill="1" applyBorder="1" applyAlignment="1" applyProtection="1">
      <alignmen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9" fontId="14" fillId="27" borderId="0" xfId="61" applyNumberFormat="1" applyFont="1" applyFill="1" applyBorder="1" applyAlignment="1" applyProtection="1">
      <alignmen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189" fontId="14" fillId="0" borderId="0" xfId="61" applyNumberFormat="1" applyFont="1" applyFill="1" applyBorder="1" applyAlignment="1" applyProtection="1">
      <alignment vertical="center"/>
    </xf>
    <xf numFmtId="0" fontId="9" fillId="0" borderId="165" xfId="105" applyFont="1" applyBorder="1" applyAlignment="1" applyProtection="1">
      <alignment horizontal="center" vertical="center"/>
    </xf>
    <xf numFmtId="209" fontId="6" fillId="4" borderId="162" xfId="1" applyNumberFormat="1" applyFont="1" applyFill="1" applyBorder="1" applyAlignment="1" applyProtection="1">
      <alignment horizontal="center" vertical="center"/>
    </xf>
    <xf numFmtId="189" fontId="14" fillId="0" borderId="42" xfId="61" applyNumberFormat="1" applyFont="1" applyFill="1" applyBorder="1" applyAlignment="1" applyProtection="1">
      <alignment vertical="center"/>
    </xf>
    <xf numFmtId="0" fontId="16" fillId="0" borderId="83" xfId="105" applyFont="1" applyBorder="1" applyAlignment="1" applyProtection="1">
      <alignment horizontal="left" vertical="center"/>
    </xf>
    <xf numFmtId="170" fontId="13" fillId="0" borderId="44" xfId="1" applyNumberFormat="1" applyFont="1" applyBorder="1" applyAlignment="1" applyProtection="1">
      <alignment horizontal="right" vertical="center"/>
    </xf>
    <xf numFmtId="212" fontId="14" fillId="0" borderId="2" xfId="61" applyNumberFormat="1" applyFont="1" applyBorder="1" applyAlignment="1" applyProtection="1">
      <alignment vertical="center"/>
    </xf>
    <xf numFmtId="178" fontId="13" fillId="0" borderId="2" xfId="1" applyNumberFormat="1" applyFont="1" applyBorder="1" applyAlignment="1" applyProtection="1">
      <alignment horizontal="right" vertical="center"/>
    </xf>
    <xf numFmtId="170" fontId="13" fillId="27" borderId="44" xfId="1" applyNumberFormat="1" applyFont="1" applyFill="1" applyBorder="1" applyAlignment="1" applyProtection="1">
      <alignment horizontal="right" vertical="center"/>
    </xf>
    <xf numFmtId="212" fontId="14" fillId="27" borderId="2" xfId="61" applyNumberFormat="1" applyFont="1" applyFill="1" applyBorder="1" applyAlignment="1" applyProtection="1">
      <alignment vertical="center"/>
    </xf>
    <xf numFmtId="178" fontId="13" fillId="27" borderId="2" xfId="1" applyNumberFormat="1" applyFont="1" applyFill="1" applyBorder="1" applyAlignment="1" applyProtection="1">
      <alignment horizontal="right" vertical="center"/>
    </xf>
    <xf numFmtId="0" fontId="9" fillId="0" borderId="44" xfId="1" applyFont="1" applyBorder="1" applyProtection="1"/>
    <xf numFmtId="172" fontId="6" fillId="31" borderId="163" xfId="105" applyNumberFormat="1" applyFont="1" applyFill="1" applyBorder="1" applyAlignment="1" applyProtection="1">
      <alignment vertical="center"/>
      <protection locked="0"/>
    </xf>
    <xf numFmtId="0" fontId="14" fillId="0" borderId="39" xfId="105" applyFont="1" applyBorder="1" applyAlignment="1" applyProtection="1">
      <alignment vertical="center"/>
    </xf>
    <xf numFmtId="170" fontId="16" fillId="0" borderId="19" xfId="61" applyNumberFormat="1" applyFont="1" applyBorder="1" applyAlignment="1" applyProtection="1">
      <alignment vertical="center"/>
    </xf>
    <xf numFmtId="212" fontId="16" fillId="0" borderId="0" xfId="61" applyNumberFormat="1" applyFont="1" applyBorder="1" applyAlignment="1" applyProtection="1">
      <alignment vertical="center"/>
    </xf>
    <xf numFmtId="178" fontId="6" fillId="0" borderId="40" xfId="1" applyNumberFormat="1" applyFont="1" applyBorder="1" applyAlignment="1" applyProtection="1">
      <alignment horizontal="right" vertical="center"/>
    </xf>
    <xf numFmtId="170" fontId="16" fillId="27" borderId="19" xfId="61" applyNumberFormat="1" applyFont="1" applyFill="1" applyBorder="1" applyAlignment="1" applyProtection="1">
      <alignment vertical="center"/>
    </xf>
    <xf numFmtId="212" fontId="16" fillId="27" borderId="0" xfId="61" applyNumberFormat="1" applyFont="1" applyFill="1" applyBorder="1" applyAlignment="1" applyProtection="1">
      <alignment vertical="center"/>
    </xf>
    <xf numFmtId="178" fontId="6" fillId="27" borderId="40" xfId="1" applyNumberFormat="1" applyFont="1" applyFill="1" applyBorder="1" applyAlignment="1" applyProtection="1">
      <alignment horizontal="right" vertical="center"/>
    </xf>
    <xf numFmtId="170" fontId="9" fillId="0" borderId="0" xfId="1" applyNumberFormat="1" applyFont="1" applyBorder="1" applyAlignment="1" applyProtection="1">
      <alignment vertical="center"/>
    </xf>
    <xf numFmtId="170" fontId="6" fillId="0" borderId="44" xfId="61" applyNumberFormat="1" applyFont="1" applyBorder="1" applyAlignment="1" applyProtection="1">
      <alignment vertical="center"/>
    </xf>
    <xf numFmtId="206" fontId="6" fillId="0" borderId="62" xfId="105" applyNumberFormat="1" applyFont="1" applyBorder="1" applyAlignment="1" applyProtection="1">
      <alignment vertical="center"/>
    </xf>
    <xf numFmtId="213" fontId="6" fillId="31" borderId="39" xfId="105" applyNumberFormat="1" applyFont="1" applyFill="1" applyBorder="1" applyAlignment="1" applyProtection="1">
      <alignment vertical="center"/>
      <protection locked="0"/>
    </xf>
    <xf numFmtId="206" fontId="6" fillId="27" borderId="62" xfId="105" applyNumberFormat="1" applyFont="1" applyFill="1" applyBorder="1" applyAlignment="1" applyProtection="1">
      <alignment vertical="center"/>
    </xf>
    <xf numFmtId="176"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horizontal="center" vertical="center"/>
    </xf>
    <xf numFmtId="170" fontId="124" fillId="0" borderId="90" xfId="1" applyNumberFormat="1" applyFont="1" applyBorder="1" applyAlignment="1" applyProtection="1">
      <alignment horizontal="right" vertical="center"/>
    </xf>
    <xf numFmtId="206" fontId="124" fillId="0" borderId="162" xfId="105" applyNumberFormat="1" applyFont="1" applyBorder="1" applyAlignment="1" applyProtection="1">
      <alignment horizontal="right" vertical="center"/>
    </xf>
    <xf numFmtId="213" fontId="124" fillId="31" borderId="92" xfId="105" applyNumberFormat="1" applyFont="1" applyFill="1" applyBorder="1" applyAlignment="1" applyProtection="1">
      <alignment horizontal="right" vertical="center"/>
      <protection locked="0"/>
    </xf>
    <xf numFmtId="170" fontId="124" fillId="27" borderId="90" xfId="1" applyNumberFormat="1" applyFont="1" applyFill="1" applyBorder="1" applyAlignment="1" applyProtection="1">
      <alignment horizontal="right" vertical="center"/>
    </xf>
    <xf numFmtId="206" fontId="124" fillId="27" borderId="162" xfId="105" applyNumberFormat="1" applyFont="1" applyFill="1" applyBorder="1" applyAlignment="1" applyProtection="1">
      <alignment horizontal="right" vertical="center"/>
    </xf>
    <xf numFmtId="176"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horizontal="center" vertical="center"/>
    </xf>
    <xf numFmtId="0" fontId="124" fillId="4" borderId="92" xfId="1" applyFont="1" applyFill="1" applyBorder="1" applyAlignment="1" applyProtection="1">
      <alignment vertical="center"/>
    </xf>
    <xf numFmtId="170" fontId="6" fillId="0" borderId="19" xfId="1" applyNumberFormat="1" applyFont="1" applyBorder="1" applyAlignment="1" applyProtection="1">
      <alignment horizontal="right" vertical="center"/>
    </xf>
    <xf numFmtId="206" fontId="6" fillId="0" borderId="66" xfId="105" applyNumberFormat="1" applyFont="1" applyBorder="1" applyAlignment="1" applyProtection="1">
      <alignment horizontal="right" vertical="center"/>
    </xf>
    <xf numFmtId="213" fontId="6" fillId="31" borderId="40" xfId="105" applyNumberFormat="1" applyFont="1" applyFill="1" applyBorder="1" applyAlignment="1" applyProtection="1">
      <alignment horizontal="right" vertical="center"/>
      <protection locked="0"/>
    </xf>
    <xf numFmtId="170" fontId="6" fillId="27" borderId="19" xfId="1" applyNumberFormat="1" applyFont="1" applyFill="1" applyBorder="1" applyAlignment="1" applyProtection="1">
      <alignment horizontal="right" vertical="center"/>
    </xf>
    <xf numFmtId="206" fontId="6" fillId="27" borderId="66" xfId="105" applyNumberFormat="1" applyFont="1" applyFill="1" applyBorder="1" applyAlignment="1" applyProtection="1">
      <alignment horizontal="right" vertical="center"/>
    </xf>
    <xf numFmtId="176"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horizontal="center" vertical="center"/>
    </xf>
    <xf numFmtId="0" fontId="6" fillId="4" borderId="40" xfId="1" applyFont="1" applyFill="1" applyBorder="1" applyAlignment="1" applyProtection="1">
      <alignment vertical="center"/>
    </xf>
    <xf numFmtId="206" fontId="6" fillId="0" borderId="66" xfId="1" applyNumberFormat="1" applyFont="1" applyBorder="1" applyAlignment="1" applyProtection="1">
      <alignment horizontal="right" vertical="center"/>
    </xf>
    <xf numFmtId="213" fontId="6" fillId="31" borderId="40" xfId="1" applyNumberFormat="1" applyFont="1" applyFill="1" applyBorder="1" applyAlignment="1" applyProtection="1">
      <alignment horizontal="right" vertical="center"/>
      <protection locked="0"/>
    </xf>
    <xf numFmtId="206" fontId="6" fillId="27" borderId="66" xfId="1" applyNumberFormat="1" applyFont="1" applyFill="1" applyBorder="1" applyAlignment="1" applyProtection="1">
      <alignment horizontal="right" vertical="center"/>
    </xf>
    <xf numFmtId="0" fontId="6" fillId="4" borderId="100" xfId="1" applyFont="1" applyFill="1" applyBorder="1" applyAlignment="1" applyProtection="1">
      <alignment vertical="center"/>
    </xf>
    <xf numFmtId="188" fontId="9" fillId="0" borderId="90" xfId="1" applyNumberFormat="1" applyFont="1" applyBorder="1" applyAlignment="1" applyProtection="1">
      <alignment horizontal="center" vertical="center"/>
    </xf>
    <xf numFmtId="178" fontId="6" fillId="0" borderId="92" xfId="1" applyNumberFormat="1" applyFont="1" applyBorder="1" applyAlignment="1" applyProtection="1">
      <alignment horizontal="center" vertical="center"/>
    </xf>
    <xf numFmtId="188" fontId="9" fillId="27" borderId="90" xfId="1" applyNumberFormat="1" applyFont="1" applyFill="1" applyBorder="1" applyAlignment="1" applyProtection="1">
      <alignment horizontal="center" vertical="center"/>
    </xf>
    <xf numFmtId="0" fontId="9" fillId="27" borderId="162" xfId="105" applyFont="1" applyFill="1" applyBorder="1" applyAlignment="1" applyProtection="1">
      <alignment horizontal="center" vertical="center"/>
    </xf>
    <xf numFmtId="178" fontId="6" fillId="27" borderId="92" xfId="1" applyNumberFormat="1" applyFont="1" applyFill="1" applyBorder="1" applyAlignment="1" applyProtection="1">
      <alignment horizontal="center" vertical="center"/>
    </xf>
    <xf numFmtId="0" fontId="6" fillId="0" borderId="91" xfId="105" applyFont="1" applyBorder="1" applyAlignment="1" applyProtection="1">
      <alignment vertical="center"/>
    </xf>
    <xf numFmtId="170" fontId="13" fillId="0" borderId="19" xfId="61" applyNumberFormat="1" applyFont="1" applyBorder="1" applyAlignment="1" applyProtection="1">
      <alignment vertical="center"/>
    </xf>
    <xf numFmtId="0" fontId="6" fillId="0" borderId="66" xfId="1" applyFont="1" applyBorder="1" applyAlignment="1" applyProtection="1">
      <alignment horizontal="center" vertical="center"/>
    </xf>
    <xf numFmtId="170" fontId="13" fillId="27" borderId="19" xfId="61" applyNumberFormat="1" applyFont="1" applyFill="1" applyBorder="1" applyAlignment="1" applyProtection="1">
      <alignment vertical="center"/>
    </xf>
    <xf numFmtId="0" fontId="6" fillId="27" borderId="66" xfId="1" applyFont="1" applyFill="1" applyBorder="1" applyAlignment="1" applyProtection="1">
      <alignment horizontal="center" vertical="center"/>
    </xf>
    <xf numFmtId="0" fontId="6" fillId="27" borderId="40" xfId="1" applyFont="1" applyFill="1" applyBorder="1" applyAlignment="1" applyProtection="1">
      <alignment horizontal="center" vertical="center"/>
    </xf>
    <xf numFmtId="0" fontId="6" fillId="0" borderId="19" xfId="1" applyFont="1" applyBorder="1" applyAlignment="1" applyProtection="1">
      <alignment horizontal="centerContinuous" vertical="center"/>
    </xf>
    <xf numFmtId="0" fontId="6" fillId="0" borderId="65" xfId="1" applyFont="1" applyBorder="1" applyAlignment="1" applyProtection="1">
      <alignment horizontal="centerContinuous" vertical="center"/>
    </xf>
    <xf numFmtId="0" fontId="6" fillId="0" borderId="65" xfId="105" applyFont="1" applyBorder="1" applyAlignment="1" applyProtection="1">
      <alignment horizontal="right" vertical="center"/>
    </xf>
    <xf numFmtId="188" fontId="14" fillId="0" borderId="0" xfId="1" applyNumberFormat="1" applyFont="1" applyBorder="1" applyAlignment="1" applyProtection="1">
      <alignment horizontal="right" vertical="center"/>
    </xf>
    <xf numFmtId="188" fontId="14" fillId="0" borderId="40" xfId="1" applyNumberFormat="1" applyFont="1" applyBorder="1" applyAlignment="1" applyProtection="1">
      <alignment horizontal="right" vertical="center"/>
    </xf>
    <xf numFmtId="188" fontId="14" fillId="27" borderId="0" xfId="1" applyNumberFormat="1" applyFont="1" applyFill="1" applyBorder="1" applyAlignment="1" applyProtection="1">
      <alignment horizontal="right" vertical="center"/>
    </xf>
    <xf numFmtId="188" fontId="14" fillId="27" borderId="40" xfId="1" applyNumberFormat="1" applyFont="1" applyFill="1" applyBorder="1" applyAlignment="1" applyProtection="1">
      <alignment horizontal="right" vertical="center"/>
    </xf>
    <xf numFmtId="170" fontId="6" fillId="0" borderId="44" xfId="1" applyNumberFormat="1" applyFont="1" applyBorder="1" applyAlignment="1" applyProtection="1">
      <alignment horizontal="right" vertical="center"/>
    </xf>
    <xf numFmtId="170" fontId="6" fillId="0" borderId="62" xfId="1" applyNumberFormat="1" applyFont="1" applyBorder="1" applyAlignment="1" applyProtection="1">
      <alignment horizontal="right" vertical="center"/>
    </xf>
    <xf numFmtId="180" fontId="6" fillId="31" borderId="63" xfId="105" applyNumberFormat="1" applyFont="1" applyFill="1" applyBorder="1" applyAlignment="1" applyProtection="1">
      <alignment vertical="center"/>
      <protection locked="0"/>
    </xf>
    <xf numFmtId="200" fontId="6" fillId="4" borderId="62" xfId="105" applyNumberFormat="1" applyFont="1" applyFill="1" applyBorder="1" applyAlignment="1" applyProtection="1">
      <alignment vertical="center"/>
    </xf>
    <xf numFmtId="0" fontId="6" fillId="4" borderId="39" xfId="105" applyFont="1" applyFill="1" applyBorder="1" applyAlignment="1" applyProtection="1">
      <alignment vertical="center"/>
    </xf>
    <xf numFmtId="170" fontId="6" fillId="0" borderId="66" xfId="1" applyNumberFormat="1" applyFont="1" applyBorder="1" applyAlignment="1" applyProtection="1">
      <alignment horizontal="right" vertical="center"/>
    </xf>
    <xf numFmtId="180" fontId="6" fillId="31" borderId="67" xfId="105" applyNumberFormat="1" applyFont="1" applyFill="1" applyBorder="1" applyAlignment="1" applyProtection="1">
      <alignment vertical="center"/>
      <protection locked="0"/>
    </xf>
    <xf numFmtId="200" fontId="6" fillId="4" borderId="66" xfId="105" applyNumberFormat="1" applyFont="1" applyFill="1" applyBorder="1" applyAlignment="1" applyProtection="1">
      <alignment vertical="center"/>
    </xf>
    <xf numFmtId="0" fontId="6" fillId="4" borderId="40" xfId="1" applyFont="1" applyFill="1" applyBorder="1" applyProtection="1"/>
    <xf numFmtId="188" fontId="6" fillId="0" borderId="19" xfId="1" applyNumberFormat="1" applyFont="1" applyBorder="1" applyAlignment="1" applyProtection="1">
      <alignment horizontal="center" vertical="center"/>
    </xf>
    <xf numFmtId="0" fontId="9" fillId="0" borderId="167" xfId="105" applyFont="1" applyBorder="1" applyAlignment="1" applyProtection="1">
      <alignment horizontal="center" vertical="center"/>
    </xf>
    <xf numFmtId="0" fontId="5" fillId="27" borderId="0" xfId="1" applyFont="1" applyFill="1" applyBorder="1" applyAlignment="1" applyProtection="1">
      <alignment horizontal="center" vertical="center"/>
    </xf>
    <xf numFmtId="0" fontId="9" fillId="27" borderId="167" xfId="105" applyFont="1" applyFill="1" applyBorder="1" applyAlignment="1" applyProtection="1">
      <alignment horizontal="center" vertical="center"/>
    </xf>
    <xf numFmtId="0" fontId="5" fillId="0" borderId="0" xfId="1" applyFont="1" applyBorder="1" applyAlignment="1" applyProtection="1">
      <alignment horizontal="center" vertical="center"/>
    </xf>
    <xf numFmtId="210" fontId="14" fillId="0" borderId="0" xfId="1" applyNumberFormat="1" applyFont="1" applyBorder="1" applyAlignment="1" applyProtection="1">
      <alignment horizontal="right" vertical="center"/>
    </xf>
    <xf numFmtId="210" fontId="6" fillId="0" borderId="40" xfId="1" applyNumberFormat="1" applyFont="1" applyBorder="1" applyAlignment="1" applyProtection="1">
      <alignment horizontal="right" vertical="center"/>
    </xf>
    <xf numFmtId="210" fontId="14" fillId="27" borderId="0" xfId="1" applyNumberFormat="1" applyFont="1" applyFill="1" applyBorder="1" applyAlignment="1" applyProtection="1">
      <alignment horizontal="right" vertical="center"/>
    </xf>
    <xf numFmtId="210" fontId="6" fillId="27" borderId="40" xfId="1" applyNumberFormat="1" applyFont="1" applyFill="1" applyBorder="1" applyAlignment="1" applyProtection="1">
      <alignment horizontal="right" vertical="center"/>
    </xf>
    <xf numFmtId="210" fontId="6" fillId="0" borderId="63" xfId="1" applyNumberFormat="1" applyFont="1" applyBorder="1" applyAlignment="1" applyProtection="1">
      <alignment horizontal="right" vertical="center"/>
    </xf>
    <xf numFmtId="210" fontId="6" fillId="27" borderId="63" xfId="1" applyNumberFormat="1" applyFont="1" applyFill="1" applyBorder="1" applyAlignment="1" applyProtection="1">
      <alignment horizontal="right" vertical="center"/>
    </xf>
    <xf numFmtId="181" fontId="6" fillId="31" borderId="61" xfId="105" applyNumberFormat="1" applyFont="1" applyFill="1" applyBorder="1" applyAlignment="1" applyProtection="1">
      <alignment horizontal="right" vertical="center"/>
      <protection locked="0"/>
    </xf>
    <xf numFmtId="176" fontId="6" fillId="0" borderId="61" xfId="105" applyNumberFormat="1" applyFont="1" applyFill="1" applyBorder="1" applyAlignment="1" applyProtection="1">
      <alignment vertical="center"/>
    </xf>
    <xf numFmtId="210" fontId="6" fillId="0" borderId="67" xfId="1" applyNumberFormat="1" applyFont="1" applyBorder="1" applyAlignment="1" applyProtection="1">
      <alignment horizontal="right" vertical="center"/>
    </xf>
    <xf numFmtId="210" fontId="6" fillId="27" borderId="67" xfId="1" applyNumberFormat="1" applyFont="1" applyFill="1" applyBorder="1" applyAlignment="1" applyProtection="1">
      <alignment horizontal="right" vertical="center"/>
    </xf>
    <xf numFmtId="181" fontId="6" fillId="31" borderId="65" xfId="105" applyNumberFormat="1" applyFont="1" applyFill="1" applyBorder="1" applyAlignment="1" applyProtection="1">
      <alignment horizontal="right" vertical="center"/>
      <protection locked="0"/>
    </xf>
    <xf numFmtId="176" fontId="6" fillId="0" borderId="65" xfId="105" applyNumberFormat="1" applyFont="1" applyFill="1" applyBorder="1" applyAlignment="1" applyProtection="1">
      <alignment vertical="center"/>
    </xf>
    <xf numFmtId="0" fontId="6" fillId="0" borderId="104" xfId="105" applyFont="1" applyBorder="1" applyAlignment="1" applyProtection="1">
      <alignment vertical="center"/>
    </xf>
    <xf numFmtId="0" fontId="6" fillId="0" borderId="100" xfId="1" applyFont="1" applyBorder="1" applyAlignment="1" applyProtection="1">
      <alignment vertical="center"/>
    </xf>
    <xf numFmtId="188" fontId="6" fillId="0" borderId="82" xfId="1" applyNumberFormat="1" applyFont="1" applyBorder="1" applyAlignment="1" applyProtection="1">
      <alignment horizontal="center" vertical="center"/>
    </xf>
    <xf numFmtId="188" fontId="9" fillId="0" borderId="167" xfId="1" applyNumberFormat="1" applyFont="1" applyBorder="1" applyAlignment="1" applyProtection="1">
      <alignment horizontal="center" vertical="center"/>
    </xf>
    <xf numFmtId="0" fontId="5" fillId="27" borderId="0" xfId="1" applyFont="1" applyFill="1" applyBorder="1" applyAlignment="1" applyProtection="1">
      <alignment vertical="center"/>
    </xf>
    <xf numFmtId="188" fontId="9" fillId="27" borderId="167" xfId="1" applyNumberFormat="1" applyFont="1" applyFill="1" applyBorder="1" applyAlignment="1" applyProtection="1">
      <alignment horizontal="center" vertical="center"/>
    </xf>
    <xf numFmtId="0" fontId="14" fillId="0" borderId="92" xfId="105" applyFont="1" applyBorder="1" applyAlignment="1" applyProtection="1">
      <alignment vertical="center"/>
    </xf>
    <xf numFmtId="189" fontId="14" fillId="0" borderId="0" xfId="61" applyNumberFormat="1" applyFont="1" applyBorder="1" applyAlignment="1" applyProtection="1">
      <alignment vertical="center"/>
    </xf>
    <xf numFmtId="0" fontId="5" fillId="27" borderId="19" xfId="1" applyFont="1" applyFill="1" applyBorder="1" applyAlignment="1" applyProtection="1">
      <alignment vertical="center"/>
    </xf>
    <xf numFmtId="0" fontId="5" fillId="0" borderId="19" xfId="1" applyFont="1" applyBorder="1" applyAlignment="1" applyProtection="1">
      <alignment vertical="center"/>
    </xf>
    <xf numFmtId="0" fontId="9" fillId="0" borderId="82" xfId="1" applyFont="1" applyBorder="1" applyAlignment="1" applyProtection="1">
      <alignment horizontal="center" vertical="center"/>
    </xf>
    <xf numFmtId="0" fontId="9" fillId="0" borderId="65" xfId="1" applyFont="1" applyBorder="1" applyAlignment="1" applyProtection="1">
      <alignment horizontal="center" vertical="center"/>
    </xf>
    <xf numFmtId="0" fontId="6" fillId="0" borderId="42" xfId="105" applyFont="1" applyFill="1" applyBorder="1" applyAlignment="1" applyProtection="1">
      <alignment horizontal="left" vertical="center"/>
    </xf>
    <xf numFmtId="0" fontId="14" fillId="0" borderId="43" xfId="105" applyFont="1" applyBorder="1" applyAlignment="1" applyProtection="1">
      <alignment vertical="center"/>
    </xf>
    <xf numFmtId="206" fontId="6" fillId="31" borderId="63" xfId="1" applyNumberFormat="1" applyFont="1" applyFill="1" applyBorder="1" applyAlignment="1" applyProtection="1">
      <alignment horizontal="right" vertical="center"/>
      <protection locked="0"/>
    </xf>
    <xf numFmtId="176" fontId="6" fillId="4" borderId="62" xfId="105" applyNumberFormat="1" applyFont="1" applyFill="1" applyBorder="1" applyAlignment="1" applyProtection="1">
      <alignment horizontal="right" vertical="center"/>
    </xf>
    <xf numFmtId="176" fontId="6" fillId="31" borderId="62" xfId="105" applyNumberFormat="1" applyFont="1" applyFill="1" applyBorder="1" applyAlignment="1" applyProtection="1">
      <alignment horizontal="right" vertical="center"/>
      <protection locked="0"/>
    </xf>
    <xf numFmtId="0" fontId="6" fillId="31" borderId="2" xfId="105" applyFont="1" applyFill="1" applyBorder="1" applyAlignment="1" applyProtection="1">
      <alignment vertical="center"/>
      <protection locked="0"/>
    </xf>
    <xf numFmtId="206" fontId="6" fillId="31" borderId="67" xfId="1" applyNumberFormat="1" applyFont="1" applyFill="1" applyBorder="1" applyAlignment="1" applyProtection="1">
      <alignment horizontal="right" vertical="center"/>
      <protection locked="0"/>
    </xf>
    <xf numFmtId="176" fontId="6" fillId="4" borderId="66" xfId="105" applyNumberFormat="1" applyFont="1" applyFill="1" applyBorder="1" applyAlignment="1" applyProtection="1">
      <alignment horizontal="right" vertical="center"/>
    </xf>
    <xf numFmtId="176" fontId="6" fillId="31" borderId="66" xfId="105" applyNumberFormat="1" applyFont="1" applyFill="1" applyBorder="1" applyAlignment="1" applyProtection="1">
      <alignment horizontal="right" vertical="center"/>
      <protection locked="0"/>
    </xf>
    <xf numFmtId="0" fontId="6" fillId="0" borderId="100" xfId="105" applyFont="1" applyBorder="1" applyAlignment="1" applyProtection="1">
      <alignment vertical="center"/>
    </xf>
    <xf numFmtId="0" fontId="9" fillId="27" borderId="0" xfId="1" applyFont="1" applyFill="1" applyBorder="1" applyAlignment="1" applyProtection="1">
      <alignment vertical="center"/>
    </xf>
    <xf numFmtId="0" fontId="6" fillId="0" borderId="123" xfId="1" applyFont="1" applyBorder="1" applyAlignment="1" applyProtection="1">
      <alignment horizontal="center" vertical="center"/>
    </xf>
    <xf numFmtId="0" fontId="14" fillId="0" borderId="92" xfId="1" applyFont="1" applyBorder="1" applyAlignment="1" applyProtection="1">
      <alignment vertical="center"/>
    </xf>
    <xf numFmtId="189" fontId="14" fillId="27" borderId="19" xfId="61" applyNumberFormat="1" applyFont="1" applyFill="1" applyBorder="1" applyAlignment="1" applyProtection="1">
      <alignment vertical="center"/>
    </xf>
    <xf numFmtId="0" fontId="16" fillId="0" borderId="23" xfId="1" applyFont="1" applyBorder="1" applyAlignment="1" applyProtection="1">
      <alignment vertical="center"/>
    </xf>
    <xf numFmtId="189" fontId="14" fillId="31" borderId="58" xfId="61" applyNumberFormat="1" applyFont="1" applyFill="1" applyBorder="1" applyAlignment="1" applyProtection="1">
      <alignment vertical="center"/>
      <protection locked="0"/>
    </xf>
    <xf numFmtId="170" fontId="6" fillId="4" borderId="57" xfId="61" applyNumberFormat="1" applyFont="1" applyFill="1" applyBorder="1" applyAlignment="1" applyProtection="1">
      <alignment vertical="center"/>
    </xf>
    <xf numFmtId="188" fontId="6" fillId="4" borderId="77" xfId="61" applyNumberFormat="1" applyFont="1" applyFill="1" applyBorder="1" applyAlignment="1" applyProtection="1">
      <alignment vertical="center"/>
    </xf>
    <xf numFmtId="170" fontId="6" fillId="27" borderId="57" xfId="61" applyNumberFormat="1" applyFont="1" applyFill="1" applyBorder="1" applyAlignment="1" applyProtection="1">
      <alignment vertical="center"/>
    </xf>
    <xf numFmtId="188" fontId="6" fillId="27" borderId="77" xfId="61" applyNumberFormat="1" applyFont="1" applyFill="1" applyBorder="1" applyAlignment="1" applyProtection="1">
      <alignment vertical="center"/>
    </xf>
    <xf numFmtId="0" fontId="6" fillId="0" borderId="57" xfId="1" applyFont="1" applyFill="1" applyBorder="1" applyAlignment="1" applyProtection="1">
      <alignment vertical="center"/>
    </xf>
    <xf numFmtId="170" fontId="6" fillId="4" borderId="44" xfId="1" applyNumberFormat="1" applyFont="1" applyFill="1" applyBorder="1" applyAlignment="1" applyProtection="1">
      <alignment horizontal="right" vertical="center"/>
    </xf>
    <xf numFmtId="170" fontId="6" fillId="4" borderId="2" xfId="1" applyNumberFormat="1" applyFont="1" applyFill="1" applyBorder="1" applyAlignment="1" applyProtection="1">
      <alignment horizontal="right" vertical="center"/>
    </xf>
    <xf numFmtId="188" fontId="6" fillId="0" borderId="39" xfId="61" applyNumberFormat="1" applyFont="1" applyBorder="1" applyAlignment="1" applyProtection="1">
      <alignment vertical="center"/>
    </xf>
    <xf numFmtId="188" fontId="6" fillId="27" borderId="39" xfId="61" applyNumberFormat="1" applyFont="1" applyFill="1" applyBorder="1" applyAlignment="1" applyProtection="1">
      <alignment vertical="center"/>
    </xf>
    <xf numFmtId="0" fontId="16" fillId="0" borderId="2" xfId="1" applyFont="1" applyBorder="1" applyAlignment="1" applyProtection="1">
      <alignment horizontal="left" vertical="center"/>
    </xf>
    <xf numFmtId="0" fontId="6" fillId="4" borderId="39" xfId="1" applyFont="1" applyFill="1" applyBorder="1" applyAlignment="1" applyProtection="1">
      <alignment horizontal="center" vertical="center"/>
    </xf>
    <xf numFmtId="189" fontId="6" fillId="0" borderId="44" xfId="1" applyNumberFormat="1" applyFont="1" applyBorder="1" applyAlignment="1" applyProtection="1">
      <alignment vertical="center"/>
    </xf>
    <xf numFmtId="189" fontId="6" fillId="0" borderId="2" xfId="1" applyNumberFormat="1" applyFont="1" applyBorder="1" applyAlignment="1" applyProtection="1">
      <alignment vertical="center"/>
    </xf>
    <xf numFmtId="189" fontId="6" fillId="0" borderId="39" xfId="1" applyNumberFormat="1" applyFont="1" applyBorder="1" applyAlignment="1" applyProtection="1">
      <alignment vertical="center"/>
    </xf>
    <xf numFmtId="170" fontId="6" fillId="4" borderId="0" xfId="1" applyNumberFormat="1" applyFont="1" applyFill="1" applyBorder="1" applyAlignment="1" applyProtection="1">
      <alignment horizontal="right" vertical="center"/>
    </xf>
    <xf numFmtId="188" fontId="6" fillId="0" borderId="40" xfId="61" applyNumberFormat="1" applyFont="1" applyBorder="1" applyAlignment="1" applyProtection="1">
      <alignment vertical="center"/>
    </xf>
    <xf numFmtId="188" fontId="6" fillId="27" borderId="40" xfId="61" applyNumberFormat="1" applyFont="1" applyFill="1" applyBorder="1" applyAlignment="1" applyProtection="1">
      <alignment vertical="center"/>
    </xf>
    <xf numFmtId="0" fontId="16" fillId="0" borderId="0" xfId="1" applyFont="1" applyBorder="1" applyAlignment="1" applyProtection="1">
      <alignment horizontal="left" vertical="center"/>
    </xf>
    <xf numFmtId="0" fontId="6" fillId="4" borderId="40" xfId="1" applyFont="1" applyFill="1" applyBorder="1" applyAlignment="1" applyProtection="1">
      <alignment horizontal="center" vertical="center"/>
    </xf>
    <xf numFmtId="0" fontId="5" fillId="0" borderId="42" xfId="1" applyFont="1" applyBorder="1" applyAlignment="1" applyProtection="1">
      <alignment vertical="center"/>
    </xf>
    <xf numFmtId="188" fontId="14" fillId="0" borderId="0" xfId="61" applyNumberFormat="1" applyFont="1" applyBorder="1" applyAlignment="1" applyProtection="1">
      <alignment vertical="center"/>
    </xf>
    <xf numFmtId="188" fontId="14" fillId="0" borderId="40" xfId="61" applyNumberFormat="1" applyFont="1" applyBorder="1" applyAlignment="1" applyProtection="1">
      <alignment vertical="center"/>
    </xf>
    <xf numFmtId="188" fontId="14" fillId="27" borderId="0" xfId="61" applyNumberFormat="1" applyFont="1" applyFill="1" applyBorder="1" applyAlignment="1" applyProtection="1">
      <alignment vertical="center"/>
    </xf>
    <xf numFmtId="188" fontId="14" fillId="27" borderId="40" xfId="61" applyNumberFormat="1" applyFont="1" applyFill="1" applyBorder="1" applyAlignment="1" applyProtection="1">
      <alignment vertical="center"/>
    </xf>
    <xf numFmtId="0" fontId="9" fillId="0" borderId="0" xfId="1" applyFont="1" applyProtection="1"/>
    <xf numFmtId="170" fontId="6" fillId="4" borderId="2" xfId="6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xf>
    <xf numFmtId="0" fontId="6" fillId="27" borderId="2" xfId="1" applyFont="1" applyFill="1" applyBorder="1" applyAlignment="1" applyProtection="1">
      <alignment vertical="center"/>
    </xf>
    <xf numFmtId="170" fontId="6" fillId="27" borderId="2" xfId="61" applyNumberFormat="1" applyFont="1" applyFill="1" applyBorder="1" applyAlignment="1" applyProtection="1">
      <alignment horizontal="right" vertical="center"/>
    </xf>
    <xf numFmtId="170" fontId="6" fillId="4" borderId="2" xfId="61" applyNumberFormat="1" applyFont="1" applyFill="1" applyBorder="1" applyAlignment="1" applyProtection="1">
      <alignment vertical="center"/>
    </xf>
    <xf numFmtId="0" fontId="6" fillId="4" borderId="2" xfId="1" applyFont="1" applyFill="1" applyBorder="1" applyAlignment="1" applyProtection="1">
      <alignment vertical="center"/>
    </xf>
    <xf numFmtId="177" fontId="6" fillId="0" borderId="0" xfId="1" applyNumberFormat="1" applyFont="1" applyAlignment="1" applyProtection="1">
      <alignment horizontal="center" vertical="center"/>
    </xf>
    <xf numFmtId="214" fontId="6" fillId="4" borderId="0" xfId="1" applyNumberFormat="1" applyFont="1" applyFill="1" applyBorder="1" applyAlignment="1" applyProtection="1">
      <alignment vertical="center"/>
    </xf>
    <xf numFmtId="188" fontId="6" fillId="31" borderId="40" xfId="61" applyNumberFormat="1" applyFont="1" applyFill="1" applyBorder="1" applyAlignment="1" applyProtection="1">
      <alignment vertical="center"/>
      <protection locked="0"/>
    </xf>
    <xf numFmtId="0" fontId="16" fillId="0" borderId="0" xfId="1" applyFont="1" applyBorder="1" applyProtection="1"/>
    <xf numFmtId="0" fontId="70" fillId="0" borderId="0" xfId="1" applyFont="1" applyAlignment="1" applyProtection="1">
      <alignment horizontal="center" vertical="center"/>
    </xf>
    <xf numFmtId="177" fontId="70" fillId="0" borderId="0" xfId="1" applyNumberFormat="1" applyFont="1" applyAlignment="1" applyProtection="1">
      <alignment horizontal="center" vertical="center"/>
    </xf>
    <xf numFmtId="0" fontId="70" fillId="0" borderId="0" xfId="1" applyFont="1" applyAlignment="1" applyProtection="1">
      <alignment horizontal="right" vertical="center"/>
    </xf>
    <xf numFmtId="0" fontId="6" fillId="0" borderId="0" xfId="1" applyFont="1" applyFill="1" applyBorder="1" applyAlignment="1" applyProtection="1">
      <alignment horizontal="left" vertical="center"/>
    </xf>
    <xf numFmtId="0" fontId="115" fillId="0" borderId="0" xfId="1" applyFont="1" applyAlignment="1" applyProtection="1">
      <alignment vertical="center"/>
    </xf>
    <xf numFmtId="3" fontId="6" fillId="0" borderId="61" xfId="61" applyNumberFormat="1" applyFont="1" applyFill="1" applyBorder="1" applyAlignment="1" applyProtection="1">
      <alignment horizontal="right" vertical="center"/>
    </xf>
    <xf numFmtId="189" fontId="6" fillId="0" borderId="2" xfId="61" applyNumberFormat="1" applyFont="1" applyBorder="1" applyAlignment="1" applyProtection="1">
      <alignment horizontal="center" vertical="center"/>
    </xf>
    <xf numFmtId="0" fontId="31" fillId="27" borderId="44" xfId="1" applyFont="1" applyFill="1" applyBorder="1" applyAlignment="1" applyProtection="1">
      <alignment vertical="center"/>
    </xf>
    <xf numFmtId="3" fontId="6" fillId="31" borderId="61" xfId="61" applyNumberFormat="1" applyFont="1" applyFill="1" applyBorder="1" applyAlignment="1" applyProtection="1">
      <alignment horizontal="center" vertical="center"/>
      <protection locked="0"/>
    </xf>
    <xf numFmtId="0" fontId="115" fillId="0" borderId="44" xfId="1" applyFont="1" applyBorder="1" applyAlignment="1" applyProtection="1">
      <alignment vertical="center"/>
    </xf>
    <xf numFmtId="189" fontId="6" fillId="0" borderId="39" xfId="61" applyNumberFormat="1" applyFont="1" applyBorder="1" applyAlignment="1" applyProtection="1">
      <alignment horizontal="center" vertical="center"/>
    </xf>
    <xf numFmtId="176" fontId="6" fillId="4" borderId="2" xfId="105" applyNumberFormat="1" applyFont="1" applyFill="1" applyBorder="1" applyAlignment="1" applyProtection="1">
      <alignment horizontal="right" vertical="center"/>
    </xf>
    <xf numFmtId="0" fontId="115" fillId="0" borderId="2" xfId="1" applyFont="1" applyBorder="1" applyAlignment="1" applyProtection="1">
      <alignment vertical="center"/>
    </xf>
    <xf numFmtId="0" fontId="16" fillId="0" borderId="2" xfId="1" applyFont="1" applyBorder="1" applyAlignment="1" applyProtection="1">
      <alignment vertical="center"/>
    </xf>
    <xf numFmtId="189" fontId="6" fillId="0" borderId="0" xfId="61" applyNumberFormat="1" applyFont="1" applyBorder="1" applyAlignment="1" applyProtection="1">
      <alignment vertical="center"/>
    </xf>
    <xf numFmtId="189" fontId="6" fillId="0" borderId="66" xfId="61" applyNumberFormat="1" applyFont="1" applyBorder="1" applyAlignment="1" applyProtection="1">
      <alignment horizontal="center" vertical="center"/>
    </xf>
    <xf numFmtId="0" fontId="6" fillId="27" borderId="19" xfId="1" applyFont="1" applyFill="1" applyBorder="1" applyAlignment="1" applyProtection="1">
      <alignment vertical="center"/>
    </xf>
    <xf numFmtId="189" fontId="6" fillId="27" borderId="0" xfId="61" applyNumberFormat="1" applyFont="1" applyFill="1" applyBorder="1" applyAlignment="1" applyProtection="1">
      <alignment vertical="center"/>
    </xf>
    <xf numFmtId="189" fontId="6" fillId="0" borderId="72" xfId="61" applyNumberFormat="1" applyFont="1" applyBorder="1" applyAlignment="1" applyProtection="1">
      <alignment horizontal="center" vertical="center"/>
    </xf>
    <xf numFmtId="0" fontId="115" fillId="0" borderId="42" xfId="1" applyFont="1" applyBorder="1" applyAlignment="1" applyProtection="1">
      <alignment vertical="center"/>
    </xf>
    <xf numFmtId="189" fontId="6" fillId="0" borderId="70" xfId="61" applyNumberFormat="1" applyFont="1" applyBorder="1" applyAlignment="1" applyProtection="1">
      <alignment horizontal="center" vertical="center"/>
    </xf>
    <xf numFmtId="176" fontId="6" fillId="4" borderId="65" xfId="105" applyNumberFormat="1" applyFont="1" applyFill="1" applyBorder="1" applyAlignment="1" applyProtection="1">
      <alignment horizontal="right" vertical="center"/>
    </xf>
    <xf numFmtId="9" fontId="6" fillId="31" borderId="0" xfId="1" applyNumberFormat="1" applyFont="1" applyFill="1" applyBorder="1" applyAlignment="1" applyProtection="1">
      <alignment horizontal="center" vertical="center"/>
      <protection locked="0"/>
    </xf>
    <xf numFmtId="189" fontId="16" fillId="0" borderId="44" xfId="1" applyNumberFormat="1" applyFont="1" applyBorder="1" applyAlignment="1" applyProtection="1">
      <alignment vertical="center"/>
    </xf>
    <xf numFmtId="189" fontId="16" fillId="0" borderId="2" xfId="1" applyNumberFormat="1" applyFont="1" applyBorder="1" applyAlignment="1" applyProtection="1">
      <alignment vertical="center"/>
    </xf>
    <xf numFmtId="189" fontId="16" fillId="0" borderId="39" xfId="1" applyNumberFormat="1" applyFont="1" applyBorder="1" applyAlignment="1" applyProtection="1">
      <alignment vertical="center"/>
    </xf>
    <xf numFmtId="0" fontId="6" fillId="0" borderId="44" xfId="1" applyFont="1" applyBorder="1" applyAlignment="1" applyProtection="1">
      <alignment vertical="center"/>
    </xf>
    <xf numFmtId="189" fontId="6" fillId="0" borderId="62" xfId="61" applyNumberFormat="1" applyFont="1" applyBorder="1" applyAlignment="1" applyProtection="1">
      <alignment vertical="center"/>
    </xf>
    <xf numFmtId="215" fontId="6" fillId="31" borderId="2" xfId="61" applyNumberFormat="1" applyFont="1" applyFill="1" applyBorder="1" applyAlignment="1" applyProtection="1">
      <alignment horizontal="right" vertical="center"/>
      <protection locked="0"/>
    </xf>
    <xf numFmtId="0" fontId="6" fillId="27" borderId="44" xfId="1" applyFont="1" applyFill="1" applyBorder="1" applyAlignment="1" applyProtection="1">
      <alignment vertical="center"/>
    </xf>
    <xf numFmtId="189" fontId="6" fillId="27" borderId="62" xfId="61" applyNumberFormat="1" applyFont="1" applyFill="1" applyBorder="1" applyAlignment="1" applyProtection="1">
      <alignment vertical="center"/>
    </xf>
    <xf numFmtId="215" fontId="6" fillId="31" borderId="39" xfId="61" applyNumberFormat="1" applyFont="1" applyFill="1" applyBorder="1" applyAlignment="1" applyProtection="1">
      <alignment horizontal="right" vertical="center"/>
      <protection locked="0"/>
    </xf>
    <xf numFmtId="0" fontId="115" fillId="0" borderId="0" xfId="1" applyFont="1" applyBorder="1" applyAlignment="1" applyProtection="1">
      <alignment vertical="center"/>
    </xf>
    <xf numFmtId="2" fontId="6" fillId="31" borderId="80" xfId="1" applyNumberFormat="1" applyFont="1" applyFill="1" applyBorder="1" applyAlignment="1" applyProtection="1">
      <alignment horizontal="center" vertical="center"/>
      <protection locked="0"/>
    </xf>
    <xf numFmtId="0" fontId="70" fillId="0" borderId="42" xfId="1" applyFont="1" applyBorder="1" applyAlignment="1" applyProtection="1">
      <alignment vertical="center"/>
    </xf>
    <xf numFmtId="189" fontId="6" fillId="0" borderId="164" xfId="61" applyNumberFormat="1" applyFont="1" applyBorder="1" applyAlignment="1" applyProtection="1">
      <alignment vertical="center"/>
    </xf>
    <xf numFmtId="215" fontId="6" fillId="4" borderId="0" xfId="1" applyNumberFormat="1" applyFont="1" applyFill="1" applyBorder="1" applyAlignment="1" applyProtection="1">
      <alignment horizontal="right" vertical="center"/>
    </xf>
    <xf numFmtId="189" fontId="6" fillId="27" borderId="164" xfId="61" applyNumberFormat="1" applyFont="1" applyFill="1" applyBorder="1" applyAlignment="1" applyProtection="1">
      <alignment vertical="center"/>
    </xf>
    <xf numFmtId="215" fontId="6" fillId="27" borderId="0" xfId="1" applyNumberFormat="1" applyFont="1" applyFill="1" applyBorder="1" applyAlignment="1" applyProtection="1">
      <alignment horizontal="right" vertical="center"/>
    </xf>
    <xf numFmtId="215" fontId="6" fillId="4" borderId="100" xfId="1" applyNumberFormat="1" applyFont="1" applyFill="1" applyBorder="1" applyAlignment="1" applyProtection="1">
      <alignment horizontal="right" vertical="center"/>
    </xf>
    <xf numFmtId="0" fontId="125" fillId="0" borderId="0" xfId="2" applyFont="1" applyBorder="1" applyAlignment="1" applyProtection="1">
      <alignment vertical="center"/>
    </xf>
    <xf numFmtId="0" fontId="14" fillId="0" borderId="91" xfId="1" applyFont="1" applyBorder="1" applyAlignment="1" applyProtection="1">
      <alignment vertical="center"/>
    </xf>
    <xf numFmtId="0" fontId="6" fillId="0" borderId="23" xfId="1" applyFont="1" applyBorder="1" applyAlignment="1" applyProtection="1">
      <alignment horizontal="center" vertical="center"/>
    </xf>
    <xf numFmtId="0" fontId="6" fillId="0" borderId="43" xfId="1" applyFont="1" applyBorder="1" applyAlignment="1" applyProtection="1">
      <alignment horizontal="center" vertical="center"/>
    </xf>
    <xf numFmtId="0" fontId="6" fillId="27" borderId="23" xfId="1" applyFont="1" applyFill="1" applyBorder="1" applyAlignment="1" applyProtection="1">
      <alignment horizontal="center" vertical="center"/>
    </xf>
    <xf numFmtId="0" fontId="6" fillId="27" borderId="43" xfId="1" applyFont="1" applyFill="1" applyBorder="1" applyAlignment="1" applyProtection="1">
      <alignment horizontal="center" vertical="center"/>
    </xf>
    <xf numFmtId="0" fontId="6" fillId="0" borderId="19" xfId="1" applyFont="1" applyFill="1" applyBorder="1" applyAlignment="1" applyProtection="1">
      <alignment horizontal="left" vertical="center"/>
    </xf>
    <xf numFmtId="0" fontId="68" fillId="0" borderId="0" xfId="1" applyFont="1" applyAlignment="1" applyProtection="1">
      <alignment vertical="center"/>
    </xf>
    <xf numFmtId="1" fontId="43" fillId="31" borderId="42" xfId="61" applyNumberFormat="1" applyFont="1" applyFill="1" applyBorder="1" applyAlignment="1" applyProtection="1">
      <alignment horizontal="center" vertical="center"/>
      <protection locked="0"/>
    </xf>
    <xf numFmtId="1" fontId="43" fillId="31" borderId="23" xfId="61" applyNumberFormat="1" applyFont="1" applyFill="1" applyBorder="1" applyAlignment="1" applyProtection="1">
      <alignment horizontal="center" vertical="center"/>
      <protection locked="0"/>
    </xf>
    <xf numFmtId="0" fontId="127" fillId="0" borderId="58" xfId="1" applyFont="1" applyBorder="1" applyAlignment="1" applyProtection="1">
      <alignment horizontal="left" vertical="center"/>
    </xf>
    <xf numFmtId="0" fontId="126" fillId="0" borderId="57" xfId="1" applyFont="1" applyBorder="1" applyAlignment="1" applyProtection="1">
      <alignment vertical="center"/>
    </xf>
    <xf numFmtId="0" fontId="126" fillId="0" borderId="77" xfId="1" applyFont="1" applyBorder="1" applyAlignment="1" applyProtection="1">
      <alignment vertical="center"/>
    </xf>
    <xf numFmtId="0" fontId="9" fillId="0" borderId="0" xfId="1" applyFont="1" applyAlignment="1" applyProtection="1">
      <alignment vertical="top"/>
    </xf>
    <xf numFmtId="0" fontId="9" fillId="0" borderId="0" xfId="1" applyFont="1" applyAlignment="1" applyProtection="1">
      <alignment vertical="top"/>
      <protection locked="0"/>
    </xf>
    <xf numFmtId="0" fontId="6" fillId="0" borderId="44" xfId="1" applyFont="1" applyBorder="1" applyAlignment="1" applyProtection="1">
      <alignment vertical="center"/>
      <protection locked="0"/>
    </xf>
    <xf numFmtId="0" fontId="4" fillId="0" borderId="39" xfId="1" applyBorder="1" applyAlignment="1" applyProtection="1">
      <alignment vertical="top"/>
    </xf>
    <xf numFmtId="0" fontId="9" fillId="0" borderId="0" xfId="1" applyFont="1" applyBorder="1" applyAlignment="1" applyProtection="1">
      <alignment vertical="top"/>
    </xf>
    <xf numFmtId="0" fontId="43" fillId="4" borderId="0" xfId="1" applyFont="1" applyFill="1" applyBorder="1" applyAlignment="1" applyProtection="1">
      <alignment horizontal="right" vertical="top"/>
    </xf>
    <xf numFmtId="0" fontId="9" fillId="31" borderId="0" xfId="1" applyFont="1" applyFill="1"/>
    <xf numFmtId="0" fontId="128" fillId="0" borderId="42" xfId="1" applyFont="1" applyBorder="1" applyAlignment="1" applyProtection="1">
      <alignment vertical="center"/>
      <protection locked="0"/>
    </xf>
    <xf numFmtId="0" fontId="4" fillId="0" borderId="43" xfId="1" applyBorder="1" applyAlignment="1" applyProtection="1">
      <alignment vertical="top"/>
    </xf>
    <xf numFmtId="0" fontId="18" fillId="4" borderId="0" xfId="1" applyFont="1" applyFill="1" applyBorder="1" applyAlignment="1" applyProtection="1">
      <alignment horizontal="right" vertical="top"/>
    </xf>
    <xf numFmtId="0" fontId="18" fillId="31" borderId="0" xfId="1" applyFont="1" applyFill="1" applyBorder="1" applyAlignment="1" applyProtection="1">
      <alignment horizontal="right" vertical="top"/>
    </xf>
    <xf numFmtId="0" fontId="45" fillId="0" borderId="0" xfId="1" applyFont="1" applyBorder="1" applyAlignment="1" applyProtection="1">
      <alignment horizontal="left" vertical="top"/>
    </xf>
    <xf numFmtId="0" fontId="96" fillId="0" borderId="0" xfId="1" applyFont="1" applyBorder="1" applyAlignment="1" applyProtection="1">
      <alignment vertical="top"/>
    </xf>
    <xf numFmtId="0" fontId="129" fillId="0" borderId="0" xfId="1" applyFont="1" applyBorder="1" applyAlignment="1" applyProtection="1">
      <alignment vertical="top"/>
    </xf>
    <xf numFmtId="0" fontId="44" fillId="0" borderId="0" xfId="1" applyFont="1" applyAlignment="1" applyProtection="1">
      <alignment horizontal="right" vertical="top"/>
    </xf>
    <xf numFmtId="189" fontId="12" fillId="0" borderId="0" xfId="1" applyNumberFormat="1" applyFont="1" applyAlignment="1" applyProtection="1">
      <alignment vertical="top"/>
    </xf>
    <xf numFmtId="0" fontId="12" fillId="0" borderId="0" xfId="1" applyFont="1" applyAlignment="1" applyProtection="1">
      <alignment horizontal="right" vertical="top"/>
    </xf>
    <xf numFmtId="14" fontId="6" fillId="0" borderId="0" xfId="1" applyNumberFormat="1" applyFont="1" applyAlignment="1" applyProtection="1">
      <alignment horizontal="centerContinuous" vertical="top"/>
    </xf>
    <xf numFmtId="170" fontId="6" fillId="0" borderId="90" xfId="1" applyNumberFormat="1" applyFont="1" applyBorder="1" applyAlignment="1" applyProtection="1">
      <alignment horizontal="right" vertical="center"/>
    </xf>
    <xf numFmtId="206" fontId="6" fillId="0" borderId="162" xfId="105" applyNumberFormat="1" applyFont="1" applyBorder="1" applyAlignment="1" applyProtection="1">
      <alignment horizontal="right" vertical="center"/>
    </xf>
    <xf numFmtId="213" fontId="6" fillId="31" borderId="92" xfId="105" applyNumberFormat="1" applyFont="1" applyFill="1" applyBorder="1" applyAlignment="1" applyProtection="1">
      <alignment horizontal="right" vertical="center"/>
      <protection locked="0"/>
    </xf>
    <xf numFmtId="170" fontId="6" fillId="27" borderId="90" xfId="1" applyNumberFormat="1" applyFont="1" applyFill="1" applyBorder="1" applyAlignment="1" applyProtection="1">
      <alignment horizontal="right" vertical="center"/>
    </xf>
    <xf numFmtId="206" fontId="6" fillId="27" borderId="162" xfId="105" applyNumberFormat="1" applyFont="1" applyFill="1" applyBorder="1" applyAlignment="1" applyProtection="1">
      <alignment horizontal="right" vertical="center"/>
    </xf>
    <xf numFmtId="176"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horizontal="center" vertical="center"/>
    </xf>
    <xf numFmtId="0" fontId="6" fillId="4" borderId="92" xfId="1" applyFont="1" applyFill="1" applyBorder="1" applyAlignment="1" applyProtection="1">
      <alignment vertical="center"/>
    </xf>
    <xf numFmtId="0" fontId="6" fillId="0" borderId="0" xfId="1" applyFont="1" applyBorder="1" applyAlignment="1" applyProtection="1">
      <alignment vertical="center"/>
      <protection locked="0"/>
    </xf>
    <xf numFmtId="0" fontId="17" fillId="0" borderId="0" xfId="1" applyFont="1" applyBorder="1" applyAlignment="1" applyProtection="1">
      <alignment vertical="top"/>
    </xf>
    <xf numFmtId="0" fontId="9" fillId="33" borderId="0" xfId="1" applyFont="1" applyFill="1" applyBorder="1" applyAlignment="1" applyProtection="1">
      <alignment vertical="top"/>
    </xf>
    <xf numFmtId="0" fontId="6" fillId="0" borderId="19" xfId="1" applyFont="1" applyBorder="1" applyAlignment="1" applyProtection="1">
      <alignment vertical="center"/>
      <protection locked="0"/>
    </xf>
    <xf numFmtId="0" fontId="6" fillId="0" borderId="40" xfId="1" applyFont="1" applyBorder="1" applyAlignment="1" applyProtection="1">
      <alignment vertical="center"/>
      <protection locked="0"/>
    </xf>
    <xf numFmtId="0" fontId="6" fillId="0" borderId="42" xfId="1" applyFont="1" applyBorder="1" applyAlignment="1" applyProtection="1">
      <alignment vertical="center"/>
      <protection locked="0"/>
    </xf>
    <xf numFmtId="0" fontId="6" fillId="0" borderId="23" xfId="1" applyFont="1" applyBorder="1" applyAlignment="1" applyProtection="1">
      <alignment vertical="center"/>
      <protection locked="0"/>
    </xf>
    <xf numFmtId="0" fontId="6" fillId="0" borderId="43" xfId="1" applyFont="1" applyBorder="1" applyAlignment="1" applyProtection="1">
      <alignment vertical="center"/>
      <protection locked="0"/>
    </xf>
    <xf numFmtId="188" fontId="14" fillId="0" borderId="43" xfId="61" applyNumberFormat="1" applyFont="1" applyBorder="1" applyAlignment="1" applyProtection="1">
      <alignment vertical="center"/>
    </xf>
    <xf numFmtId="188" fontId="14" fillId="27" borderId="43" xfId="61" applyNumberFormat="1" applyFont="1" applyFill="1" applyBorder="1" applyAlignment="1" applyProtection="1">
      <alignment vertical="center"/>
    </xf>
    <xf numFmtId="177" fontId="9" fillId="0" borderId="0" xfId="1" applyNumberFormat="1" applyFont="1" applyBorder="1" applyAlignment="1" applyProtection="1">
      <alignment vertical="center"/>
    </xf>
    <xf numFmtId="3" fontId="9" fillId="0" borderId="0" xfId="1" applyNumberFormat="1" applyFont="1" applyBorder="1" applyAlignment="1" applyProtection="1">
      <alignment horizontal="right" vertical="center"/>
    </xf>
    <xf numFmtId="180" fontId="6" fillId="31" borderId="63" xfId="105" applyNumberFormat="1" applyFont="1" applyFill="1" applyBorder="1" applyAlignment="1" applyProtection="1">
      <alignment horizontal="right" vertical="center"/>
      <protection locked="0"/>
    </xf>
    <xf numFmtId="180" fontId="6" fillId="31" borderId="67" xfId="105" applyNumberFormat="1" applyFont="1" applyFill="1" applyBorder="1" applyAlignment="1" applyProtection="1">
      <alignment horizontal="right" vertical="center"/>
      <protection locked="0"/>
    </xf>
    <xf numFmtId="3" fontId="6" fillId="0" borderId="39" xfId="1" applyNumberFormat="1" applyFont="1" applyFill="1" applyBorder="1" applyAlignment="1" applyProtection="1">
      <alignment horizontal="right" vertical="center"/>
    </xf>
    <xf numFmtId="189" fontId="14" fillId="0" borderId="44" xfId="61" applyNumberFormat="1" applyFont="1" applyFill="1" applyBorder="1" applyAlignment="1" applyProtection="1">
      <alignment vertical="center"/>
    </xf>
    <xf numFmtId="0" fontId="6" fillId="0" borderId="2" xfId="1" applyFont="1" applyFill="1" applyBorder="1" applyAlignment="1" applyProtection="1">
      <alignment horizontal="center" vertical="center"/>
    </xf>
    <xf numFmtId="182" fontId="6" fillId="31" borderId="63" xfId="1" applyNumberFormat="1" applyFont="1" applyFill="1" applyBorder="1" applyAlignment="1" applyProtection="1">
      <alignment horizontal="right" vertical="center"/>
      <protection locked="0"/>
    </xf>
    <xf numFmtId="189" fontId="6" fillId="31" borderId="67" xfId="1" applyNumberFormat="1" applyFont="1" applyFill="1" applyBorder="1" applyAlignment="1" applyProtection="1">
      <alignment horizontal="right" vertical="center"/>
      <protection locked="0"/>
    </xf>
    <xf numFmtId="176" fontId="6" fillId="4" borderId="80" xfId="105" applyNumberFormat="1" applyFont="1" applyFill="1" applyBorder="1" applyAlignment="1" applyProtection="1">
      <alignment horizontal="left" vertical="center" indent="1"/>
    </xf>
    <xf numFmtId="176" fontId="6" fillId="4" borderId="66" xfId="105" applyNumberFormat="1" applyFont="1" applyFill="1" applyBorder="1" applyAlignment="1" applyProtection="1">
      <alignment horizontal="left" vertical="center" indent="1"/>
    </xf>
    <xf numFmtId="0" fontId="5" fillId="0" borderId="0" xfId="1" applyFont="1" applyAlignment="1" applyProtection="1">
      <alignment horizontal="right" vertical="center"/>
    </xf>
    <xf numFmtId="2" fontId="5" fillId="0" borderId="0" xfId="1" applyNumberFormat="1" applyFont="1" applyAlignment="1" applyProtection="1">
      <alignment vertical="center"/>
    </xf>
    <xf numFmtId="0" fontId="31" fillId="0" borderId="0" xfId="55" applyFont="1" applyAlignment="1">
      <alignment horizontal="center"/>
    </xf>
    <xf numFmtId="0" fontId="9" fillId="0" borderId="0" xfId="1" applyFont="1" applyFill="1"/>
    <xf numFmtId="0" fontId="18" fillId="0" borderId="0" xfId="1" applyFont="1" applyFill="1" applyBorder="1" applyAlignment="1" applyProtection="1">
      <alignment horizontal="right" vertical="top"/>
    </xf>
    <xf numFmtId="182" fontId="6" fillId="0" borderId="163" xfId="61" applyNumberFormat="1" applyFont="1" applyBorder="1" applyAlignment="1" applyProtection="1">
      <alignment vertical="center"/>
    </xf>
    <xf numFmtId="176" fontId="6" fillId="31" borderId="63" xfId="1" applyNumberFormat="1" applyFont="1" applyFill="1" applyBorder="1" applyAlignment="1" applyProtection="1">
      <alignment horizontal="right" vertical="center"/>
      <protection locked="0"/>
    </xf>
    <xf numFmtId="176" fontId="6" fillId="31" borderId="67" xfId="1" applyNumberFormat="1" applyFont="1" applyFill="1" applyBorder="1" applyAlignment="1" applyProtection="1">
      <alignment horizontal="right" vertical="center"/>
      <protection locked="0"/>
    </xf>
    <xf numFmtId="2" fontId="9" fillId="0" borderId="3" xfId="1" applyNumberFormat="1" applyFont="1" applyBorder="1" applyProtection="1">
      <protection locked="0"/>
    </xf>
    <xf numFmtId="2" fontId="9" fillId="0" borderId="77" xfId="1" applyNumberFormat="1" applyFont="1" applyBorder="1" applyProtection="1">
      <protection locked="0"/>
    </xf>
    <xf numFmtId="176" fontId="6" fillId="31" borderId="67" xfId="105" applyNumberFormat="1" applyFont="1" applyFill="1" applyBorder="1" applyAlignment="1" applyProtection="1">
      <alignment vertical="center"/>
      <protection locked="0"/>
    </xf>
    <xf numFmtId="176" fontId="6" fillId="31" borderId="63" xfId="105" applyNumberFormat="1" applyFont="1" applyFill="1" applyBorder="1" applyAlignment="1" applyProtection="1">
      <alignment vertical="center"/>
      <protection locked="0"/>
    </xf>
    <xf numFmtId="217" fontId="6" fillId="31" borderId="2" xfId="61" applyNumberFormat="1" applyFont="1" applyFill="1" applyBorder="1" applyAlignment="1" applyProtection="1">
      <alignment horizontal="right" vertical="center"/>
      <protection locked="0"/>
    </xf>
    <xf numFmtId="217" fontId="6" fillId="31" borderId="39" xfId="61" applyNumberFormat="1" applyFont="1" applyFill="1" applyBorder="1" applyAlignment="1" applyProtection="1">
      <alignment horizontal="right" vertical="center"/>
      <protection locked="0"/>
    </xf>
    <xf numFmtId="0" fontId="9" fillId="4" borderId="0" xfId="1" applyFont="1" applyFill="1" applyBorder="1" applyAlignment="1" applyProtection="1">
      <alignment horizontal="left" vertical="top"/>
    </xf>
    <xf numFmtId="0" fontId="6" fillId="0" borderId="0" xfId="1" applyFont="1" applyAlignment="1">
      <alignment vertical="center"/>
    </xf>
    <xf numFmtId="1" fontId="6" fillId="31" borderId="63" xfId="1" applyNumberFormat="1" applyFont="1" applyFill="1" applyBorder="1" applyAlignment="1" applyProtection="1">
      <alignment horizontal="center" vertical="center"/>
      <protection locked="0"/>
    </xf>
    <xf numFmtId="176" fontId="6" fillId="4" borderId="61" xfId="105" applyNumberFormat="1" applyFont="1" applyFill="1" applyBorder="1" applyAlignment="1" applyProtection="1">
      <alignment horizontal="right" vertical="center"/>
    </xf>
    <xf numFmtId="0" fontId="120" fillId="0" borderId="71" xfId="1" applyFont="1" applyBorder="1" applyAlignment="1" applyProtection="1">
      <alignment vertical="center"/>
    </xf>
    <xf numFmtId="218" fontId="6" fillId="31" borderId="2" xfId="1" applyNumberFormat="1" applyFont="1" applyFill="1" applyBorder="1" applyAlignment="1" applyProtection="1">
      <alignment vertical="center"/>
      <protection locked="0"/>
    </xf>
    <xf numFmtId="0" fontId="20" fillId="0" borderId="0" xfId="1" applyFont="1" applyAlignment="1">
      <alignment vertical="center"/>
    </xf>
    <xf numFmtId="0" fontId="13" fillId="0" borderId="0" xfId="1" applyFont="1" applyFill="1" applyAlignment="1" applyProtection="1">
      <alignment horizontal="right" vertical="center"/>
      <protection locked="0"/>
    </xf>
    <xf numFmtId="0" fontId="131" fillId="0" borderId="0" xfId="1" applyFont="1" applyAlignment="1" applyProtection="1">
      <alignment vertical="center"/>
    </xf>
    <xf numFmtId="190" fontId="6" fillId="31" borderId="163" xfId="105" applyNumberFormat="1" applyFont="1" applyFill="1" applyBorder="1" applyAlignment="1" applyProtection="1">
      <alignment vertical="center"/>
      <protection locked="0"/>
    </xf>
    <xf numFmtId="189" fontId="14" fillId="31" borderId="42" xfId="61" applyNumberFormat="1" applyFont="1" applyFill="1" applyBorder="1" applyAlignment="1" applyProtection="1">
      <alignment vertical="center"/>
      <protection locked="0"/>
    </xf>
    <xf numFmtId="180" fontId="6" fillId="37" borderId="63" xfId="105" applyNumberFormat="1" applyFont="1" applyFill="1" applyBorder="1" applyAlignment="1" applyProtection="1">
      <alignment vertical="center"/>
      <protection locked="0"/>
    </xf>
    <xf numFmtId="180" fontId="6" fillId="37" borderId="67" xfId="105" applyNumberFormat="1" applyFont="1" applyFill="1" applyBorder="1" applyAlignment="1" applyProtection="1">
      <alignment vertical="center"/>
      <protection locked="0"/>
    </xf>
    <xf numFmtId="182" fontId="6" fillId="31" borderId="67" xfId="1" applyNumberFormat="1" applyFont="1" applyFill="1" applyBorder="1" applyAlignment="1" applyProtection="1">
      <alignment horizontal="right" vertical="center"/>
      <protection locked="0"/>
    </xf>
    <xf numFmtId="188" fontId="6" fillId="37" borderId="40" xfId="61" applyNumberFormat="1" applyFont="1" applyFill="1" applyBorder="1" applyAlignment="1" applyProtection="1">
      <alignment vertical="center"/>
      <protection locked="0"/>
    </xf>
    <xf numFmtId="0" fontId="108" fillId="0" borderId="0" xfId="1" applyFont="1" applyAlignment="1" applyProtection="1">
      <alignment vertical="center"/>
    </xf>
    <xf numFmtId="0" fontId="4" fillId="0" borderId="0" xfId="1" applyProtection="1">
      <protection locked="0"/>
    </xf>
    <xf numFmtId="14" fontId="6" fillId="0" borderId="0" xfId="1" applyNumberFormat="1" applyFont="1" applyAlignment="1">
      <alignment horizontal="left" vertical="top"/>
    </xf>
    <xf numFmtId="0" fontId="16" fillId="0" borderId="0" xfId="1" applyFont="1" applyAlignment="1">
      <alignment vertical="top"/>
    </xf>
    <xf numFmtId="0" fontId="14" fillId="0" borderId="0" xfId="1" applyFont="1" applyAlignment="1">
      <alignment vertical="center"/>
    </xf>
    <xf numFmtId="0" fontId="119" fillId="0" borderId="0" xfId="1" applyFont="1" applyBorder="1" applyAlignment="1">
      <alignment vertical="center"/>
    </xf>
    <xf numFmtId="0" fontId="20" fillId="0" borderId="0" xfId="1" applyFont="1" applyAlignment="1" applyProtection="1">
      <alignment horizontal="center"/>
    </xf>
    <xf numFmtId="0" fontId="4" fillId="0" borderId="44" xfId="1" applyBorder="1" applyAlignment="1" applyProtection="1">
      <alignment horizontal="center"/>
    </xf>
    <xf numFmtId="0" fontId="4" fillId="0" borderId="19" xfId="1" applyBorder="1" applyAlignment="1" applyProtection="1">
      <alignment horizontal="center"/>
    </xf>
    <xf numFmtId="0" fontId="4" fillId="0" borderId="42" xfId="1" applyBorder="1" applyAlignment="1" applyProtection="1">
      <alignment horizontal="center"/>
    </xf>
    <xf numFmtId="174" fontId="14" fillId="0" borderId="168" xfId="1" applyNumberFormat="1" applyFont="1" applyBorder="1" applyAlignment="1" applyProtection="1">
      <alignment vertical="center"/>
    </xf>
    <xf numFmtId="0" fontId="43" fillId="0" borderId="174" xfId="1" applyFont="1" applyBorder="1" applyAlignment="1" applyProtection="1">
      <alignment horizontal="center" vertical="top" wrapText="1"/>
    </xf>
    <xf numFmtId="0" fontId="64" fillId="0" borderId="175" xfId="1" applyFont="1" applyBorder="1" applyAlignment="1" applyProtection="1">
      <alignment horizontal="center" vertical="top" wrapText="1"/>
    </xf>
    <xf numFmtId="0" fontId="135" fillId="0" borderId="0" xfId="1" applyFont="1" applyProtection="1"/>
    <xf numFmtId="0" fontId="135" fillId="0" borderId="0" xfId="1" applyFont="1" applyProtection="1">
      <protection locked="0"/>
    </xf>
    <xf numFmtId="174" fontId="18" fillId="0" borderId="0" xfId="1" applyNumberFormat="1" applyFont="1" applyBorder="1" applyAlignment="1" applyProtection="1">
      <alignment horizontal="right"/>
    </xf>
    <xf numFmtId="174" fontId="14" fillId="30" borderId="176" xfId="1" applyNumberFormat="1" applyFont="1" applyFill="1" applyBorder="1" applyAlignment="1" applyProtection="1">
      <alignment vertical="center"/>
    </xf>
    <xf numFmtId="0" fontId="63" fillId="0" borderId="47" xfId="1" applyFont="1" applyBorder="1" applyAlignment="1" applyProtection="1">
      <alignment horizontal="center" vertical="center"/>
    </xf>
    <xf numFmtId="174" fontId="14" fillId="30" borderId="177" xfId="1" applyNumberFormat="1" applyFont="1" applyFill="1" applyBorder="1" applyAlignment="1" applyProtection="1">
      <alignment vertical="center"/>
    </xf>
    <xf numFmtId="0" fontId="55" fillId="0" borderId="6" xfId="1" applyFont="1" applyBorder="1" applyAlignment="1" applyProtection="1">
      <alignment vertical="center"/>
    </xf>
    <xf numFmtId="174" fontId="16" fillId="30" borderId="178" xfId="1" applyNumberFormat="1" applyFont="1" applyFill="1" applyBorder="1" applyAlignment="1" applyProtection="1">
      <alignment vertical="center"/>
    </xf>
    <xf numFmtId="0" fontId="15" fillId="0" borderId="30" xfId="1" applyFont="1" applyBorder="1" applyAlignment="1" applyProtection="1">
      <alignment vertical="center"/>
    </xf>
    <xf numFmtId="174" fontId="14" fillId="30" borderId="178" xfId="1" applyNumberFormat="1" applyFont="1" applyFill="1" applyBorder="1" applyAlignment="1" applyProtection="1">
      <alignment vertical="center"/>
    </xf>
    <xf numFmtId="175" fontId="16" fillId="30" borderId="178" xfId="1" applyNumberFormat="1" applyFont="1" applyFill="1" applyBorder="1" applyAlignment="1" applyProtection="1">
      <alignment vertical="center"/>
    </xf>
    <xf numFmtId="175" fontId="9" fillId="0" borderId="0" xfId="1" applyNumberFormat="1" applyFont="1" applyBorder="1" applyAlignment="1" applyProtection="1">
      <alignment horizontal="right" vertical="center"/>
    </xf>
    <xf numFmtId="219" fontId="4" fillId="0" borderId="0" xfId="1" applyNumberFormat="1"/>
    <xf numFmtId="0" fontId="43" fillId="30" borderId="174" xfId="1" applyFont="1" applyFill="1" applyBorder="1" applyAlignment="1" applyProtection="1">
      <alignment horizontal="center" vertical="top" wrapText="1"/>
    </xf>
    <xf numFmtId="0" fontId="15" fillId="0" borderId="6" xfId="1" applyFont="1" applyBorder="1" applyAlignment="1" applyProtection="1">
      <alignment vertical="center" wrapText="1"/>
    </xf>
    <xf numFmtId="0" fontId="15" fillId="0" borderId="173" xfId="1" applyFont="1" applyBorder="1" applyAlignment="1" applyProtection="1">
      <alignment horizontal="center"/>
    </xf>
    <xf numFmtId="0" fontId="4" fillId="0" borderId="89" xfId="1" applyBorder="1" applyProtection="1"/>
    <xf numFmtId="0" fontId="12" fillId="0" borderId="0" xfId="1" applyFont="1" applyAlignment="1" applyProtection="1">
      <alignment horizontal="center"/>
    </xf>
    <xf numFmtId="0" fontId="137" fillId="0" borderId="0" xfId="1" applyFont="1" applyProtection="1"/>
    <xf numFmtId="0" fontId="137" fillId="0" borderId="0" xfId="1" applyFont="1" applyAlignment="1" applyProtection="1">
      <alignment vertical="center"/>
    </xf>
    <xf numFmtId="0" fontId="138" fillId="0" borderId="0" xfId="1" applyFont="1" applyAlignment="1" applyProtection="1">
      <alignment horizontal="center"/>
      <protection locked="0"/>
    </xf>
    <xf numFmtId="0" fontId="12" fillId="0" borderId="0" xfId="1" applyFont="1" applyAlignment="1" applyProtection="1">
      <alignment vertical="center"/>
    </xf>
    <xf numFmtId="0" fontId="139" fillId="0" borderId="0" xfId="1" applyFont="1" applyBorder="1" applyAlignment="1">
      <alignment horizontal="left" vertical="center"/>
    </xf>
    <xf numFmtId="0" fontId="135" fillId="0" borderId="0" xfId="1" applyFont="1" applyAlignment="1" applyProtection="1">
      <alignment horizontal="center"/>
      <protection locked="0"/>
    </xf>
    <xf numFmtId="0" fontId="140" fillId="0" borderId="0" xfId="1" applyFont="1" applyProtection="1"/>
    <xf numFmtId="0" fontId="4" fillId="0" borderId="0" xfId="1" applyAlignment="1" applyProtection="1">
      <alignment horizontal="center"/>
    </xf>
    <xf numFmtId="0" fontId="142" fillId="0" borderId="0" xfId="1" applyFont="1" applyAlignment="1">
      <alignment horizontal="center"/>
    </xf>
    <xf numFmtId="0" fontId="6" fillId="0" borderId="0" xfId="1" applyFont="1" applyAlignment="1">
      <alignment horizontal="left"/>
    </xf>
    <xf numFmtId="0" fontId="4" fillId="0" borderId="0" xfId="1" applyAlignment="1">
      <alignment horizontal="left"/>
    </xf>
    <xf numFmtId="0" fontId="9" fillId="0" borderId="0" xfId="1" applyFont="1" applyFill="1" applyBorder="1" applyAlignment="1">
      <alignment horizontal="left" vertical="center"/>
    </xf>
    <xf numFmtId="0" fontId="6" fillId="0" borderId="0" xfId="1" applyFont="1" applyFill="1" applyAlignment="1">
      <alignment vertical="center"/>
    </xf>
    <xf numFmtId="0" fontId="6" fillId="0" borderId="0" xfId="1" applyFont="1" applyAlignment="1">
      <alignment horizontal="right" vertical="center"/>
    </xf>
    <xf numFmtId="2" fontId="13" fillId="0" borderId="0" xfId="1" applyNumberFormat="1" applyFont="1" applyAlignment="1">
      <alignment horizontal="left" vertical="center"/>
    </xf>
    <xf numFmtId="2" fontId="6" fillId="0" borderId="0" xfId="1" applyNumberFormat="1" applyFont="1" applyAlignment="1">
      <alignment vertical="center"/>
    </xf>
    <xf numFmtId="2" fontId="6" fillId="0" borderId="0" xfId="1" applyNumberFormat="1" applyFont="1" applyAlignment="1">
      <alignment horizontal="left" vertical="center"/>
    </xf>
    <xf numFmtId="0" fontId="5" fillId="0" borderId="0" xfId="1" applyFont="1"/>
    <xf numFmtId="0" fontId="9" fillId="0" borderId="0" xfId="1" applyFont="1" applyBorder="1" applyAlignment="1">
      <alignment horizontal="center" vertical="center"/>
    </xf>
    <xf numFmtId="0" fontId="72" fillId="0" borderId="0" xfId="1" applyFont="1" applyAlignment="1">
      <alignment vertical="center"/>
    </xf>
    <xf numFmtId="0" fontId="72" fillId="0" borderId="0" xfId="1" applyFont="1" applyAlignment="1">
      <alignment horizontal="left" vertical="center"/>
    </xf>
    <xf numFmtId="0" fontId="72" fillId="0" borderId="0" xfId="1" applyFont="1" applyAlignment="1">
      <alignment horizontal="right" vertical="center"/>
    </xf>
    <xf numFmtId="0" fontId="70" fillId="0" borderId="0" xfId="1" applyFont="1" applyAlignment="1">
      <alignment vertical="center"/>
    </xf>
    <xf numFmtId="0" fontId="44" fillId="0" borderId="0" xfId="1" applyFont="1" applyAlignment="1">
      <alignment horizontal="left" vertical="center"/>
    </xf>
    <xf numFmtId="0" fontId="44" fillId="0" borderId="0" xfId="1" applyFont="1" applyAlignment="1">
      <alignment horizontal="right" vertical="center"/>
    </xf>
    <xf numFmtId="0" fontId="5" fillId="0" borderId="0" xfId="1" applyFont="1" applyBorder="1" applyAlignment="1">
      <alignment horizontal="center" vertical="center"/>
    </xf>
    <xf numFmtId="0" fontId="143" fillId="0" borderId="0" xfId="1" applyFont="1" applyAlignment="1">
      <alignment horizontal="center" vertical="center"/>
    </xf>
    <xf numFmtId="0" fontId="72" fillId="0" borderId="0" xfId="1" applyFont="1" applyFill="1" applyAlignment="1">
      <alignment vertical="center"/>
    </xf>
    <xf numFmtId="176" fontId="6" fillId="0" borderId="0" xfId="1" applyNumberFormat="1" applyFont="1" applyBorder="1" applyAlignment="1">
      <alignment vertical="center"/>
    </xf>
    <xf numFmtId="0" fontId="31" fillId="0" borderId="0" xfId="1" applyFont="1" applyAlignment="1">
      <alignment horizontal="centerContinuous" vertical="center"/>
    </xf>
    <xf numFmtId="0" fontId="72" fillId="0" borderId="44" xfId="1" applyFont="1" applyBorder="1" applyAlignment="1">
      <alignment vertical="center"/>
    </xf>
    <xf numFmtId="0" fontId="72" fillId="0" borderId="34" xfId="1" applyFont="1" applyBorder="1" applyAlignment="1">
      <alignment vertical="center"/>
    </xf>
    <xf numFmtId="0" fontId="70" fillId="0" borderId="19" xfId="1" applyFont="1" applyBorder="1" applyAlignment="1">
      <alignment vertical="center"/>
    </xf>
    <xf numFmtId="0" fontId="70" fillId="0" borderId="25" xfId="1" applyFont="1" applyBorder="1" applyAlignment="1">
      <alignment vertical="center"/>
    </xf>
    <xf numFmtId="0" fontId="144" fillId="0" borderId="0" xfId="1" applyFont="1" applyAlignment="1">
      <alignment horizontal="center" vertical="center"/>
    </xf>
    <xf numFmtId="0" fontId="44" fillId="0" borderId="19" xfId="1" applyFont="1" applyBorder="1" applyAlignment="1">
      <alignment horizontal="right" vertical="center"/>
    </xf>
    <xf numFmtId="0" fontId="44" fillId="0" borderId="25" xfId="1" applyFont="1" applyBorder="1" applyAlignment="1">
      <alignment horizontal="right" vertical="center"/>
    </xf>
    <xf numFmtId="0" fontId="127" fillId="0" borderId="0" xfId="1" applyFont="1" applyAlignment="1">
      <alignment horizontal="center" vertical="center"/>
    </xf>
    <xf numFmtId="0" fontId="6" fillId="0" borderId="19" xfId="1" applyFont="1" applyBorder="1" applyAlignment="1">
      <alignment vertical="center"/>
    </xf>
    <xf numFmtId="0" fontId="116" fillId="0" borderId="0" xfId="1" applyFont="1" applyAlignment="1">
      <alignment horizontal="center" vertical="center"/>
    </xf>
    <xf numFmtId="0" fontId="4" fillId="0" borderId="0" xfId="1" applyAlignment="1">
      <alignment vertical="top"/>
    </xf>
    <xf numFmtId="0" fontId="4" fillId="0" borderId="0" xfId="1" applyFill="1" applyAlignment="1">
      <alignment vertical="top"/>
    </xf>
    <xf numFmtId="0" fontId="4" fillId="0" borderId="0" xfId="1" applyAlignment="1">
      <alignment horizontal="right" vertical="top"/>
    </xf>
    <xf numFmtId="0" fontId="72" fillId="0" borderId="25" xfId="1" applyFont="1" applyBorder="1" applyAlignment="1">
      <alignment vertical="center"/>
    </xf>
    <xf numFmtId="176" fontId="11" fillId="31" borderId="65" xfId="1" applyNumberFormat="1" applyFont="1" applyFill="1" applyBorder="1" applyAlignment="1" applyProtection="1">
      <alignment vertical="center"/>
      <protection locked="0"/>
    </xf>
    <xf numFmtId="0" fontId="6" fillId="31" borderId="19" xfId="1" applyFont="1" applyFill="1" applyBorder="1" applyAlignment="1" applyProtection="1">
      <alignment vertical="center"/>
      <protection locked="0"/>
    </xf>
    <xf numFmtId="14" fontId="9" fillId="0" borderId="0" xfId="1" applyNumberFormat="1" applyFont="1"/>
    <xf numFmtId="0" fontId="72" fillId="0" borderId="19" xfId="1" applyFont="1" applyBorder="1" applyAlignment="1">
      <alignment vertical="center"/>
    </xf>
    <xf numFmtId="0" fontId="143" fillId="0" borderId="0" xfId="1" applyFont="1" applyAlignment="1">
      <alignment vertical="center"/>
    </xf>
    <xf numFmtId="2" fontId="145" fillId="0" borderId="2" xfId="1" applyNumberFormat="1" applyFont="1" applyFill="1" applyBorder="1" applyAlignment="1">
      <alignment horizontal="left"/>
    </xf>
    <xf numFmtId="0" fontId="145" fillId="0" borderId="39" xfId="1" applyFont="1" applyFill="1" applyBorder="1"/>
    <xf numFmtId="2" fontId="145" fillId="0" borderId="42" xfId="1" applyNumberFormat="1" applyFont="1" applyFill="1" applyBorder="1" applyAlignment="1">
      <alignment horizontal="left"/>
    </xf>
    <xf numFmtId="2" fontId="145" fillId="0" borderId="23" xfId="1" applyNumberFormat="1" applyFont="1" applyFill="1" applyBorder="1" applyAlignment="1">
      <alignment horizontal="left"/>
    </xf>
    <xf numFmtId="0" fontId="145" fillId="0" borderId="43" xfId="1" applyFont="1" applyFill="1" applyBorder="1"/>
    <xf numFmtId="0" fontId="134" fillId="0" borderId="0" xfId="1" applyFont="1" applyAlignment="1">
      <alignment horizontal="center" vertical="center"/>
    </xf>
    <xf numFmtId="0" fontId="11" fillId="0" borderId="0" xfId="1" applyFont="1" applyBorder="1" applyAlignment="1">
      <alignment horizontal="center" vertical="center"/>
    </xf>
    <xf numFmtId="176" fontId="6" fillId="0" borderId="0" xfId="61" applyNumberFormat="1" applyFont="1" applyBorder="1" applyAlignment="1">
      <alignment vertical="center"/>
    </xf>
    <xf numFmtId="178" fontId="6" fillId="0" borderId="0" xfId="1" applyNumberFormat="1" applyFont="1" applyBorder="1" applyAlignment="1">
      <alignment vertical="center"/>
    </xf>
    <xf numFmtId="0" fontId="12" fillId="0" borderId="0" xfId="1" applyFont="1" applyBorder="1" applyAlignment="1">
      <alignment horizontal="left" vertical="center"/>
    </xf>
    <xf numFmtId="0" fontId="6" fillId="0" borderId="0" xfId="1" applyFont="1" applyBorder="1" applyAlignment="1">
      <alignment horizontal="center" vertical="center"/>
    </xf>
    <xf numFmtId="0" fontId="70" fillId="0" borderId="58" xfId="1" applyFont="1" applyBorder="1" applyAlignment="1">
      <alignment vertical="center"/>
    </xf>
    <xf numFmtId="0" fontId="70" fillId="0" borderId="3" xfId="1" applyFont="1" applyBorder="1" applyAlignment="1">
      <alignment vertical="center"/>
    </xf>
    <xf numFmtId="0" fontId="31" fillId="0" borderId="0" xfId="1" applyFont="1" applyAlignment="1">
      <alignment horizontal="left" vertical="center"/>
    </xf>
    <xf numFmtId="0" fontId="31" fillId="0" borderId="0" xfId="1" applyFont="1" applyAlignment="1" applyProtection="1">
      <alignment horizontal="left" vertical="center"/>
      <protection locked="0"/>
    </xf>
    <xf numFmtId="178" fontId="6" fillId="0" borderId="158" xfId="1" applyNumberFormat="1" applyFont="1" applyBorder="1" applyAlignment="1">
      <alignment vertical="center"/>
    </xf>
    <xf numFmtId="0" fontId="70" fillId="0" borderId="0" xfId="1" applyFont="1" applyAlignment="1">
      <alignment horizontal="left" vertical="center"/>
    </xf>
    <xf numFmtId="0" fontId="4" fillId="0" borderId="0" xfId="1" applyAlignment="1">
      <alignment horizontal="centerContinuous" vertical="center"/>
    </xf>
    <xf numFmtId="0" fontId="44" fillId="0" borderId="0" xfId="1" applyFont="1" applyFill="1" applyBorder="1" applyAlignment="1">
      <alignment horizontal="right" vertical="top"/>
    </xf>
    <xf numFmtId="0" fontId="6" fillId="0" borderId="0" xfId="1" applyFont="1" applyAlignment="1">
      <alignment horizontal="left" vertical="top"/>
    </xf>
    <xf numFmtId="0" fontId="142" fillId="0" borderId="0" xfId="1" applyFont="1" applyAlignment="1">
      <alignment horizontal="center" vertical="center"/>
    </xf>
    <xf numFmtId="0" fontId="4" fillId="0" borderId="0" xfId="1" applyAlignment="1">
      <alignment horizontal="left" vertical="top"/>
    </xf>
    <xf numFmtId="0" fontId="4" fillId="0" borderId="0" xfId="1" applyAlignment="1">
      <alignment horizontal="center" vertical="center"/>
    </xf>
    <xf numFmtId="0" fontId="20" fillId="0" borderId="0" xfId="67" applyFont="1" applyBorder="1" applyAlignment="1" applyProtection="1">
      <alignment vertical="center"/>
    </xf>
    <xf numFmtId="0" fontId="20" fillId="0" borderId="0" xfId="67" applyFont="1" applyAlignment="1" applyProtection="1">
      <alignment horizontal="left" vertical="center"/>
    </xf>
    <xf numFmtId="2" fontId="20" fillId="0" borderId="0" xfId="67" applyNumberFormat="1" applyFont="1" applyBorder="1" applyAlignment="1" applyProtection="1">
      <alignment vertical="center"/>
    </xf>
    <xf numFmtId="0" fontId="20" fillId="31" borderId="46" xfId="67" applyFont="1" applyFill="1" applyBorder="1" applyAlignment="1" applyProtection="1">
      <alignment horizontal="left" vertical="center"/>
      <protection locked="0"/>
    </xf>
    <xf numFmtId="180" fontId="20" fillId="31" borderId="88" xfId="67" applyNumberFormat="1" applyFont="1" applyFill="1" applyBorder="1" applyAlignment="1" applyProtection="1">
      <alignment vertical="center"/>
      <protection locked="0"/>
    </xf>
    <xf numFmtId="0" fontId="9" fillId="0" borderId="0" xfId="67" applyFill="1"/>
    <xf numFmtId="0" fontId="9" fillId="0" borderId="0" xfId="67" applyFont="1"/>
    <xf numFmtId="0" fontId="12" fillId="0" borderId="0" xfId="67" applyFont="1"/>
    <xf numFmtId="180" fontId="31" fillId="31" borderId="88" xfId="67" applyNumberFormat="1" applyFont="1" applyFill="1" applyBorder="1" applyAlignment="1" applyProtection="1">
      <alignment vertical="center"/>
      <protection locked="0"/>
    </xf>
    <xf numFmtId="0" fontId="9" fillId="0" borderId="32" xfId="1" applyFont="1" applyBorder="1" applyAlignment="1" applyProtection="1">
      <alignment vertical="center"/>
    </xf>
    <xf numFmtId="0" fontId="20" fillId="0" borderId="0" xfId="67" applyFont="1" applyAlignment="1" applyProtection="1">
      <alignment vertical="center"/>
      <protection locked="0"/>
    </xf>
    <xf numFmtId="0" fontId="31" fillId="0" borderId="0" xfId="67" applyFont="1" applyAlignment="1" applyProtection="1">
      <alignment vertical="center"/>
    </xf>
    <xf numFmtId="0" fontId="9" fillId="0" borderId="0" xfId="67" applyFont="1" applyAlignment="1">
      <alignment vertical="center"/>
    </xf>
    <xf numFmtId="0" fontId="20" fillId="0" borderId="0" xfId="67" applyFont="1" applyFill="1" applyAlignment="1" applyProtection="1">
      <alignment vertical="center"/>
    </xf>
    <xf numFmtId="0" fontId="12" fillId="0" borderId="0" xfId="1" applyFont="1"/>
    <xf numFmtId="0" fontId="20" fillId="0" borderId="0" xfId="67" applyFont="1" applyFill="1" applyBorder="1" applyAlignment="1" applyProtection="1">
      <alignment horizontal="left" vertical="center"/>
    </xf>
    <xf numFmtId="180" fontId="148" fillId="31" borderId="88" xfId="67" applyNumberFormat="1" applyFont="1" applyFill="1" applyBorder="1" applyAlignment="1" applyProtection="1">
      <alignment vertical="center"/>
      <protection locked="0"/>
    </xf>
    <xf numFmtId="0" fontId="20" fillId="0" borderId="0" xfId="67" applyFont="1" applyFill="1" applyBorder="1" applyAlignment="1" applyProtection="1">
      <alignment horizontal="left" vertical="center"/>
      <protection locked="0"/>
    </xf>
    <xf numFmtId="0" fontId="20" fillId="0" borderId="0" xfId="67" applyFont="1"/>
    <xf numFmtId="180" fontId="63" fillId="31" borderId="81" xfId="105" applyNumberFormat="1" applyFont="1" applyFill="1" applyBorder="1" applyAlignment="1" applyProtection="1">
      <alignment vertical="center"/>
      <protection locked="0"/>
    </xf>
    <xf numFmtId="0" fontId="20" fillId="0" borderId="77" xfId="67" applyFont="1" applyFill="1" applyBorder="1" applyAlignment="1" applyProtection="1">
      <alignment horizontal="left" vertical="center"/>
    </xf>
    <xf numFmtId="4" fontId="20" fillId="31" borderId="86" xfId="67" applyNumberFormat="1" applyFont="1" applyFill="1" applyBorder="1" applyAlignment="1" applyProtection="1">
      <alignment horizontal="center" vertical="center"/>
      <protection locked="0"/>
    </xf>
    <xf numFmtId="4" fontId="20" fillId="0" borderId="47" xfId="67" applyNumberFormat="1" applyFont="1" applyFill="1" applyBorder="1" applyAlignment="1" applyProtection="1">
      <alignment horizontal="center" vertical="center"/>
    </xf>
    <xf numFmtId="4" fontId="20" fillId="0" borderId="46" xfId="67" applyNumberFormat="1" applyFont="1" applyFill="1" applyBorder="1" applyAlignment="1" applyProtection="1">
      <alignment horizontal="right" vertical="center"/>
    </xf>
    <xf numFmtId="4" fontId="20" fillId="31" borderId="84" xfId="67" applyNumberFormat="1" applyFont="1" applyFill="1" applyBorder="1" applyAlignment="1" applyProtection="1">
      <alignment horizontal="center" vertical="center"/>
      <protection locked="0"/>
    </xf>
    <xf numFmtId="4" fontId="20" fillId="31" borderId="85" xfId="67" applyNumberFormat="1" applyFont="1" applyFill="1" applyBorder="1" applyAlignment="1" applyProtection="1">
      <alignment horizontal="center" vertical="center"/>
      <protection locked="0"/>
    </xf>
    <xf numFmtId="2" fontId="20" fillId="31" borderId="86" xfId="67" applyNumberFormat="1" applyFont="1" applyFill="1" applyBorder="1" applyAlignment="1" applyProtection="1">
      <alignment horizontal="center" vertical="center"/>
      <protection locked="0"/>
    </xf>
    <xf numFmtId="179" fontId="20" fillId="31" borderId="46" xfId="67" applyNumberFormat="1" applyFont="1" applyFill="1" applyBorder="1" applyAlignment="1" applyProtection="1">
      <alignment horizontal="center" vertical="center"/>
      <protection locked="0"/>
    </xf>
    <xf numFmtId="180" fontId="20" fillId="31" borderId="87" xfId="67" applyNumberFormat="1" applyFont="1" applyFill="1" applyBorder="1" applyAlignment="1" applyProtection="1">
      <alignment vertical="center"/>
      <protection locked="0"/>
    </xf>
    <xf numFmtId="4" fontId="20" fillId="0" borderId="19" xfId="67" applyNumberFormat="1" applyFont="1" applyFill="1" applyBorder="1" applyAlignment="1" applyProtection="1">
      <alignment horizontal="center" vertical="center"/>
    </xf>
    <xf numFmtId="4" fontId="20" fillId="0" borderId="40" xfId="67" applyNumberFormat="1" applyFont="1" applyFill="1" applyBorder="1" applyAlignment="1" applyProtection="1">
      <alignment horizontal="right" vertical="center"/>
    </xf>
    <xf numFmtId="179" fontId="20" fillId="31" borderId="0" xfId="1" applyNumberFormat="1" applyFont="1" applyFill="1" applyBorder="1" applyAlignment="1" applyProtection="1">
      <alignment horizontal="center" vertical="center"/>
      <protection locked="0"/>
    </xf>
    <xf numFmtId="0" fontId="20" fillId="0" borderId="0" xfId="67" applyFont="1" applyAlignment="1" applyProtection="1">
      <alignment horizontal="centerContinuous" vertical="center"/>
    </xf>
    <xf numFmtId="181" fontId="20" fillId="0" borderId="0" xfId="67" applyNumberFormat="1" applyFont="1" applyBorder="1" applyAlignment="1" applyProtection="1">
      <alignment vertical="center"/>
    </xf>
    <xf numFmtId="182" fontId="20" fillId="4" borderId="72" xfId="67" applyNumberFormat="1" applyFont="1" applyFill="1" applyBorder="1" applyAlignment="1" applyProtection="1">
      <alignment horizontal="center" vertical="center"/>
    </xf>
    <xf numFmtId="182" fontId="20" fillId="4" borderId="0" xfId="67" applyNumberFormat="1" applyFont="1" applyFill="1" applyBorder="1" applyAlignment="1" applyProtection="1">
      <alignment horizontal="center" vertical="center"/>
    </xf>
    <xf numFmtId="0" fontId="16" fillId="0" borderId="0" xfId="67" applyFont="1" applyBorder="1" applyAlignment="1" applyProtection="1">
      <alignment vertical="top"/>
    </xf>
    <xf numFmtId="2" fontId="13" fillId="0" borderId="3" xfId="67" applyNumberFormat="1" applyFont="1" applyBorder="1" applyAlignment="1" applyProtection="1">
      <alignment horizontal="center" vertical="center"/>
    </xf>
    <xf numFmtId="1" fontId="13" fillId="4" borderId="9" xfId="67" applyNumberFormat="1" applyFont="1" applyFill="1" applyBorder="1" applyAlignment="1" applyProtection="1">
      <alignment horizontal="center" vertical="center"/>
    </xf>
    <xf numFmtId="0" fontId="9" fillId="0" borderId="0" xfId="67" applyAlignment="1" applyProtection="1">
      <alignment vertical="center"/>
    </xf>
    <xf numFmtId="2" fontId="15" fillId="0" borderId="162" xfId="67" applyNumberFormat="1" applyFont="1" applyBorder="1" applyAlignment="1" applyProtection="1">
      <alignment vertical="center"/>
    </xf>
    <xf numFmtId="0" fontId="15" fillId="0" borderId="0" xfId="67" applyFont="1" applyAlignment="1" applyProtection="1">
      <alignment vertical="center"/>
    </xf>
    <xf numFmtId="0" fontId="15" fillId="0" borderId="0" xfId="67" applyFont="1" applyBorder="1" applyAlignment="1" applyProtection="1">
      <alignment vertical="center"/>
    </xf>
    <xf numFmtId="2" fontId="15" fillId="31" borderId="162" xfId="67" applyNumberFormat="1" applyFont="1" applyFill="1" applyBorder="1" applyAlignment="1" applyProtection="1">
      <alignment horizontal="center" vertical="center"/>
      <protection locked="0"/>
    </xf>
    <xf numFmtId="0" fontId="15" fillId="0" borderId="0" xfId="67" applyFont="1" applyAlignment="1" applyProtection="1">
      <alignment horizontal="left" vertical="center"/>
    </xf>
    <xf numFmtId="0" fontId="43" fillId="0" borderId="0" xfId="67" applyFont="1" applyBorder="1" applyAlignment="1" applyProtection="1">
      <alignment vertical="center"/>
    </xf>
    <xf numFmtId="0" fontId="119" fillId="0" borderId="0" xfId="67" applyFont="1" applyBorder="1" applyAlignment="1">
      <alignment vertical="center"/>
    </xf>
    <xf numFmtId="0" fontId="142" fillId="0" borderId="0" xfId="1" applyFont="1" applyAlignment="1" applyProtection="1">
      <alignment horizontal="center" vertical="center"/>
    </xf>
    <xf numFmtId="0" fontId="116" fillId="0" borderId="0" xfId="1" applyFont="1" applyAlignment="1" applyProtection="1">
      <alignment horizontal="center" vertical="center"/>
    </xf>
    <xf numFmtId="0" fontId="6" fillId="0" borderId="160" xfId="1" applyFont="1" applyBorder="1" applyAlignment="1" applyProtection="1">
      <alignment vertical="center"/>
    </xf>
    <xf numFmtId="49" fontId="9" fillId="0" borderId="44" xfId="1" applyNumberFormat="1" applyFont="1" applyBorder="1" applyAlignment="1" applyProtection="1">
      <alignment vertical="center"/>
    </xf>
    <xf numFmtId="0" fontId="101" fillId="0" borderId="0" xfId="1" applyFont="1" applyAlignment="1" applyProtection="1">
      <alignment horizontal="center" vertical="center"/>
    </xf>
    <xf numFmtId="0" fontId="6" fillId="0" borderId="0" xfId="1" applyFont="1" applyAlignment="1" applyProtection="1">
      <alignment vertical="center" wrapText="1"/>
    </xf>
    <xf numFmtId="0" fontId="9" fillId="0" borderId="0" xfId="1" applyFont="1" applyBorder="1" applyAlignment="1" applyProtection="1">
      <alignment horizontal="center" vertical="center"/>
    </xf>
    <xf numFmtId="171" fontId="9" fillId="0" borderId="65" xfId="61" applyNumberFormat="1" applyFont="1" applyFill="1" applyBorder="1" applyAlignment="1" applyProtection="1">
      <alignment horizontal="right" vertical="center"/>
      <protection locked="0"/>
    </xf>
    <xf numFmtId="171" fontId="9" fillId="0" borderId="67" xfId="61" applyNumberFormat="1" applyFont="1" applyFill="1" applyBorder="1" applyAlignment="1" applyProtection="1">
      <alignment vertical="center"/>
      <protection locked="0"/>
    </xf>
    <xf numFmtId="0" fontId="14" fillId="0" borderId="24" xfId="1" applyFont="1" applyBorder="1" applyAlignment="1" applyProtection="1">
      <alignment vertical="center"/>
    </xf>
    <xf numFmtId="171" fontId="9" fillId="0" borderId="146" xfId="61" applyNumberFormat="1" applyFont="1" applyBorder="1" applyAlignment="1" applyProtection="1">
      <alignment horizontal="right" vertical="center"/>
    </xf>
    <xf numFmtId="188" fontId="9" fillId="0" borderId="87" xfId="1" applyNumberFormat="1" applyFont="1" applyBorder="1" applyAlignment="1" applyProtection="1">
      <alignment horizontal="right" vertical="center"/>
    </xf>
    <xf numFmtId="189" fontId="9" fillId="31" borderId="87" xfId="1" applyNumberFormat="1" applyFont="1" applyFill="1" applyBorder="1" applyAlignment="1" applyProtection="1">
      <alignment horizontal="right" vertical="center"/>
      <protection locked="0"/>
    </xf>
    <xf numFmtId="190" fontId="9" fillId="4" borderId="87" xfId="1" applyNumberFormat="1" applyFont="1" applyFill="1" applyBorder="1" applyAlignment="1" applyProtection="1">
      <alignment horizontal="right" vertical="center"/>
    </xf>
    <xf numFmtId="170" fontId="9" fillId="4" borderId="87" xfId="1" applyNumberFormat="1" applyFont="1" applyFill="1" applyBorder="1" applyAlignment="1" applyProtection="1">
      <alignment horizontal="right" vertical="center"/>
    </xf>
    <xf numFmtId="170" fontId="9" fillId="31" borderId="87" xfId="1" applyNumberFormat="1" applyFont="1" applyFill="1" applyBorder="1" applyAlignment="1" applyProtection="1">
      <alignment horizontal="right" vertical="center"/>
      <protection locked="0"/>
    </xf>
    <xf numFmtId="189" fontId="9" fillId="31" borderId="86" xfId="1" applyNumberFormat="1" applyFont="1" applyFill="1" applyBorder="1" applyAlignment="1" applyProtection="1">
      <alignment horizontal="right" vertical="center"/>
      <protection locked="0"/>
    </xf>
    <xf numFmtId="0" fontId="9" fillId="0" borderId="41" xfId="1" applyFont="1" applyBorder="1" applyAlignment="1" applyProtection="1">
      <alignment vertical="center"/>
    </xf>
    <xf numFmtId="0" fontId="9" fillId="31" borderId="41" xfId="1" applyFont="1" applyFill="1" applyBorder="1" applyAlignment="1" applyProtection="1">
      <alignment vertical="center"/>
      <protection locked="0"/>
    </xf>
    <xf numFmtId="171" fontId="9" fillId="0" borderId="29" xfId="61" applyNumberFormat="1" applyFont="1" applyBorder="1" applyAlignment="1" applyProtection="1">
      <alignment horizontal="right" vertical="center"/>
    </xf>
    <xf numFmtId="171" fontId="6" fillId="0" borderId="29" xfId="61" applyNumberFormat="1" applyFont="1" applyBorder="1" applyAlignment="1" applyProtection="1">
      <alignment horizontal="right" vertical="center"/>
    </xf>
    <xf numFmtId="171" fontId="14" fillId="4" borderId="29" xfId="61" applyNumberFormat="1" applyFont="1" applyFill="1" applyBorder="1" applyAlignment="1" applyProtection="1">
      <alignment horizontal="right" vertical="center"/>
    </xf>
    <xf numFmtId="171" fontId="9" fillId="0" borderId="157" xfId="61" applyNumberFormat="1" applyFont="1" applyBorder="1" applyAlignment="1" applyProtection="1">
      <alignment horizontal="right" vertical="center"/>
    </xf>
    <xf numFmtId="0" fontId="6" fillId="0" borderId="184" xfId="1" applyFont="1" applyBorder="1" applyAlignment="1" applyProtection="1">
      <alignment vertical="center"/>
    </xf>
    <xf numFmtId="186" fontId="108" fillId="0" borderId="0" xfId="1" applyNumberFormat="1" applyFont="1" applyFill="1" applyBorder="1" applyAlignment="1" applyProtection="1">
      <alignment horizontal="right" vertical="center"/>
    </xf>
    <xf numFmtId="0" fontId="6" fillId="0" borderId="60" xfId="1" applyFont="1" applyBorder="1" applyAlignment="1" applyProtection="1">
      <alignment vertical="center"/>
    </xf>
    <xf numFmtId="0" fontId="116" fillId="0" borderId="0" xfId="1" applyFont="1" applyAlignment="1" applyProtection="1">
      <alignment horizontal="left" vertical="center"/>
    </xf>
    <xf numFmtId="0" fontId="143" fillId="0" borderId="0" xfId="1" applyFont="1" applyAlignment="1" applyProtection="1">
      <alignment horizontal="center" vertical="center"/>
    </xf>
    <xf numFmtId="0" fontId="144" fillId="0" borderId="0" xfId="1" applyFont="1" applyAlignment="1" applyProtection="1">
      <alignment horizontal="center" vertical="center"/>
    </xf>
    <xf numFmtId="0" fontId="127" fillId="0" borderId="0" xfId="1" applyFont="1" applyAlignment="1" applyProtection="1">
      <alignment horizontal="center" vertical="center"/>
    </xf>
    <xf numFmtId="0" fontId="9" fillId="0" borderId="0" xfId="1" applyFont="1" applyFill="1" applyBorder="1" applyAlignment="1" applyProtection="1">
      <alignment vertical="center"/>
    </xf>
    <xf numFmtId="177" fontId="9" fillId="0" borderId="0" xfId="1" applyNumberFormat="1" applyFont="1" applyFill="1" applyBorder="1" applyAlignment="1" applyProtection="1">
      <alignment horizontal="center" vertical="center"/>
    </xf>
    <xf numFmtId="0" fontId="9" fillId="0" borderId="24" xfId="1" applyFont="1" applyFill="1" applyBorder="1" applyAlignment="1" applyProtection="1">
      <alignment vertical="center"/>
    </xf>
    <xf numFmtId="0" fontId="44" fillId="0" borderId="0" xfId="1" applyFont="1" applyProtection="1"/>
    <xf numFmtId="0" fontId="16" fillId="0" borderId="0" xfId="124" applyFont="1" applyAlignment="1" applyProtection="1">
      <alignment vertical="center"/>
    </xf>
    <xf numFmtId="0" fontId="16" fillId="0" borderId="0" xfId="124" applyFont="1" applyAlignment="1" applyProtection="1">
      <alignment horizontal="center" vertical="center"/>
    </xf>
    <xf numFmtId="185" fontId="16" fillId="0" borderId="0" xfId="124" applyNumberFormat="1" applyFont="1" applyAlignment="1" applyProtection="1">
      <alignment vertical="center"/>
    </xf>
    <xf numFmtId="0" fontId="4" fillId="0" borderId="2" xfId="1" applyBorder="1"/>
    <xf numFmtId="0" fontId="16" fillId="0" borderId="2" xfId="124" applyFont="1" applyBorder="1" applyAlignment="1" applyProtection="1">
      <alignment vertical="center"/>
    </xf>
    <xf numFmtId="0" fontId="44" fillId="0" borderId="39" xfId="1" applyFont="1" applyBorder="1"/>
    <xf numFmtId="0" fontId="44" fillId="31" borderId="59" xfId="124" applyFont="1" applyFill="1" applyBorder="1" applyAlignment="1" applyProtection="1">
      <alignment horizontal="center" vertical="center"/>
      <protection locked="0"/>
    </xf>
    <xf numFmtId="0" fontId="44" fillId="31" borderId="46" xfId="124" applyFont="1" applyFill="1" applyBorder="1" applyAlignment="1" applyProtection="1">
      <alignment horizontal="center" vertical="center"/>
      <protection locked="0"/>
    </xf>
    <xf numFmtId="0" fontId="44" fillId="31" borderId="187" xfId="124" applyFont="1" applyFill="1" applyBorder="1" applyAlignment="1" applyProtection="1">
      <alignment horizontal="left" vertical="center"/>
      <protection locked="0"/>
    </xf>
    <xf numFmtId="0" fontId="16" fillId="0" borderId="60" xfId="124" applyFont="1" applyBorder="1" applyAlignment="1" applyProtection="1">
      <alignment horizontal="center" vertical="center"/>
    </xf>
    <xf numFmtId="0" fontId="16" fillId="0" borderId="0" xfId="124" applyFont="1" applyBorder="1" applyAlignment="1" applyProtection="1">
      <alignment vertical="center"/>
    </xf>
    <xf numFmtId="0" fontId="44" fillId="0" borderId="0" xfId="124" applyFont="1" applyBorder="1" applyAlignment="1" applyProtection="1">
      <alignment vertical="center"/>
    </xf>
    <xf numFmtId="0" fontId="44" fillId="0" borderId="40" xfId="1" applyFont="1" applyBorder="1"/>
    <xf numFmtId="0" fontId="44" fillId="31" borderId="188" xfId="124" applyFont="1" applyFill="1" applyBorder="1" applyAlignment="1" applyProtection="1">
      <alignment horizontal="center" vertical="center"/>
      <protection locked="0"/>
    </xf>
    <xf numFmtId="0" fontId="44" fillId="31" borderId="99" xfId="124" applyFont="1" applyFill="1" applyBorder="1" applyAlignment="1" applyProtection="1">
      <alignment horizontal="center" vertical="center"/>
      <protection locked="0"/>
    </xf>
    <xf numFmtId="0" fontId="44" fillId="31" borderId="184" xfId="124" applyFont="1" applyFill="1" applyBorder="1" applyAlignment="1" applyProtection="1">
      <alignment horizontal="left" vertical="center"/>
      <protection locked="0"/>
    </xf>
    <xf numFmtId="0" fontId="16" fillId="0" borderId="32" xfId="124" applyFont="1" applyBorder="1" applyAlignment="1" applyProtection="1">
      <alignment horizontal="center" vertical="center"/>
    </xf>
    <xf numFmtId="0" fontId="94" fillId="31" borderId="189" xfId="124" applyFont="1" applyFill="1" applyBorder="1" applyAlignment="1" applyProtection="1">
      <alignment horizontal="center" vertical="center"/>
      <protection locked="0"/>
    </xf>
    <xf numFmtId="0" fontId="44" fillId="31" borderId="92" xfId="124" applyFont="1" applyFill="1" applyBorder="1" applyAlignment="1" applyProtection="1">
      <alignment horizontal="center" vertical="center"/>
      <protection locked="0"/>
    </xf>
    <xf numFmtId="0" fontId="94" fillId="31" borderId="188" xfId="124" applyFont="1" applyFill="1" applyBorder="1" applyAlignment="1" applyProtection="1">
      <alignment vertical="center"/>
      <protection locked="0"/>
    </xf>
    <xf numFmtId="0" fontId="94" fillId="31" borderId="92" xfId="124" applyFont="1" applyFill="1" applyBorder="1" applyAlignment="1" applyProtection="1">
      <alignment horizontal="center" vertical="center"/>
      <protection locked="0"/>
    </xf>
    <xf numFmtId="0" fontId="44" fillId="31" borderId="184" xfId="128" applyBorder="1">
      <alignment horizontal="left" vertical="center"/>
      <protection locked="0"/>
    </xf>
    <xf numFmtId="0" fontId="9" fillId="0" borderId="0" xfId="1" applyFont="1" applyFill="1" applyBorder="1"/>
    <xf numFmtId="0" fontId="16" fillId="0" borderId="19" xfId="124" applyFont="1" applyBorder="1" applyAlignment="1" applyProtection="1">
      <alignment vertical="center"/>
    </xf>
    <xf numFmtId="0" fontId="16" fillId="0" borderId="40" xfId="124" applyFont="1" applyBorder="1" applyAlignment="1" applyProtection="1">
      <alignment vertical="center"/>
    </xf>
    <xf numFmtId="0" fontId="12" fillId="0" borderId="107" xfId="1" applyFont="1" applyBorder="1"/>
    <xf numFmtId="0" fontId="12" fillId="0" borderId="108" xfId="1" applyFont="1" applyBorder="1"/>
    <xf numFmtId="0" fontId="43" fillId="0" borderId="190" xfId="124" applyFont="1" applyBorder="1" applyAlignment="1" applyProtection="1">
      <alignment horizontal="left" vertical="center"/>
    </xf>
    <xf numFmtId="0" fontId="16" fillId="0" borderId="108" xfId="124" applyFont="1" applyBorder="1" applyAlignment="1" applyProtection="1">
      <alignment horizontal="center" vertical="center"/>
    </xf>
    <xf numFmtId="0" fontId="44" fillId="0" borderId="40" xfId="124" applyFont="1" applyBorder="1" applyAlignment="1" applyProtection="1">
      <alignment vertical="center"/>
    </xf>
    <xf numFmtId="0" fontId="44" fillId="31" borderId="32" xfId="124" applyFont="1" applyFill="1" applyBorder="1" applyAlignment="1" applyProtection="1">
      <alignment horizontal="left" vertical="center"/>
      <protection locked="0"/>
    </xf>
    <xf numFmtId="0" fontId="9" fillId="0" borderId="19" xfId="1" applyFont="1" applyBorder="1"/>
    <xf numFmtId="0" fontId="44" fillId="31" borderId="184" xfId="128" applyFont="1" applyBorder="1">
      <alignment horizontal="left" vertical="center"/>
      <protection locked="0"/>
    </xf>
    <xf numFmtId="0" fontId="4" fillId="0" borderId="107" xfId="1" applyBorder="1"/>
    <xf numFmtId="0" fontId="4" fillId="0" borderId="95" xfId="1" applyBorder="1"/>
    <xf numFmtId="0" fontId="16" fillId="0" borderId="95" xfId="124" applyFont="1" applyBorder="1" applyAlignment="1" applyProtection="1">
      <alignment vertical="center"/>
    </xf>
    <xf numFmtId="0" fontId="43" fillId="0" borderId="108" xfId="124" applyFont="1" applyBorder="1" applyAlignment="1" applyProtection="1">
      <alignment vertical="center"/>
    </xf>
    <xf numFmtId="0" fontId="9" fillId="0" borderId="108" xfId="124" applyFont="1" applyBorder="1" applyAlignment="1" applyProtection="1">
      <alignment horizontal="center" vertical="center"/>
    </xf>
    <xf numFmtId="0" fontId="98" fillId="0" borderId="0" xfId="124" applyFont="1" applyAlignment="1" applyProtection="1">
      <alignment horizontal="left" vertical="center"/>
    </xf>
    <xf numFmtId="0" fontId="43" fillId="4" borderId="0" xfId="1" applyFont="1" applyFill="1" applyAlignment="1" applyProtection="1">
      <alignment horizontal="right" vertical="center"/>
    </xf>
    <xf numFmtId="0" fontId="44" fillId="0" borderId="0" xfId="1" applyFont="1" applyAlignment="1" applyProtection="1">
      <alignment horizontal="right"/>
    </xf>
    <xf numFmtId="0" fontId="16" fillId="0" borderId="0" xfId="124" applyFont="1" applyAlignment="1" applyProtection="1">
      <alignment horizontal="right" vertical="center"/>
    </xf>
    <xf numFmtId="0" fontId="97" fillId="0" borderId="0" xfId="124" applyFont="1" applyAlignment="1" applyProtection="1">
      <alignment vertical="center"/>
    </xf>
    <xf numFmtId="0" fontId="16" fillId="0" borderId="0" xfId="124" applyFont="1" applyAlignment="1" applyProtection="1">
      <alignment vertical="center"/>
      <protection locked="0"/>
    </xf>
    <xf numFmtId="177" fontId="9" fillId="0" borderId="0" xfId="1" applyNumberFormat="1" applyFont="1"/>
    <xf numFmtId="0" fontId="15" fillId="0" borderId="59" xfId="1" applyFont="1" applyBorder="1" applyAlignment="1" applyProtection="1">
      <alignment vertical="center"/>
    </xf>
    <xf numFmtId="2" fontId="15" fillId="0" borderId="41" xfId="1" applyNumberFormat="1" applyFont="1" applyBorder="1" applyAlignment="1" applyProtection="1">
      <alignment vertical="center"/>
    </xf>
    <xf numFmtId="177" fontId="15" fillId="0" borderId="60" xfId="1" applyNumberFormat="1" applyFont="1" applyBorder="1" applyAlignment="1" applyProtection="1">
      <alignment vertical="center"/>
    </xf>
    <xf numFmtId="184" fontId="15" fillId="0" borderId="0" xfId="1" applyNumberFormat="1" applyFont="1" applyAlignment="1" applyProtection="1">
      <alignment vertical="center"/>
    </xf>
    <xf numFmtId="185" fontId="5" fillId="0" borderId="93" xfId="1" applyNumberFormat="1" applyFont="1" applyBorder="1" applyAlignment="1" applyProtection="1">
      <alignment horizontal="right" vertical="center"/>
    </xf>
    <xf numFmtId="184" fontId="20" fillId="0" borderId="191" xfId="1" applyNumberFormat="1" applyFont="1" applyBorder="1" applyAlignment="1" applyProtection="1">
      <alignment horizontal="center" vertical="center"/>
    </xf>
    <xf numFmtId="4" fontId="5" fillId="4" borderId="95" xfId="1" applyNumberFormat="1" applyFont="1" applyFill="1" applyBorder="1" applyAlignment="1" applyProtection="1">
      <alignment vertical="center"/>
    </xf>
    <xf numFmtId="0" fontId="5" fillId="4" borderId="95" xfId="1" applyFont="1" applyFill="1" applyBorder="1" applyAlignment="1" applyProtection="1">
      <alignment vertical="center"/>
    </xf>
    <xf numFmtId="4" fontId="5" fillId="4" borderId="108" xfId="1" applyNumberFormat="1" applyFont="1" applyFill="1" applyBorder="1" applyAlignment="1" applyProtection="1">
      <alignment vertical="center"/>
    </xf>
    <xf numFmtId="185" fontId="13" fillId="0" borderId="192" xfId="1" applyNumberFormat="1" applyFont="1" applyBorder="1" applyAlignment="1" applyProtection="1">
      <alignment horizontal="right" vertical="center"/>
    </xf>
    <xf numFmtId="184" fontId="20" fillId="0" borderId="193" xfId="1" applyNumberFormat="1" applyFont="1" applyBorder="1" applyAlignment="1" applyProtection="1">
      <alignment horizontal="center" vertical="center"/>
    </xf>
    <xf numFmtId="4" fontId="13" fillId="0" borderId="194" xfId="1" applyNumberFormat="1" applyFont="1" applyBorder="1" applyAlignment="1" applyProtection="1">
      <alignment horizontal="center" vertical="center"/>
    </xf>
    <xf numFmtId="0" fontId="13" fillId="0" borderId="195" xfId="1" applyFont="1" applyBorder="1" applyAlignment="1" applyProtection="1">
      <alignment vertical="center"/>
    </xf>
    <xf numFmtId="4" fontId="13" fillId="0" borderId="194" xfId="1" applyNumberFormat="1" applyFont="1" applyBorder="1" applyAlignment="1" applyProtection="1">
      <alignment vertical="center"/>
    </xf>
    <xf numFmtId="4" fontId="13" fillId="0" borderId="195" xfId="1" applyNumberFormat="1" applyFont="1" applyBorder="1" applyAlignment="1" applyProtection="1">
      <alignment vertical="center"/>
    </xf>
    <xf numFmtId="0" fontId="13" fillId="0" borderId="194" xfId="1" applyFont="1" applyBorder="1" applyAlignment="1" applyProtection="1">
      <alignment vertical="center"/>
    </xf>
    <xf numFmtId="4" fontId="13" fillId="0" borderId="196" xfId="1" applyNumberFormat="1" applyFont="1" applyBorder="1" applyAlignment="1" applyProtection="1">
      <alignment vertical="center"/>
    </xf>
    <xf numFmtId="0" fontId="4" fillId="0" borderId="197" xfId="1" applyBorder="1" applyAlignment="1" applyProtection="1">
      <alignment vertical="center"/>
    </xf>
    <xf numFmtId="185" fontId="55" fillId="0" borderId="198" xfId="1" applyNumberFormat="1" applyFont="1" applyBorder="1" applyAlignment="1" applyProtection="1">
      <alignment horizontal="center" vertical="center"/>
    </xf>
    <xf numFmtId="0" fontId="55" fillId="0" borderId="199" xfId="1" applyFont="1" applyBorder="1" applyAlignment="1" applyProtection="1">
      <alignment vertical="center"/>
    </xf>
    <xf numFmtId="0" fontId="4" fillId="0" borderId="21" xfId="1" applyBorder="1" applyAlignment="1" applyProtection="1">
      <alignment vertical="center"/>
    </xf>
    <xf numFmtId="185" fontId="4" fillId="0" borderId="29" xfId="1" applyNumberFormat="1" applyBorder="1" applyAlignment="1" applyProtection="1">
      <alignment horizontal="right" vertical="center"/>
    </xf>
    <xf numFmtId="4" fontId="15" fillId="0" borderId="32" xfId="1" applyNumberFormat="1" applyFont="1" applyBorder="1" applyAlignment="1" applyProtection="1">
      <alignment vertical="center"/>
    </xf>
    <xf numFmtId="185" fontId="85" fillId="0" borderId="29" xfId="1" applyNumberFormat="1" applyFont="1" applyBorder="1" applyAlignment="1" applyProtection="1">
      <alignment horizontal="center" vertical="center"/>
    </xf>
    <xf numFmtId="0" fontId="4" fillId="0" borderId="67" xfId="1" applyBorder="1" applyAlignment="1" applyProtection="1">
      <alignment horizontal="center" vertical="center"/>
    </xf>
    <xf numFmtId="0" fontId="5" fillId="0" borderId="30" xfId="1" applyFont="1" applyBorder="1" applyAlignment="1" applyProtection="1">
      <alignment horizontal="left" vertical="center"/>
    </xf>
    <xf numFmtId="185" fontId="55" fillId="0" borderId="169" xfId="1" applyNumberFormat="1" applyFont="1" applyBorder="1" applyAlignment="1" applyProtection="1">
      <alignment horizontal="center" vertical="center"/>
    </xf>
    <xf numFmtId="185" fontId="55" fillId="0" borderId="200" xfId="1" applyNumberFormat="1" applyFont="1" applyBorder="1" applyAlignment="1" applyProtection="1">
      <alignment horizontal="right" vertical="center"/>
    </xf>
    <xf numFmtId="3" fontId="55" fillId="0" borderId="180" xfId="1" applyNumberFormat="1" applyFont="1" applyBorder="1" applyAlignment="1" applyProtection="1">
      <alignment vertical="center"/>
    </xf>
    <xf numFmtId="3" fontId="55" fillId="0" borderId="201" xfId="1" applyNumberFormat="1" applyFont="1" applyBorder="1" applyAlignment="1" applyProtection="1">
      <alignment vertical="center"/>
    </xf>
    <xf numFmtId="0" fontId="55" fillId="0" borderId="172" xfId="1" applyFont="1" applyBorder="1" applyAlignment="1" applyProtection="1">
      <alignment vertical="center"/>
    </xf>
    <xf numFmtId="4" fontId="15" fillId="31" borderId="32" xfId="1" applyNumberFormat="1" applyFont="1" applyFill="1" applyBorder="1" applyAlignment="1" applyProtection="1">
      <alignment vertical="center"/>
      <protection locked="0"/>
    </xf>
    <xf numFmtId="0" fontId="15" fillId="0" borderId="21" xfId="1" applyFont="1" applyBorder="1" applyAlignment="1" applyProtection="1">
      <alignment horizontal="center" vertical="center"/>
    </xf>
    <xf numFmtId="185" fontId="15" fillId="0" borderId="157" xfId="1" applyNumberFormat="1" applyFont="1" applyBorder="1" applyAlignment="1" applyProtection="1">
      <alignment horizontal="center" vertical="center"/>
    </xf>
    <xf numFmtId="0" fontId="85" fillId="0" borderId="160" xfId="1" applyFont="1" applyBorder="1" applyAlignment="1" applyProtection="1">
      <alignment horizontal="center" vertical="center"/>
    </xf>
    <xf numFmtId="0" fontId="85" fillId="0" borderId="21" xfId="1" applyFont="1" applyBorder="1" applyAlignment="1" applyProtection="1">
      <alignment horizontal="center" vertical="center"/>
    </xf>
    <xf numFmtId="185" fontId="4" fillId="0" borderId="0" xfId="1" applyNumberFormat="1" applyBorder="1" applyAlignment="1" applyProtection="1">
      <alignment horizontal="right" vertical="center"/>
    </xf>
    <xf numFmtId="0" fontId="4" fillId="0" borderId="32" xfId="1" applyBorder="1" applyAlignment="1" applyProtection="1">
      <alignment vertical="center"/>
    </xf>
    <xf numFmtId="2" fontId="55" fillId="0" borderId="21" xfId="1" applyNumberFormat="1" applyFont="1" applyBorder="1" applyAlignment="1" applyProtection="1">
      <alignment vertical="center"/>
    </xf>
    <xf numFmtId="3" fontId="55" fillId="0" borderId="200" xfId="1" applyNumberFormat="1" applyFont="1" applyBorder="1" applyAlignment="1" applyProtection="1">
      <alignment vertical="center"/>
    </xf>
    <xf numFmtId="3" fontId="55" fillId="0" borderId="202" xfId="1" applyNumberFormat="1" applyFont="1" applyBorder="1" applyAlignment="1" applyProtection="1">
      <alignment vertical="center"/>
    </xf>
    <xf numFmtId="3" fontId="55" fillId="0" borderId="203" xfId="1" applyNumberFormat="1" applyFont="1" applyBorder="1" applyAlignment="1" applyProtection="1">
      <alignment vertical="center"/>
    </xf>
    <xf numFmtId="3" fontId="55" fillId="0" borderId="204" xfId="1" applyNumberFormat="1" applyFont="1" applyBorder="1" applyAlignment="1" applyProtection="1">
      <alignment vertical="center"/>
    </xf>
    <xf numFmtId="0" fontId="15" fillId="0" borderId="160" xfId="1" applyFont="1" applyBorder="1" applyAlignment="1" applyProtection="1">
      <alignment vertical="center"/>
    </xf>
    <xf numFmtId="0" fontId="15" fillId="0" borderId="30" xfId="1" applyFont="1" applyBorder="1" applyAlignment="1" applyProtection="1">
      <alignment horizontal="left" vertical="center"/>
    </xf>
    <xf numFmtId="0" fontId="15" fillId="0" borderId="157" xfId="1" applyFont="1" applyBorder="1" applyAlignment="1" applyProtection="1">
      <alignment horizontal="center" vertical="center"/>
    </xf>
    <xf numFmtId="0" fontId="85" fillId="0" borderId="29" xfId="1" applyFont="1" applyBorder="1" applyAlignment="1" applyProtection="1">
      <alignment horizontal="center" vertical="center"/>
    </xf>
    <xf numFmtId="10" fontId="15" fillId="31" borderId="66" xfId="1" applyNumberFormat="1" applyFont="1" applyFill="1" applyBorder="1" applyAlignment="1" applyProtection="1">
      <alignment horizontal="center" vertical="center"/>
      <protection locked="0"/>
    </xf>
    <xf numFmtId="0" fontId="85" fillId="0" borderId="22" xfId="1" applyFont="1" applyBorder="1" applyAlignment="1" applyProtection="1">
      <alignment horizontal="center" vertical="center"/>
    </xf>
    <xf numFmtId="0" fontId="85" fillId="0" borderId="78" xfId="1" applyFont="1" applyBorder="1" applyAlignment="1" applyProtection="1">
      <alignment horizontal="center" vertical="center"/>
    </xf>
    <xf numFmtId="0" fontId="85" fillId="0" borderId="24" xfId="1" applyFont="1" applyBorder="1" applyAlignment="1" applyProtection="1">
      <alignment horizontal="center" vertical="center"/>
    </xf>
    <xf numFmtId="0" fontId="85" fillId="0" borderId="130" xfId="1" applyFont="1" applyBorder="1" applyAlignment="1" applyProtection="1">
      <alignment horizontal="center" vertical="center"/>
    </xf>
    <xf numFmtId="0" fontId="85" fillId="0" borderId="185" xfId="1" applyFont="1" applyBorder="1" applyAlignment="1" applyProtection="1">
      <alignment horizontal="center" vertical="center"/>
    </xf>
    <xf numFmtId="0" fontId="85" fillId="0" borderId="205" xfId="1" applyFont="1" applyBorder="1" applyAlignment="1" applyProtection="1">
      <alignment horizontal="center" vertical="center"/>
    </xf>
    <xf numFmtId="0" fontId="85" fillId="0" borderId="186" xfId="1" applyFont="1" applyBorder="1" applyAlignment="1" applyProtection="1">
      <alignment horizontal="center" vertical="center"/>
    </xf>
    <xf numFmtId="0" fontId="85" fillId="0" borderId="206" xfId="1" applyFont="1" applyBorder="1" applyAlignment="1" applyProtection="1">
      <alignment horizontal="center" vertical="center"/>
    </xf>
    <xf numFmtId="0" fontId="5" fillId="0" borderId="132" xfId="1" applyFont="1" applyBorder="1" applyAlignment="1" applyProtection="1">
      <alignment horizontal="left" vertical="center"/>
    </xf>
    <xf numFmtId="4" fontId="5" fillId="4" borderId="0" xfId="1" applyNumberFormat="1" applyFont="1" applyFill="1" applyBorder="1" applyAlignment="1" applyProtection="1">
      <alignment horizontal="center" vertical="center"/>
    </xf>
    <xf numFmtId="0" fontId="20" fillId="4" borderId="0" xfId="1" applyFont="1" applyFill="1" applyBorder="1" applyAlignment="1" applyProtection="1">
      <alignment horizontal="right" vertical="center"/>
    </xf>
    <xf numFmtId="3" fontId="15" fillId="4" borderId="0" xfId="1" applyNumberFormat="1" applyFont="1" applyFill="1" applyBorder="1" applyAlignment="1" applyProtection="1">
      <alignment horizontal="center" vertical="center"/>
    </xf>
    <xf numFmtId="0" fontId="4" fillId="4" borderId="0" xfId="1" applyFill="1" applyAlignment="1" applyProtection="1">
      <alignment vertical="center"/>
    </xf>
    <xf numFmtId="185" fontId="5" fillId="31" borderId="146" xfId="1" applyNumberFormat="1" applyFont="1" applyFill="1" applyBorder="1" applyAlignment="1" applyProtection="1">
      <alignment horizontal="right" vertical="center"/>
      <protection locked="0"/>
    </xf>
    <xf numFmtId="184" fontId="20" fillId="0" borderId="47" xfId="1" applyNumberFormat="1" applyFont="1" applyBorder="1" applyAlignment="1" applyProtection="1">
      <alignment horizontal="center" vertical="center"/>
    </xf>
    <xf numFmtId="0" fontId="15" fillId="0" borderId="46" xfId="1" applyFont="1" applyBorder="1" applyAlignment="1" applyProtection="1">
      <alignment horizontal="left" vertical="center"/>
    </xf>
    <xf numFmtId="0" fontId="15" fillId="0" borderId="41" xfId="1" applyFont="1" applyBorder="1" applyAlignment="1" applyProtection="1">
      <alignment vertical="center"/>
    </xf>
    <xf numFmtId="0" fontId="15" fillId="0" borderId="46" xfId="1" applyFont="1" applyBorder="1" applyAlignment="1" applyProtection="1">
      <alignment vertical="center"/>
    </xf>
    <xf numFmtId="0" fontId="15" fillId="0" borderId="201" xfId="1" applyFont="1" applyBorder="1" applyAlignment="1" applyProtection="1">
      <alignment vertical="center"/>
    </xf>
    <xf numFmtId="3" fontId="15" fillId="31" borderId="180" xfId="1" applyNumberFormat="1" applyFont="1" applyFill="1" applyBorder="1" applyAlignment="1" applyProtection="1">
      <alignment horizontal="right" vertical="center"/>
      <protection locked="0"/>
    </xf>
    <xf numFmtId="0" fontId="15" fillId="0" borderId="172" xfId="1" applyFont="1" applyBorder="1" applyAlignment="1" applyProtection="1">
      <alignment vertical="center"/>
    </xf>
    <xf numFmtId="0" fontId="15" fillId="0" borderId="148" xfId="1" applyFont="1" applyBorder="1" applyAlignment="1" applyProtection="1">
      <alignment vertical="center"/>
    </xf>
    <xf numFmtId="0" fontId="9" fillId="0" borderId="130" xfId="1" applyFont="1" applyBorder="1" applyAlignment="1" applyProtection="1">
      <alignment vertical="center"/>
    </xf>
    <xf numFmtId="0" fontId="15" fillId="0" borderId="24" xfId="1" applyFont="1" applyBorder="1" applyAlignment="1" applyProtection="1">
      <alignment vertical="center"/>
    </xf>
    <xf numFmtId="0" fontId="4" fillId="0" borderId="130" xfId="1" applyBorder="1" applyAlignment="1" applyProtection="1">
      <alignment vertical="center"/>
    </xf>
    <xf numFmtId="0" fontId="15" fillId="0" borderId="75" xfId="1" applyFont="1" applyBorder="1" applyAlignment="1" applyProtection="1">
      <alignment vertical="center"/>
    </xf>
    <xf numFmtId="0" fontId="15" fillId="31" borderId="74" xfId="1" applyFont="1" applyFill="1" applyBorder="1" applyAlignment="1" applyProtection="1">
      <alignment horizontal="right" vertical="center"/>
      <protection locked="0"/>
    </xf>
    <xf numFmtId="0" fontId="15" fillId="0" borderId="76" xfId="1" applyFont="1" applyBorder="1" applyAlignment="1" applyProtection="1">
      <alignment horizontal="left" vertical="center"/>
    </xf>
    <xf numFmtId="0" fontId="15" fillId="4" borderId="0" xfId="1" applyFont="1" applyFill="1" applyAlignment="1" applyProtection="1">
      <alignment vertical="center"/>
    </xf>
    <xf numFmtId="0" fontId="15" fillId="4" borderId="0" xfId="1" applyFont="1" applyFill="1" applyBorder="1" applyAlignment="1" applyProtection="1">
      <alignment horizontal="center" vertical="center"/>
    </xf>
    <xf numFmtId="4" fontId="5" fillId="0" borderId="0" xfId="1" applyNumberFormat="1" applyFont="1" applyBorder="1" applyAlignment="1" applyProtection="1">
      <alignment vertical="center"/>
    </xf>
    <xf numFmtId="0" fontId="64" fillId="4" borderId="0" xfId="1" applyFont="1" applyFill="1" applyBorder="1" applyAlignment="1" applyProtection="1">
      <alignment horizontal="center" vertical="center"/>
    </xf>
    <xf numFmtId="2" fontId="13" fillId="0" borderId="208" xfId="1" applyNumberFormat="1" applyFont="1" applyBorder="1" applyAlignment="1" applyProtection="1">
      <alignment vertical="center"/>
    </xf>
    <xf numFmtId="0" fontId="15" fillId="0" borderId="208" xfId="1" applyFont="1" applyBorder="1" applyAlignment="1" applyProtection="1">
      <alignment horizontal="center" vertical="center"/>
    </xf>
    <xf numFmtId="0" fontId="55" fillId="0" borderId="194" xfId="1" applyFont="1" applyBorder="1" applyAlignment="1" applyProtection="1">
      <alignment vertical="center"/>
    </xf>
    <xf numFmtId="0" fontId="13" fillId="0" borderId="196" xfId="1" applyFont="1" applyBorder="1" applyAlignment="1" applyProtection="1">
      <alignment vertical="center"/>
    </xf>
    <xf numFmtId="2" fontId="55" fillId="0" borderId="170" xfId="1" applyNumberFormat="1" applyFont="1" applyBorder="1" applyAlignment="1" applyProtection="1">
      <alignment vertical="center"/>
    </xf>
    <xf numFmtId="0" fontId="15" fillId="0" borderId="170" xfId="1" applyFont="1" applyBorder="1" applyAlignment="1" applyProtection="1">
      <alignment horizontal="center" vertical="center"/>
    </xf>
    <xf numFmtId="0" fontId="15" fillId="0" borderId="171" xfId="1" applyFont="1" applyBorder="1" applyAlignment="1" applyProtection="1">
      <alignment vertical="center"/>
    </xf>
    <xf numFmtId="9" fontId="0" fillId="0" borderId="0" xfId="61" applyFont="1" applyAlignment="1" applyProtection="1">
      <alignment vertical="center"/>
    </xf>
    <xf numFmtId="0" fontId="15" fillId="0" borderId="32" xfId="1" applyFont="1" applyBorder="1" applyAlignment="1" applyProtection="1">
      <alignment vertical="center"/>
    </xf>
    <xf numFmtId="0" fontId="15" fillId="0" borderId="128" xfId="1" applyFont="1" applyBorder="1" applyAlignment="1" applyProtection="1">
      <alignment vertical="center"/>
    </xf>
    <xf numFmtId="0" fontId="55" fillId="0" borderId="159" xfId="1" applyFont="1" applyBorder="1" applyAlignment="1" applyProtection="1">
      <alignment vertical="center"/>
    </xf>
    <xf numFmtId="0" fontId="55" fillId="0" borderId="32" xfId="1" applyFont="1" applyBorder="1" applyAlignment="1" applyProtection="1">
      <alignment vertical="center"/>
    </xf>
    <xf numFmtId="0" fontId="4" fillId="0" borderId="78" xfId="1" applyBorder="1" applyAlignment="1" applyProtection="1">
      <alignment vertical="center"/>
    </xf>
    <xf numFmtId="0" fontId="5" fillId="0" borderId="79" xfId="1" applyFont="1" applyBorder="1" applyAlignment="1" applyProtection="1">
      <alignment vertical="center"/>
    </xf>
    <xf numFmtId="2" fontId="55" fillId="0" borderId="48" xfId="1" applyNumberFormat="1" applyFont="1" applyBorder="1" applyAlignment="1" applyProtection="1">
      <alignment vertical="center"/>
    </xf>
    <xf numFmtId="0" fontId="15" fillId="0" borderId="48" xfId="1" applyFont="1" applyBorder="1" applyAlignment="1" applyProtection="1">
      <alignment horizontal="center" vertical="center"/>
    </xf>
    <xf numFmtId="0" fontId="15" fillId="0" borderId="47" xfId="1" applyFont="1" applyBorder="1" applyAlignment="1" applyProtection="1">
      <alignment vertical="center"/>
    </xf>
    <xf numFmtId="0" fontId="55" fillId="0" borderId="60" xfId="1" applyFont="1" applyBorder="1" applyAlignment="1" applyProtection="1">
      <alignment vertical="center"/>
    </xf>
    <xf numFmtId="0" fontId="5" fillId="0" borderId="159" xfId="1" applyFont="1" applyBorder="1" applyAlignment="1" applyProtection="1">
      <alignment vertical="center"/>
    </xf>
    <xf numFmtId="184" fontId="15" fillId="31" borderId="44" xfId="61" applyNumberFormat="1" applyFont="1" applyFill="1" applyBorder="1" applyAlignment="1" applyProtection="1">
      <alignment vertical="center"/>
      <protection locked="0"/>
    </xf>
    <xf numFmtId="0" fontId="55" fillId="0" borderId="156" xfId="1" applyFont="1" applyBorder="1" applyAlignment="1" applyProtection="1">
      <alignment vertical="center"/>
    </xf>
    <xf numFmtId="0" fontId="15" fillId="0" borderId="24" xfId="1" applyFont="1" applyBorder="1" applyAlignment="1" applyProtection="1">
      <alignment horizontal="center" vertical="center"/>
    </xf>
    <xf numFmtId="0" fontId="55" fillId="0" borderId="79" xfId="1" applyFont="1" applyBorder="1" applyAlignment="1" applyProtection="1">
      <alignment vertical="center"/>
    </xf>
    <xf numFmtId="0" fontId="15" fillId="0" borderId="48" xfId="1" applyFont="1" applyBorder="1" applyAlignment="1" applyProtection="1">
      <alignment vertical="center"/>
    </xf>
    <xf numFmtId="0" fontId="15" fillId="0" borderId="47" xfId="1" applyFont="1" applyBorder="1" applyAlignment="1" applyProtection="1">
      <alignment horizontal="right" vertical="center"/>
    </xf>
    <xf numFmtId="0" fontId="15" fillId="0" borderId="147" xfId="1" applyFont="1" applyBorder="1" applyAlignment="1" applyProtection="1">
      <alignment vertical="center"/>
    </xf>
    <xf numFmtId="0" fontId="15" fillId="0" borderId="147" xfId="1" applyFont="1" applyBorder="1" applyAlignment="1" applyProtection="1">
      <alignment horizontal="center" vertical="center"/>
    </xf>
    <xf numFmtId="0" fontId="15" fillId="0" borderId="131" xfId="1" applyFont="1" applyBorder="1" applyAlignment="1" applyProtection="1">
      <alignment horizontal="right" vertical="center"/>
    </xf>
    <xf numFmtId="0" fontId="16" fillId="0" borderId="0" xfId="1" applyFont="1"/>
    <xf numFmtId="0" fontId="16" fillId="0" borderId="0" xfId="67" applyFont="1"/>
    <xf numFmtId="0" fontId="9" fillId="0" borderId="0" xfId="67" applyFont="1" applyAlignment="1" applyProtection="1">
      <alignment vertical="center"/>
    </xf>
    <xf numFmtId="2" fontId="9" fillId="24" borderId="59" xfId="67" applyNumberFormat="1" applyFont="1" applyFill="1" applyBorder="1" applyAlignment="1" applyProtection="1">
      <alignment horizontal="center" vertical="center"/>
      <protection locked="0"/>
    </xf>
    <xf numFmtId="2" fontId="9" fillId="24" borderId="46" xfId="67" applyNumberFormat="1" applyFont="1" applyFill="1" applyBorder="1" applyAlignment="1" applyProtection="1">
      <alignment horizontal="center" vertical="center"/>
      <protection locked="0"/>
    </xf>
    <xf numFmtId="0" fontId="9" fillId="24" borderId="41" xfId="1" applyFont="1" applyFill="1" applyBorder="1" applyAlignment="1" applyProtection="1">
      <alignment vertical="center"/>
      <protection locked="0"/>
    </xf>
    <xf numFmtId="0" fontId="9" fillId="24" borderId="41" xfId="67" applyFont="1" applyFill="1" applyBorder="1" applyAlignment="1" applyProtection="1">
      <alignment vertical="center"/>
      <protection locked="0"/>
    </xf>
    <xf numFmtId="0" fontId="9" fillId="24" borderId="60" xfId="67" applyFont="1" applyFill="1" applyBorder="1" applyAlignment="1" applyProtection="1">
      <alignment vertical="center"/>
      <protection locked="0"/>
    </xf>
    <xf numFmtId="0" fontId="60" fillId="0" borderId="0" xfId="55" applyFont="1">
      <alignment horizontal="center"/>
    </xf>
    <xf numFmtId="2" fontId="9" fillId="0" borderId="59" xfId="67" applyNumberFormat="1" applyFont="1" applyBorder="1" applyAlignment="1" applyProtection="1">
      <alignment horizontal="center" vertical="center"/>
    </xf>
    <xf numFmtId="2" fontId="9" fillId="0" borderId="46" xfId="67" applyNumberFormat="1" applyFont="1" applyBorder="1" applyAlignment="1" applyProtection="1">
      <alignment horizontal="center" vertical="center"/>
    </xf>
    <xf numFmtId="0" fontId="9" fillId="0" borderId="41" xfId="124" applyFont="1" applyBorder="1" applyAlignment="1" applyProtection="1">
      <alignment vertical="center"/>
    </xf>
    <xf numFmtId="0" fontId="9" fillId="0" borderId="60" xfId="67" applyFont="1" applyBorder="1" applyAlignment="1" applyProtection="1">
      <alignment vertical="center"/>
    </xf>
    <xf numFmtId="2" fontId="9" fillId="24" borderId="64" xfId="67" applyNumberFormat="1" applyFont="1" applyFill="1" applyBorder="1" applyAlignment="1" applyProtection="1">
      <alignment horizontal="center" vertical="center"/>
      <protection locked="0"/>
    </xf>
    <xf numFmtId="2" fontId="9" fillId="24" borderId="40" xfId="67" applyNumberFormat="1" applyFont="1" applyFill="1" applyBorder="1" applyAlignment="1" applyProtection="1">
      <alignment horizontal="center" vertical="center"/>
      <protection locked="0"/>
    </xf>
    <xf numFmtId="0" fontId="9" fillId="24" borderId="0" xfId="1" applyFont="1" applyFill="1" applyBorder="1" applyAlignment="1" applyProtection="1">
      <alignment vertical="center"/>
      <protection locked="0"/>
    </xf>
    <xf numFmtId="0" fontId="152" fillId="24" borderId="0" xfId="67" applyFont="1" applyFill="1" applyBorder="1" applyAlignment="1" applyProtection="1">
      <alignment vertical="center"/>
      <protection locked="0"/>
    </xf>
    <xf numFmtId="0" fontId="9" fillId="24" borderId="32" xfId="67" applyFont="1" applyFill="1" applyBorder="1" applyAlignment="1" applyProtection="1">
      <alignment vertical="center"/>
      <protection locked="0"/>
    </xf>
    <xf numFmtId="2" fontId="9" fillId="0" borderId="64" xfId="67" applyNumberFormat="1" applyFont="1" applyBorder="1" applyAlignment="1" applyProtection="1">
      <alignment horizontal="center" vertical="center"/>
    </xf>
    <xf numFmtId="0" fontId="9" fillId="0" borderId="0" xfId="124" applyFont="1" applyBorder="1" applyAlignment="1" applyProtection="1">
      <alignment vertical="center"/>
    </xf>
    <xf numFmtId="0" fontId="9" fillId="0" borderId="32" xfId="67" applyFont="1" applyBorder="1" applyAlignment="1" applyProtection="1">
      <alignment vertical="center"/>
    </xf>
    <xf numFmtId="0" fontId="9" fillId="0" borderId="0" xfId="67" applyFont="1" applyBorder="1" applyAlignment="1" applyProtection="1">
      <alignment vertical="center"/>
    </xf>
    <xf numFmtId="49" fontId="72" fillId="0" borderId="0" xfId="1" applyNumberFormat="1" applyFont="1" applyAlignment="1" applyProtection="1">
      <alignment vertical="center"/>
    </xf>
    <xf numFmtId="0" fontId="9" fillId="27" borderId="64" xfId="67" applyFont="1" applyFill="1" applyBorder="1" applyAlignment="1">
      <alignment horizontal="center" vertical="center" wrapText="1"/>
    </xf>
    <xf numFmtId="0" fontId="9" fillId="27" borderId="40" xfId="67" applyFont="1" applyFill="1" applyBorder="1" applyAlignment="1">
      <alignment horizontal="center" vertical="center" wrapText="1"/>
    </xf>
    <xf numFmtId="0" fontId="5" fillId="27" borderId="19" xfId="67" applyFont="1" applyFill="1" applyBorder="1" applyAlignment="1" applyProtection="1">
      <alignment horizontal="center" vertical="center"/>
    </xf>
    <xf numFmtId="0" fontId="5" fillId="27" borderId="0" xfId="67" applyFont="1" applyFill="1" applyBorder="1" applyAlignment="1" applyProtection="1">
      <alignment horizontal="center" vertical="center"/>
    </xf>
    <xf numFmtId="0" fontId="5" fillId="27" borderId="32" xfId="67" applyFont="1" applyFill="1" applyBorder="1" applyAlignment="1" applyProtection="1">
      <alignment horizontal="center" vertical="center"/>
    </xf>
    <xf numFmtId="0" fontId="9" fillId="0" borderId="0" xfId="124" applyFont="1" applyAlignment="1" applyProtection="1">
      <alignment vertical="center"/>
    </xf>
    <xf numFmtId="0" fontId="5" fillId="0" borderId="209" xfId="1" applyFont="1" applyBorder="1" applyAlignment="1" applyProtection="1">
      <alignment vertical="center"/>
    </xf>
    <xf numFmtId="2" fontId="5" fillId="0" borderId="201" xfId="1" applyNumberFormat="1" applyFont="1" applyBorder="1" applyAlignment="1" applyProtection="1">
      <alignment vertical="center"/>
    </xf>
    <xf numFmtId="0" fontId="5" fillId="0" borderId="201" xfId="1" applyFont="1" applyBorder="1" applyAlignment="1" applyProtection="1">
      <alignment vertical="center"/>
    </xf>
    <xf numFmtId="0" fontId="5" fillId="0" borderId="172" xfId="1" applyFont="1" applyBorder="1" applyAlignment="1" applyProtection="1">
      <alignment vertical="center"/>
    </xf>
    <xf numFmtId="9" fontId="15" fillId="0" borderId="32" xfId="61" applyFont="1" applyBorder="1" applyAlignment="1" applyProtection="1">
      <alignment horizontal="center" vertical="center"/>
    </xf>
    <xf numFmtId="2" fontId="15" fillId="0" borderId="32" xfId="1" applyNumberFormat="1" applyFont="1" applyBorder="1" applyAlignment="1" applyProtection="1">
      <alignment vertical="center"/>
    </xf>
    <xf numFmtId="0" fontId="4" fillId="0" borderId="64" xfId="1" applyBorder="1" applyAlignment="1" applyProtection="1">
      <alignment vertical="center"/>
    </xf>
    <xf numFmtId="49" fontId="5" fillId="31" borderId="78" xfId="1" applyNumberFormat="1" applyFont="1" applyFill="1" applyBorder="1" applyAlignment="1" applyProtection="1">
      <alignment horizontal="left" vertical="center"/>
      <protection locked="0"/>
    </xf>
    <xf numFmtId="49" fontId="5" fillId="31" borderId="24" xfId="1" applyNumberFormat="1" applyFont="1" applyFill="1" applyBorder="1" applyAlignment="1" applyProtection="1">
      <alignment horizontal="left" vertical="center"/>
      <protection locked="0"/>
    </xf>
    <xf numFmtId="2" fontId="6" fillId="0" borderId="24" xfId="1" applyNumberFormat="1" applyFont="1" applyBorder="1" applyAlignment="1" applyProtection="1">
      <alignment vertical="center"/>
    </xf>
    <xf numFmtId="2" fontId="6" fillId="0" borderId="79" xfId="1" applyNumberFormat="1" applyFont="1" applyBorder="1" applyAlignment="1" applyProtection="1">
      <alignment vertical="center"/>
    </xf>
    <xf numFmtId="0" fontId="4" fillId="0" borderId="0" xfId="1" applyFill="1" applyProtection="1"/>
    <xf numFmtId="0" fontId="9" fillId="0" borderId="41" xfId="1" applyFont="1" applyFill="1" applyBorder="1" applyAlignment="1" applyProtection="1">
      <alignment vertical="center"/>
    </xf>
    <xf numFmtId="0" fontId="9" fillId="0" borderId="60" xfId="1" applyFont="1" applyFill="1" applyBorder="1" applyAlignment="1" applyProtection="1">
      <alignment vertical="center"/>
    </xf>
    <xf numFmtId="0" fontId="88" fillId="0" borderId="0" xfId="1" applyFont="1" applyAlignment="1" applyProtection="1">
      <alignment vertical="center"/>
    </xf>
    <xf numFmtId="0" fontId="9" fillId="0" borderId="32" xfId="1" applyFont="1" applyFill="1" applyBorder="1" applyAlignment="1" applyProtection="1">
      <alignment vertical="center"/>
    </xf>
    <xf numFmtId="0" fontId="4" fillId="0" borderId="41" xfId="1" applyFill="1" applyBorder="1" applyAlignment="1" applyProtection="1">
      <alignment vertical="center"/>
    </xf>
    <xf numFmtId="0" fontId="12" fillId="0" borderId="29" xfId="1" applyFont="1" applyFill="1" applyBorder="1" applyAlignment="1" applyProtection="1">
      <alignment vertical="center"/>
    </xf>
    <xf numFmtId="0" fontId="12" fillId="0" borderId="0" xfId="1" applyFont="1" applyFill="1" applyBorder="1" applyAlignment="1" applyProtection="1">
      <alignment vertical="center"/>
    </xf>
    <xf numFmtId="0" fontId="12" fillId="0" borderId="25" xfId="1" applyFont="1" applyFill="1" applyBorder="1" applyAlignment="1" applyProtection="1">
      <alignment vertical="center"/>
    </xf>
    <xf numFmtId="0" fontId="4" fillId="0" borderId="0" xfId="1" applyFill="1" applyBorder="1" applyProtection="1"/>
    <xf numFmtId="0" fontId="12" fillId="0" borderId="25" xfId="1" applyFont="1" applyFill="1" applyBorder="1" applyProtection="1"/>
    <xf numFmtId="0" fontId="4" fillId="0" borderId="32" xfId="1" applyFill="1" applyBorder="1" applyAlignment="1" applyProtection="1">
      <alignment vertical="center"/>
    </xf>
    <xf numFmtId="0" fontId="12" fillId="0" borderId="29" xfId="1" applyFont="1" applyFill="1" applyBorder="1" applyProtection="1"/>
    <xf numFmtId="0" fontId="12" fillId="0" borderId="0" xfId="1" applyFont="1" applyFill="1" applyBorder="1" applyProtection="1"/>
    <xf numFmtId="0" fontId="9" fillId="0" borderId="32" xfId="1" applyFont="1" applyFill="1" applyBorder="1" applyProtection="1"/>
    <xf numFmtId="0" fontId="9" fillId="0" borderId="0" xfId="1" applyFont="1" applyFill="1" applyBorder="1" applyProtection="1"/>
    <xf numFmtId="0" fontId="9" fillId="0" borderId="23" xfId="1" applyFont="1" applyFill="1" applyBorder="1" applyAlignment="1" applyProtection="1">
      <alignment horizontal="right" vertical="center"/>
    </xf>
    <xf numFmtId="0" fontId="9" fillId="0" borderId="23" xfId="1" applyFont="1" applyFill="1" applyBorder="1" applyAlignment="1" applyProtection="1">
      <alignment vertical="center"/>
    </xf>
    <xf numFmtId="0" fontId="9" fillId="0" borderId="159" xfId="1" applyFont="1" applyFill="1" applyBorder="1" applyAlignment="1" applyProtection="1">
      <alignment vertical="center"/>
    </xf>
    <xf numFmtId="0" fontId="12" fillId="0" borderId="0" xfId="1" applyNumberFormat="1" applyFont="1" applyFill="1" applyBorder="1" applyAlignment="1" applyProtection="1">
      <alignment horizontal="right"/>
    </xf>
    <xf numFmtId="177" fontId="9" fillId="0" borderId="0" xfId="1" applyNumberFormat="1" applyFont="1" applyFill="1" applyBorder="1" applyAlignment="1" applyProtection="1">
      <alignment horizontal="right"/>
    </xf>
    <xf numFmtId="0" fontId="9" fillId="0" borderId="29" xfId="1" applyFont="1" applyFill="1" applyBorder="1" applyProtection="1"/>
    <xf numFmtId="0" fontId="9" fillId="0" borderId="25" xfId="1" applyFont="1" applyFill="1" applyBorder="1" applyProtection="1"/>
    <xf numFmtId="49" fontId="9" fillId="0" borderId="64" xfId="1" applyNumberFormat="1" applyFont="1" applyFill="1" applyBorder="1" applyAlignment="1" applyProtection="1">
      <alignment vertical="center"/>
    </xf>
    <xf numFmtId="0" fontId="153" fillId="0" borderId="29" xfId="1" applyFont="1" applyFill="1" applyBorder="1" applyProtection="1"/>
    <xf numFmtId="0" fontId="153" fillId="0" borderId="0" xfId="1" applyFont="1" applyFill="1" applyBorder="1" applyProtection="1"/>
    <xf numFmtId="0" fontId="153" fillId="0" borderId="25" xfId="1" applyFont="1" applyFill="1" applyBorder="1" applyProtection="1"/>
    <xf numFmtId="0" fontId="153" fillId="0" borderId="29" xfId="1" applyFont="1" applyFill="1" applyBorder="1" applyAlignment="1" applyProtection="1">
      <alignment horizontal="right"/>
    </xf>
    <xf numFmtId="49" fontId="153" fillId="0" borderId="0" xfId="1" applyNumberFormat="1" applyFont="1" applyFill="1" applyBorder="1" applyAlignment="1" applyProtection="1">
      <alignment horizontal="right"/>
    </xf>
    <xf numFmtId="0" fontId="12" fillId="0" borderId="0" xfId="1" applyNumberFormat="1" applyFont="1" applyFill="1" applyBorder="1" applyProtection="1"/>
    <xf numFmtId="0" fontId="9" fillId="0" borderId="24" xfId="1" applyFont="1" applyFill="1" applyBorder="1" applyAlignment="1" applyProtection="1">
      <alignment horizontal="right" vertical="center"/>
    </xf>
    <xf numFmtId="0" fontId="9" fillId="0" borderId="79" xfId="1" applyFont="1" applyFill="1" applyBorder="1" applyProtection="1"/>
    <xf numFmtId="0" fontId="9" fillId="0" borderId="0" xfId="1" applyFont="1" applyAlignment="1" applyProtection="1">
      <alignment horizontal="left" vertical="center"/>
    </xf>
    <xf numFmtId="0" fontId="0" fillId="0" borderId="0" xfId="123" applyFont="1" applyProtection="1">
      <alignment vertical="center"/>
    </xf>
    <xf numFmtId="0" fontId="18" fillId="0" borderId="0" xfId="1" applyFont="1" applyAlignment="1" applyProtection="1">
      <alignment horizontal="left" vertical="center"/>
    </xf>
    <xf numFmtId="177" fontId="5" fillId="0" borderId="0" xfId="1" applyNumberFormat="1" applyFont="1" applyAlignment="1" applyProtection="1">
      <alignment vertical="center"/>
    </xf>
    <xf numFmtId="0" fontId="154" fillId="0" borderId="0" xfId="1" applyFont="1" applyAlignment="1" applyProtection="1">
      <alignment horizontal="left" vertical="center"/>
    </xf>
    <xf numFmtId="2" fontId="154" fillId="0" borderId="0" xfId="1" applyNumberFormat="1" applyFont="1" applyAlignment="1" applyProtection="1">
      <alignment horizontal="left" vertical="center"/>
    </xf>
    <xf numFmtId="177" fontId="155" fillId="0" borderId="0" xfId="1" applyNumberFormat="1" applyFont="1" applyAlignment="1" applyProtection="1">
      <alignment horizontal="left" vertical="center"/>
    </xf>
    <xf numFmtId="0" fontId="18" fillId="4" borderId="0" xfId="1" applyFont="1" applyFill="1" applyAlignment="1" applyProtection="1">
      <alignment horizontal="right" vertical="center"/>
    </xf>
    <xf numFmtId="3" fontId="120" fillId="4" borderId="0" xfId="1" applyNumberFormat="1" applyFont="1" applyFill="1" applyAlignment="1">
      <alignment horizontal="center" vertical="center"/>
    </xf>
    <xf numFmtId="0" fontId="31" fillId="0" borderId="0" xfId="1" applyFont="1" applyAlignment="1">
      <alignment vertical="center" wrapText="1" shrinkToFit="1"/>
    </xf>
    <xf numFmtId="3" fontId="120" fillId="4" borderId="0" xfId="1" applyNumberFormat="1" applyFont="1" applyFill="1" applyBorder="1" applyAlignment="1">
      <alignment horizontal="center" vertical="center"/>
    </xf>
    <xf numFmtId="0" fontId="9" fillId="0" borderId="0" xfId="1" applyFont="1" applyFill="1" applyBorder="1" applyAlignment="1">
      <alignment horizontal="right" vertical="center"/>
    </xf>
    <xf numFmtId="177" fontId="4" fillId="0" borderId="0" xfId="1" applyNumberFormat="1" applyBorder="1" applyAlignment="1" applyProtection="1">
      <alignment vertical="center"/>
    </xf>
    <xf numFmtId="0" fontId="9" fillId="0" borderId="43" xfId="1" applyFont="1" applyBorder="1" applyAlignment="1" applyProtection="1">
      <alignment horizontal="left" vertical="center"/>
    </xf>
    <xf numFmtId="0" fontId="9" fillId="0" borderId="40" xfId="1" applyFont="1" applyBorder="1" applyAlignment="1" applyProtection="1">
      <alignment horizontal="left" vertical="center"/>
    </xf>
    <xf numFmtId="0" fontId="9" fillId="0" borderId="39" xfId="1" applyFont="1" applyBorder="1" applyAlignment="1" applyProtection="1">
      <alignment horizontal="left" vertical="center"/>
    </xf>
    <xf numFmtId="189" fontId="14" fillId="0" borderId="171" xfId="61" applyNumberFormat="1" applyFont="1" applyBorder="1" applyAlignment="1" applyProtection="1">
      <alignment vertical="center"/>
    </xf>
    <xf numFmtId="0" fontId="6" fillId="0" borderId="201" xfId="1" applyFont="1" applyBorder="1" applyAlignment="1" applyProtection="1">
      <alignment vertical="center"/>
    </xf>
    <xf numFmtId="0" fontId="5" fillId="0" borderId="41" xfId="1" applyFont="1" applyBorder="1" applyAlignment="1" applyProtection="1">
      <alignment vertical="center"/>
    </xf>
    <xf numFmtId="0" fontId="4" fillId="0" borderId="201" xfId="1" applyBorder="1" applyAlignment="1" applyProtection="1">
      <alignment vertical="center"/>
    </xf>
    <xf numFmtId="0" fontId="5" fillId="0" borderId="180" xfId="1" applyFont="1" applyBorder="1" applyAlignment="1" applyProtection="1">
      <alignment vertical="center"/>
    </xf>
    <xf numFmtId="0" fontId="6" fillId="0" borderId="201" xfId="1" applyFont="1" applyBorder="1" applyAlignment="1" applyProtection="1">
      <alignment horizontal="left" vertical="center"/>
    </xf>
    <xf numFmtId="208" fontId="15" fillId="31" borderId="171" xfId="1" applyNumberFormat="1" applyFont="1" applyFill="1" applyBorder="1" applyAlignment="1" applyProtection="1">
      <alignment horizontal="center" vertical="center"/>
      <protection locked="0"/>
    </xf>
    <xf numFmtId="0" fontId="15" fillId="0" borderId="180" xfId="1" applyFont="1" applyBorder="1" applyAlignment="1" applyProtection="1">
      <alignment wrapText="1"/>
    </xf>
    <xf numFmtId="9" fontId="15" fillId="4" borderId="171" xfId="61" applyFont="1" applyFill="1" applyBorder="1" applyAlignment="1" applyProtection="1">
      <alignment horizontal="center" vertical="center"/>
    </xf>
    <xf numFmtId="0" fontId="15" fillId="0" borderId="200" xfId="1" applyFont="1" applyBorder="1" applyAlignment="1" applyProtection="1">
      <alignment vertical="center"/>
    </xf>
    <xf numFmtId="170" fontId="6" fillId="4" borderId="64" xfId="1" applyNumberFormat="1" applyFont="1" applyFill="1" applyBorder="1" applyAlignment="1" applyProtection="1">
      <alignment horizontal="right" vertical="center"/>
    </xf>
    <xf numFmtId="0" fontId="6" fillId="27" borderId="0" xfId="1" applyFont="1" applyFill="1" applyAlignment="1" applyProtection="1">
      <alignment vertical="center"/>
    </xf>
    <xf numFmtId="0" fontId="6" fillId="4" borderId="32" xfId="105" applyFont="1" applyFill="1" applyBorder="1" applyAlignment="1" applyProtection="1">
      <alignment vertical="center"/>
    </xf>
    <xf numFmtId="189" fontId="14" fillId="0" borderId="64" xfId="61" applyNumberFormat="1" applyFont="1" applyBorder="1" applyAlignment="1" applyProtection="1">
      <alignment vertical="center"/>
    </xf>
    <xf numFmtId="188" fontId="156" fillId="0" borderId="162" xfId="1" applyNumberFormat="1" applyFont="1" applyBorder="1" applyAlignment="1" applyProtection="1">
      <alignment horizontal="center" vertical="center"/>
    </xf>
    <xf numFmtId="188" fontId="156" fillId="0" borderId="92" xfId="1" applyNumberFormat="1" applyFont="1" applyBorder="1" applyAlignment="1" applyProtection="1">
      <alignment horizontal="center" vertical="center"/>
    </xf>
    <xf numFmtId="188" fontId="156" fillId="27" borderId="162" xfId="1" applyNumberFormat="1" applyFont="1" applyFill="1" applyBorder="1" applyAlignment="1" applyProtection="1">
      <alignment horizontal="center" vertical="center"/>
    </xf>
    <xf numFmtId="188" fontId="156" fillId="27" borderId="92" xfId="1" applyNumberFormat="1" applyFont="1" applyFill="1" applyBorder="1" applyAlignment="1" applyProtection="1">
      <alignment horizontal="center" vertical="center"/>
    </xf>
    <xf numFmtId="0" fontId="156" fillId="0" borderId="162" xfId="105" applyFont="1" applyBorder="1" applyAlignment="1" applyProtection="1">
      <alignment horizontal="center" vertical="center"/>
    </xf>
    <xf numFmtId="0" fontId="156" fillId="0" borderId="122" xfId="105" applyFont="1" applyBorder="1" applyAlignment="1" applyProtection="1">
      <alignment horizontal="center" vertical="center"/>
    </xf>
    <xf numFmtId="0" fontId="4" fillId="0" borderId="91" xfId="1" applyBorder="1" applyProtection="1"/>
    <xf numFmtId="0" fontId="6" fillId="0" borderId="184" xfId="105" applyFont="1" applyBorder="1" applyAlignment="1" applyProtection="1">
      <alignment vertical="center"/>
    </xf>
    <xf numFmtId="189" fontId="14" fillId="0" borderId="128" xfId="61" applyNumberFormat="1" applyFont="1" applyBorder="1" applyAlignment="1" applyProtection="1">
      <alignment vertical="center"/>
    </xf>
    <xf numFmtId="0" fontId="16" fillId="0" borderId="19" xfId="105" applyFont="1" applyBorder="1" applyAlignment="1" applyProtection="1">
      <alignment horizontal="right" vertical="center"/>
    </xf>
    <xf numFmtId="0" fontId="14" fillId="0" borderId="32" xfId="1" applyFont="1" applyBorder="1" applyAlignment="1" applyProtection="1">
      <alignment vertical="center"/>
    </xf>
    <xf numFmtId="189" fontId="14" fillId="0" borderId="129" xfId="61" applyNumberFormat="1" applyFont="1" applyBorder="1" applyAlignment="1" applyProtection="1">
      <alignment vertical="center"/>
    </xf>
    <xf numFmtId="0" fontId="6" fillId="0" borderId="160" xfId="105" applyFont="1" applyBorder="1" applyAlignment="1" applyProtection="1">
      <alignment vertical="center"/>
    </xf>
    <xf numFmtId="0" fontId="14" fillId="0" borderId="32" xfId="105" applyFont="1" applyBorder="1" applyAlignment="1" applyProtection="1">
      <alignment vertical="center"/>
    </xf>
    <xf numFmtId="188" fontId="14" fillId="0" borderId="129" xfId="1" applyNumberFormat="1" applyFont="1" applyBorder="1" applyAlignment="1" applyProtection="1">
      <alignment horizontal="right" vertical="center"/>
    </xf>
    <xf numFmtId="0" fontId="4" fillId="0" borderId="160" xfId="1" applyBorder="1" applyProtection="1"/>
    <xf numFmtId="0" fontId="48" fillId="0" borderId="162" xfId="105" applyFont="1" applyBorder="1" applyAlignment="1" applyProtection="1">
      <alignment horizontal="center" vertical="center" wrapText="1"/>
    </xf>
    <xf numFmtId="0" fontId="156" fillId="0" borderId="92" xfId="105" applyFont="1" applyBorder="1" applyAlignment="1" applyProtection="1">
      <alignment horizontal="center" vertical="center"/>
    </xf>
    <xf numFmtId="0" fontId="48" fillId="27" borderId="162" xfId="105" applyFont="1" applyFill="1" applyBorder="1" applyAlignment="1" applyProtection="1">
      <alignment horizontal="center" vertical="center" wrapText="1"/>
    </xf>
    <xf numFmtId="0" fontId="156" fillId="27" borderId="92" xfId="105" applyFont="1" applyFill="1" applyBorder="1" applyAlignment="1" applyProtection="1">
      <alignment horizontal="center" vertical="center"/>
    </xf>
    <xf numFmtId="170" fontId="6" fillId="4" borderId="129" xfId="1" applyNumberFormat="1" applyFont="1" applyFill="1" applyBorder="1" applyAlignment="1" applyProtection="1">
      <alignment horizontal="right" vertical="center"/>
    </xf>
    <xf numFmtId="188" fontId="6" fillId="4" borderId="39" xfId="1" applyNumberFormat="1" applyFont="1" applyFill="1" applyBorder="1" applyAlignment="1" applyProtection="1">
      <alignment horizontal="right" vertical="center"/>
    </xf>
    <xf numFmtId="0" fontId="6" fillId="4" borderId="160" xfId="1" applyFont="1" applyFill="1" applyBorder="1" applyAlignment="1" applyProtection="1">
      <alignment vertical="center"/>
    </xf>
    <xf numFmtId="188" fontId="6" fillId="4" borderId="40" xfId="1" applyNumberFormat="1" applyFont="1" applyFill="1" applyBorder="1" applyAlignment="1" applyProtection="1">
      <alignment horizontal="right" vertical="center"/>
    </xf>
    <xf numFmtId="188" fontId="6" fillId="4" borderId="66" xfId="1" applyNumberFormat="1" applyFont="1" applyFill="1" applyBorder="1" applyAlignment="1" applyProtection="1">
      <alignment horizontal="right" vertical="center"/>
    </xf>
    <xf numFmtId="188" fontId="13" fillId="0" borderId="0" xfId="1" applyNumberFormat="1" applyFont="1" applyBorder="1" applyAlignment="1" applyProtection="1">
      <alignment horizontal="right" vertical="center"/>
    </xf>
    <xf numFmtId="188" fontId="13" fillId="0" borderId="40" xfId="1" applyNumberFormat="1" applyFont="1" applyBorder="1" applyAlignment="1" applyProtection="1">
      <alignment horizontal="right" vertical="center"/>
    </xf>
    <xf numFmtId="0" fontId="156" fillId="0" borderId="165" xfId="105" applyFont="1" applyBorder="1" applyAlignment="1" applyProtection="1">
      <alignment horizontal="center" vertical="center"/>
    </xf>
    <xf numFmtId="0" fontId="16" fillId="0" borderId="83" xfId="105" applyFont="1" applyBorder="1" applyAlignment="1" applyProtection="1">
      <alignment horizontal="right" vertical="center"/>
    </xf>
    <xf numFmtId="170" fontId="13" fillId="0" borderId="129" xfId="1" applyNumberFormat="1" applyFont="1" applyBorder="1" applyAlignment="1" applyProtection="1">
      <alignment horizontal="right" vertical="center"/>
    </xf>
    <xf numFmtId="0" fontId="14" fillId="0" borderId="160" xfId="105" applyFont="1" applyBorder="1" applyAlignment="1" applyProtection="1">
      <alignment vertical="center"/>
    </xf>
    <xf numFmtId="170" fontId="16" fillId="0" borderId="64" xfId="61" applyNumberFormat="1" applyFont="1" applyBorder="1" applyAlignment="1" applyProtection="1">
      <alignment vertical="center"/>
    </xf>
    <xf numFmtId="0" fontId="16" fillId="0" borderId="44" xfId="105" applyFont="1" applyBorder="1" applyAlignment="1" applyProtection="1">
      <alignment horizontal="right" vertical="center"/>
    </xf>
    <xf numFmtId="0" fontId="16" fillId="0" borderId="160" xfId="105" applyFont="1" applyBorder="1" applyAlignment="1" applyProtection="1">
      <alignment vertical="center"/>
    </xf>
    <xf numFmtId="170" fontId="6" fillId="0" borderId="64" xfId="61" applyNumberFormat="1" applyFont="1" applyBorder="1" applyAlignment="1" applyProtection="1">
      <alignment vertical="center"/>
    </xf>
    <xf numFmtId="206" fontId="6" fillId="0" borderId="57" xfId="105" applyNumberFormat="1" applyFont="1" applyBorder="1" applyAlignment="1" applyProtection="1">
      <alignment vertical="center"/>
    </xf>
    <xf numFmtId="213" fontId="6" fillId="31" borderId="77" xfId="105" applyNumberFormat="1" applyFont="1" applyFill="1" applyBorder="1" applyAlignment="1" applyProtection="1">
      <alignment vertical="center"/>
      <protection locked="0"/>
    </xf>
    <xf numFmtId="170" fontId="6" fillId="27" borderId="19" xfId="61" applyNumberFormat="1" applyFont="1" applyFill="1" applyBorder="1" applyAlignment="1" applyProtection="1">
      <alignment vertical="center"/>
    </xf>
    <xf numFmtId="170" fontId="6" fillId="0" borderId="0" xfId="61" applyNumberFormat="1" applyFont="1" applyBorder="1" applyAlignment="1" applyProtection="1">
      <alignment vertical="center"/>
    </xf>
    <xf numFmtId="0" fontId="158" fillId="0" borderId="57" xfId="105" applyFont="1" applyFill="1" applyBorder="1" applyAlignment="1" applyProtection="1">
      <alignment horizontal="left" vertical="center" wrapText="1"/>
      <protection locked="0"/>
    </xf>
    <xf numFmtId="0" fontId="14" fillId="0" borderId="156" xfId="105" applyFont="1" applyBorder="1" applyAlignment="1" applyProtection="1">
      <alignment vertical="center"/>
    </xf>
    <xf numFmtId="170" fontId="6" fillId="0" borderId="129" xfId="61" applyNumberFormat="1" applyFont="1" applyBorder="1" applyAlignment="1" applyProtection="1">
      <alignment vertical="center"/>
    </xf>
    <xf numFmtId="170" fontId="6" fillId="0" borderId="64" xfId="1" applyNumberFormat="1" applyFont="1" applyBorder="1" applyAlignment="1" applyProtection="1">
      <alignment horizontal="right" vertical="center"/>
    </xf>
    <xf numFmtId="0" fontId="6" fillId="4" borderId="32" xfId="1" applyFont="1" applyFill="1" applyBorder="1" applyAlignment="1" applyProtection="1">
      <alignment vertical="center"/>
    </xf>
    <xf numFmtId="0" fontId="6" fillId="4" borderId="213" xfId="1" applyFont="1" applyFill="1" applyBorder="1" applyAlignment="1" applyProtection="1">
      <alignment vertical="center"/>
    </xf>
    <xf numFmtId="188" fontId="156" fillId="0" borderId="189" xfId="1" applyNumberFormat="1" applyFont="1" applyBorder="1" applyAlignment="1" applyProtection="1">
      <alignment horizontal="center" vertical="center"/>
    </xf>
    <xf numFmtId="188" fontId="156" fillId="27" borderId="90" xfId="1" applyNumberFormat="1" applyFont="1" applyFill="1" applyBorder="1" applyAlignment="1" applyProtection="1">
      <alignment horizontal="center" vertical="center"/>
    </xf>
    <xf numFmtId="0" fontId="156" fillId="27" borderId="162" xfId="105" applyFont="1" applyFill="1" applyBorder="1" applyAlignment="1" applyProtection="1">
      <alignment horizontal="center" vertical="center"/>
    </xf>
    <xf numFmtId="188" fontId="156" fillId="0" borderId="90" xfId="1" applyNumberFormat="1" applyFont="1" applyBorder="1" applyAlignment="1" applyProtection="1">
      <alignment horizontal="center" vertical="center"/>
    </xf>
    <xf numFmtId="0" fontId="4" fillId="0" borderId="91" xfId="1" applyBorder="1" applyAlignment="1" applyProtection="1">
      <alignment vertical="center"/>
    </xf>
    <xf numFmtId="0" fontId="4" fillId="0" borderId="184" xfId="1" applyBorder="1" applyAlignment="1" applyProtection="1">
      <alignment vertical="center"/>
    </xf>
    <xf numFmtId="170" fontId="13" fillId="0" borderId="64" xfId="61" applyNumberFormat="1" applyFont="1" applyBorder="1" applyAlignment="1" applyProtection="1">
      <alignment vertical="center"/>
    </xf>
    <xf numFmtId="0" fontId="6" fillId="0" borderId="32" xfId="105" applyFont="1" applyBorder="1" applyAlignment="1" applyProtection="1">
      <alignment vertical="center"/>
    </xf>
    <xf numFmtId="188" fontId="14" fillId="0" borderId="23" xfId="1" applyNumberFormat="1" applyFont="1" applyBorder="1" applyAlignment="1" applyProtection="1">
      <alignment horizontal="right" vertical="center"/>
    </xf>
    <xf numFmtId="188" fontId="14" fillId="0" borderId="43" xfId="1" applyNumberFormat="1" applyFont="1" applyBorder="1" applyAlignment="1" applyProtection="1">
      <alignment horizontal="right" vertical="center"/>
    </xf>
    <xf numFmtId="188" fontId="14" fillId="27" borderId="23" xfId="1" applyNumberFormat="1" applyFont="1" applyFill="1" applyBorder="1" applyAlignment="1" applyProtection="1">
      <alignment horizontal="right" vertical="center"/>
    </xf>
    <xf numFmtId="188" fontId="14" fillId="27" borderId="43" xfId="1" applyNumberFormat="1" applyFont="1" applyFill="1" applyBorder="1" applyAlignment="1" applyProtection="1">
      <alignment horizontal="right" vertical="center"/>
    </xf>
    <xf numFmtId="0" fontId="16" fillId="0" borderId="42" xfId="105" applyFont="1" applyBorder="1" applyAlignment="1" applyProtection="1">
      <alignment horizontal="right" vertical="center"/>
    </xf>
    <xf numFmtId="0" fontId="14" fillId="0" borderId="159" xfId="105" applyFont="1" applyBorder="1" applyAlignment="1" applyProtection="1">
      <alignment vertical="center"/>
    </xf>
    <xf numFmtId="170" fontId="6" fillId="0" borderId="129" xfId="1" applyNumberFormat="1" applyFont="1" applyBorder="1" applyAlignment="1" applyProtection="1">
      <alignment horizontal="right" vertical="center"/>
    </xf>
    <xf numFmtId="206" fontId="6" fillId="31" borderId="63" xfId="105" applyNumberFormat="1" applyFont="1" applyFill="1" applyBorder="1" applyAlignment="1" applyProtection="1">
      <alignment vertical="center"/>
      <protection locked="0"/>
    </xf>
    <xf numFmtId="0" fontId="6" fillId="4" borderId="160" xfId="105" applyFont="1" applyFill="1" applyBorder="1" applyAlignment="1" applyProtection="1">
      <alignment vertical="center"/>
    </xf>
    <xf numFmtId="206" fontId="6" fillId="31" borderId="67" xfId="105" applyNumberFormat="1" applyFont="1" applyFill="1" applyBorder="1" applyAlignment="1" applyProtection="1">
      <alignment vertical="center"/>
      <protection locked="0"/>
    </xf>
    <xf numFmtId="0" fontId="6" fillId="4" borderId="32" xfId="1" applyFont="1" applyFill="1" applyBorder="1" applyProtection="1"/>
    <xf numFmtId="188" fontId="6" fillId="0" borderId="64" xfId="1" applyNumberFormat="1" applyFont="1" applyBorder="1" applyAlignment="1" applyProtection="1">
      <alignment horizontal="center" vertical="center"/>
    </xf>
    <xf numFmtId="0" fontId="156" fillId="0" borderId="167" xfId="105" applyFont="1" applyBorder="1" applyAlignment="1" applyProtection="1">
      <alignment horizontal="center" vertical="center"/>
    </xf>
    <xf numFmtId="0" fontId="51" fillId="27" borderId="0" xfId="1" applyFont="1" applyFill="1" applyBorder="1" applyAlignment="1" applyProtection="1">
      <alignment horizontal="center" vertical="center"/>
    </xf>
    <xf numFmtId="0" fontId="156" fillId="27" borderId="167" xfId="105" applyFont="1" applyFill="1" applyBorder="1" applyAlignment="1" applyProtection="1">
      <alignment horizontal="center" vertical="center"/>
    </xf>
    <xf numFmtId="0" fontId="51" fillId="0" borderId="0" xfId="1" applyFont="1" applyBorder="1" applyAlignment="1" applyProtection="1">
      <alignment horizontal="center" vertical="center"/>
    </xf>
    <xf numFmtId="0" fontId="6" fillId="0" borderId="83" xfId="105" applyFont="1" applyFill="1" applyBorder="1" applyAlignment="1" applyProtection="1">
      <alignment horizontal="right" vertical="center"/>
    </xf>
    <xf numFmtId="176" fontId="6" fillId="31" borderId="61" xfId="105" applyNumberFormat="1" applyFont="1" applyFill="1" applyBorder="1" applyAlignment="1" applyProtection="1">
      <alignment vertical="center"/>
      <protection locked="0"/>
    </xf>
    <xf numFmtId="176" fontId="6" fillId="31" borderId="65" xfId="105" applyNumberFormat="1" applyFont="1" applyFill="1" applyBorder="1" applyAlignment="1" applyProtection="1">
      <alignment vertical="center"/>
      <protection locked="0"/>
    </xf>
    <xf numFmtId="0" fontId="6" fillId="0" borderId="213" xfId="1" applyFont="1" applyBorder="1" applyAlignment="1" applyProtection="1">
      <alignment vertical="center"/>
    </xf>
    <xf numFmtId="188" fontId="6" fillId="0" borderId="88" xfId="1" applyNumberFormat="1" applyFont="1" applyBorder="1" applyAlignment="1" applyProtection="1">
      <alignment horizontal="center" vertical="center"/>
    </xf>
    <xf numFmtId="188" fontId="156" fillId="0" borderId="167" xfId="1" applyNumberFormat="1" applyFont="1" applyBorder="1" applyAlignment="1" applyProtection="1">
      <alignment horizontal="center" vertical="center"/>
    </xf>
    <xf numFmtId="0" fontId="51" fillId="27" borderId="0" xfId="1" applyFont="1" applyFill="1" applyAlignment="1" applyProtection="1">
      <alignment vertical="center"/>
    </xf>
    <xf numFmtId="188" fontId="156" fillId="27" borderId="167" xfId="1" applyNumberFormat="1" applyFont="1" applyFill="1" applyBorder="1" applyAlignment="1" applyProtection="1">
      <alignment horizontal="center" vertical="center"/>
    </xf>
    <xf numFmtId="0" fontId="51" fillId="0" borderId="0" xfId="1" applyFont="1" applyAlignment="1" applyProtection="1">
      <alignment vertical="center"/>
    </xf>
    <xf numFmtId="0" fontId="14" fillId="0" borderId="184" xfId="105" applyFont="1" applyBorder="1" applyAlignment="1" applyProtection="1">
      <alignment vertical="center"/>
    </xf>
    <xf numFmtId="0" fontId="11" fillId="0" borderId="0" xfId="1" applyFont="1" applyBorder="1" applyAlignment="1" applyProtection="1">
      <alignment horizontal="left" vertical="center"/>
    </xf>
    <xf numFmtId="0" fontId="6" fillId="0" borderId="213" xfId="105" applyFont="1" applyBorder="1" applyAlignment="1" applyProtection="1">
      <alignment vertical="center"/>
    </xf>
    <xf numFmtId="0" fontId="156" fillId="27" borderId="0" xfId="1" applyFont="1" applyFill="1" applyAlignment="1" applyProtection="1">
      <alignment vertical="center"/>
    </xf>
    <xf numFmtId="0" fontId="156" fillId="0" borderId="0" xfId="1" applyFont="1" applyAlignment="1" applyProtection="1">
      <alignment vertical="center"/>
    </xf>
    <xf numFmtId="0" fontId="118" fillId="0" borderId="123" xfId="1" applyFont="1" applyBorder="1" applyAlignment="1" applyProtection="1">
      <alignment horizontal="center" vertical="center"/>
    </xf>
    <xf numFmtId="0" fontId="14" fillId="0" borderId="184" xfId="1" applyFont="1" applyBorder="1" applyAlignment="1" applyProtection="1">
      <alignment vertical="center"/>
    </xf>
    <xf numFmtId="0" fontId="14" fillId="0" borderId="159" xfId="1" applyFont="1" applyBorder="1" applyAlignment="1" applyProtection="1">
      <alignment vertical="center"/>
    </xf>
    <xf numFmtId="189" fontId="14" fillId="31" borderId="210" xfId="61" applyNumberFormat="1" applyFont="1" applyFill="1" applyBorder="1" applyAlignment="1" applyProtection="1">
      <alignment vertical="center"/>
      <protection locked="0"/>
    </xf>
    <xf numFmtId="0" fontId="6" fillId="4" borderId="160" xfId="1" applyFont="1" applyFill="1" applyBorder="1" applyAlignment="1" applyProtection="1">
      <alignment horizontal="center" vertical="center"/>
    </xf>
    <xf numFmtId="0" fontId="6" fillId="4" borderId="32" xfId="1" applyFont="1" applyFill="1" applyBorder="1" applyAlignment="1" applyProtection="1">
      <alignment horizontal="center" vertical="center"/>
    </xf>
    <xf numFmtId="0" fontId="16" fillId="0" borderId="2" xfId="1" applyFont="1" applyBorder="1" applyProtection="1"/>
    <xf numFmtId="0" fontId="6" fillId="0" borderId="23" xfId="1" applyFont="1" applyFill="1" applyBorder="1" applyAlignment="1" applyProtection="1">
      <alignment horizontal="right" vertical="center"/>
    </xf>
    <xf numFmtId="0" fontId="14" fillId="0" borderId="23" xfId="1" applyFont="1" applyBorder="1" applyAlignment="1" applyProtection="1">
      <alignment vertical="center"/>
    </xf>
    <xf numFmtId="9" fontId="118" fillId="31" borderId="0" xfId="1" applyNumberFormat="1" applyFont="1" applyFill="1" applyBorder="1" applyAlignment="1" applyProtection="1">
      <alignment horizontal="center" vertical="center"/>
      <protection locked="0"/>
    </xf>
    <xf numFmtId="0" fontId="6" fillId="0" borderId="129" xfId="1" applyFont="1" applyBorder="1" applyAlignment="1" applyProtection="1">
      <alignment vertical="center"/>
    </xf>
    <xf numFmtId="0" fontId="6" fillId="0" borderId="19" xfId="1" applyFont="1" applyFill="1" applyBorder="1" applyAlignment="1" applyProtection="1">
      <alignment horizontal="right" vertical="center"/>
    </xf>
    <xf numFmtId="0" fontId="14" fillId="0" borderId="32" xfId="1" applyFont="1" applyBorder="1" applyAlignment="1" applyProtection="1">
      <alignment horizontal="left" vertical="center"/>
    </xf>
    <xf numFmtId="1" fontId="43" fillId="31" borderId="78" xfId="61" applyNumberFormat="1" applyFont="1" applyFill="1" applyBorder="1" applyAlignment="1" applyProtection="1">
      <alignment horizontal="center" vertical="center"/>
      <protection locked="0"/>
    </xf>
    <xf numFmtId="1" fontId="43" fillId="31" borderId="24" xfId="61" applyNumberFormat="1" applyFont="1" applyFill="1" applyBorder="1" applyAlignment="1" applyProtection="1">
      <alignment horizontal="center" vertical="center"/>
      <protection locked="0"/>
    </xf>
    <xf numFmtId="0" fontId="43" fillId="0" borderId="75" xfId="1" applyFont="1" applyBorder="1" applyAlignment="1" applyProtection="1">
      <alignment vertical="center"/>
    </xf>
    <xf numFmtId="0" fontId="43" fillId="0" borderId="76" xfId="1" applyFont="1" applyBorder="1" applyAlignment="1" applyProtection="1">
      <alignment vertical="center"/>
    </xf>
    <xf numFmtId="0" fontId="4" fillId="0" borderId="0" xfId="1" applyBorder="1" applyAlignment="1" applyProtection="1">
      <alignment vertical="top"/>
    </xf>
    <xf numFmtId="0" fontId="6" fillId="0" borderId="2" xfId="105" applyFont="1" applyFill="1" applyBorder="1" applyAlignment="1" applyProtection="1">
      <alignment vertical="center"/>
      <protection locked="0"/>
    </xf>
    <xf numFmtId="0" fontId="14" fillId="0" borderId="156" xfId="1" applyFont="1" applyBorder="1" applyAlignment="1" applyProtection="1">
      <alignment vertical="center"/>
    </xf>
    <xf numFmtId="3" fontId="16" fillId="0" borderId="44" xfId="1" applyNumberFormat="1" applyFont="1" applyBorder="1" applyAlignment="1" applyProtection="1">
      <alignment vertical="center"/>
    </xf>
    <xf numFmtId="3" fontId="16" fillId="0" borderId="2" xfId="1" applyNumberFormat="1" applyFont="1" applyBorder="1" applyAlignment="1" applyProtection="1">
      <alignment vertical="center"/>
    </xf>
    <xf numFmtId="3" fontId="16" fillId="0" borderId="39" xfId="1" applyNumberFormat="1" applyFont="1" applyBorder="1" applyAlignment="1" applyProtection="1">
      <alignment vertical="center"/>
    </xf>
    <xf numFmtId="0" fontId="44" fillId="0" borderId="173" xfId="1" applyFont="1" applyBorder="1" applyAlignment="1" applyProtection="1">
      <alignment horizontal="left" vertical="center"/>
    </xf>
    <xf numFmtId="0" fontId="13" fillId="31" borderId="0" xfId="1" applyFont="1" applyFill="1" applyBorder="1" applyAlignment="1" applyProtection="1">
      <alignment horizontal="center" vertical="center"/>
      <protection locked="0"/>
    </xf>
    <xf numFmtId="0" fontId="18" fillId="31" borderId="0" xfId="1" applyFont="1" applyFill="1" applyBorder="1" applyAlignment="1" applyProtection="1">
      <alignment horizontal="right" vertical="top"/>
      <protection locked="0"/>
    </xf>
    <xf numFmtId="0" fontId="4" fillId="0" borderId="0" xfId="1" applyAlignment="1" applyProtection="1">
      <alignment vertical="top"/>
      <protection locked="0"/>
    </xf>
    <xf numFmtId="176" fontId="6" fillId="30" borderId="61" xfId="105" applyNumberFormat="1" applyFont="1" applyFill="1" applyBorder="1" applyAlignment="1" applyProtection="1">
      <alignment vertical="center"/>
      <protection locked="0"/>
    </xf>
    <xf numFmtId="176" fontId="6" fillId="30" borderId="65" xfId="105" applyNumberFormat="1" applyFont="1" applyFill="1" applyBorder="1" applyAlignment="1" applyProtection="1">
      <alignment vertical="center"/>
      <protection locked="0"/>
    </xf>
    <xf numFmtId="0" fontId="156" fillId="30" borderId="122" xfId="105" applyFont="1" applyFill="1" applyBorder="1" applyAlignment="1" applyProtection="1">
      <alignment horizontal="center" vertical="center"/>
    </xf>
    <xf numFmtId="0" fontId="9" fillId="30" borderId="65" xfId="1" applyFont="1" applyFill="1" applyBorder="1" applyAlignment="1" applyProtection="1">
      <alignment horizontal="center" vertical="center"/>
    </xf>
    <xf numFmtId="0" fontId="35" fillId="0" borderId="0" xfId="105"/>
    <xf numFmtId="0" fontId="4" fillId="31" borderId="0" xfId="1" applyFill="1"/>
    <xf numFmtId="0" fontId="13" fillId="31" borderId="0" xfId="1" applyFont="1" applyFill="1" applyAlignment="1" applyProtection="1">
      <alignment vertical="center"/>
      <protection locked="0"/>
    </xf>
    <xf numFmtId="0" fontId="6" fillId="4" borderId="9" xfId="61" applyNumberFormat="1" applyFont="1" applyFill="1" applyBorder="1" applyAlignment="1" applyProtection="1">
      <alignment horizontal="center" vertical="center"/>
    </xf>
    <xf numFmtId="0" fontId="6" fillId="0" borderId="23" xfId="105" applyFont="1" applyFill="1" applyBorder="1" applyAlignment="1" applyProtection="1">
      <alignment horizontal="right" vertical="center"/>
    </xf>
    <xf numFmtId="0" fontId="4" fillId="0" borderId="34" xfId="1" applyBorder="1" applyAlignment="1" applyProtection="1">
      <alignment vertical="center"/>
    </xf>
    <xf numFmtId="0" fontId="4" fillId="0" borderId="25" xfId="1" applyBorder="1" applyAlignment="1" applyProtection="1">
      <alignment vertical="center"/>
    </xf>
    <xf numFmtId="0" fontId="4" fillId="0" borderId="36" xfId="1" applyBorder="1" applyAlignment="1" applyProtection="1">
      <alignment vertical="center"/>
    </xf>
    <xf numFmtId="0" fontId="97" fillId="0" borderId="0" xfId="1" applyFont="1" applyAlignment="1" applyProtection="1">
      <alignment vertical="center"/>
    </xf>
    <xf numFmtId="0" fontId="97" fillId="0" borderId="0" xfId="1" applyFont="1" applyBorder="1" applyAlignment="1" applyProtection="1">
      <alignment vertical="center"/>
    </xf>
    <xf numFmtId="188" fontId="6" fillId="31" borderId="40" xfId="61" applyNumberFormat="1" applyFont="1" applyFill="1" applyBorder="1" applyAlignment="1" applyProtection="1">
      <alignment vertical="center"/>
    </xf>
    <xf numFmtId="0" fontId="5" fillId="0" borderId="0" xfId="1" applyFont="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0" borderId="0" xfId="1" applyAlignment="1" applyProtection="1">
      <alignment vertical="center"/>
    </xf>
    <xf numFmtId="0" fontId="4" fillId="0" borderId="0" xfId="1" applyBorder="1" applyAlignment="1" applyProtection="1">
      <alignment vertical="center"/>
    </xf>
    <xf numFmtId="0" fontId="15" fillId="0" borderId="0" xfId="1" applyFont="1"/>
    <xf numFmtId="0" fontId="164" fillId="0" borderId="0" xfId="1" applyFont="1" applyAlignment="1">
      <alignment horizontal="left" vertical="center"/>
    </xf>
    <xf numFmtId="0" fontId="9" fillId="0" borderId="0" xfId="1" applyFont="1" applyAlignment="1">
      <alignment vertical="top" wrapText="1"/>
    </xf>
    <xf numFmtId="2" fontId="9" fillId="0" borderId="0" xfId="1" applyNumberFormat="1" applyFont="1" applyAlignment="1">
      <alignment vertical="top" wrapText="1"/>
    </xf>
    <xf numFmtId="0" fontId="9" fillId="0" borderId="0" xfId="1" applyFont="1" applyAlignment="1">
      <alignment horizontal="center" vertical="top" wrapText="1"/>
    </xf>
    <xf numFmtId="0" fontId="5" fillId="0" borderId="0" xfId="1" applyFont="1" applyAlignment="1">
      <alignment horizontal="left" vertical="top" wrapText="1"/>
    </xf>
    <xf numFmtId="0" fontId="5" fillId="0" borderId="0" xfId="1" applyFont="1" applyAlignment="1">
      <alignment horizontal="center" vertical="top" wrapText="1"/>
    </xf>
    <xf numFmtId="4" fontId="9" fillId="0" borderId="3" xfId="53" applyAlignment="1">
      <alignment horizontal="center" vertical="center" shrinkToFit="1"/>
    </xf>
    <xf numFmtId="4" fontId="9" fillId="0" borderId="3" xfId="53">
      <alignment vertical="center" shrinkToFit="1"/>
    </xf>
    <xf numFmtId="4" fontId="9" fillId="0" borderId="3" xfId="53" applyFont="1">
      <alignment vertical="center" shrinkToFit="1"/>
    </xf>
    <xf numFmtId="4" fontId="165" fillId="0" borderId="3" xfId="53" applyFont="1">
      <alignment vertical="center" shrinkToFit="1"/>
    </xf>
    <xf numFmtId="4" fontId="5" fillId="0" borderId="3" xfId="53" applyFont="1" applyAlignment="1">
      <alignment horizontal="center" vertical="center" shrinkToFit="1"/>
    </xf>
    <xf numFmtId="3" fontId="5" fillId="0" borderId="3" xfId="53" applyNumberFormat="1" applyFont="1" applyAlignment="1">
      <alignment horizontal="center" vertical="center" shrinkToFit="1"/>
    </xf>
    <xf numFmtId="3" fontId="5" fillId="0" borderId="3" xfId="53" applyNumberFormat="1" applyFont="1">
      <alignment vertical="center" shrinkToFit="1"/>
    </xf>
    <xf numFmtId="4" fontId="165" fillId="0" borderId="3" xfId="53" applyFont="1" applyAlignment="1">
      <alignment horizontal="center" vertical="center" shrinkToFit="1"/>
    </xf>
    <xf numFmtId="3" fontId="165" fillId="0" borderId="3" xfId="53" applyNumberFormat="1" applyFont="1" applyAlignment="1">
      <alignment horizontal="center" vertical="center" shrinkToFit="1"/>
    </xf>
    <xf numFmtId="3" fontId="165" fillId="0" borderId="3" xfId="53" applyNumberFormat="1" applyFont="1">
      <alignment vertical="center" shrinkToFit="1"/>
    </xf>
    <xf numFmtId="4" fontId="12" fillId="0" borderId="3" xfId="53" applyFont="1" applyAlignment="1">
      <alignment vertical="center"/>
    </xf>
    <xf numFmtId="0" fontId="14" fillId="0" borderId="0" xfId="1" applyFont="1"/>
    <xf numFmtId="0" fontId="15" fillId="0" borderId="215" xfId="1" applyFont="1" applyBorder="1"/>
    <xf numFmtId="0" fontId="15" fillId="0" borderId="216" xfId="1" applyFont="1" applyBorder="1"/>
    <xf numFmtId="2" fontId="52" fillId="36" borderId="1" xfId="122" applyNumberFormat="1" applyFont="1"/>
    <xf numFmtId="2" fontId="80" fillId="36" borderId="1" xfId="122" applyNumberFormat="1" applyFont="1"/>
    <xf numFmtId="2" fontId="80" fillId="36" borderId="1" xfId="122" applyNumberFormat="1" applyFont="1" applyAlignment="1">
      <alignment horizontal="left"/>
    </xf>
    <xf numFmtId="0" fontId="80" fillId="36" borderId="1" xfId="122" applyFont="1" applyAlignment="1">
      <alignment horizontal="right" vertical="center"/>
    </xf>
    <xf numFmtId="2" fontId="80" fillId="36" borderId="1" xfId="122" applyNumberFormat="1" applyFont="1" applyAlignment="1">
      <alignment vertical="center"/>
    </xf>
    <xf numFmtId="0" fontId="9" fillId="0" borderId="19" xfId="1" applyFont="1" applyFill="1" applyBorder="1" applyAlignment="1">
      <alignment horizontal="right" vertical="center"/>
    </xf>
    <xf numFmtId="0" fontId="9" fillId="0" borderId="217" xfId="1" applyFont="1" applyFill="1" applyBorder="1" applyAlignment="1">
      <alignment wrapText="1"/>
    </xf>
    <xf numFmtId="2" fontId="52" fillId="36" borderId="218" xfId="122" applyNumberFormat="1" applyFont="1" applyBorder="1"/>
    <xf numFmtId="0" fontId="9" fillId="0" borderId="219" xfId="1" applyFont="1" applyFill="1" applyBorder="1" applyAlignment="1">
      <alignment wrapText="1"/>
    </xf>
    <xf numFmtId="2" fontId="52" fillId="36" borderId="220" xfId="122" applyNumberFormat="1" applyFont="1" applyBorder="1"/>
    <xf numFmtId="2" fontId="80" fillId="36" borderId="220" xfId="122" applyNumberFormat="1" applyFont="1" applyBorder="1"/>
    <xf numFmtId="2" fontId="80" fillId="36" borderId="220" xfId="122" applyNumberFormat="1" applyFont="1" applyBorder="1" applyAlignment="1">
      <alignment horizontal="left"/>
    </xf>
    <xf numFmtId="2" fontId="80" fillId="36" borderId="221" xfId="122" applyNumberFormat="1" applyFont="1" applyBorder="1" applyAlignment="1">
      <alignment horizontal="right"/>
    </xf>
    <xf numFmtId="2" fontId="166" fillId="36" borderId="221" xfId="122" applyNumberFormat="1" applyFont="1" applyBorder="1" applyAlignment="1">
      <alignment horizontal="right"/>
    </xf>
    <xf numFmtId="0" fontId="80" fillId="36" borderId="222" xfId="122" applyFont="1" applyBorder="1" applyAlignment="1">
      <alignment horizontal="right" vertical="center"/>
    </xf>
    <xf numFmtId="2" fontId="52" fillId="36" borderId="223" xfId="122" applyNumberFormat="1" applyFont="1" applyBorder="1"/>
    <xf numFmtId="0" fontId="9" fillId="0" borderId="224" xfId="1" applyFont="1" applyFill="1" applyBorder="1" applyAlignment="1">
      <alignment horizontal="right" vertical="center"/>
    </xf>
    <xf numFmtId="0" fontId="9" fillId="0" borderId="225" xfId="1" applyFont="1" applyFill="1" applyBorder="1" applyAlignment="1">
      <alignment wrapText="1"/>
    </xf>
    <xf numFmtId="0" fontId="15" fillId="0" borderId="19" xfId="1" applyFont="1" applyBorder="1"/>
    <xf numFmtId="2" fontId="80" fillId="36" borderId="3" xfId="122" applyNumberFormat="1" applyFont="1" applyBorder="1"/>
    <xf numFmtId="0" fontId="80" fillId="36" borderId="58" xfId="122" applyFont="1" applyBorder="1" applyAlignment="1">
      <alignment horizontal="right" vertical="center"/>
    </xf>
    <xf numFmtId="2" fontId="80" fillId="36" borderId="226" xfId="122" applyNumberFormat="1" applyFont="1" applyBorder="1"/>
    <xf numFmtId="2" fontId="166" fillId="36" borderId="226" xfId="122" applyNumberFormat="1" applyFont="1" applyBorder="1"/>
    <xf numFmtId="0" fontId="80" fillId="36" borderId="227" xfId="122" applyFont="1" applyBorder="1" applyAlignment="1">
      <alignment horizontal="right" vertical="center"/>
    </xf>
    <xf numFmtId="0" fontId="80" fillId="36" borderId="228" xfId="122" applyFont="1" applyBorder="1" applyAlignment="1">
      <alignment horizontal="right" vertical="center"/>
    </xf>
    <xf numFmtId="4" fontId="80" fillId="36" borderId="1" xfId="122" applyNumberFormat="1" applyFont="1"/>
    <xf numFmtId="3" fontId="80" fillId="36" borderId="1" xfId="122" applyNumberFormat="1" applyFont="1"/>
    <xf numFmtId="2" fontId="166" fillId="33" borderId="1" xfId="122" applyNumberFormat="1" applyFont="1" applyFill="1"/>
    <xf numFmtId="0" fontId="80" fillId="33" borderId="228" xfId="122" applyFont="1" applyFill="1" applyBorder="1" applyAlignment="1">
      <alignment horizontal="right" vertical="center"/>
    </xf>
    <xf numFmtId="2" fontId="80" fillId="33" borderId="1" xfId="122" applyNumberFormat="1" applyFont="1" applyFill="1"/>
    <xf numFmtId="0" fontId="9" fillId="33" borderId="19" xfId="1" applyFont="1" applyFill="1" applyBorder="1" applyAlignment="1">
      <alignment horizontal="right" vertical="center"/>
    </xf>
    <xf numFmtId="0" fontId="9" fillId="43" borderId="219" xfId="1" applyFont="1" applyFill="1" applyBorder="1" applyAlignment="1">
      <alignment wrapText="1"/>
    </xf>
    <xf numFmtId="220" fontId="80" fillId="36" borderId="1" xfId="122" applyNumberFormat="1" applyFont="1"/>
    <xf numFmtId="2" fontId="55" fillId="33" borderId="1" xfId="122" applyNumberFormat="1" applyFont="1" applyFill="1"/>
    <xf numFmtId="2" fontId="166" fillId="36" borderId="1" xfId="122" applyNumberFormat="1" applyFont="1"/>
    <xf numFmtId="2" fontId="166" fillId="33" borderId="228" xfId="122" applyNumberFormat="1" applyFont="1" applyFill="1" applyBorder="1"/>
    <xf numFmtId="2" fontId="166" fillId="33" borderId="3" xfId="1" applyNumberFormat="1" applyFont="1" applyFill="1" applyBorder="1" applyAlignment="1">
      <alignment vertical="top" wrapText="1"/>
    </xf>
    <xf numFmtId="0" fontId="80" fillId="33" borderId="229" xfId="122" applyFont="1" applyFill="1" applyBorder="1" applyAlignment="1">
      <alignment horizontal="right" vertical="center"/>
    </xf>
    <xf numFmtId="2" fontId="80" fillId="36" borderId="230" xfId="122" applyNumberFormat="1" applyFont="1" applyBorder="1"/>
    <xf numFmtId="0" fontId="80" fillId="36" borderId="218" xfId="122" applyFont="1" applyBorder="1" applyAlignment="1">
      <alignment horizontal="right" vertical="center"/>
    </xf>
    <xf numFmtId="0" fontId="15" fillId="0" borderId="0" xfId="1" applyFont="1" applyBorder="1"/>
    <xf numFmtId="0" fontId="55" fillId="36" borderId="225" xfId="129" applyFont="1" applyFill="1" applyBorder="1" applyAlignment="1">
      <alignment horizontal="right"/>
    </xf>
    <xf numFmtId="0" fontId="15" fillId="36" borderId="224" xfId="129" applyFont="1" applyFill="1" applyBorder="1"/>
    <xf numFmtId="0" fontId="15" fillId="36" borderId="232" xfId="129" applyFont="1" applyFill="1" applyBorder="1"/>
    <xf numFmtId="0" fontId="55" fillId="36" borderId="232" xfId="129" applyFont="1" applyFill="1" applyBorder="1" applyAlignment="1">
      <alignment horizontal="center" vertical="center"/>
    </xf>
    <xf numFmtId="0" fontId="63" fillId="36" borderId="233" xfId="130" applyFont="1" applyBorder="1" applyAlignment="1">
      <alignment horizontal="right" vertical="center"/>
    </xf>
    <xf numFmtId="0" fontId="63" fillId="32" borderId="234" xfId="130" applyFont="1" applyFill="1" applyBorder="1" applyAlignment="1">
      <alignment horizontal="center" vertical="center"/>
    </xf>
    <xf numFmtId="0" fontId="63" fillId="32" borderId="235" xfId="130" applyFont="1" applyFill="1" applyBorder="1" applyAlignment="1">
      <alignment horizontal="center" vertical="center"/>
    </xf>
    <xf numFmtId="0" fontId="55" fillId="36" borderId="236" xfId="129" applyFont="1" applyFill="1" applyBorder="1" applyAlignment="1">
      <alignment horizontal="center" vertical="center"/>
    </xf>
    <xf numFmtId="0" fontId="15" fillId="0" borderId="237" xfId="1" applyFont="1" applyBorder="1"/>
    <xf numFmtId="0" fontId="15" fillId="36" borderId="238" xfId="129" applyFont="1" applyFill="1" applyBorder="1" applyAlignment="1">
      <alignment horizontal="center"/>
    </xf>
    <xf numFmtId="0" fontId="15" fillId="36" borderId="239" xfId="129" applyFont="1" applyFill="1" applyBorder="1" applyAlignment="1">
      <alignment horizontal="center" vertical="center"/>
    </xf>
    <xf numFmtId="0" fontId="15" fillId="36" borderId="231" xfId="129" applyFont="1" applyFill="1" applyBorder="1" applyAlignment="1">
      <alignment horizontal="center" vertical="center"/>
    </xf>
    <xf numFmtId="0" fontId="15" fillId="36" borderId="239" xfId="129" applyFont="1" applyFill="1" applyBorder="1" applyAlignment="1">
      <alignment vertical="center"/>
    </xf>
    <xf numFmtId="0" fontId="15" fillId="36" borderId="240" xfId="129" applyFont="1" applyFill="1" applyBorder="1" applyAlignment="1">
      <alignment horizontal="center" vertical="center"/>
    </xf>
    <xf numFmtId="0" fontId="15" fillId="36" borderId="241" xfId="129" applyFont="1" applyFill="1" applyBorder="1" applyAlignment="1">
      <alignment horizontal="center" vertical="center"/>
    </xf>
    <xf numFmtId="0" fontId="15" fillId="36" borderId="241" xfId="129" applyFont="1" applyFill="1" applyBorder="1" applyAlignment="1">
      <alignment vertical="center"/>
    </xf>
    <xf numFmtId="0" fontId="167" fillId="42" borderId="231" xfId="129" applyFont="1" applyFill="1" applyAlignment="1">
      <alignment vertical="center"/>
    </xf>
    <xf numFmtId="0" fontId="15" fillId="0" borderId="242" xfId="1" applyFont="1" applyBorder="1"/>
    <xf numFmtId="0" fontId="15" fillId="36" borderId="243" xfId="129" applyFont="1" applyFill="1" applyBorder="1"/>
    <xf numFmtId="0" fontId="15" fillId="36" borderId="244" xfId="129" applyFont="1" applyFill="1" applyBorder="1"/>
    <xf numFmtId="0" fontId="55" fillId="36" borderId="244" xfId="129" applyFont="1" applyFill="1" applyBorder="1"/>
    <xf numFmtId="0" fontId="15" fillId="36" borderId="245" xfId="129" applyFont="1" applyFill="1" applyBorder="1" applyAlignment="1">
      <alignment horizontal="left"/>
    </xf>
    <xf numFmtId="0" fontId="15" fillId="36" borderId="244" xfId="129" applyFont="1" applyFill="1" applyBorder="1" applyAlignment="1">
      <alignment vertical="center"/>
    </xf>
    <xf numFmtId="0" fontId="55" fillId="36" borderId="246" xfId="129" applyFont="1" applyFill="1" applyBorder="1" applyAlignment="1">
      <alignment vertical="center"/>
    </xf>
    <xf numFmtId="0" fontId="15" fillId="0" borderId="247" xfId="1" applyFont="1" applyBorder="1"/>
    <xf numFmtId="0" fontId="149" fillId="36" borderId="0" xfId="129" applyFont="1" applyFill="1" applyBorder="1"/>
    <xf numFmtId="0" fontId="149" fillId="36" borderId="232" xfId="129" applyFont="1" applyFill="1" applyBorder="1"/>
    <xf numFmtId="0" fontId="52" fillId="36" borderId="232" xfId="129" applyFont="1" applyFill="1" applyBorder="1"/>
    <xf numFmtId="0" fontId="149" fillId="36" borderId="232" xfId="129" applyFont="1" applyFill="1" applyBorder="1" applyAlignment="1">
      <alignment vertical="center"/>
    </xf>
    <xf numFmtId="0" fontId="149" fillId="36" borderId="232" xfId="129" applyFont="1" applyFill="1" applyBorder="1" applyAlignment="1">
      <alignment horizontal="right" vertical="center"/>
    </xf>
    <xf numFmtId="0" fontId="55" fillId="36" borderId="232" xfId="129" applyFont="1" applyFill="1" applyBorder="1" applyAlignment="1">
      <alignment vertical="center"/>
    </xf>
    <xf numFmtId="0" fontId="15" fillId="0" borderId="232" xfId="1" applyFont="1" applyBorder="1"/>
    <xf numFmtId="0" fontId="80" fillId="36" borderId="220" xfId="122" applyFont="1" applyBorder="1" applyAlignment="1">
      <alignment horizontal="right" vertical="center"/>
    </xf>
    <xf numFmtId="0" fontId="15" fillId="36" borderId="248" xfId="129" applyFont="1" applyFill="1" applyBorder="1"/>
    <xf numFmtId="2" fontId="15" fillId="0" borderId="0" xfId="1" applyNumberFormat="1" applyFont="1"/>
    <xf numFmtId="2" fontId="52" fillId="36" borderId="221" xfId="122" applyNumberFormat="1" applyFont="1" applyBorder="1" applyAlignment="1">
      <alignment horizontal="right"/>
    </xf>
    <xf numFmtId="2" fontId="52" fillId="36" borderId="249" xfId="122" applyNumberFormat="1" applyFont="1" applyBorder="1" applyAlignment="1">
      <alignment horizontal="right"/>
    </xf>
    <xf numFmtId="2" fontId="52" fillId="36" borderId="3" xfId="122" applyNumberFormat="1" applyFont="1" applyBorder="1"/>
    <xf numFmtId="2" fontId="52" fillId="36" borderId="250" xfId="122" applyNumberFormat="1" applyFont="1" applyBorder="1"/>
    <xf numFmtId="2" fontId="52" fillId="36" borderId="226" xfId="122" applyNumberFormat="1" applyFont="1" applyBorder="1"/>
    <xf numFmtId="2" fontId="52" fillId="36" borderId="251" xfId="122" applyNumberFormat="1" applyFont="1" applyBorder="1"/>
    <xf numFmtId="2" fontId="52" fillId="36" borderId="252" xfId="122" applyNumberFormat="1" applyFont="1" applyBorder="1"/>
    <xf numFmtId="4" fontId="52" fillId="36" borderId="1" xfId="122" applyNumberFormat="1" applyFont="1"/>
    <xf numFmtId="2" fontId="52" fillId="33" borderId="1" xfId="122" applyNumberFormat="1" applyFont="1" applyFill="1"/>
    <xf numFmtId="2" fontId="52" fillId="33" borderId="252" xfId="122" applyNumberFormat="1" applyFont="1" applyFill="1" applyBorder="1"/>
    <xf numFmtId="3" fontId="52" fillId="36" borderId="1" xfId="122" applyNumberFormat="1" applyFont="1"/>
    <xf numFmtId="0" fontId="55" fillId="0" borderId="0" xfId="1" applyFont="1" applyBorder="1" applyAlignment="1">
      <alignment horizontal="center" wrapText="1"/>
    </xf>
    <xf numFmtId="0" fontId="15" fillId="36" borderId="245" xfId="129" applyFont="1" applyFill="1" applyBorder="1"/>
    <xf numFmtId="0" fontId="16" fillId="0" borderId="0" xfId="1" applyFont="1" applyProtection="1"/>
    <xf numFmtId="0" fontId="168" fillId="0" borderId="0" xfId="1" applyFont="1" applyProtection="1"/>
    <xf numFmtId="0" fontId="4" fillId="2" borderId="0" xfId="1" applyFill="1" applyProtection="1"/>
    <xf numFmtId="0" fontId="4" fillId="2" borderId="0" xfId="1" applyFill="1" applyProtection="1">
      <protection locked="0"/>
    </xf>
    <xf numFmtId="0" fontId="16" fillId="2" borderId="59" xfId="1" applyFont="1" applyFill="1" applyBorder="1" applyProtection="1"/>
    <xf numFmtId="0" fontId="16" fillId="2" borderId="41" xfId="1" applyFont="1" applyFill="1" applyBorder="1" applyProtection="1"/>
    <xf numFmtId="221" fontId="16" fillId="2" borderId="41" xfId="1" applyNumberFormat="1" applyFont="1" applyFill="1" applyBorder="1" applyAlignment="1" applyProtection="1">
      <alignment horizontal="center"/>
    </xf>
    <xf numFmtId="0" fontId="16" fillId="2" borderId="60" xfId="1" applyFont="1" applyFill="1" applyBorder="1" applyProtection="1"/>
    <xf numFmtId="0" fontId="16" fillId="2" borderId="64" xfId="1" applyFont="1" applyFill="1" applyBorder="1" applyProtection="1"/>
    <xf numFmtId="222" fontId="14" fillId="0" borderId="253" xfId="1" applyNumberFormat="1" applyFont="1" applyFill="1" applyBorder="1" applyProtection="1"/>
    <xf numFmtId="0" fontId="5" fillId="0" borderId="0" xfId="1" applyFont="1" applyBorder="1" applyAlignment="1" applyProtection="1">
      <alignment horizontal="center"/>
    </xf>
    <xf numFmtId="221" fontId="14" fillId="0" borderId="0" xfId="1" applyNumberFormat="1" applyFont="1" applyBorder="1" applyAlignment="1" applyProtection="1">
      <alignment horizontal="right"/>
    </xf>
    <xf numFmtId="221" fontId="14" fillId="0" borderId="254" xfId="1" applyNumberFormat="1" applyFont="1" applyBorder="1" applyAlignment="1" applyProtection="1">
      <alignment horizontal="right"/>
    </xf>
    <xf numFmtId="9" fontId="16" fillId="0" borderId="0" xfId="1" applyNumberFormat="1" applyFont="1" applyBorder="1" applyAlignment="1" applyProtection="1">
      <alignment horizontal="center"/>
    </xf>
    <xf numFmtId="0" fontId="14" fillId="0" borderId="0" xfId="1" applyFont="1" applyBorder="1" applyProtection="1"/>
    <xf numFmtId="0" fontId="14" fillId="0" borderId="0" xfId="1" applyFont="1" applyFill="1" applyBorder="1" applyAlignment="1" applyProtection="1">
      <alignment horizontal="left"/>
    </xf>
    <xf numFmtId="1" fontId="14" fillId="0" borderId="0" xfId="1" applyNumberFormat="1" applyFont="1" applyBorder="1" applyProtection="1"/>
    <xf numFmtId="0" fontId="168" fillId="0" borderId="0" xfId="1" applyFont="1" applyBorder="1" applyProtection="1"/>
    <xf numFmtId="0" fontId="14" fillId="0" borderId="0" xfId="1" applyFont="1" applyFill="1" applyBorder="1" applyAlignment="1" applyProtection="1">
      <alignment horizontal="right"/>
    </xf>
    <xf numFmtId="0" fontId="16" fillId="2" borderId="32" xfId="1" applyFont="1" applyFill="1" applyBorder="1" applyProtection="1"/>
    <xf numFmtId="221" fontId="16" fillId="0" borderId="2" xfId="1" applyNumberFormat="1" applyFont="1" applyBorder="1" applyAlignment="1" applyProtection="1">
      <alignment horizontal="right"/>
    </xf>
    <xf numFmtId="221" fontId="16" fillId="0" borderId="255" xfId="1" applyNumberFormat="1" applyFont="1" applyBorder="1" applyAlignment="1" applyProtection="1">
      <alignment horizontal="right"/>
    </xf>
    <xf numFmtId="9" fontId="16" fillId="0" borderId="255" xfId="1" applyNumberFormat="1" applyFont="1" applyBorder="1" applyAlignment="1" applyProtection="1">
      <alignment horizontal="center"/>
    </xf>
    <xf numFmtId="0" fontId="16" fillId="0" borderId="255" xfId="1" applyFont="1" applyBorder="1" applyProtection="1"/>
    <xf numFmtId="0" fontId="14" fillId="0" borderId="255" xfId="1" applyFont="1" applyBorder="1" applyProtection="1"/>
    <xf numFmtId="0" fontId="14" fillId="0" borderId="255" xfId="1" applyFont="1" applyFill="1" applyBorder="1" applyAlignment="1" applyProtection="1">
      <alignment horizontal="left"/>
    </xf>
    <xf numFmtId="1" fontId="14" fillId="0" borderId="255" xfId="1" applyNumberFormat="1" applyFont="1" applyBorder="1" applyProtection="1"/>
    <xf numFmtId="0" fontId="168" fillId="0" borderId="255" xfId="1" applyFont="1" applyBorder="1" applyProtection="1"/>
    <xf numFmtId="0" fontId="14" fillId="0" borderId="255" xfId="1" applyFont="1" applyFill="1" applyBorder="1" applyAlignment="1" applyProtection="1">
      <alignment horizontal="right"/>
    </xf>
    <xf numFmtId="221" fontId="16" fillId="0" borderId="0" xfId="1" applyNumberFormat="1" applyFont="1" applyBorder="1" applyAlignment="1" applyProtection="1">
      <alignment horizontal="right"/>
    </xf>
    <xf numFmtId="221" fontId="16" fillId="0" borderId="139" xfId="1" applyNumberFormat="1" applyFont="1" applyBorder="1" applyAlignment="1" applyProtection="1">
      <alignment horizontal="right"/>
    </xf>
    <xf numFmtId="9" fontId="16" fillId="0" borderId="139" xfId="1" applyNumberFormat="1" applyFont="1" applyBorder="1" applyAlignment="1" applyProtection="1">
      <alignment horizontal="center"/>
    </xf>
    <xf numFmtId="0" fontId="16" fillId="0" borderId="139" xfId="1" applyFont="1" applyBorder="1" applyProtection="1"/>
    <xf numFmtId="0" fontId="14" fillId="0" borderId="139" xfId="1" applyFont="1" applyBorder="1" applyProtection="1"/>
    <xf numFmtId="0" fontId="14" fillId="0" borderId="139" xfId="1" applyFont="1" applyFill="1" applyBorder="1" applyAlignment="1" applyProtection="1">
      <alignment horizontal="left"/>
    </xf>
    <xf numFmtId="1" fontId="14" fillId="0" borderId="139" xfId="1" applyNumberFormat="1" applyFont="1" applyBorder="1" applyProtection="1"/>
    <xf numFmtId="0" fontId="168" fillId="0" borderId="139" xfId="1" applyFont="1" applyBorder="1" applyProtection="1"/>
    <xf numFmtId="0" fontId="14" fillId="0" borderId="139" xfId="1" applyFont="1" applyFill="1" applyBorder="1" applyAlignment="1" applyProtection="1">
      <alignment horizontal="right"/>
    </xf>
    <xf numFmtId="9" fontId="16" fillId="32" borderId="139" xfId="1" applyNumberFormat="1" applyFont="1" applyFill="1" applyBorder="1" applyAlignment="1" applyProtection="1">
      <alignment horizontal="center"/>
      <protection locked="0"/>
    </xf>
    <xf numFmtId="2" fontId="14" fillId="0" borderId="139" xfId="1" applyNumberFormat="1" applyFont="1" applyFill="1" applyBorder="1" applyAlignment="1" applyProtection="1">
      <alignment horizontal="right"/>
    </xf>
    <xf numFmtId="0" fontId="14" fillId="0" borderId="0" xfId="1" applyFont="1" applyBorder="1" applyAlignment="1" applyProtection="1">
      <alignment horizontal="center"/>
    </xf>
    <xf numFmtId="0" fontId="16" fillId="0" borderId="0" xfId="1" applyFont="1" applyBorder="1" applyAlignment="1" applyProtection="1">
      <alignment horizontal="right"/>
    </xf>
    <xf numFmtId="0" fontId="14" fillId="0" borderId="0" xfId="1" applyFont="1" applyBorder="1" applyAlignment="1" applyProtection="1">
      <alignment horizontal="right"/>
    </xf>
    <xf numFmtId="0" fontId="16" fillId="0" borderId="0" xfId="1" applyFont="1" applyBorder="1" applyAlignment="1" applyProtection="1">
      <alignment horizontal="center"/>
    </xf>
    <xf numFmtId="223" fontId="14" fillId="0" borderId="0" xfId="1" applyNumberFormat="1" applyFont="1" applyBorder="1" applyProtection="1"/>
    <xf numFmtId="0" fontId="16" fillId="2" borderId="0" xfId="1" applyFont="1" applyFill="1" applyBorder="1" applyProtection="1"/>
    <xf numFmtId="224" fontId="16" fillId="0" borderId="31" xfId="1" applyNumberFormat="1" applyFont="1" applyFill="1" applyBorder="1" applyProtection="1"/>
    <xf numFmtId="0" fontId="16" fillId="0" borderId="31" xfId="1" applyFont="1" applyBorder="1" applyAlignment="1" applyProtection="1">
      <alignment horizontal="right"/>
    </xf>
    <xf numFmtId="0" fontId="16" fillId="0" borderId="31" xfId="1" applyFont="1" applyBorder="1" applyProtection="1"/>
    <xf numFmtId="0" fontId="16" fillId="2" borderId="0" xfId="1" applyFont="1" applyFill="1" applyBorder="1" applyAlignment="1" applyProtection="1">
      <alignment horizontal="right"/>
    </xf>
    <xf numFmtId="225" fontId="14" fillId="2" borderId="0" xfId="1" applyNumberFormat="1" applyFont="1" applyFill="1" applyBorder="1" applyAlignment="1" applyProtection="1">
      <alignment horizontal="center"/>
    </xf>
    <xf numFmtId="226" fontId="5" fillId="0" borderId="3"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23" fontId="14" fillId="0" borderId="0" xfId="1" applyNumberFormat="1" applyFont="1" applyBorder="1" applyAlignment="1" applyProtection="1">
      <alignment horizontal="center"/>
    </xf>
    <xf numFmtId="0" fontId="14" fillId="0" borderId="0" xfId="1" applyFont="1" applyBorder="1" applyAlignment="1" applyProtection="1">
      <alignment horizontal="left"/>
    </xf>
    <xf numFmtId="0" fontId="168" fillId="2" borderId="0" xfId="1" applyFont="1" applyFill="1" applyBorder="1" applyProtection="1"/>
    <xf numFmtId="0" fontId="14" fillId="0" borderId="107" xfId="1" applyFont="1" applyBorder="1" applyAlignment="1" applyProtection="1">
      <alignment horizontal="center"/>
    </xf>
    <xf numFmtId="0" fontId="16" fillId="0" borderId="95" xfId="1" applyFont="1" applyBorder="1" applyAlignment="1" applyProtection="1">
      <alignment horizontal="right"/>
    </xf>
    <xf numFmtId="0" fontId="16" fillId="0" borderId="95" xfId="1" applyFont="1" applyBorder="1" applyProtection="1"/>
    <xf numFmtId="0" fontId="16" fillId="0" borderId="108" xfId="1" applyFont="1" applyBorder="1" applyProtection="1"/>
    <xf numFmtId="0" fontId="168" fillId="0" borderId="0" xfId="1" applyFont="1" applyFill="1" applyBorder="1" applyProtection="1"/>
    <xf numFmtId="0" fontId="43" fillId="0" borderId="0" xfId="1" applyFont="1" applyFill="1" applyBorder="1" applyProtection="1"/>
    <xf numFmtId="0" fontId="16" fillId="2" borderId="78" xfId="1" applyFont="1" applyFill="1" applyBorder="1" applyProtection="1"/>
    <xf numFmtId="0" fontId="16" fillId="2" borderId="24" xfId="1" applyFont="1" applyFill="1" applyBorder="1" applyProtection="1"/>
    <xf numFmtId="0" fontId="168" fillId="2" borderId="24" xfId="1" applyFont="1" applyFill="1" applyBorder="1" applyProtection="1"/>
    <xf numFmtId="0" fontId="20" fillId="2" borderId="24" xfId="1" applyFont="1" applyFill="1" applyBorder="1" applyProtection="1"/>
    <xf numFmtId="0" fontId="16" fillId="2" borderId="79" xfId="1" applyFont="1" applyFill="1" applyBorder="1" applyProtection="1"/>
    <xf numFmtId="0" fontId="16" fillId="0" borderId="0" xfId="1" applyFont="1" applyProtection="1">
      <protection locked="0"/>
    </xf>
    <xf numFmtId="227" fontId="168" fillId="0" borderId="0" xfId="1" applyNumberFormat="1" applyFont="1" applyBorder="1" applyProtection="1"/>
    <xf numFmtId="0" fontId="20" fillId="0" borderId="0" xfId="1" applyFont="1" applyFill="1" applyBorder="1" applyProtection="1"/>
    <xf numFmtId="0" fontId="16" fillId="2" borderId="0" xfId="1" applyFont="1" applyFill="1" applyProtection="1"/>
    <xf numFmtId="227" fontId="168" fillId="2" borderId="0" xfId="1" applyNumberFormat="1" applyFont="1" applyFill="1" applyBorder="1" applyProtection="1"/>
    <xf numFmtId="0" fontId="9" fillId="2" borderId="0" xfId="1" applyFont="1" applyFill="1" applyBorder="1" applyProtection="1"/>
    <xf numFmtId="222" fontId="43" fillId="30" borderId="20" xfId="1" applyNumberFormat="1" applyFont="1" applyFill="1" applyBorder="1" applyProtection="1"/>
    <xf numFmtId="222" fontId="43" fillId="2" borderId="41" xfId="1" applyNumberFormat="1" applyFont="1" applyFill="1" applyBorder="1" applyProtection="1"/>
    <xf numFmtId="0" fontId="4" fillId="2" borderId="41" xfId="1" applyFill="1" applyBorder="1" applyProtection="1"/>
    <xf numFmtId="222" fontId="118" fillId="0" borderId="20" xfId="1" applyNumberFormat="1" applyFont="1" applyFill="1" applyBorder="1" applyAlignment="1" applyProtection="1">
      <alignment shrinkToFit="1"/>
    </xf>
    <xf numFmtId="222" fontId="16" fillId="44" borderId="46" xfId="1" applyNumberFormat="1" applyFont="1" applyFill="1" applyBorder="1" applyProtection="1"/>
    <xf numFmtId="227" fontId="14" fillId="0" borderId="41" xfId="1" applyNumberFormat="1" applyFont="1" applyFill="1" applyBorder="1" applyProtection="1"/>
    <xf numFmtId="0" fontId="14" fillId="0" borderId="256" xfId="1" applyNumberFormat="1" applyFont="1" applyFill="1" applyBorder="1" applyAlignment="1" applyProtection="1">
      <alignment horizontal="center"/>
    </xf>
    <xf numFmtId="222" fontId="43" fillId="30" borderId="257" xfId="1" applyNumberFormat="1" applyFont="1" applyFill="1" applyBorder="1" applyProtection="1"/>
    <xf numFmtId="222" fontId="43" fillId="2" borderId="136" xfId="1" applyNumberFormat="1" applyFont="1" applyFill="1" applyBorder="1" applyProtection="1"/>
    <xf numFmtId="0" fontId="4" fillId="2" borderId="136" xfId="1" applyFill="1" applyBorder="1" applyProtection="1"/>
    <xf numFmtId="204" fontId="169" fillId="0" borderId="21" xfId="1" applyNumberFormat="1" applyFont="1" applyFill="1" applyBorder="1" applyProtection="1"/>
    <xf numFmtId="221" fontId="43" fillId="44" borderId="135" xfId="1" applyNumberFormat="1" applyFont="1" applyFill="1" applyBorder="1" applyProtection="1"/>
    <xf numFmtId="227" fontId="14" fillId="0" borderId="0" xfId="1" applyNumberFormat="1" applyFont="1" applyFill="1" applyBorder="1" applyProtection="1"/>
    <xf numFmtId="0" fontId="14" fillId="0" borderId="258" xfId="1" applyNumberFormat="1" applyFont="1" applyFill="1" applyBorder="1" applyAlignment="1" applyProtection="1">
      <alignment horizontal="center"/>
    </xf>
    <xf numFmtId="222" fontId="6" fillId="30" borderId="259" xfId="1" applyNumberFormat="1" applyFont="1" applyFill="1" applyBorder="1" applyProtection="1"/>
    <xf numFmtId="222" fontId="43" fillId="2" borderId="127" xfId="1" applyNumberFormat="1" applyFont="1" applyFill="1" applyBorder="1" applyProtection="1"/>
    <xf numFmtId="0" fontId="4" fillId="2" borderId="127" xfId="1" applyFill="1" applyBorder="1" applyProtection="1"/>
    <xf numFmtId="222" fontId="118" fillId="0" borderId="259" xfId="1" applyNumberFormat="1" applyFont="1" applyFill="1" applyBorder="1" applyAlignment="1" applyProtection="1">
      <alignment shrinkToFit="1"/>
    </xf>
    <xf numFmtId="222" fontId="16" fillId="44" borderId="40" xfId="1" applyNumberFormat="1" applyFont="1" applyFill="1" applyBorder="1" applyProtection="1"/>
    <xf numFmtId="0" fontId="16" fillId="44" borderId="126" xfId="1" applyFont="1" applyFill="1" applyBorder="1" applyAlignment="1" applyProtection="1">
      <alignment horizontal="right"/>
    </xf>
    <xf numFmtId="0" fontId="43" fillId="44" borderId="127" xfId="1" applyFont="1" applyFill="1" applyBorder="1" applyProtection="1"/>
    <xf numFmtId="0" fontId="43" fillId="44" borderId="149" xfId="1" applyFont="1" applyFill="1" applyBorder="1" applyProtection="1"/>
    <xf numFmtId="2" fontId="14" fillId="30" borderId="260" xfId="1" applyNumberFormat="1" applyFont="1" applyFill="1" applyBorder="1" applyAlignment="1" applyProtection="1">
      <alignment horizontal="center"/>
    </xf>
    <xf numFmtId="221" fontId="43" fillId="30" borderId="182" xfId="1" applyNumberFormat="1" applyFont="1" applyFill="1" applyBorder="1" applyProtection="1"/>
    <xf numFmtId="221" fontId="43" fillId="2" borderId="23" xfId="1" applyNumberFormat="1" applyFont="1" applyFill="1" applyBorder="1" applyProtection="1"/>
    <xf numFmtId="0" fontId="4" fillId="2" borderId="23" xfId="1" applyFill="1" applyBorder="1" applyProtection="1"/>
    <xf numFmtId="204" fontId="169" fillId="0" borderId="182" xfId="1" applyNumberFormat="1" applyFont="1" applyFill="1" applyBorder="1" applyProtection="1"/>
    <xf numFmtId="221" fontId="43" fillId="44" borderId="43" xfId="1" applyNumberFormat="1" applyFont="1" applyFill="1" applyBorder="1" applyProtection="1"/>
    <xf numFmtId="0" fontId="43" fillId="44" borderId="42" xfId="1" applyFont="1" applyFill="1" applyBorder="1" applyProtection="1"/>
    <xf numFmtId="0" fontId="43" fillId="44" borderId="23" xfId="1" applyFont="1" applyFill="1" applyBorder="1" applyProtection="1"/>
    <xf numFmtId="0" fontId="43" fillId="44" borderId="159" xfId="1" applyFont="1" applyFill="1" applyBorder="1" applyProtection="1"/>
    <xf numFmtId="227" fontId="14" fillId="0" borderId="23" xfId="1" applyNumberFormat="1" applyFont="1" applyFill="1" applyBorder="1" applyProtection="1"/>
    <xf numFmtId="0" fontId="16" fillId="0" borderId="0" xfId="1" applyFont="1" applyAlignment="1" applyProtection="1"/>
    <xf numFmtId="0" fontId="16" fillId="2" borderId="0" xfId="1" applyFont="1" applyFill="1" applyAlignment="1" applyProtection="1"/>
    <xf numFmtId="6" fontId="44" fillId="0" borderId="21" xfId="1" applyNumberFormat="1" applyFont="1" applyBorder="1" applyAlignment="1" applyProtection="1"/>
    <xf numFmtId="6" fontId="44" fillId="2" borderId="0" xfId="1" applyNumberFormat="1" applyFont="1" applyFill="1" applyBorder="1" applyAlignment="1" applyProtection="1"/>
    <xf numFmtId="0" fontId="4" fillId="2" borderId="0" xfId="1" applyFill="1" applyBorder="1" applyProtection="1"/>
    <xf numFmtId="228" fontId="118" fillId="0" borderId="21" xfId="1" applyNumberFormat="1" applyFont="1" applyFill="1" applyBorder="1" applyAlignment="1" applyProtection="1"/>
    <xf numFmtId="6" fontId="44" fillId="0" borderId="40" xfId="1" applyNumberFormat="1" applyFont="1" applyFill="1" applyBorder="1" applyAlignment="1" applyProtection="1"/>
    <xf numFmtId="0" fontId="16" fillId="0" borderId="19" xfId="1" applyFont="1" applyBorder="1" applyAlignment="1" applyProtection="1"/>
    <xf numFmtId="0" fontId="16" fillId="0" borderId="0" xfId="1" applyFont="1" applyBorder="1" applyAlignment="1" applyProtection="1"/>
    <xf numFmtId="0" fontId="16" fillId="0" borderId="32" xfId="1" applyFont="1" applyBorder="1" applyAlignment="1" applyProtection="1"/>
    <xf numFmtId="227" fontId="16" fillId="0" borderId="0" xfId="1" applyNumberFormat="1" applyFont="1" applyFill="1" applyBorder="1" applyAlignment="1" applyProtection="1">
      <alignment vertical="center"/>
    </xf>
    <xf numFmtId="6" fontId="44" fillId="0" borderId="259" xfId="1" applyNumberFormat="1" applyFont="1" applyBorder="1" applyProtection="1"/>
    <xf numFmtId="6" fontId="44" fillId="2" borderId="0" xfId="1" applyNumberFormat="1" applyFont="1" applyFill="1" applyBorder="1" applyProtection="1"/>
    <xf numFmtId="228" fontId="118" fillId="0" borderId="259" xfId="1" applyNumberFormat="1" applyFont="1" applyFill="1" applyBorder="1" applyProtection="1"/>
    <xf numFmtId="6" fontId="44" fillId="0" borderId="125" xfId="1" applyNumberFormat="1" applyFont="1" applyFill="1" applyBorder="1" applyProtection="1"/>
    <xf numFmtId="229" fontId="65" fillId="0" borderId="126" xfId="1" applyNumberFormat="1" applyFont="1" applyBorder="1" applyProtection="1"/>
    <xf numFmtId="0" fontId="16" fillId="0" borderId="127" xfId="1" applyFont="1" applyBorder="1" applyProtection="1"/>
    <xf numFmtId="177" fontId="157" fillId="0" borderId="149" xfId="1" applyNumberFormat="1" applyFont="1" applyFill="1" applyBorder="1" applyProtection="1"/>
    <xf numFmtId="2" fontId="16" fillId="31" borderId="0" xfId="1" applyNumberFormat="1" applyFont="1" applyFill="1" applyBorder="1" applyAlignment="1" applyProtection="1">
      <alignment horizontal="center"/>
      <protection locked="0"/>
    </xf>
    <xf numFmtId="230" fontId="14" fillId="0" borderId="258" xfId="1" applyNumberFormat="1" applyFont="1" applyFill="1" applyBorder="1" applyAlignment="1" applyProtection="1">
      <alignment horizontal="center"/>
    </xf>
    <xf numFmtId="6" fontId="44" fillId="0" borderId="21" xfId="1" applyNumberFormat="1" applyFont="1" applyBorder="1" applyProtection="1"/>
    <xf numFmtId="228" fontId="118" fillId="0" borderId="21" xfId="1" applyNumberFormat="1" applyFont="1" applyFill="1" applyBorder="1" applyProtection="1"/>
    <xf numFmtId="6" fontId="44" fillId="0" borderId="40" xfId="1" applyNumberFormat="1" applyFont="1" applyFill="1" applyBorder="1" applyProtection="1"/>
    <xf numFmtId="229" fontId="65" fillId="0" borderId="19" xfId="1" applyNumberFormat="1" applyFont="1" applyBorder="1" applyProtection="1"/>
    <xf numFmtId="231" fontId="157" fillId="31" borderId="0" xfId="1" applyNumberFormat="1" applyFont="1" applyFill="1" applyBorder="1" applyAlignment="1" applyProtection="1">
      <alignment shrinkToFit="1"/>
      <protection locked="0"/>
    </xf>
    <xf numFmtId="0" fontId="16" fillId="0" borderId="0" xfId="1" applyFont="1" applyFill="1" applyBorder="1" applyProtection="1"/>
    <xf numFmtId="0" fontId="157" fillId="0" borderId="0" xfId="1" applyFont="1" applyFill="1" applyBorder="1" applyProtection="1"/>
    <xf numFmtId="0" fontId="157" fillId="0" borderId="0" xfId="1" applyFont="1" applyBorder="1" applyAlignment="1" applyProtection="1">
      <alignment horizontal="center"/>
    </xf>
    <xf numFmtId="177" fontId="157" fillId="0" borderId="32" xfId="1" applyNumberFormat="1" applyFont="1" applyFill="1" applyBorder="1" applyProtection="1"/>
    <xf numFmtId="233" fontId="157" fillId="31" borderId="0" xfId="1" applyNumberFormat="1" applyFont="1" applyFill="1" applyBorder="1" applyProtection="1">
      <protection locked="0"/>
    </xf>
    <xf numFmtId="235" fontId="157" fillId="0" borderId="0" xfId="1" applyNumberFormat="1" applyFont="1" applyFill="1" applyBorder="1" applyAlignment="1" applyProtection="1">
      <alignment horizontal="center"/>
    </xf>
    <xf numFmtId="228" fontId="118" fillId="0" borderId="21" xfId="1" applyNumberFormat="1" applyFont="1" applyFill="1" applyBorder="1" applyAlignment="1" applyProtection="1">
      <alignment vertical="top"/>
    </xf>
    <xf numFmtId="6" fontId="44" fillId="0" borderId="40" xfId="1" applyNumberFormat="1" applyFont="1" applyFill="1" applyBorder="1" applyAlignment="1" applyProtection="1">
      <alignment vertical="top"/>
    </xf>
    <xf numFmtId="0" fontId="5" fillId="0" borderId="19" xfId="1" applyFont="1" applyFill="1" applyBorder="1" applyAlignment="1" applyProtection="1">
      <alignment horizontal="center" vertical="top" wrapText="1"/>
    </xf>
    <xf numFmtId="0" fontId="9" fillId="0" borderId="0" xfId="1" applyFont="1" applyFill="1" applyBorder="1" applyAlignment="1" applyProtection="1">
      <alignment horizontal="center" vertical="top" wrapText="1"/>
    </xf>
    <xf numFmtId="0" fontId="44" fillId="0" borderId="32" xfId="1" applyFont="1" applyBorder="1" applyAlignment="1" applyProtection="1">
      <alignment vertical="top"/>
    </xf>
    <xf numFmtId="0" fontId="97" fillId="0" borderId="0" xfId="1" applyFont="1" applyBorder="1" applyAlignment="1" applyProtection="1">
      <alignment vertical="top"/>
    </xf>
    <xf numFmtId="0" fontId="16" fillId="0" borderId="258" xfId="1" applyFont="1" applyFill="1" applyBorder="1" applyAlignment="1" applyProtection="1">
      <alignment horizontal="center" vertical="top"/>
    </xf>
    <xf numFmtId="222" fontId="43" fillId="30" borderId="181" xfId="1" applyNumberFormat="1" applyFont="1" applyFill="1" applyBorder="1" applyProtection="1"/>
    <xf numFmtId="222" fontId="43" fillId="2" borderId="2" xfId="1" applyNumberFormat="1" applyFont="1" applyFill="1" applyBorder="1" applyProtection="1"/>
    <xf numFmtId="0" fontId="4" fillId="2" borderId="2" xfId="1" applyFill="1" applyBorder="1" applyProtection="1"/>
    <xf numFmtId="222" fontId="118" fillId="0" borderId="181" xfId="1" applyNumberFormat="1" applyFont="1" applyFill="1" applyBorder="1" applyAlignment="1" applyProtection="1">
      <alignment shrinkToFit="1"/>
    </xf>
    <xf numFmtId="222" fontId="16" fillId="44" borderId="39" xfId="1" applyNumberFormat="1" applyFont="1" applyFill="1" applyBorder="1" applyProtection="1"/>
    <xf numFmtId="6" fontId="44" fillId="0" borderId="40" xfId="1" applyNumberFormat="1" applyFont="1" applyBorder="1" applyProtection="1"/>
    <xf numFmtId="0" fontId="157" fillId="0" borderId="19" xfId="1" applyFont="1" applyBorder="1" applyProtection="1"/>
    <xf numFmtId="0" fontId="157" fillId="0" borderId="0" xfId="1" applyFont="1" applyBorder="1" applyProtection="1"/>
    <xf numFmtId="233" fontId="157" fillId="31" borderId="0" xfId="1" applyNumberFormat="1" applyFont="1" applyFill="1" applyBorder="1" applyProtection="1"/>
    <xf numFmtId="233" fontId="157" fillId="31" borderId="127" xfId="1" applyNumberFormat="1" applyFont="1" applyFill="1" applyBorder="1" applyProtection="1">
      <protection locked="0"/>
    </xf>
    <xf numFmtId="0" fontId="44" fillId="0" borderId="32" xfId="1" applyFont="1" applyBorder="1" applyProtection="1"/>
    <xf numFmtId="227" fontId="16" fillId="0" borderId="0" xfId="1" applyNumberFormat="1" applyFont="1" applyFill="1" applyBorder="1" applyProtection="1"/>
    <xf numFmtId="227" fontId="16" fillId="0" borderId="258" xfId="1" applyNumberFormat="1" applyFont="1" applyFill="1" applyBorder="1" applyAlignment="1" applyProtection="1">
      <alignment horizontal="center"/>
    </xf>
    <xf numFmtId="6" fontId="44" fillId="0" borderId="263" xfId="1" applyNumberFormat="1" applyFont="1" applyBorder="1" applyAlignment="1" applyProtection="1"/>
    <xf numFmtId="6" fontId="44" fillId="2" borderId="255" xfId="1" applyNumberFormat="1" applyFont="1" applyFill="1" applyBorder="1" applyAlignment="1" applyProtection="1"/>
    <xf numFmtId="0" fontId="4" fillId="2" borderId="255" xfId="1" applyFill="1" applyBorder="1" applyProtection="1"/>
    <xf numFmtId="228" fontId="118" fillId="0" borderId="263" xfId="1" applyNumberFormat="1" applyFont="1" applyFill="1" applyBorder="1" applyAlignment="1" applyProtection="1"/>
    <xf numFmtId="6" fontId="44" fillId="0" borderId="264" xfId="1" applyNumberFormat="1" applyFont="1" applyFill="1" applyBorder="1" applyAlignment="1" applyProtection="1"/>
    <xf numFmtId="0" fontId="16" fillId="0" borderId="265" xfId="1" applyFont="1" applyBorder="1" applyAlignment="1" applyProtection="1"/>
    <xf numFmtId="0" fontId="16" fillId="0" borderId="255" xfId="1" applyFont="1" applyBorder="1" applyAlignment="1" applyProtection="1"/>
    <xf numFmtId="0" fontId="16" fillId="0" borderId="266" xfId="1" applyFont="1" applyBorder="1" applyAlignment="1" applyProtection="1"/>
    <xf numFmtId="221" fontId="157" fillId="0" borderId="0" xfId="1" applyNumberFormat="1" applyFont="1" applyFill="1" applyBorder="1" applyProtection="1"/>
    <xf numFmtId="177" fontId="157" fillId="31" borderId="32" xfId="1" applyNumberFormat="1" applyFont="1" applyFill="1" applyBorder="1" applyProtection="1">
      <protection locked="0"/>
    </xf>
    <xf numFmtId="2" fontId="16" fillId="0" borderId="0" xfId="1" applyNumberFormat="1" applyFont="1" applyFill="1" applyBorder="1" applyAlignment="1" applyProtection="1">
      <alignment horizontal="center"/>
    </xf>
    <xf numFmtId="0" fontId="16" fillId="0" borderId="19" xfId="1" applyFont="1" applyBorder="1" applyProtection="1"/>
    <xf numFmtId="0" fontId="97" fillId="0" borderId="0" xfId="1" applyFont="1" applyBorder="1" applyProtection="1"/>
    <xf numFmtId="4" fontId="16" fillId="0" borderId="258" xfId="1" applyNumberFormat="1" applyFont="1" applyFill="1" applyBorder="1" applyAlignment="1" applyProtection="1">
      <alignment horizontal="center"/>
    </xf>
    <xf numFmtId="221" fontId="157" fillId="0" borderId="127" xfId="1" applyNumberFormat="1" applyFont="1" applyFill="1" applyBorder="1" applyProtection="1"/>
    <xf numFmtId="0" fontId="16" fillId="0" borderId="127" xfId="1" applyFont="1" applyFill="1" applyBorder="1" applyProtection="1"/>
    <xf numFmtId="0" fontId="157" fillId="0" borderId="127" xfId="1" applyFont="1" applyFill="1" applyBorder="1" applyProtection="1"/>
    <xf numFmtId="0" fontId="157" fillId="0" borderId="127" xfId="1" applyFont="1" applyBorder="1" applyAlignment="1" applyProtection="1">
      <alignment horizontal="center"/>
    </xf>
    <xf numFmtId="177" fontId="157" fillId="31" borderId="149" xfId="1" applyNumberFormat="1" applyFont="1" applyFill="1" applyBorder="1" applyProtection="1">
      <protection locked="0"/>
    </xf>
    <xf numFmtId="222" fontId="43" fillId="0" borderId="21" xfId="1" applyNumberFormat="1" applyFont="1" applyFill="1" applyBorder="1" applyProtection="1"/>
    <xf numFmtId="222" fontId="43" fillId="2" borderId="0" xfId="1" applyNumberFormat="1" applyFont="1" applyFill="1" applyBorder="1" applyProtection="1"/>
    <xf numFmtId="228" fontId="169" fillId="0" borderId="21" xfId="1" applyNumberFormat="1" applyFont="1" applyFill="1" applyBorder="1" applyProtection="1"/>
    <xf numFmtId="221" fontId="43" fillId="0" borderId="40" xfId="1" applyNumberFormat="1" applyFont="1" applyFill="1" applyBorder="1" applyProtection="1"/>
    <xf numFmtId="0" fontId="16" fillId="0" borderId="19" xfId="1" applyFont="1" applyFill="1" applyBorder="1" applyAlignment="1" applyProtection="1">
      <alignment horizontal="right" vertical="center"/>
    </xf>
    <xf numFmtId="0" fontId="16" fillId="0" borderId="0" xfId="1" applyFont="1" applyFill="1" applyBorder="1" applyAlignment="1" applyProtection="1">
      <alignment horizontal="right" vertical="center"/>
    </xf>
    <xf numFmtId="0" fontId="43" fillId="0" borderId="32" xfId="1" applyFont="1" applyFill="1" applyBorder="1" applyProtection="1"/>
    <xf numFmtId="0" fontId="16" fillId="0" borderId="0" xfId="1" applyFont="1" applyAlignment="1" applyProtection="1">
      <alignment vertical="center"/>
    </xf>
    <xf numFmtId="0" fontId="4" fillId="2" borderId="0" xfId="1" applyFill="1" applyAlignment="1" applyProtection="1">
      <alignment vertical="center"/>
    </xf>
    <xf numFmtId="0" fontId="16" fillId="2" borderId="0" xfId="1" applyFont="1" applyFill="1" applyAlignment="1" applyProtection="1">
      <alignment vertical="center"/>
    </xf>
    <xf numFmtId="221" fontId="43" fillId="30" borderId="183" xfId="1" applyNumberFormat="1" applyFont="1" applyFill="1" applyBorder="1" applyAlignment="1" applyProtection="1">
      <alignment vertical="center"/>
    </xf>
    <xf numFmtId="222" fontId="43" fillId="2" borderId="75" xfId="1" applyNumberFormat="1" applyFont="1" applyFill="1" applyBorder="1" applyAlignment="1" applyProtection="1">
      <alignment vertical="center"/>
    </xf>
    <xf numFmtId="0" fontId="4" fillId="2" borderId="75" xfId="1" applyFill="1" applyBorder="1" applyAlignment="1" applyProtection="1">
      <alignment vertical="center"/>
    </xf>
    <xf numFmtId="204" fontId="169" fillId="0" borderId="183" xfId="1" applyNumberFormat="1" applyFont="1" applyFill="1" applyBorder="1" applyAlignment="1" applyProtection="1">
      <alignment vertical="center"/>
    </xf>
    <xf numFmtId="221" fontId="43" fillId="44" borderId="74" xfId="1" applyNumberFormat="1" applyFont="1" applyFill="1" applyBorder="1" applyAlignment="1" applyProtection="1">
      <alignment vertical="center"/>
    </xf>
    <xf numFmtId="0" fontId="16" fillId="44" borderId="173" xfId="1" applyFont="1" applyFill="1" applyBorder="1" applyAlignment="1" applyProtection="1">
      <alignment horizontal="right" vertical="center"/>
    </xf>
    <xf numFmtId="0" fontId="16" fillId="44" borderId="75" xfId="1" applyFont="1" applyFill="1" applyBorder="1" applyAlignment="1" applyProtection="1">
      <alignment horizontal="right" vertical="center"/>
    </xf>
    <xf numFmtId="0" fontId="43" fillId="44" borderId="76" xfId="1" applyFont="1" applyFill="1" applyBorder="1" applyAlignment="1" applyProtection="1">
      <alignment vertical="center"/>
    </xf>
    <xf numFmtId="227" fontId="14" fillId="0" borderId="75" xfId="1" applyNumberFormat="1" applyFont="1" applyFill="1" applyBorder="1" applyAlignment="1" applyProtection="1">
      <alignment vertical="center"/>
    </xf>
    <xf numFmtId="0" fontId="14" fillId="0" borderId="267" xfId="1" applyNumberFormat="1" applyFont="1" applyFill="1" applyBorder="1" applyAlignment="1" applyProtection="1">
      <alignment horizontal="center" vertical="center"/>
    </xf>
    <xf numFmtId="0" fontId="4" fillId="2" borderId="78" xfId="1" applyFill="1" applyBorder="1" applyProtection="1"/>
    <xf numFmtId="0" fontId="4" fillId="2" borderId="24" xfId="1" applyFill="1" applyBorder="1" applyProtection="1"/>
    <xf numFmtId="228" fontId="118" fillId="2" borderId="24" xfId="1" applyNumberFormat="1" applyFont="1" applyFill="1" applyBorder="1" applyProtection="1"/>
    <xf numFmtId="0" fontId="4" fillId="2" borderId="108" xfId="1" applyFill="1" applyBorder="1" applyProtection="1"/>
    <xf numFmtId="236" fontId="43" fillId="0" borderId="268" xfId="1" applyNumberFormat="1" applyFont="1" applyFill="1" applyBorder="1" applyAlignment="1" applyProtection="1">
      <alignment horizontal="right"/>
    </xf>
    <xf numFmtId="9" fontId="14" fillId="2" borderId="0" xfId="1" applyNumberFormat="1" applyFont="1" applyFill="1" applyBorder="1" applyAlignment="1" applyProtection="1">
      <alignment horizontal="center"/>
    </xf>
    <xf numFmtId="228" fontId="169" fillId="0" borderId="21" xfId="1" applyNumberFormat="1" applyFont="1" applyFill="1" applyBorder="1" applyAlignment="1" applyProtection="1">
      <alignment horizontal="center"/>
    </xf>
    <xf numFmtId="0" fontId="14" fillId="1" borderId="77" xfId="1" applyFont="1" applyFill="1" applyBorder="1" applyAlignment="1" applyProtection="1">
      <alignment horizontal="center"/>
    </xf>
    <xf numFmtId="227" fontId="97" fillId="0" borderId="0" xfId="1" applyNumberFormat="1" applyFont="1" applyFill="1" applyBorder="1" applyProtection="1"/>
    <xf numFmtId="227" fontId="97" fillId="0" borderId="258" xfId="1" applyNumberFormat="1" applyFont="1" applyFill="1" applyBorder="1" applyAlignment="1" applyProtection="1">
      <alignment horizontal="center"/>
    </xf>
    <xf numFmtId="6" fontId="43" fillId="0" borderId="257" xfId="1" applyNumberFormat="1" applyFont="1" applyBorder="1" applyProtection="1"/>
    <xf numFmtId="6" fontId="16" fillId="2" borderId="0" xfId="1" applyNumberFormat="1" applyFont="1" applyFill="1" applyBorder="1" applyProtection="1"/>
    <xf numFmtId="228" fontId="169" fillId="0" borderId="263" xfId="1" applyNumberFormat="1" applyFont="1" applyFill="1" applyBorder="1" applyProtection="1"/>
    <xf numFmtId="6" fontId="43" fillId="0" borderId="264" xfId="1" applyNumberFormat="1" applyFont="1" applyBorder="1" applyProtection="1"/>
    <xf numFmtId="0" fontId="14" fillId="0" borderId="265" xfId="1" applyFont="1" applyBorder="1" applyProtection="1"/>
    <xf numFmtId="0" fontId="43" fillId="0" borderId="266" xfId="1" applyFont="1" applyBorder="1" applyProtection="1"/>
    <xf numFmtId="6" fontId="44" fillId="0" borderId="269" xfId="1" applyNumberFormat="1" applyFont="1" applyBorder="1" applyProtection="1"/>
    <xf numFmtId="228" fontId="118" fillId="0" borderId="269" xfId="1" applyNumberFormat="1" applyFont="1" applyFill="1" applyBorder="1" applyProtection="1"/>
    <xf numFmtId="6" fontId="44" fillId="31" borderId="138" xfId="1" applyNumberFormat="1" applyFont="1" applyFill="1" applyBorder="1" applyProtection="1">
      <protection locked="0"/>
    </xf>
    <xf numFmtId="0" fontId="16" fillId="0" borderId="137" xfId="1" applyFont="1" applyBorder="1" applyProtection="1"/>
    <xf numFmtId="0" fontId="44" fillId="0" borderId="270" xfId="1" applyFont="1" applyBorder="1" applyProtection="1"/>
    <xf numFmtId="0" fontId="97" fillId="0" borderId="0" xfId="1" applyFont="1" applyFill="1" applyBorder="1" applyProtection="1"/>
    <xf numFmtId="0" fontId="97" fillId="0" borderId="258" xfId="1" applyFont="1" applyFill="1" applyBorder="1" applyAlignment="1" applyProtection="1">
      <alignment horizontal="center"/>
    </xf>
    <xf numFmtId="6" fontId="44" fillId="0" borderId="271" xfId="1" applyNumberFormat="1" applyFont="1" applyBorder="1" applyProtection="1"/>
    <xf numFmtId="228" fontId="118" fillId="0" borderId="271" xfId="1" applyNumberFormat="1" applyFont="1" applyFill="1" applyBorder="1" applyProtection="1"/>
    <xf numFmtId="6" fontId="44" fillId="31" borderId="145" xfId="1" applyNumberFormat="1" applyFont="1" applyFill="1" applyBorder="1" applyProtection="1">
      <protection locked="0"/>
    </xf>
    <xf numFmtId="0" fontId="16" fillId="0" borderId="272" xfId="1" applyFont="1" applyBorder="1" applyProtection="1"/>
    <xf numFmtId="0" fontId="16" fillId="0" borderId="144" xfId="1" applyFont="1" applyBorder="1" applyProtection="1"/>
    <xf numFmtId="0" fontId="44" fillId="0" borderId="273" xfId="1" applyFont="1" applyBorder="1" applyProtection="1"/>
    <xf numFmtId="0" fontId="16" fillId="44" borderId="44" xfId="1" applyFont="1" applyFill="1" applyBorder="1" applyAlignment="1" applyProtection="1">
      <alignment horizontal="right"/>
    </xf>
    <xf numFmtId="0" fontId="43" fillId="44" borderId="2" xfId="1" applyFont="1" applyFill="1" applyBorder="1" applyProtection="1"/>
    <xf numFmtId="0" fontId="43" fillId="44" borderId="160" xfId="1" applyFont="1" applyFill="1" applyBorder="1" applyProtection="1"/>
    <xf numFmtId="0" fontId="97" fillId="0" borderId="258" xfId="1" applyFont="1" applyBorder="1" applyAlignment="1" applyProtection="1">
      <alignment horizontal="center"/>
    </xf>
    <xf numFmtId="0" fontId="16" fillId="44" borderId="23" xfId="1" applyFont="1" applyFill="1" applyBorder="1" applyAlignment="1" applyProtection="1">
      <alignment horizontal="right"/>
    </xf>
    <xf numFmtId="0" fontId="14" fillId="44" borderId="159" xfId="1" applyFont="1" applyFill="1" applyBorder="1" applyProtection="1"/>
    <xf numFmtId="6" fontId="44" fillId="31" borderId="40" xfId="1" applyNumberFormat="1" applyFont="1" applyFill="1" applyBorder="1" applyProtection="1">
      <protection locked="0"/>
    </xf>
    <xf numFmtId="221" fontId="43" fillId="30" borderId="268" xfId="1" applyNumberFormat="1" applyFont="1" applyFill="1" applyBorder="1" applyProtection="1"/>
    <xf numFmtId="221" fontId="43" fillId="2" borderId="57" xfId="1" applyNumberFormat="1" applyFont="1" applyFill="1" applyBorder="1" applyProtection="1"/>
    <xf numFmtId="0" fontId="4" fillId="2" borderId="57" xfId="1" applyFill="1" applyBorder="1" applyProtection="1"/>
    <xf numFmtId="221" fontId="43" fillId="44" borderId="77" xfId="1" applyNumberFormat="1" applyFont="1" applyFill="1" applyBorder="1" applyProtection="1"/>
    <xf numFmtId="0" fontId="43" fillId="44" borderId="58" xfId="1" applyFont="1" applyFill="1" applyBorder="1" applyProtection="1"/>
    <xf numFmtId="0" fontId="43" fillId="44" borderId="57" xfId="1" applyFont="1" applyFill="1" applyBorder="1" applyProtection="1"/>
    <xf numFmtId="0" fontId="43" fillId="44" borderId="156" xfId="1" applyFont="1" applyFill="1" applyBorder="1" applyProtection="1"/>
    <xf numFmtId="237" fontId="157" fillId="31" borderId="127" xfId="1" applyNumberFormat="1" applyFont="1" applyFill="1" applyBorder="1" applyAlignment="1" applyProtection="1">
      <alignment horizontal="right"/>
      <protection locked="0"/>
    </xf>
    <xf numFmtId="238" fontId="16" fillId="0" borderId="127" xfId="1" applyNumberFormat="1" applyFont="1" applyFill="1" applyBorder="1" applyAlignment="1" applyProtection="1">
      <alignment shrinkToFit="1"/>
    </xf>
    <xf numFmtId="0" fontId="16" fillId="31" borderId="0" xfId="1" applyFont="1" applyFill="1" applyBorder="1" applyProtection="1"/>
    <xf numFmtId="0" fontId="157" fillId="31" borderId="0" xfId="1" applyFont="1" applyFill="1" applyBorder="1" applyProtection="1"/>
    <xf numFmtId="228" fontId="118" fillId="0" borderId="257" xfId="1" applyNumberFormat="1" applyFont="1" applyFill="1" applyBorder="1" applyProtection="1"/>
    <xf numFmtId="228" fontId="170" fillId="0" borderId="259" xfId="1" applyNumberFormat="1" applyFont="1" applyFill="1" applyBorder="1" applyProtection="1"/>
    <xf numFmtId="6" fontId="108" fillId="0" borderId="125" xfId="1" applyNumberFormat="1" applyFont="1" applyFill="1" applyBorder="1" applyProtection="1"/>
    <xf numFmtId="0" fontId="16" fillId="0" borderId="0" xfId="1" applyFont="1" applyAlignment="1" applyProtection="1">
      <alignment vertical="top"/>
    </xf>
    <xf numFmtId="0" fontId="16" fillId="2" borderId="0" xfId="1" applyFont="1" applyFill="1" applyAlignment="1" applyProtection="1">
      <alignment vertical="top"/>
    </xf>
    <xf numFmtId="6" fontId="44" fillId="0" borderId="21" xfId="1" applyNumberFormat="1" applyFont="1" applyBorder="1" applyAlignment="1" applyProtection="1">
      <alignment vertical="top"/>
    </xf>
    <xf numFmtId="6" fontId="16" fillId="2" borderId="0" xfId="1" applyNumberFormat="1" applyFont="1" applyFill="1" applyBorder="1" applyAlignment="1" applyProtection="1">
      <alignment vertical="top"/>
    </xf>
    <xf numFmtId="9" fontId="16" fillId="31" borderId="275" xfId="1" applyNumberFormat="1" applyFont="1" applyFill="1" applyBorder="1" applyAlignment="1" applyProtection="1">
      <alignment horizontal="center"/>
      <protection locked="0"/>
    </xf>
    <xf numFmtId="0" fontId="4" fillId="2" borderId="58" xfId="1" applyFill="1" applyBorder="1" applyProtection="1"/>
    <xf numFmtId="9" fontId="4" fillId="0" borderId="3" xfId="1" applyNumberFormat="1" applyFill="1" applyBorder="1" applyProtection="1"/>
    <xf numFmtId="0" fontId="16" fillId="2" borderId="0" xfId="1" applyFont="1" applyFill="1" applyProtection="1">
      <protection locked="0"/>
    </xf>
    <xf numFmtId="9" fontId="4" fillId="0" borderId="0" xfId="1" applyNumberFormat="1" applyProtection="1"/>
    <xf numFmtId="0" fontId="4" fillId="0" borderId="58" xfId="1" applyBorder="1" applyProtection="1"/>
    <xf numFmtId="0" fontId="4" fillId="0" borderId="57" xfId="1" applyBorder="1" applyProtection="1"/>
    <xf numFmtId="0" fontId="4" fillId="32" borderId="77" xfId="1" applyFill="1" applyBorder="1" applyProtection="1">
      <protection locked="0"/>
    </xf>
    <xf numFmtId="0" fontId="16" fillId="0" borderId="126" xfId="1" applyFont="1" applyBorder="1" applyProtection="1"/>
    <xf numFmtId="0" fontId="13" fillId="0" borderId="127" xfId="1" applyFont="1" applyBorder="1" applyAlignment="1" applyProtection="1">
      <alignment vertical="center"/>
    </xf>
    <xf numFmtId="0" fontId="14" fillId="31" borderId="3" xfId="1" applyFont="1" applyFill="1" applyBorder="1" applyAlignment="1" applyProtection="1">
      <alignment horizontal="center" vertical="center"/>
    </xf>
    <xf numFmtId="9" fontId="16" fillId="31" borderId="127" xfId="1" applyNumberFormat="1" applyFont="1" applyFill="1" applyBorder="1" applyAlignment="1" applyProtection="1">
      <alignment shrinkToFit="1"/>
      <protection locked="0"/>
    </xf>
    <xf numFmtId="0" fontId="44" fillId="0" borderId="149" xfId="1" quotePrefix="1" applyFont="1" applyBorder="1" applyProtection="1"/>
    <xf numFmtId="0" fontId="15" fillId="0" borderId="127" xfId="1" applyFont="1" applyBorder="1" applyAlignment="1" applyProtection="1">
      <alignment horizontal="right"/>
    </xf>
    <xf numFmtId="0" fontId="44" fillId="0" borderId="149" xfId="1" applyFont="1" applyBorder="1" applyProtection="1"/>
    <xf numFmtId="6" fontId="44" fillId="0" borderId="277" xfId="1" applyNumberFormat="1" applyFont="1" applyBorder="1" applyProtection="1"/>
    <xf numFmtId="6" fontId="14" fillId="30" borderId="20" xfId="1" applyNumberFormat="1" applyFont="1" applyFill="1" applyBorder="1" applyAlignment="1" applyProtection="1">
      <alignment horizontal="center"/>
    </xf>
    <xf numFmtId="0" fontId="118" fillId="0" borderId="183" xfId="1" applyFont="1" applyFill="1" applyBorder="1" applyAlignment="1" applyProtection="1">
      <alignment horizontal="center"/>
    </xf>
    <xf numFmtId="0" fontId="14" fillId="44" borderId="40" xfId="1" applyFont="1" applyFill="1" applyBorder="1" applyAlignment="1" applyProtection="1">
      <alignment horizontal="center"/>
    </xf>
    <xf numFmtId="0" fontId="16" fillId="30" borderId="0" xfId="1" applyFont="1" applyFill="1" applyBorder="1" applyProtection="1"/>
    <xf numFmtId="0" fontId="16" fillId="30" borderId="32" xfId="1" applyFont="1" applyFill="1" applyBorder="1" applyProtection="1"/>
    <xf numFmtId="0" fontId="9" fillId="30" borderId="0" xfId="1" applyFont="1" applyFill="1" applyBorder="1" applyAlignment="1" applyProtection="1">
      <alignment horizontal="center" vertical="top" wrapText="1"/>
    </xf>
    <xf numFmtId="0" fontId="5" fillId="30" borderId="258" xfId="1" applyFont="1" applyFill="1" applyBorder="1" applyAlignment="1" applyProtection="1">
      <alignment horizontal="center" vertical="top" wrapText="1"/>
    </xf>
    <xf numFmtId="6" fontId="14" fillId="30" borderId="21" xfId="1" applyNumberFormat="1" applyFont="1" applyFill="1" applyBorder="1" applyAlignment="1" applyProtection="1">
      <alignment horizontal="center"/>
    </xf>
    <xf numFmtId="0" fontId="14" fillId="30" borderId="21" xfId="1" applyFont="1" applyFill="1" applyBorder="1" applyAlignment="1" applyProtection="1">
      <alignment horizontal="center"/>
    </xf>
    <xf numFmtId="1" fontId="14" fillId="2" borderId="0" xfId="1" applyNumberFormat="1" applyFont="1" applyFill="1" applyBorder="1" applyAlignment="1" applyProtection="1">
      <alignment horizontal="center"/>
    </xf>
    <xf numFmtId="0" fontId="14" fillId="30" borderId="277" xfId="1" applyFont="1" applyFill="1" applyBorder="1" applyAlignment="1" applyProtection="1">
      <alignment horizontal="center"/>
    </xf>
    <xf numFmtId="1" fontId="14" fillId="2" borderId="24" xfId="1" quotePrefix="1" applyNumberFormat="1" applyFont="1" applyFill="1" applyBorder="1" applyAlignment="1" applyProtection="1">
      <alignment horizontal="center"/>
    </xf>
    <xf numFmtId="0" fontId="16" fillId="30" borderId="131" xfId="1" applyFont="1" applyFill="1" applyBorder="1" applyProtection="1"/>
    <xf numFmtId="0" fontId="16" fillId="30" borderId="24" xfId="1" applyFont="1" applyFill="1" applyBorder="1" applyProtection="1"/>
    <xf numFmtId="0" fontId="16" fillId="30" borderId="79" xfId="1" applyFont="1" applyFill="1" applyBorder="1" applyProtection="1"/>
    <xf numFmtId="0" fontId="14" fillId="2" borderId="0" xfId="1" applyFont="1" applyFill="1" applyBorder="1" applyAlignment="1" applyProtection="1">
      <alignment horizontal="right"/>
    </xf>
    <xf numFmtId="0" fontId="14" fillId="2" borderId="0" xfId="1" applyFont="1" applyFill="1" applyBorder="1" applyProtection="1"/>
    <xf numFmtId="0" fontId="14" fillId="2" borderId="0" xfId="1" applyFont="1" applyFill="1" applyBorder="1" applyAlignment="1" applyProtection="1">
      <alignment horizontal="center"/>
    </xf>
    <xf numFmtId="0" fontId="16" fillId="0" borderId="0" xfId="1" applyFont="1" applyFill="1" applyProtection="1"/>
    <xf numFmtId="0" fontId="16" fillId="0" borderId="0" xfId="1" applyFont="1" applyFill="1" applyAlignment="1" applyProtection="1">
      <alignment vertical="center"/>
    </xf>
    <xf numFmtId="0" fontId="16" fillId="0" borderId="0" xfId="1" applyFont="1" applyFill="1" applyBorder="1" applyAlignment="1" applyProtection="1">
      <alignment vertical="center"/>
    </xf>
    <xf numFmtId="0" fontId="13" fillId="0" borderId="0" xfId="1" applyFont="1" applyFill="1" applyBorder="1" applyAlignment="1" applyProtection="1">
      <alignment vertical="center"/>
    </xf>
    <xf numFmtId="2" fontId="13" fillId="0" borderId="0" xfId="1" applyNumberFormat="1" applyFont="1" applyFill="1" applyBorder="1" applyAlignment="1" applyProtection="1">
      <alignment vertical="center"/>
    </xf>
    <xf numFmtId="0" fontId="13" fillId="0" borderId="0" xfId="1" applyFont="1" applyFill="1" applyBorder="1" applyAlignment="1" applyProtection="1">
      <alignment horizontal="right" vertical="center"/>
    </xf>
    <xf numFmtId="239" fontId="14" fillId="0" borderId="0" xfId="1" applyNumberFormat="1" applyFont="1" applyFill="1" applyBorder="1" applyAlignment="1" applyProtection="1">
      <alignment horizontal="left" vertical="center"/>
    </xf>
    <xf numFmtId="0" fontId="14" fillId="0" borderId="0" xfId="1" applyFont="1" applyFill="1" applyBorder="1" applyAlignment="1" applyProtection="1">
      <alignment horizontal="center" vertical="center"/>
    </xf>
    <xf numFmtId="2" fontId="13" fillId="31" borderId="190" xfId="1" applyNumberFormat="1" applyFont="1" applyFill="1" applyBorder="1" applyAlignment="1" applyProtection="1">
      <alignment horizontal="center" vertical="center"/>
      <protection locked="0"/>
    </xf>
    <xf numFmtId="0" fontId="168" fillId="0" borderId="95" xfId="1" applyFont="1" applyBorder="1" applyProtection="1"/>
    <xf numFmtId="0" fontId="13" fillId="0" borderId="108" xfId="1" applyFont="1" applyBorder="1" applyAlignment="1" applyProtection="1">
      <alignment vertical="center"/>
    </xf>
    <xf numFmtId="0" fontId="14" fillId="0" borderId="95" xfId="1" applyFont="1" applyFill="1" applyBorder="1" applyAlignment="1" applyProtection="1">
      <alignment horizontal="center" vertical="center"/>
    </xf>
    <xf numFmtId="0" fontId="16" fillId="0" borderId="108" xfId="1" applyFont="1" applyFill="1" applyBorder="1" applyAlignment="1" applyProtection="1">
      <alignment vertical="center"/>
    </xf>
    <xf numFmtId="0" fontId="16" fillId="0" borderId="59" xfId="1" applyFont="1" applyBorder="1" applyAlignment="1" applyProtection="1">
      <alignment vertical="center"/>
    </xf>
    <xf numFmtId="0" fontId="13" fillId="0" borderId="41" xfId="1" applyFont="1" applyBorder="1" applyAlignment="1" applyProtection="1">
      <alignment vertical="center"/>
    </xf>
    <xf numFmtId="2" fontId="13" fillId="0" borderId="280" xfId="1" applyNumberFormat="1" applyFont="1" applyFill="1" applyBorder="1" applyAlignment="1" applyProtection="1">
      <alignment vertical="center"/>
    </xf>
    <xf numFmtId="0" fontId="13" fillId="0" borderId="41" xfId="1" applyFont="1" applyBorder="1" applyAlignment="1" applyProtection="1">
      <alignment horizontal="right" vertical="center"/>
    </xf>
    <xf numFmtId="0" fontId="6" fillId="0" borderId="41" xfId="1" applyFont="1" applyBorder="1" applyAlignment="1" applyProtection="1">
      <alignment vertical="center"/>
    </xf>
    <xf numFmtId="0" fontId="16" fillId="0" borderId="60" xfId="1" applyFont="1" applyBorder="1" applyAlignment="1" applyProtection="1">
      <alignment vertical="center"/>
    </xf>
    <xf numFmtId="0" fontId="168" fillId="2" borderId="0" xfId="1" applyFont="1" applyFill="1" applyAlignment="1" applyProtection="1">
      <alignment vertical="center"/>
    </xf>
    <xf numFmtId="0" fontId="16" fillId="0" borderId="64" xfId="1" applyFont="1" applyBorder="1" applyAlignment="1" applyProtection="1">
      <alignment vertical="center"/>
    </xf>
    <xf numFmtId="2" fontId="13" fillId="0" borderId="9" xfId="1" applyNumberFormat="1" applyFont="1" applyFill="1" applyBorder="1" applyAlignment="1" applyProtection="1">
      <alignment vertical="center"/>
    </xf>
    <xf numFmtId="0" fontId="16" fillId="0" borderId="32" xfId="1" applyFont="1" applyBorder="1" applyAlignment="1" applyProtection="1">
      <alignment vertical="center"/>
    </xf>
    <xf numFmtId="0" fontId="168" fillId="0" borderId="41" xfId="1" applyFont="1" applyFill="1" applyBorder="1" applyAlignment="1" applyProtection="1">
      <alignment vertical="center"/>
    </xf>
    <xf numFmtId="0" fontId="168" fillId="0" borderId="32" xfId="1" applyFont="1" applyBorder="1" applyAlignment="1" applyProtection="1">
      <alignment vertical="center"/>
    </xf>
    <xf numFmtId="1" fontId="14" fillId="0" borderId="24" xfId="1" applyNumberFormat="1" applyFont="1" applyFill="1" applyBorder="1" applyAlignment="1" applyProtection="1">
      <alignment horizontal="center" vertical="center"/>
    </xf>
    <xf numFmtId="0" fontId="13" fillId="0" borderId="79" xfId="1" applyFont="1" applyFill="1" applyBorder="1" applyAlignment="1" applyProtection="1">
      <alignment horizontal="left" vertical="center"/>
    </xf>
    <xf numFmtId="236" fontId="43" fillId="0" borderId="181" xfId="1" applyNumberFormat="1" applyFont="1" applyFill="1" applyBorder="1" applyAlignment="1" applyProtection="1">
      <alignment horizontal="right" vertical="center"/>
    </xf>
    <xf numFmtId="0" fontId="14" fillId="2" borderId="0" xfId="1" applyFont="1" applyFill="1" applyBorder="1" applyAlignment="1" applyProtection="1">
      <alignment horizontal="right" vertical="center"/>
    </xf>
    <xf numFmtId="0" fontId="14" fillId="2" borderId="0" xfId="1" applyFont="1" applyFill="1" applyBorder="1" applyAlignment="1" applyProtection="1">
      <alignment horizontal="center" vertical="center"/>
    </xf>
    <xf numFmtId="1" fontId="14" fillId="0" borderId="41" xfId="1" applyNumberFormat="1" applyFont="1" applyFill="1" applyBorder="1" applyAlignment="1" applyProtection="1">
      <alignment horizontal="center" vertical="center"/>
    </xf>
    <xf numFmtId="0" fontId="13" fillId="0" borderId="60" xfId="1" applyFont="1" applyFill="1" applyBorder="1" applyAlignment="1" applyProtection="1">
      <alignment horizontal="left" vertical="center"/>
    </xf>
    <xf numFmtId="6" fontId="14" fillId="31" borderId="107" xfId="1" applyNumberFormat="1" applyFont="1" applyFill="1" applyBorder="1" applyAlignment="1" applyProtection="1">
      <alignment horizontal="right" vertical="center"/>
      <protection locked="0"/>
    </xf>
    <xf numFmtId="0" fontId="16" fillId="31" borderId="41" xfId="1" applyFont="1" applyFill="1" applyBorder="1" applyAlignment="1" applyProtection="1">
      <alignment vertical="center"/>
    </xf>
    <xf numFmtId="0" fontId="168" fillId="0" borderId="78" xfId="1" applyFont="1" applyBorder="1" applyAlignment="1" applyProtection="1">
      <alignment vertical="center"/>
    </xf>
    <xf numFmtId="0" fontId="168" fillId="0" borderId="24" xfId="1" applyFont="1" applyBorder="1" applyAlignment="1" applyProtection="1">
      <alignment vertical="center"/>
    </xf>
    <xf numFmtId="0" fontId="13" fillId="0" borderId="79" xfId="1" applyFont="1" applyBorder="1" applyAlignment="1" applyProtection="1">
      <alignment vertical="center"/>
    </xf>
    <xf numFmtId="223" fontId="14" fillId="0" borderId="188" xfId="1" applyNumberFormat="1" applyFont="1" applyFill="1" applyBorder="1" applyAlignment="1" applyProtection="1">
      <alignment horizontal="left" vertical="center"/>
    </xf>
    <xf numFmtId="223" fontId="14" fillId="0" borderId="31" xfId="1" applyNumberFormat="1" applyFont="1" applyFill="1" applyBorder="1" applyAlignment="1" applyProtection="1">
      <alignment horizontal="left" vertical="center"/>
    </xf>
    <xf numFmtId="0" fontId="13" fillId="0" borderId="0" xfId="1" applyFont="1" applyFill="1" applyBorder="1" applyAlignment="1" applyProtection="1">
      <alignment horizontal="center" vertical="center"/>
    </xf>
    <xf numFmtId="0" fontId="13" fillId="0" borderId="32" xfId="1" applyFont="1" applyFill="1" applyBorder="1" applyAlignment="1" applyProtection="1">
      <alignment horizontal="right" vertical="center"/>
    </xf>
    <xf numFmtId="225" fontId="4" fillId="2" borderId="3" xfId="1" applyNumberFormat="1" applyFill="1" applyBorder="1" applyProtection="1"/>
    <xf numFmtId="9" fontId="4" fillId="2" borderId="3" xfId="1" applyNumberFormat="1" applyFill="1" applyBorder="1" applyProtection="1"/>
    <xf numFmtId="6" fontId="14" fillId="31" borderId="283" xfId="1" applyNumberFormat="1" applyFont="1" applyFill="1" applyBorder="1" applyAlignment="1" applyProtection="1">
      <alignment horizontal="right" vertical="center"/>
      <protection locked="0"/>
    </xf>
    <xf numFmtId="0" fontId="16" fillId="31" borderId="31" xfId="1" applyFont="1" applyFill="1" applyBorder="1" applyAlignment="1" applyProtection="1">
      <alignment vertical="center"/>
    </xf>
    <xf numFmtId="0" fontId="13" fillId="0" borderId="59" xfId="1" applyFont="1" applyBorder="1" applyAlignment="1" applyProtection="1">
      <alignment vertical="center"/>
    </xf>
    <xf numFmtId="2" fontId="13" fillId="31" borderId="280" xfId="1" applyNumberFormat="1" applyFont="1" applyFill="1" applyBorder="1" applyAlignment="1" applyProtection="1">
      <alignment vertical="center"/>
      <protection locked="0"/>
    </xf>
    <xf numFmtId="0" fontId="4" fillId="2" borderId="3" xfId="1" applyFill="1" applyBorder="1" applyProtection="1"/>
    <xf numFmtId="0" fontId="101" fillId="0" borderId="64" xfId="1" applyFont="1" applyBorder="1" applyAlignment="1" applyProtection="1">
      <alignment vertical="center"/>
    </xf>
    <xf numFmtId="2" fontId="13" fillId="31" borderId="9" xfId="1" applyNumberFormat="1" applyFont="1" applyFill="1" applyBorder="1" applyAlignment="1" applyProtection="1">
      <alignment vertical="center"/>
      <protection locked="0"/>
    </xf>
    <xf numFmtId="0" fontId="116" fillId="0" borderId="0" xfId="1" applyFont="1" applyBorder="1" applyAlignment="1" applyProtection="1">
      <alignment vertical="center"/>
    </xf>
    <xf numFmtId="0" fontId="43" fillId="0" borderId="24" xfId="1" applyFont="1" applyFill="1" applyBorder="1" applyAlignment="1" applyProtection="1">
      <alignment horizontal="center" vertical="center"/>
    </xf>
    <xf numFmtId="0" fontId="172" fillId="0" borderId="79" xfId="1" applyFont="1" applyFill="1" applyBorder="1" applyAlignment="1" applyProtection="1">
      <alignment horizontal="left" vertical="center"/>
    </xf>
    <xf numFmtId="223" fontId="4" fillId="2" borderId="3" xfId="1" applyNumberFormat="1" applyFill="1" applyBorder="1" applyProtection="1"/>
    <xf numFmtId="0" fontId="43" fillId="2" borderId="0" xfId="1" applyFont="1" applyFill="1" applyBorder="1" applyAlignment="1" applyProtection="1">
      <alignment horizontal="center" vertical="center"/>
    </xf>
    <xf numFmtId="0" fontId="16" fillId="31" borderId="91" xfId="1" applyFont="1" applyFill="1" applyBorder="1" applyAlignment="1" applyProtection="1">
      <alignment vertical="center"/>
    </xf>
    <xf numFmtId="241" fontId="6" fillId="31" borderId="9" xfId="1" applyNumberFormat="1" applyFont="1" applyFill="1" applyBorder="1" applyAlignment="1" applyProtection="1">
      <alignment vertical="center"/>
      <protection locked="0"/>
    </xf>
    <xf numFmtId="0" fontId="16" fillId="31" borderId="284" xfId="1" applyFont="1" applyFill="1" applyBorder="1" applyAlignment="1" applyProtection="1">
      <alignment vertical="center"/>
    </xf>
    <xf numFmtId="0" fontId="4" fillId="2" borderId="77" xfId="1" applyFill="1" applyBorder="1" applyProtection="1"/>
    <xf numFmtId="0" fontId="6" fillId="2" borderId="0" xfId="1" applyFont="1" applyFill="1" applyAlignment="1" applyProtection="1">
      <alignment vertical="center"/>
    </xf>
    <xf numFmtId="0" fontId="16" fillId="0" borderId="78" xfId="1" applyFont="1" applyBorder="1" applyAlignment="1" applyProtection="1">
      <alignment vertical="center"/>
    </xf>
    <xf numFmtId="0" fontId="13" fillId="0" borderId="24" xfId="1" applyFont="1" applyBorder="1" applyAlignment="1" applyProtection="1">
      <alignment horizontal="right" vertical="center"/>
    </xf>
    <xf numFmtId="0" fontId="16" fillId="0" borderId="24" xfId="1" applyFont="1" applyBorder="1" applyAlignment="1" applyProtection="1">
      <alignment vertical="center"/>
    </xf>
    <xf numFmtId="0" fontId="168" fillId="2" borderId="0" xfId="1" applyFont="1" applyFill="1" applyProtection="1"/>
    <xf numFmtId="0" fontId="4" fillId="45" borderId="0" xfId="1" applyFill="1"/>
    <xf numFmtId="177" fontId="4" fillId="45" borderId="0" xfId="1" applyNumberFormat="1" applyFill="1"/>
    <xf numFmtId="0" fontId="9" fillId="45" borderId="0" xfId="1" applyFont="1" applyFill="1"/>
    <xf numFmtId="177" fontId="5" fillId="0" borderId="0" xfId="1" applyNumberFormat="1" applyFont="1"/>
    <xf numFmtId="1" fontId="4" fillId="0" borderId="0" xfId="1" applyNumberFormat="1"/>
    <xf numFmtId="3" fontId="4" fillId="37" borderId="0" xfId="1" applyNumberFormat="1" applyFill="1"/>
    <xf numFmtId="3" fontId="4" fillId="46" borderId="0" xfId="1" applyNumberFormat="1" applyFill="1"/>
    <xf numFmtId="0" fontId="4" fillId="46" borderId="0" xfId="1" applyFill="1"/>
    <xf numFmtId="0" fontId="9" fillId="0" borderId="0" xfId="1" applyFont="1" applyAlignment="1">
      <alignment wrapText="1"/>
    </xf>
    <xf numFmtId="10" fontId="4" fillId="46" borderId="0" xfId="1" applyNumberFormat="1" applyFill="1"/>
    <xf numFmtId="0" fontId="17" fillId="0" borderId="0" xfId="1" applyFont="1" applyAlignment="1">
      <alignment horizontal="left" vertical="top"/>
    </xf>
    <xf numFmtId="189" fontId="14" fillId="31" borderId="128" xfId="61" applyNumberFormat="1" applyFont="1" applyFill="1" applyBorder="1" applyAlignment="1" applyProtection="1">
      <alignment vertical="center"/>
      <protection locked="0"/>
    </xf>
    <xf numFmtId="0" fontId="6" fillId="0" borderId="2" xfId="1" applyFont="1" applyBorder="1" applyAlignment="1" applyProtection="1">
      <alignment vertical="center"/>
      <protection locked="0"/>
    </xf>
    <xf numFmtId="0" fontId="6" fillId="0" borderId="39" xfId="1" applyFont="1" applyBorder="1" applyAlignment="1" applyProtection="1">
      <alignment vertical="center"/>
      <protection locked="0"/>
    </xf>
    <xf numFmtId="170" fontId="6" fillId="4" borderId="129" xfId="61" applyNumberFormat="1" applyFont="1" applyFill="1" applyBorder="1" applyAlignment="1" applyProtection="1">
      <alignment vertical="center"/>
    </xf>
    <xf numFmtId="0" fontId="127" fillId="0" borderId="173" xfId="1" applyFont="1" applyBorder="1" applyAlignment="1" applyProtection="1">
      <alignment horizontal="left" vertical="center"/>
    </xf>
    <xf numFmtId="0" fontId="126" fillId="0" borderId="75" xfId="1" applyFont="1" applyBorder="1" applyAlignment="1" applyProtection="1">
      <alignment vertical="center"/>
    </xf>
    <xf numFmtId="0" fontId="126" fillId="0" borderId="76" xfId="1" applyFont="1" applyBorder="1" applyAlignment="1" applyProtection="1">
      <alignment vertical="center"/>
    </xf>
    <xf numFmtId="3" fontId="6" fillId="0" borderId="66" xfId="0" applyNumberFormat="1" applyFont="1" applyFill="1" applyBorder="1" applyAlignment="1" applyProtection="1">
      <alignment vertical="center"/>
    </xf>
    <xf numFmtId="0" fontId="4" fillId="0" borderId="0" xfId="1" applyBorder="1" applyAlignment="1" applyProtection="1">
      <alignment vertical="center"/>
    </xf>
    <xf numFmtId="0" fontId="9" fillId="0" borderId="0" xfId="1" applyFont="1" applyBorder="1" applyAlignment="1">
      <alignment horizontal="left" vertical="center"/>
    </xf>
    <xf numFmtId="3" fontId="31" fillId="0" borderId="0" xfId="1" applyNumberFormat="1" applyFont="1" applyAlignment="1">
      <alignment vertical="center" shrinkToFit="1"/>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1" fillId="30" borderId="8" xfId="1" applyNumberFormat="1" applyFont="1" applyFill="1" applyBorder="1" applyAlignment="1">
      <alignment horizontal="center"/>
    </xf>
    <xf numFmtId="3" fontId="111" fillId="30" borderId="58" xfId="1" applyNumberFormat="1" applyFont="1" applyFill="1" applyBorder="1" applyAlignment="1">
      <alignment horizontal="center"/>
    </xf>
    <xf numFmtId="0" fontId="110" fillId="0" borderId="44" xfId="1" applyFont="1" applyBorder="1" applyAlignment="1">
      <alignment horizontal="center"/>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188" fontId="6" fillId="0" borderId="19"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13" fillId="0" borderId="58" xfId="1" applyNumberFormat="1" applyFont="1" applyBorder="1" applyAlignment="1">
      <alignment horizontal="right" vertical="center"/>
    </xf>
    <xf numFmtId="190" fontId="111" fillId="30" borderId="8" xfId="1" applyNumberFormat="1" applyFont="1" applyFill="1" applyBorder="1" applyAlignment="1"/>
    <xf numFmtId="0" fontId="117" fillId="49" borderId="0" xfId="1" applyFont="1" applyFill="1" applyBorder="1" applyAlignment="1">
      <alignment horizontal="center" vertical="center"/>
    </xf>
    <xf numFmtId="0" fontId="115" fillId="49" borderId="0" xfId="1" applyFont="1" applyFill="1" applyBorder="1" applyAlignment="1">
      <alignment vertical="center"/>
    </xf>
    <xf numFmtId="172" fontId="16" fillId="49" borderId="0" xfId="1" applyNumberFormat="1" applyFont="1" applyFill="1" applyBorder="1" applyAlignment="1">
      <alignment horizontal="right" vertical="center"/>
    </xf>
    <xf numFmtId="0" fontId="4" fillId="49" borderId="0" xfId="1" applyFill="1" applyBorder="1" applyAlignment="1">
      <alignment vertical="center"/>
    </xf>
    <xf numFmtId="0" fontId="4" fillId="49" borderId="2" xfId="1" applyFill="1" applyBorder="1" applyAlignment="1">
      <alignment vertical="center"/>
    </xf>
    <xf numFmtId="0" fontId="4" fillId="49" borderId="0" xfId="1" applyFill="1" applyBorder="1" applyAlignment="1" applyProtection="1">
      <alignment vertical="center"/>
    </xf>
    <xf numFmtId="0" fontId="4" fillId="49" borderId="0" xfId="1" applyFill="1" applyAlignment="1">
      <alignment vertical="center"/>
    </xf>
    <xf numFmtId="0" fontId="9" fillId="49" borderId="23" xfId="1" applyFont="1" applyFill="1" applyBorder="1" applyAlignment="1">
      <alignment vertical="center"/>
    </xf>
    <xf numFmtId="203" fontId="6" fillId="49" borderId="0" xfId="1" applyNumberFormat="1" applyFont="1" applyFill="1" applyBorder="1" applyAlignment="1">
      <alignment horizontal="right" vertical="center"/>
    </xf>
    <xf numFmtId="188" fontId="6" fillId="49" borderId="0" xfId="61" applyNumberFormat="1" applyFont="1" applyFill="1" applyBorder="1" applyAlignment="1">
      <alignment horizontal="right" vertical="center"/>
    </xf>
    <xf numFmtId="188" fontId="6" fillId="49" borderId="0" xfId="1" applyNumberFormat="1" applyFont="1" applyFill="1" applyBorder="1" applyAlignment="1">
      <alignment horizontal="right" vertical="center"/>
    </xf>
    <xf numFmtId="172" fontId="6" fillId="49" borderId="0" xfId="1" applyNumberFormat="1" applyFont="1" applyFill="1" applyBorder="1" applyAlignment="1">
      <alignment horizontal="right" vertical="center"/>
    </xf>
    <xf numFmtId="0" fontId="20" fillId="49" borderId="0" xfId="1" applyFont="1" applyFill="1" applyAlignment="1">
      <alignment horizontal="center" vertical="center"/>
    </xf>
    <xf numFmtId="0" fontId="20" fillId="49" borderId="0" xfId="1" applyFont="1" applyFill="1" applyBorder="1" applyAlignment="1">
      <alignment vertical="center"/>
    </xf>
    <xf numFmtId="0" fontId="9" fillId="49" borderId="0" xfId="1" applyFont="1" applyFill="1" applyBorder="1" applyAlignment="1">
      <alignment horizontal="right" vertical="center"/>
    </xf>
    <xf numFmtId="0" fontId="9" fillId="49" borderId="0" xfId="1" applyFont="1" applyFill="1" applyBorder="1" applyAlignment="1">
      <alignment horizontal="left" vertical="center"/>
    </xf>
    <xf numFmtId="0" fontId="111" fillId="49" borderId="23" xfId="1" applyFont="1" applyFill="1" applyBorder="1" applyAlignment="1">
      <alignment horizontal="center" wrapText="1"/>
    </xf>
    <xf numFmtId="0" fontId="111" fillId="49" borderId="23" xfId="1" applyFont="1" applyFill="1" applyBorder="1"/>
    <xf numFmtId="0" fontId="112" fillId="49" borderId="0" xfId="1" applyFont="1" applyFill="1" applyAlignment="1">
      <alignment wrapText="1"/>
    </xf>
    <xf numFmtId="0" fontId="4" fillId="49" borderId="0" xfId="1" applyFill="1"/>
    <xf numFmtId="0" fontId="4" fillId="33" borderId="23" xfId="1" applyFill="1" applyBorder="1" applyAlignment="1" applyProtection="1">
      <alignment vertical="center"/>
    </xf>
    <xf numFmtId="0" fontId="4" fillId="33" borderId="23" xfId="1" applyFill="1" applyBorder="1" applyAlignment="1">
      <alignment vertical="center"/>
    </xf>
    <xf numFmtId="0" fontId="4" fillId="33" borderId="42" xfId="1" applyFill="1" applyBorder="1" applyAlignment="1">
      <alignment vertical="center"/>
    </xf>
    <xf numFmtId="0" fontId="9" fillId="0" borderId="65" xfId="1" applyFont="1" applyBorder="1" applyAlignment="1">
      <alignment vertical="center"/>
    </xf>
    <xf numFmtId="172" fontId="111" fillId="0" borderId="8" xfId="1" applyNumberFormat="1" applyFont="1" applyBorder="1" applyAlignment="1"/>
    <xf numFmtId="0" fontId="9" fillId="0" borderId="42" xfId="1" applyFont="1" applyBorder="1" applyAlignment="1">
      <alignment vertical="center"/>
    </xf>
    <xf numFmtId="0" fontId="9" fillId="49" borderId="39" xfId="1" applyFont="1" applyFill="1" applyBorder="1" applyAlignment="1">
      <alignment horizontal="left" vertical="center"/>
    </xf>
    <xf numFmtId="0" fontId="16" fillId="33" borderId="2" xfId="1" applyFont="1" applyFill="1" applyBorder="1" applyAlignment="1">
      <alignment vertical="center"/>
    </xf>
    <xf numFmtId="0" fontId="0" fillId="49" borderId="0" xfId="0" applyFill="1" applyAlignment="1">
      <alignment vertical="center"/>
    </xf>
    <xf numFmtId="0" fontId="4" fillId="49" borderId="0" xfId="0" applyFont="1" applyFill="1" applyAlignment="1">
      <alignment vertical="center"/>
    </xf>
    <xf numFmtId="171" fontId="0" fillId="49" borderId="0" xfId="0" applyNumberFormat="1" applyFill="1" applyAlignment="1">
      <alignment vertical="center"/>
    </xf>
    <xf numFmtId="172" fontId="0" fillId="49" borderId="0" xfId="0" applyNumberFormat="1" applyFill="1" applyAlignment="1">
      <alignment vertical="center"/>
    </xf>
    <xf numFmtId="185" fontId="0" fillId="49" borderId="0" xfId="0" applyNumberFormat="1" applyFill="1" applyAlignment="1">
      <alignment vertical="center"/>
    </xf>
    <xf numFmtId="200" fontId="0" fillId="49" borderId="0" xfId="0" applyNumberFormat="1" applyFill="1" applyAlignment="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9" fillId="33" borderId="40" xfId="1" applyFont="1" applyFill="1" applyBorder="1" applyAlignment="1" applyProtection="1">
      <alignment horizontal="left" vertical="center"/>
    </xf>
    <xf numFmtId="0" fontId="9" fillId="33" borderId="0" xfId="1" applyFont="1" applyFill="1" applyBorder="1" applyAlignment="1" applyProtection="1">
      <alignment horizontal="left" vertical="center"/>
    </xf>
    <xf numFmtId="0" fontId="9" fillId="33" borderId="19"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39" xfId="1" applyFont="1" applyFill="1" applyBorder="1" applyAlignment="1" applyProtection="1">
      <alignment horizontal="left" vertical="center" wrapText="1"/>
    </xf>
    <xf numFmtId="0" fontId="9" fillId="33" borderId="2" xfId="1" applyFont="1" applyFill="1" applyBorder="1" applyAlignment="1" applyProtection="1">
      <alignment horizontal="left" vertical="center" wrapText="1"/>
    </xf>
    <xf numFmtId="0" fontId="9" fillId="33" borderId="44" xfId="1" applyFont="1" applyFill="1" applyBorder="1" applyAlignment="1" applyProtection="1">
      <alignment horizontal="left" vertical="center" wrapText="1"/>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6" fillId="0" borderId="23" xfId="1" applyFont="1" applyBorder="1" applyAlignment="1" applyProtection="1">
      <alignment horizontal="left" vertical="center"/>
    </xf>
    <xf numFmtId="188" fontId="14" fillId="0" borderId="23" xfId="61" applyNumberFormat="1" applyFont="1" applyBorder="1" applyAlignment="1" applyProtection="1">
      <alignment vertical="center"/>
    </xf>
    <xf numFmtId="188" fontId="14" fillId="27" borderId="23" xfId="61" applyNumberFormat="1" applyFont="1" applyFill="1" applyBorder="1" applyAlignment="1" applyProtection="1">
      <alignment vertical="center"/>
    </xf>
    <xf numFmtId="0" fontId="9" fillId="33" borderId="40" xfId="0" applyFont="1" applyFill="1" applyBorder="1" applyAlignment="1" applyProtection="1">
      <alignment vertical="center"/>
    </xf>
    <xf numFmtId="0" fontId="0" fillId="0" borderId="0" xfId="0" applyAlignment="1" applyProtection="1">
      <alignment vertical="center"/>
    </xf>
    <xf numFmtId="0" fontId="0" fillId="0" borderId="19" xfId="0" applyBorder="1" applyAlignment="1" applyProtection="1">
      <alignment vertical="center"/>
    </xf>
    <xf numFmtId="0" fontId="9" fillId="33" borderId="40" xfId="1" applyFont="1" applyFill="1" applyBorder="1" applyAlignment="1" applyProtection="1">
      <alignment vertical="center"/>
    </xf>
    <xf numFmtId="0" fontId="9" fillId="33" borderId="0" xfId="1" applyFont="1" applyFill="1" applyBorder="1" applyAlignment="1" applyProtection="1">
      <alignment vertical="center"/>
    </xf>
    <xf numFmtId="0" fontId="9" fillId="33" borderId="19" xfId="1" applyFont="1" applyFill="1" applyBorder="1" applyAlignment="1" applyProtection="1">
      <alignment vertical="center"/>
    </xf>
    <xf numFmtId="0" fontId="13" fillId="27" borderId="0" xfId="1" applyFont="1" applyFill="1" applyBorder="1" applyAlignment="1" applyProtection="1">
      <alignment vertical="center"/>
    </xf>
    <xf numFmtId="0" fontId="9" fillId="33" borderId="39" xfId="1" applyFont="1" applyFill="1" applyBorder="1" applyAlignment="1" applyProtection="1">
      <alignment vertical="center" wrapText="1"/>
    </xf>
    <xf numFmtId="0" fontId="9" fillId="33" borderId="2" xfId="1" applyFont="1" applyFill="1" applyBorder="1" applyAlignment="1" applyProtection="1">
      <alignment vertical="center" wrapText="1"/>
    </xf>
    <xf numFmtId="0" fontId="9" fillId="33" borderId="44" xfId="1" applyFont="1" applyFill="1" applyBorder="1" applyAlignment="1" applyProtection="1">
      <alignment vertical="center" wrapText="1"/>
    </xf>
    <xf numFmtId="20" fontId="9" fillId="33" borderId="43" xfId="0" applyNumberFormat="1" applyFont="1" applyFill="1" applyBorder="1" applyAlignment="1" applyProtection="1">
      <alignment vertical="center"/>
    </xf>
    <xf numFmtId="20" fontId="0" fillId="0" borderId="23" xfId="0" applyNumberFormat="1" applyBorder="1" applyAlignment="1" applyProtection="1">
      <alignment vertical="center"/>
    </xf>
    <xf numFmtId="20" fontId="0" fillId="0" borderId="42" xfId="0" applyNumberFormat="1" applyBorder="1" applyAlignment="1" applyProtection="1">
      <alignment vertical="center"/>
    </xf>
    <xf numFmtId="0" fontId="9" fillId="33" borderId="39" xfId="1" applyFont="1" applyFill="1" applyBorder="1" applyAlignment="1" applyProtection="1">
      <alignment horizontal="left" vertical="center"/>
    </xf>
    <xf numFmtId="0" fontId="44" fillId="0" borderId="57" xfId="1" applyFont="1" applyBorder="1" applyAlignment="1" applyProtection="1">
      <alignment vertical="center"/>
    </xf>
    <xf numFmtId="188" fontId="6" fillId="0" borderId="43" xfId="61" applyNumberFormat="1" applyFont="1" applyBorder="1" applyAlignment="1" applyProtection="1">
      <alignment vertical="center"/>
    </xf>
    <xf numFmtId="188" fontId="6" fillId="27" borderId="43" xfId="61" applyNumberFormat="1" applyFont="1" applyFill="1" applyBorder="1" applyAlignment="1" applyProtection="1">
      <alignment vertical="center"/>
    </xf>
    <xf numFmtId="0" fontId="9" fillId="33" borderId="43" xfId="0" applyFont="1" applyFill="1" applyBorder="1" applyAlignment="1" applyProtection="1">
      <alignment vertical="center"/>
    </xf>
    <xf numFmtId="0" fontId="0" fillId="0" borderId="23" xfId="0" applyBorder="1" applyAlignment="1" applyProtection="1">
      <alignment vertical="center"/>
    </xf>
    <xf numFmtId="0" fontId="0" fillId="0" borderId="42" xfId="0" applyBorder="1" applyAlignment="1" applyProtection="1">
      <alignment vertical="center"/>
    </xf>
    <xf numFmtId="210" fontId="6" fillId="0" borderId="43" xfId="1" applyNumberFormat="1" applyFont="1" applyBorder="1" applyAlignment="1" applyProtection="1">
      <alignment horizontal="right" vertical="center"/>
    </xf>
    <xf numFmtId="210" fontId="14" fillId="0" borderId="23" xfId="1" applyNumberFormat="1" applyFont="1" applyBorder="1" applyAlignment="1" applyProtection="1">
      <alignment horizontal="right" vertical="center"/>
    </xf>
    <xf numFmtId="210" fontId="6" fillId="27" borderId="43" xfId="1" applyNumberFormat="1" applyFont="1" applyFill="1" applyBorder="1" applyAlignment="1" applyProtection="1">
      <alignment horizontal="right" vertical="center"/>
    </xf>
    <xf numFmtId="210" fontId="14" fillId="27" borderId="23" xfId="1" applyNumberFormat="1" applyFont="1" applyFill="1" applyBorder="1" applyAlignment="1" applyProtection="1">
      <alignment horizontal="right" vertical="center"/>
    </xf>
    <xf numFmtId="0" fontId="5" fillId="0" borderId="0" xfId="1" applyFont="1" applyAlignment="1" applyProtection="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50" borderId="79" xfId="1" applyFill="1" applyBorder="1" applyAlignment="1">
      <alignment vertical="center"/>
    </xf>
    <xf numFmtId="185" fontId="132" fillId="50" borderId="32" xfId="1" applyNumberFormat="1" applyFont="1" applyFill="1" applyBorder="1" applyAlignment="1" applyProtection="1">
      <alignment horizontal="left" vertical="center"/>
    </xf>
    <xf numFmtId="185" fontId="132" fillId="50" borderId="0" xfId="1" applyNumberFormat="1" applyFont="1" applyFill="1" applyBorder="1" applyAlignment="1" applyProtection="1">
      <alignment horizontal="left" vertical="center"/>
    </xf>
    <xf numFmtId="0" fontId="9" fillId="50" borderId="64" xfId="1" applyFont="1" applyFill="1" applyBorder="1" applyAlignment="1" applyProtection="1">
      <alignment vertical="center"/>
    </xf>
    <xf numFmtId="0" fontId="20" fillId="50" borderId="32" xfId="1" applyFont="1" applyFill="1" applyBorder="1" applyAlignment="1" applyProtection="1">
      <alignment vertical="center"/>
    </xf>
    <xf numFmtId="0" fontId="20" fillId="50" borderId="0" xfId="1" applyFont="1" applyFill="1" applyBorder="1" applyAlignment="1" applyProtection="1">
      <alignment vertical="center"/>
    </xf>
    <xf numFmtId="0" fontId="20" fillId="50" borderId="59" xfId="1" applyFont="1" applyFill="1" applyBorder="1" applyAlignment="1" applyProtection="1">
      <alignment horizontal="right" vertical="center"/>
    </xf>
    <xf numFmtId="0" fontId="9" fillId="50" borderId="289" xfId="1" applyFont="1" applyFill="1" applyBorder="1" applyAlignment="1" applyProtection="1">
      <alignment vertical="center"/>
    </xf>
    <xf numFmtId="0" fontId="4" fillId="50" borderId="24" xfId="1" applyFill="1" applyBorder="1" applyAlignment="1">
      <alignment vertical="center"/>
    </xf>
    <xf numFmtId="0" fontId="4" fillId="50" borderId="78" xfId="1" applyFill="1" applyBorder="1" applyAlignment="1">
      <alignment horizontal="left" vertical="center"/>
    </xf>
    <xf numFmtId="0" fontId="4" fillId="0" borderId="0" xfId="1" applyFont="1" applyBorder="1" applyAlignment="1" applyProtection="1">
      <alignment vertical="top"/>
    </xf>
    <xf numFmtId="0" fontId="4" fillId="0" borderId="0" xfId="1" applyFont="1" applyProtection="1"/>
    <xf numFmtId="0" fontId="4" fillId="0" borderId="0" xfId="1" applyFont="1" applyBorder="1" applyAlignment="1" applyProtection="1">
      <alignment horizontal="left" vertical="top"/>
    </xf>
    <xf numFmtId="0" fontId="4" fillId="0" borderId="0" xfId="1" applyFont="1" applyAlignment="1" applyProtection="1">
      <alignment vertical="top"/>
    </xf>
    <xf numFmtId="0" fontId="4" fillId="33" borderId="0" xfId="1" applyFont="1" applyFill="1" applyBorder="1" applyAlignment="1" applyProtection="1">
      <alignment vertical="top"/>
    </xf>
    <xf numFmtId="0" fontId="4" fillId="0" borderId="0" xfId="1" applyFont="1" applyAlignment="1" applyProtection="1">
      <alignment vertical="center"/>
    </xf>
    <xf numFmtId="0" fontId="4" fillId="31" borderId="0" xfId="1" applyFont="1" applyFill="1"/>
    <xf numFmtId="0" fontId="4" fillId="0" borderId="0" xfId="1" applyFont="1" applyBorder="1" applyAlignment="1" applyProtection="1">
      <alignment vertical="center"/>
    </xf>
    <xf numFmtId="0" fontId="4" fillId="0" borderId="0" xfId="1" applyFont="1" applyBorder="1" applyAlignment="1" applyProtection="1">
      <alignment horizontal="left" vertical="center"/>
    </xf>
    <xf numFmtId="1" fontId="43" fillId="31" borderId="23" xfId="131" applyNumberFormat="1" applyFont="1" applyFill="1" applyBorder="1" applyAlignment="1" applyProtection="1">
      <alignment horizontal="center" vertical="center"/>
      <protection locked="0"/>
    </xf>
    <xf numFmtId="1" fontId="43" fillId="31" borderId="42" xfId="131" applyNumberFormat="1" applyFont="1" applyFill="1" applyBorder="1" applyAlignment="1" applyProtection="1">
      <alignment horizontal="center" vertical="center"/>
      <protection locked="0"/>
    </xf>
    <xf numFmtId="189" fontId="14" fillId="0" borderId="42" xfId="131" applyNumberFormat="1" applyFont="1" applyBorder="1" applyAlignment="1" applyProtection="1">
      <alignment vertical="center"/>
    </xf>
    <xf numFmtId="189" fontId="14" fillId="27" borderId="42" xfId="131" applyNumberFormat="1" applyFont="1" applyFill="1" applyBorder="1" applyAlignment="1" applyProtection="1">
      <alignment vertical="center"/>
    </xf>
    <xf numFmtId="0" fontId="4" fillId="0" borderId="162" xfId="105" applyFont="1" applyBorder="1" applyAlignment="1" applyProtection="1">
      <alignment horizontal="center" vertical="center"/>
    </xf>
    <xf numFmtId="188" fontId="4" fillId="0" borderId="167" xfId="1" applyNumberFormat="1" applyFont="1" applyBorder="1" applyAlignment="1" applyProtection="1">
      <alignment horizontal="center" vertical="center"/>
    </xf>
    <xf numFmtId="188" fontId="4" fillId="0" borderId="162" xfId="1" applyNumberFormat="1" applyFont="1" applyBorder="1" applyAlignment="1" applyProtection="1">
      <alignment horizontal="center" vertical="center"/>
    </xf>
    <xf numFmtId="189" fontId="14" fillId="0" borderId="19" xfId="131" applyNumberFormat="1" applyFont="1" applyBorder="1" applyAlignment="1" applyProtection="1">
      <alignment vertical="center"/>
    </xf>
    <xf numFmtId="188" fontId="4" fillId="27" borderId="167" xfId="1" applyNumberFormat="1" applyFont="1" applyFill="1" applyBorder="1" applyAlignment="1" applyProtection="1">
      <alignment horizontal="center" vertical="center"/>
    </xf>
    <xf numFmtId="188" fontId="4" fillId="27" borderId="162" xfId="1" applyNumberFormat="1" applyFont="1" applyFill="1" applyBorder="1" applyAlignment="1" applyProtection="1">
      <alignment horizontal="center" vertical="center"/>
    </xf>
    <xf numFmtId="189" fontId="14" fillId="27" borderId="19" xfId="131" applyNumberFormat="1" applyFont="1" applyFill="1" applyBorder="1" applyAlignment="1" applyProtection="1">
      <alignment vertical="center"/>
    </xf>
    <xf numFmtId="180" fontId="6" fillId="31" borderId="65" xfId="105" applyNumberFormat="1" applyFont="1" applyFill="1" applyBorder="1" applyAlignment="1" applyProtection="1">
      <alignment horizontal="right" vertical="center"/>
      <protection locked="0"/>
    </xf>
    <xf numFmtId="189" fontId="6" fillId="0" borderId="164" xfId="131" applyNumberFormat="1" applyFont="1" applyBorder="1" applyAlignment="1" applyProtection="1">
      <alignment vertical="center"/>
    </xf>
    <xf numFmtId="189" fontId="6" fillId="27" borderId="164" xfId="131" applyNumberFormat="1" applyFont="1" applyFill="1" applyBorder="1" applyAlignment="1" applyProtection="1">
      <alignment vertical="center"/>
    </xf>
    <xf numFmtId="215" fontId="6" fillId="31" borderId="2" xfId="131" applyNumberFormat="1" applyFont="1" applyFill="1" applyBorder="1" applyAlignment="1" applyProtection="1">
      <alignment horizontal="right" vertical="center"/>
      <protection locked="0"/>
    </xf>
    <xf numFmtId="189" fontId="6" fillId="0" borderId="62" xfId="131" applyNumberFormat="1" applyFont="1" applyBorder="1" applyAlignment="1" applyProtection="1">
      <alignment vertical="center"/>
    </xf>
    <xf numFmtId="215" fontId="6" fillId="31" borderId="39" xfId="131" applyNumberFormat="1" applyFont="1" applyFill="1" applyBorder="1" applyAlignment="1" applyProtection="1">
      <alignment horizontal="right" vertical="center"/>
      <protection locked="0"/>
    </xf>
    <xf numFmtId="189" fontId="6" fillId="27" borderId="62" xfId="131" applyNumberFormat="1" applyFont="1" applyFill="1" applyBorder="1" applyAlignment="1" applyProtection="1">
      <alignment vertical="center"/>
    </xf>
    <xf numFmtId="189" fontId="6" fillId="0" borderId="70" xfId="131" applyNumberFormat="1" applyFont="1" applyBorder="1" applyAlignment="1" applyProtection="1">
      <alignment horizontal="center" vertical="center"/>
    </xf>
    <xf numFmtId="189" fontId="6" fillId="0" borderId="0" xfId="131" applyNumberFormat="1" applyFont="1" applyBorder="1" applyAlignment="1" applyProtection="1">
      <alignment vertical="center"/>
    </xf>
    <xf numFmtId="189" fontId="6" fillId="0" borderId="72" xfId="131" applyNumberFormat="1" applyFont="1" applyBorder="1" applyAlignment="1" applyProtection="1">
      <alignment horizontal="center" vertical="center"/>
    </xf>
    <xf numFmtId="189" fontId="6" fillId="27" borderId="0" xfId="131" applyNumberFormat="1" applyFont="1" applyFill="1" applyBorder="1" applyAlignment="1" applyProtection="1">
      <alignment vertical="center"/>
    </xf>
    <xf numFmtId="189" fontId="6" fillId="0" borderId="66" xfId="131" applyNumberFormat="1" applyFont="1" applyBorder="1" applyAlignment="1" applyProtection="1">
      <alignment horizontal="center" vertical="center"/>
    </xf>
    <xf numFmtId="189" fontId="6" fillId="0" borderId="39" xfId="131" applyNumberFormat="1" applyFont="1" applyBorder="1" applyAlignment="1" applyProtection="1">
      <alignment horizontal="center" vertical="center"/>
    </xf>
    <xf numFmtId="3" fontId="6" fillId="0" borderId="61" xfId="131" applyNumberFormat="1" applyFont="1" applyFill="1" applyBorder="1" applyAlignment="1" applyProtection="1">
      <alignment horizontal="right" vertical="center"/>
    </xf>
    <xf numFmtId="189" fontId="6" fillId="0" borderId="2" xfId="131" applyNumberFormat="1" applyFont="1" applyBorder="1" applyAlignment="1" applyProtection="1">
      <alignment horizontal="center" vertical="center"/>
    </xf>
    <xf numFmtId="3" fontId="6" fillId="31" borderId="61" xfId="131" applyNumberFormat="1" applyFont="1" applyFill="1" applyBorder="1" applyAlignment="1" applyProtection="1">
      <alignment horizontal="center" vertical="center"/>
      <protection locked="0"/>
    </xf>
    <xf numFmtId="188" fontId="14" fillId="0" borderId="43" xfId="131" applyNumberFormat="1" applyFont="1" applyBorder="1" applyAlignment="1" applyProtection="1">
      <alignment vertical="center"/>
    </xf>
    <xf numFmtId="188" fontId="14" fillId="0" borderId="0" xfId="131" applyNumberFormat="1" applyFont="1" applyBorder="1" applyAlignment="1" applyProtection="1">
      <alignment vertical="center"/>
    </xf>
    <xf numFmtId="188" fontId="14" fillId="27" borderId="43" xfId="131" applyNumberFormat="1" applyFont="1" applyFill="1" applyBorder="1" applyAlignment="1" applyProtection="1">
      <alignment vertical="center"/>
    </xf>
    <xf numFmtId="188" fontId="14" fillId="27" borderId="0" xfId="131" applyNumberFormat="1" applyFont="1" applyFill="1" applyBorder="1" applyAlignment="1" applyProtection="1">
      <alignment vertical="center"/>
    </xf>
    <xf numFmtId="188" fontId="6" fillId="31" borderId="40" xfId="131" applyNumberFormat="1" applyFont="1" applyFill="1" applyBorder="1" applyAlignment="1" applyProtection="1">
      <alignment vertical="center"/>
      <protection locked="0"/>
    </xf>
    <xf numFmtId="188" fontId="14" fillId="0" borderId="40" xfId="131" applyNumberFormat="1" applyFont="1" applyBorder="1" applyAlignment="1" applyProtection="1">
      <alignment vertical="center"/>
    </xf>
    <xf numFmtId="188" fontId="14" fillId="27" borderId="40" xfId="131" applyNumberFormat="1" applyFont="1" applyFill="1" applyBorder="1" applyAlignment="1" applyProtection="1">
      <alignment vertical="center"/>
    </xf>
    <xf numFmtId="188" fontId="6" fillId="0" borderId="40" xfId="131" applyNumberFormat="1" applyFont="1" applyBorder="1" applyAlignment="1" applyProtection="1">
      <alignment vertical="center"/>
    </xf>
    <xf numFmtId="188" fontId="6" fillId="27" borderId="40" xfId="131" applyNumberFormat="1" applyFont="1" applyFill="1" applyBorder="1" applyAlignment="1" applyProtection="1">
      <alignment vertical="center"/>
    </xf>
    <xf numFmtId="188" fontId="6" fillId="4" borderId="77" xfId="131" applyNumberFormat="1" applyFont="1" applyFill="1" applyBorder="1" applyAlignment="1" applyProtection="1">
      <alignment vertical="center"/>
    </xf>
    <xf numFmtId="170" fontId="6" fillId="4" borderId="57" xfId="131" applyNumberFormat="1" applyFont="1" applyFill="1" applyBorder="1" applyAlignment="1" applyProtection="1">
      <alignment vertical="center"/>
    </xf>
    <xf numFmtId="189" fontId="14" fillId="31" borderId="58" xfId="131" applyNumberFormat="1" applyFont="1" applyFill="1" applyBorder="1" applyAlignment="1" applyProtection="1">
      <alignment vertical="center"/>
      <protection locked="0"/>
    </xf>
    <xf numFmtId="188" fontId="6" fillId="27" borderId="77" xfId="131" applyNumberFormat="1" applyFont="1" applyFill="1" applyBorder="1" applyAlignment="1" applyProtection="1">
      <alignment vertical="center"/>
    </xf>
    <xf numFmtId="170" fontId="6" fillId="27" borderId="57" xfId="131" applyNumberFormat="1" applyFont="1" applyFill="1" applyBorder="1" applyAlignment="1" applyProtection="1">
      <alignment vertical="center"/>
    </xf>
    <xf numFmtId="0" fontId="4" fillId="0" borderId="165" xfId="105" applyFont="1" applyBorder="1" applyAlignment="1" applyProtection="1">
      <alignment horizontal="center" vertical="center"/>
    </xf>
    <xf numFmtId="0" fontId="4" fillId="27" borderId="0" xfId="1" applyFont="1" applyFill="1" applyBorder="1" applyAlignment="1" applyProtection="1">
      <alignment vertical="center"/>
    </xf>
    <xf numFmtId="242" fontId="6" fillId="31" borderId="67" xfId="1" applyNumberFormat="1" applyFont="1" applyFill="1" applyBorder="1" applyAlignment="1" applyProtection="1">
      <alignment horizontal="right" vertical="center"/>
      <protection locked="0"/>
    </xf>
    <xf numFmtId="0" fontId="4" fillId="0" borderId="65" xfId="1" applyFont="1" applyBorder="1" applyAlignment="1" applyProtection="1">
      <alignment horizontal="center" vertical="center"/>
    </xf>
    <xf numFmtId="0" fontId="4" fillId="0" borderId="82" xfId="1" applyFont="1" applyBorder="1" applyAlignment="1" applyProtection="1">
      <alignment horizontal="center" vertical="center"/>
    </xf>
    <xf numFmtId="189" fontId="14" fillId="0" borderId="0" xfId="131" applyNumberFormat="1" applyFont="1" applyBorder="1" applyAlignment="1" applyProtection="1">
      <alignment vertical="center"/>
    </xf>
    <xf numFmtId="189" fontId="14" fillId="27" borderId="0" xfId="131" applyNumberFormat="1" applyFont="1" applyFill="1" applyBorder="1" applyAlignment="1" applyProtection="1">
      <alignment vertical="center"/>
    </xf>
    <xf numFmtId="0" fontId="4" fillId="0" borderId="0" xfId="105" applyFont="1" applyBorder="1" applyAlignment="1" applyProtection="1">
      <alignment vertical="center"/>
    </xf>
    <xf numFmtId="0" fontId="4" fillId="0" borderId="122" xfId="105" applyFont="1" applyBorder="1" applyAlignment="1" applyProtection="1">
      <alignment horizontal="center" vertical="center"/>
    </xf>
    <xf numFmtId="0" fontId="4" fillId="0" borderId="91" xfId="1" applyFont="1" applyBorder="1" applyProtection="1"/>
    <xf numFmtId="0" fontId="4" fillId="0" borderId="167" xfId="105" applyFont="1" applyBorder="1" applyAlignment="1" applyProtection="1">
      <alignment horizontal="center" vertical="center"/>
    </xf>
    <xf numFmtId="0" fontId="4" fillId="27" borderId="167" xfId="105" applyFont="1" applyFill="1" applyBorder="1" applyAlignment="1" applyProtection="1">
      <alignment horizontal="center" vertical="center"/>
    </xf>
    <xf numFmtId="2" fontId="6" fillId="31" borderId="67" xfId="105" applyNumberFormat="1" applyFont="1" applyFill="1" applyBorder="1" applyAlignment="1" applyProtection="1">
      <alignment vertical="center"/>
      <protection locked="0"/>
    </xf>
    <xf numFmtId="2" fontId="6" fillId="31" borderId="63" xfId="105" applyNumberFormat="1" applyFont="1" applyFill="1" applyBorder="1" applyAlignment="1" applyProtection="1">
      <alignment vertical="center"/>
      <protection locked="0"/>
    </xf>
    <xf numFmtId="170" fontId="13" fillId="0" borderId="19" xfId="131" applyNumberFormat="1" applyFont="1" applyBorder="1" applyAlignment="1" applyProtection="1">
      <alignment vertical="center"/>
    </xf>
    <xf numFmtId="170" fontId="13" fillId="27" borderId="19" xfId="131" applyNumberFormat="1" applyFont="1" applyFill="1" applyBorder="1" applyAlignment="1" applyProtection="1">
      <alignment vertical="center"/>
    </xf>
    <xf numFmtId="0" fontId="4" fillId="0" borderId="92" xfId="1" applyFont="1" applyBorder="1" applyAlignment="1" applyProtection="1">
      <alignment vertical="center"/>
    </xf>
    <xf numFmtId="0" fontId="4" fillId="0" borderId="91" xfId="1" applyFont="1" applyBorder="1" applyAlignment="1" applyProtection="1">
      <alignment vertical="center"/>
    </xf>
    <xf numFmtId="188" fontId="4" fillId="0" borderId="90" xfId="1" applyNumberFormat="1" applyFont="1" applyBorder="1" applyAlignment="1" applyProtection="1">
      <alignment horizontal="center" vertical="center"/>
    </xf>
    <xf numFmtId="0" fontId="4" fillId="27" borderId="162" xfId="105" applyFont="1" applyFill="1" applyBorder="1" applyAlignment="1" applyProtection="1">
      <alignment horizontal="center" vertical="center"/>
    </xf>
    <xf numFmtId="188" fontId="4" fillId="27" borderId="90" xfId="1" applyNumberFormat="1" applyFont="1" applyFill="1" applyBorder="1" applyAlignment="1" applyProtection="1">
      <alignment horizontal="center" vertical="center"/>
    </xf>
    <xf numFmtId="170" fontId="6" fillId="0" borderId="44" xfId="131" applyNumberFormat="1" applyFont="1" applyBorder="1" applyAlignment="1" applyProtection="1">
      <alignment vertical="center"/>
    </xf>
    <xf numFmtId="170" fontId="6" fillId="27" borderId="44" xfId="131" applyNumberFormat="1" applyFont="1" applyFill="1" applyBorder="1" applyAlignment="1" applyProtection="1">
      <alignment vertical="center"/>
    </xf>
    <xf numFmtId="212" fontId="16" fillId="0" borderId="0" xfId="131" applyNumberFormat="1" applyFont="1" applyBorder="1" applyAlignment="1" applyProtection="1">
      <alignment vertical="center"/>
    </xf>
    <xf numFmtId="170" fontId="4" fillId="0" borderId="0" xfId="1" applyNumberFormat="1" applyFont="1" applyBorder="1" applyAlignment="1" applyProtection="1">
      <alignment vertical="center"/>
    </xf>
    <xf numFmtId="212" fontId="16" fillId="27" borderId="0" xfId="131" applyNumberFormat="1" applyFont="1" applyFill="1" applyBorder="1" applyAlignment="1" applyProtection="1">
      <alignment vertical="center"/>
    </xf>
    <xf numFmtId="170" fontId="16" fillId="27" borderId="19" xfId="131" applyNumberFormat="1" applyFont="1" applyFill="1" applyBorder="1" applyAlignment="1" applyProtection="1">
      <alignment vertical="center"/>
    </xf>
    <xf numFmtId="170" fontId="16" fillId="0" borderId="19" xfId="131" applyNumberFormat="1" applyFont="1" applyBorder="1" applyAlignment="1" applyProtection="1">
      <alignment vertical="center"/>
    </xf>
    <xf numFmtId="0" fontId="4" fillId="0" borderId="2" xfId="1" applyFont="1" applyBorder="1" applyAlignment="1" applyProtection="1">
      <alignment vertical="center"/>
    </xf>
    <xf numFmtId="0" fontId="4" fillId="0" borderId="44" xfId="1" applyFont="1" applyBorder="1" applyProtection="1"/>
    <xf numFmtId="212" fontId="14" fillId="0" borderId="2" xfId="131" applyNumberFormat="1" applyFont="1" applyBorder="1" applyAlignment="1" applyProtection="1">
      <alignment vertical="center"/>
    </xf>
    <xf numFmtId="212" fontId="14" fillId="27" borderId="2" xfId="131" applyNumberFormat="1" applyFont="1" applyFill="1" applyBorder="1" applyAlignment="1" applyProtection="1">
      <alignment vertical="center"/>
    </xf>
    <xf numFmtId="189" fontId="14" fillId="0" borderId="42" xfId="131" applyNumberFormat="1" applyFont="1" applyFill="1" applyBorder="1" applyAlignment="1" applyProtection="1">
      <alignment vertical="center"/>
    </xf>
    <xf numFmtId="189" fontId="14" fillId="0" borderId="0" xfId="131" applyNumberFormat="1" applyFont="1" applyFill="1" applyBorder="1" applyAlignment="1" applyProtection="1">
      <alignment vertical="center"/>
    </xf>
    <xf numFmtId="189" fontId="14" fillId="0" borderId="19" xfId="131" applyNumberFormat="1" applyFont="1" applyFill="1" applyBorder="1" applyAlignment="1" applyProtection="1">
      <alignment vertical="center"/>
    </xf>
    <xf numFmtId="0" fontId="4" fillId="0" borderId="92" xfId="105" applyFont="1" applyBorder="1" applyAlignment="1" applyProtection="1">
      <alignment horizontal="center" vertical="center"/>
    </xf>
    <xf numFmtId="189" fontId="14" fillId="31" borderId="42" xfId="131" applyNumberFormat="1" applyFont="1" applyFill="1" applyBorder="1" applyAlignment="1" applyProtection="1">
      <alignment vertical="center"/>
      <protection locked="0"/>
    </xf>
    <xf numFmtId="0" fontId="4" fillId="27" borderId="92" xfId="105" applyFont="1" applyFill="1" applyBorder="1" applyAlignment="1" applyProtection="1">
      <alignment horizontal="center" vertical="center"/>
    </xf>
    <xf numFmtId="0" fontId="4" fillId="0" borderId="39" xfId="1" applyFont="1" applyBorder="1" applyProtection="1"/>
    <xf numFmtId="182" fontId="6" fillId="0" borderId="163" xfId="131" applyNumberFormat="1" applyFont="1" applyBorder="1" applyAlignment="1" applyProtection="1">
      <alignment vertical="center"/>
    </xf>
    <xf numFmtId="182" fontId="6" fillId="4" borderId="163" xfId="131" applyNumberFormat="1" applyFont="1" applyFill="1" applyBorder="1" applyAlignment="1" applyProtection="1">
      <alignment vertical="center"/>
    </xf>
    <xf numFmtId="189" fontId="14" fillId="0" borderId="44" xfId="131" applyNumberFormat="1" applyFont="1" applyBorder="1" applyAlignment="1" applyProtection="1">
      <alignment vertical="center"/>
    </xf>
    <xf numFmtId="189" fontId="14" fillId="27" borderId="44" xfId="131" applyNumberFormat="1" applyFont="1" applyFill="1" applyBorder="1" applyAlignment="1" applyProtection="1">
      <alignment vertical="center"/>
    </xf>
    <xf numFmtId="189" fontId="14" fillId="0" borderId="0" xfId="131" applyNumberFormat="1" applyFont="1" applyBorder="1" applyAlignment="1" applyProtection="1">
      <alignment horizontal="center" vertical="center"/>
    </xf>
    <xf numFmtId="188" fontId="4" fillId="27" borderId="92" xfId="1" applyNumberFormat="1" applyFont="1" applyFill="1" applyBorder="1" applyAlignment="1" applyProtection="1">
      <alignment horizontal="center" vertical="center"/>
    </xf>
    <xf numFmtId="189" fontId="14" fillId="27" borderId="0" xfId="131" applyNumberFormat="1" applyFont="1" applyFill="1" applyBorder="1" applyAlignment="1" applyProtection="1">
      <alignment horizontal="center" vertical="center"/>
    </xf>
    <xf numFmtId="188" fontId="4" fillId="0" borderId="92" xfId="1" applyNumberFormat="1" applyFont="1" applyBorder="1" applyAlignment="1" applyProtection="1">
      <alignment horizontal="center" vertical="center"/>
    </xf>
    <xf numFmtId="184" fontId="15" fillId="4" borderId="58" xfId="131" applyNumberFormat="1" applyFont="1" applyFill="1" applyBorder="1" applyAlignment="1" applyProtection="1">
      <alignment horizontal="center" vertical="center"/>
    </xf>
    <xf numFmtId="189" fontId="14" fillId="0" borderId="58" xfId="131" applyNumberFormat="1" applyFont="1" applyBorder="1" applyAlignment="1" applyProtection="1">
      <alignment vertical="center"/>
    </xf>
    <xf numFmtId="0" fontId="4" fillId="0" borderId="57" xfId="1" applyFont="1" applyBorder="1" applyAlignment="1" applyProtection="1">
      <alignment vertical="center"/>
    </xf>
    <xf numFmtId="0" fontId="4" fillId="0" borderId="0" xfId="1" applyFont="1"/>
    <xf numFmtId="0" fontId="4" fillId="0" borderId="36" xfId="1" applyFont="1" applyBorder="1" applyAlignment="1" applyProtection="1">
      <alignment vertical="center"/>
    </xf>
    <xf numFmtId="0" fontId="4" fillId="0" borderId="25" xfId="1" applyFont="1" applyBorder="1" applyAlignment="1" applyProtection="1">
      <alignment vertical="center"/>
    </xf>
    <xf numFmtId="0" fontId="4" fillId="0" borderId="34"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3" fillId="0" borderId="290" xfId="1" applyFont="1" applyBorder="1" applyAlignment="1" applyProtection="1">
      <alignment vertical="center"/>
    </xf>
    <xf numFmtId="0" fontId="63" fillId="0" borderId="0" xfId="67" applyFont="1"/>
    <xf numFmtId="0" fontId="4" fillId="0" borderId="0" xfId="67" applyFont="1" applyAlignment="1" applyProtection="1">
      <alignment horizontal="left" vertical="center"/>
    </xf>
    <xf numFmtId="0" fontId="20" fillId="31" borderId="36" xfId="1" applyFont="1" applyFill="1" applyBorder="1" applyAlignment="1" applyProtection="1">
      <alignment horizontal="left" vertical="center"/>
      <protection locked="0"/>
    </xf>
    <xf numFmtId="0" fontId="9" fillId="0" borderId="0" xfId="1" applyFont="1" applyBorder="1" applyAlignment="1" applyProtection="1">
      <alignment horizontal="right" vertical="center"/>
    </xf>
    <xf numFmtId="0" fontId="4" fillId="0" borderId="0" xfId="1" applyBorder="1" applyAlignment="1" applyProtection="1">
      <alignment vertical="center"/>
    </xf>
    <xf numFmtId="172" fontId="9" fillId="33" borderId="0" xfId="1" applyNumberFormat="1" applyFont="1" applyFill="1" applyBorder="1" applyAlignment="1">
      <alignment horizontal="center" vertical="center" wrapText="1"/>
    </xf>
    <xf numFmtId="0" fontId="46" fillId="0" borderId="0" xfId="1" applyFont="1" applyBorder="1" applyAlignment="1">
      <alignment vertical="center"/>
    </xf>
    <xf numFmtId="0" fontId="20" fillId="0" borderId="0" xfId="1" applyFont="1" applyBorder="1" applyAlignment="1" applyProtection="1">
      <alignment horizontal="center"/>
    </xf>
    <xf numFmtId="3" fontId="77" fillId="4" borderId="40" xfId="1" applyNumberFormat="1" applyFont="1" applyFill="1" applyBorder="1" applyAlignment="1">
      <alignment horizontal="left" vertical="center"/>
    </xf>
    <xf numFmtId="207" fontId="120" fillId="4" borderId="40" xfId="1" applyNumberFormat="1" applyFont="1" applyFill="1" applyBorder="1" applyAlignment="1">
      <alignment horizontal="left" vertical="center"/>
    </xf>
    <xf numFmtId="3" fontId="77" fillId="4" borderId="74" xfId="1" applyNumberFormat="1" applyFont="1" applyFill="1" applyBorder="1" applyAlignment="1">
      <alignment horizontal="left" vertical="center" wrapText="1"/>
    </xf>
    <xf numFmtId="0" fontId="64" fillId="51" borderId="0" xfId="1" applyFont="1" applyFill="1" applyBorder="1" applyAlignment="1" applyProtection="1">
      <alignment horizontal="center" vertical="top" wrapText="1"/>
    </xf>
    <xf numFmtId="174" fontId="6" fillId="51" borderId="0" xfId="1" applyNumberFormat="1" applyFont="1" applyFill="1" applyBorder="1" applyAlignment="1" applyProtection="1">
      <alignment vertical="center"/>
    </xf>
    <xf numFmtId="174" fontId="14" fillId="51" borderId="0" xfId="1" applyNumberFormat="1" applyFont="1" applyFill="1" applyBorder="1" applyAlignment="1" applyProtection="1">
      <alignment vertical="center"/>
    </xf>
    <xf numFmtId="0" fontId="4" fillId="51" borderId="0" xfId="1" applyFont="1" applyFill="1" applyBorder="1" applyProtection="1"/>
    <xf numFmtId="0" fontId="4" fillId="51" borderId="0" xfId="1" applyFont="1" applyFill="1" applyBorder="1"/>
    <xf numFmtId="0" fontId="5" fillId="51" borderId="0" xfId="1" applyFont="1" applyFill="1" applyBorder="1" applyProtection="1"/>
    <xf numFmtId="0" fontId="5" fillId="51" borderId="0" xfId="1" applyFont="1" applyFill="1" applyBorder="1"/>
    <xf numFmtId="0" fontId="43" fillId="51" borderId="57" xfId="1" applyFont="1" applyFill="1" applyBorder="1" applyAlignment="1" applyProtection="1">
      <alignment horizontal="center" vertical="top" wrapText="1"/>
    </xf>
    <xf numFmtId="174" fontId="13" fillId="51" borderId="57" xfId="1" applyNumberFormat="1" applyFont="1" applyFill="1" applyBorder="1" applyAlignment="1" applyProtection="1">
      <alignment vertical="center"/>
    </xf>
    <xf numFmtId="174" fontId="6" fillId="51" borderId="2" xfId="1" applyNumberFormat="1" applyFont="1" applyFill="1" applyBorder="1" applyAlignment="1" applyProtection="1">
      <alignment vertical="center"/>
    </xf>
    <xf numFmtId="0" fontId="55" fillId="52" borderId="3" xfId="1" applyFont="1" applyFill="1" applyBorder="1" applyAlignment="1" applyProtection="1">
      <alignment vertical="center" wrapText="1"/>
    </xf>
    <xf numFmtId="0" fontId="55" fillId="53" borderId="3" xfId="1" applyFont="1" applyFill="1" applyBorder="1" applyAlignment="1" applyProtection="1">
      <alignment vertical="center" wrapText="1"/>
    </xf>
    <xf numFmtId="0" fontId="55" fillId="53" borderId="34" xfId="1" applyFont="1" applyFill="1" applyBorder="1" applyAlignment="1" applyProtection="1">
      <alignment vertical="center" wrapText="1"/>
    </xf>
    <xf numFmtId="0" fontId="18" fillId="0" borderId="0" xfId="1" applyFont="1" applyAlignment="1" applyProtection="1">
      <alignment horizontal="right" vertical="center"/>
    </xf>
    <xf numFmtId="0" fontId="55" fillId="52" borderId="49" xfId="1" applyFont="1" applyFill="1" applyBorder="1" applyAlignment="1" applyProtection="1">
      <alignment vertical="center" wrapText="1"/>
    </xf>
    <xf numFmtId="0" fontId="55" fillId="53" borderId="49" xfId="1" applyFont="1" applyFill="1" applyBorder="1" applyAlignment="1" applyProtection="1">
      <alignment vertical="center" wrapText="1"/>
    </xf>
    <xf numFmtId="0" fontId="20" fillId="0" borderId="0" xfId="1" applyFont="1" applyProtection="1"/>
    <xf numFmtId="0" fontId="9" fillId="0" borderId="0" xfId="1" applyFont="1" applyBorder="1" applyAlignment="1" applyProtection="1">
      <alignment vertical="center"/>
      <protection locked="0"/>
    </xf>
    <xf numFmtId="0" fontId="43" fillId="33" borderId="0" xfId="1" applyFont="1" applyFill="1" applyBorder="1" applyAlignment="1">
      <alignment vertical="center"/>
    </xf>
    <xf numFmtId="0" fontId="6" fillId="33" borderId="0" xfId="1" applyFont="1" applyFill="1" applyBorder="1" applyAlignment="1">
      <alignment vertical="center"/>
    </xf>
    <xf numFmtId="0" fontId="13" fillId="33" borderId="0" xfId="1" applyFont="1" applyFill="1" applyBorder="1" applyAlignment="1">
      <alignment horizontal="right" vertical="center"/>
    </xf>
    <xf numFmtId="178" fontId="6" fillId="33" borderId="0" xfId="1" applyNumberFormat="1" applyFont="1" applyFill="1" applyBorder="1" applyAlignment="1" applyProtection="1">
      <alignment vertical="center"/>
    </xf>
    <xf numFmtId="0" fontId="4" fillId="33" borderId="0" xfId="1" applyFill="1" applyBorder="1"/>
    <xf numFmtId="0" fontId="13" fillId="33" borderId="0" xfId="1" applyFont="1" applyFill="1" applyBorder="1" applyAlignment="1">
      <alignment vertical="center"/>
    </xf>
    <xf numFmtId="0" fontId="6" fillId="33" borderId="0" xfId="1" applyFont="1" applyFill="1" applyBorder="1" applyAlignment="1">
      <alignment horizontal="right" vertical="center"/>
    </xf>
    <xf numFmtId="0" fontId="13" fillId="33" borderId="2" xfId="1" applyFont="1" applyFill="1" applyBorder="1" applyAlignment="1">
      <alignment vertical="center"/>
    </xf>
    <xf numFmtId="0" fontId="14" fillId="33" borderId="0" xfId="1" applyFont="1" applyFill="1" applyBorder="1" applyAlignment="1">
      <alignment vertical="center"/>
    </xf>
    <xf numFmtId="0" fontId="73" fillId="0" borderId="2" xfId="1" applyFont="1" applyFill="1" applyBorder="1" applyAlignment="1">
      <alignment vertical="top"/>
    </xf>
    <xf numFmtId="0" fontId="4" fillId="0" borderId="2" xfId="1" applyFill="1" applyBorder="1" applyAlignment="1">
      <alignment vertical="center"/>
    </xf>
    <xf numFmtId="0" fontId="4" fillId="0" borderId="2" xfId="1" applyFill="1" applyBorder="1" applyAlignment="1">
      <alignment horizontal="right" vertical="center"/>
    </xf>
    <xf numFmtId="0" fontId="13" fillId="0" borderId="39" xfId="1" applyFont="1" applyFill="1" applyBorder="1" applyAlignment="1">
      <alignment horizontal="center" vertical="center"/>
    </xf>
    <xf numFmtId="0" fontId="13" fillId="0" borderId="2" xfId="1" applyFont="1" applyFill="1" applyBorder="1" applyAlignment="1">
      <alignment horizontal="center" vertical="center"/>
    </xf>
    <xf numFmtId="0" fontId="75" fillId="0" borderId="39" xfId="1"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protection locked="0"/>
    </xf>
    <xf numFmtId="0" fontId="13" fillId="0" borderId="40" xfId="1" applyFont="1" applyBorder="1" applyAlignment="1" applyProtection="1">
      <alignment horizontal="centerContinuous" vertical="center"/>
    </xf>
    <xf numFmtId="0" fontId="13" fillId="0" borderId="19" xfId="1" applyFont="1" applyFill="1" applyBorder="1" applyAlignment="1" applyProtection="1">
      <alignment horizontal="centerContinuous" vertical="center"/>
    </xf>
    <xf numFmtId="0" fontId="13" fillId="0" borderId="67" xfId="1" applyFont="1" applyBorder="1" applyAlignment="1" applyProtection="1">
      <alignment horizontal="center" vertical="center"/>
    </xf>
    <xf numFmtId="0" fontId="13" fillId="0" borderId="66" xfId="1" applyFont="1" applyBorder="1" applyAlignment="1" applyProtection="1">
      <alignment horizontal="center" vertical="center"/>
    </xf>
    <xf numFmtId="0" fontId="13" fillId="0" borderId="66" xfId="1" applyFont="1" applyFill="1" applyBorder="1" applyAlignment="1" applyProtection="1">
      <alignment horizontal="center" vertical="center"/>
    </xf>
    <xf numFmtId="0" fontId="73" fillId="33" borderId="0" xfId="1" applyFont="1" applyFill="1" applyBorder="1" applyAlignment="1">
      <alignment vertical="top"/>
    </xf>
    <xf numFmtId="0" fontId="4" fillId="33" borderId="0" xfId="1" applyFill="1" applyBorder="1" applyAlignment="1">
      <alignment vertical="center"/>
    </xf>
    <xf numFmtId="0" fontId="75" fillId="4" borderId="39" xfId="1" applyFont="1" applyFill="1" applyBorder="1" applyAlignment="1" applyProtection="1">
      <alignment horizontal="center" vertical="center"/>
    </xf>
    <xf numFmtId="9" fontId="6" fillId="4" borderId="39" xfId="61" applyNumberFormat="1" applyFont="1" applyFill="1" applyBorder="1" applyAlignment="1" applyProtection="1">
      <alignment horizontal="center" vertical="center"/>
    </xf>
    <xf numFmtId="0" fontId="14" fillId="0" borderId="290" xfId="1" applyFont="1" applyBorder="1" applyAlignment="1">
      <alignment vertical="center"/>
    </xf>
    <xf numFmtId="0" fontId="6" fillId="0" borderId="290" xfId="1" applyFont="1" applyBorder="1" applyAlignment="1">
      <alignment vertical="center"/>
    </xf>
    <xf numFmtId="0" fontId="13" fillId="0" borderId="290" xfId="1" applyFont="1" applyBorder="1" applyAlignment="1">
      <alignment horizontal="right" vertical="center"/>
    </xf>
    <xf numFmtId="176" fontId="6" fillId="0" borderId="40" xfId="1" applyNumberFormat="1" applyFont="1" applyBorder="1" applyAlignment="1">
      <alignment vertical="center"/>
    </xf>
    <xf numFmtId="177" fontId="6" fillId="33" borderId="0" xfId="1" applyNumberFormat="1" applyFont="1" applyFill="1" applyBorder="1" applyAlignment="1" applyProtection="1">
      <alignment horizontal="right" vertical="center"/>
    </xf>
    <xf numFmtId="184" fontId="6" fillId="4" borderId="39" xfId="61" applyNumberFormat="1" applyFont="1" applyFill="1" applyBorder="1" applyAlignment="1" applyProtection="1">
      <alignment horizontal="center" vertical="center"/>
    </xf>
    <xf numFmtId="0" fontId="9" fillId="0" borderId="290" xfId="1" applyFont="1" applyBorder="1" applyAlignment="1">
      <alignment horizontal="right" vertical="center"/>
    </xf>
    <xf numFmtId="0" fontId="4" fillId="33" borderId="0" xfId="1" applyFill="1" applyBorder="1" applyAlignment="1">
      <alignment horizontal="right" vertical="center"/>
    </xf>
    <xf numFmtId="0" fontId="13" fillId="33" borderId="0" xfId="1" applyFont="1" applyFill="1" applyBorder="1" applyAlignment="1">
      <alignment horizontal="centerContinuous" vertical="center"/>
    </xf>
    <xf numFmtId="0" fontId="4" fillId="33" borderId="0" xfId="1" applyFill="1" applyBorder="1" applyAlignment="1">
      <alignment horizontal="centerContinuous" vertical="center"/>
    </xf>
    <xf numFmtId="0" fontId="13" fillId="0" borderId="40" xfId="1" applyFont="1" applyBorder="1" applyAlignment="1" applyProtection="1">
      <alignment horizontal="center" vertical="center"/>
    </xf>
    <xf numFmtId="0" fontId="73" fillId="0" borderId="2" xfId="1" applyFont="1" applyBorder="1" applyAlignment="1" applyProtection="1">
      <alignment vertical="top"/>
    </xf>
    <xf numFmtId="0" fontId="13" fillId="0" borderId="39" xfId="1" applyFont="1" applyBorder="1" applyAlignment="1" applyProtection="1">
      <alignment horizontal="center" vertical="center"/>
    </xf>
    <xf numFmtId="178" fontId="6" fillId="0" borderId="43" xfId="1" applyNumberFormat="1" applyFont="1" applyBorder="1" applyAlignment="1" applyProtection="1">
      <alignment vertical="center"/>
    </xf>
    <xf numFmtId="178" fontId="6" fillId="0" borderId="40" xfId="1" applyNumberFormat="1" applyFont="1" applyBorder="1" applyAlignment="1" applyProtection="1">
      <alignment vertical="center"/>
    </xf>
    <xf numFmtId="0" fontId="73" fillId="0" borderId="0" xfId="1" applyFont="1" applyBorder="1" applyAlignment="1" applyProtection="1">
      <alignment vertical="top"/>
    </xf>
    <xf numFmtId="177" fontId="6" fillId="4" borderId="0" xfId="1" applyNumberFormat="1" applyFont="1" applyFill="1" applyBorder="1" applyAlignment="1" applyProtection="1">
      <alignment horizontal="right" vertical="center"/>
    </xf>
    <xf numFmtId="177" fontId="6" fillId="4" borderId="40" xfId="1" applyNumberFormat="1" applyFont="1" applyFill="1" applyBorder="1" applyAlignment="1" applyProtection="1">
      <alignment horizontal="centerContinuous" vertical="center"/>
    </xf>
    <xf numFmtId="177" fontId="6" fillId="4" borderId="0" xfId="1" applyNumberFormat="1" applyFont="1" applyFill="1" applyBorder="1" applyAlignment="1" applyProtection="1">
      <alignment horizontal="centerContinuous" vertical="center"/>
    </xf>
    <xf numFmtId="0" fontId="6" fillId="0" borderId="0" xfId="1" applyFont="1" applyBorder="1" applyAlignment="1" applyProtection="1">
      <alignment horizontal="centerContinuous" vertical="center"/>
    </xf>
    <xf numFmtId="0" fontId="6" fillId="0" borderId="0" xfId="1" applyFont="1" applyFill="1" applyBorder="1" applyAlignment="1" applyProtection="1">
      <alignment horizontal="centerContinuous"/>
    </xf>
    <xf numFmtId="0" fontId="13" fillId="4" borderId="2" xfId="1" applyFont="1" applyFill="1" applyBorder="1" applyAlignment="1" applyProtection="1">
      <alignment horizontal="center" vertical="center"/>
    </xf>
    <xf numFmtId="0" fontId="14" fillId="0" borderId="290" xfId="1" applyFont="1" applyBorder="1" applyAlignment="1" applyProtection="1">
      <alignment vertical="center"/>
    </xf>
    <xf numFmtId="0" fontId="6" fillId="0" borderId="290" xfId="1" applyFont="1" applyBorder="1" applyAlignment="1" applyProtection="1">
      <alignment vertical="center"/>
    </xf>
    <xf numFmtId="0" fontId="9" fillId="0" borderId="290" xfId="1" applyFont="1" applyBorder="1" applyAlignment="1" applyProtection="1">
      <alignment horizontal="right" vertical="center"/>
    </xf>
    <xf numFmtId="176" fontId="6" fillId="0" borderId="43" xfId="1" applyNumberFormat="1" applyFont="1" applyBorder="1" applyAlignment="1" applyProtection="1">
      <alignment vertical="center"/>
    </xf>
    <xf numFmtId="176" fontId="6" fillId="0" borderId="40" xfId="1" applyNumberFormat="1" applyFont="1" applyBorder="1" applyAlignment="1" applyProtection="1">
      <alignment vertical="center"/>
    </xf>
    <xf numFmtId="176" fontId="6" fillId="0" borderId="40" xfId="61" applyNumberFormat="1" applyFont="1" applyBorder="1" applyAlignment="1" applyProtection="1">
      <alignment vertical="center"/>
    </xf>
    <xf numFmtId="0" fontId="4" fillId="0" borderId="40" xfId="1" applyBorder="1" applyAlignment="1" applyProtection="1">
      <alignment horizontal="centerContinuous" vertical="center"/>
    </xf>
    <xf numFmtId="0" fontId="9" fillId="0" borderId="19" xfId="1" applyFont="1" applyFill="1" applyBorder="1" applyAlignment="1" applyProtection="1">
      <alignment horizontal="centerContinuous" vertical="center"/>
    </xf>
    <xf numFmtId="0" fontId="75" fillId="4" borderId="40" xfId="1" applyFont="1" applyFill="1" applyBorder="1" applyAlignment="1" applyProtection="1">
      <alignment horizontal="center" vertical="center"/>
    </xf>
    <xf numFmtId="0" fontId="13" fillId="4" borderId="39" xfId="1" applyFont="1" applyFill="1" applyBorder="1" applyAlignment="1" applyProtection="1">
      <alignment horizontal="center" vertical="center"/>
    </xf>
    <xf numFmtId="0" fontId="13" fillId="0" borderId="290" xfId="1" applyFont="1" applyBorder="1" applyAlignment="1" applyProtection="1">
      <alignment horizontal="right" vertical="center"/>
    </xf>
    <xf numFmtId="176" fontId="6" fillId="0" borderId="290" xfId="1" applyNumberFormat="1" applyFont="1" applyFill="1" applyBorder="1" applyAlignment="1" applyProtection="1">
      <alignment vertical="center"/>
    </xf>
    <xf numFmtId="0" fontId="4" fillId="0" borderId="0" xfId="1" applyFill="1" applyBorder="1" applyAlignment="1" applyProtection="1">
      <alignment horizontal="centerContinuous" vertical="center"/>
    </xf>
    <xf numFmtId="0" fontId="6" fillId="0" borderId="0" xfId="1" applyFont="1" applyFill="1" applyBorder="1" applyAlignment="1" applyProtection="1">
      <alignment horizontal="right" vertical="center"/>
    </xf>
    <xf numFmtId="170" fontId="6" fillId="0" borderId="67" xfId="1" applyNumberFormat="1" applyFont="1" applyFill="1" applyBorder="1" applyAlignment="1" applyProtection="1">
      <alignment vertical="center"/>
    </xf>
    <xf numFmtId="170" fontId="6" fillId="0" borderId="66" xfId="1" applyNumberFormat="1" applyFont="1" applyFill="1" applyBorder="1" applyAlignment="1" applyProtection="1">
      <alignment vertical="center"/>
    </xf>
    <xf numFmtId="170" fontId="6" fillId="0" borderId="65" xfId="1" applyNumberFormat="1" applyFont="1" applyFill="1" applyBorder="1" applyAlignment="1" applyProtection="1">
      <alignment vertical="center"/>
    </xf>
    <xf numFmtId="3" fontId="120" fillId="0" borderId="0" xfId="1" applyNumberFormat="1" applyFont="1" applyFill="1" applyBorder="1" applyAlignment="1">
      <alignment horizontal="left" vertical="center"/>
    </xf>
    <xf numFmtId="3" fontId="120" fillId="0" borderId="0" xfId="1" applyNumberFormat="1" applyFont="1" applyFill="1" applyBorder="1" applyAlignment="1">
      <alignment horizontal="right" vertical="center"/>
    </xf>
    <xf numFmtId="3" fontId="77" fillId="0" borderId="48" xfId="1" quotePrefix="1" applyNumberFormat="1" applyFont="1" applyFill="1" applyBorder="1" applyAlignment="1">
      <alignment horizontal="right" vertical="center"/>
    </xf>
    <xf numFmtId="3" fontId="77" fillId="0" borderId="48" xfId="1" applyNumberFormat="1" applyFont="1" applyFill="1" applyBorder="1" applyAlignment="1">
      <alignment horizontal="right" vertical="center"/>
    </xf>
    <xf numFmtId="3" fontId="77" fillId="0" borderId="146" xfId="1" applyNumberFormat="1" applyFont="1" applyFill="1" applyBorder="1" applyAlignment="1">
      <alignment horizontal="right" vertical="center"/>
    </xf>
    <xf numFmtId="3" fontId="77" fillId="0" borderId="47" xfId="1" quotePrefix="1" applyNumberFormat="1" applyFont="1" applyFill="1" applyBorder="1" applyAlignment="1">
      <alignment horizontal="right" vertical="center"/>
    </xf>
    <xf numFmtId="3" fontId="120" fillId="0" borderId="0" xfId="1" applyNumberFormat="1" applyFont="1" applyFill="1" applyAlignment="1">
      <alignment horizontal="right" vertical="center"/>
    </xf>
    <xf numFmtId="3" fontId="120" fillId="0" borderId="108" xfId="1" applyNumberFormat="1" applyFont="1" applyFill="1" applyBorder="1" applyAlignment="1">
      <alignment horizontal="right" vertical="center"/>
    </xf>
    <xf numFmtId="3" fontId="120" fillId="0" borderId="95" xfId="1" applyNumberFormat="1" applyFont="1" applyFill="1" applyBorder="1" applyAlignment="1">
      <alignment horizontal="right" vertical="center"/>
    </xf>
    <xf numFmtId="3" fontId="77" fillId="0" borderId="102" xfId="1" quotePrefix="1" applyNumberFormat="1" applyFont="1" applyFill="1" applyBorder="1" applyAlignment="1">
      <alignment horizontal="right" vertical="center"/>
    </xf>
    <xf numFmtId="3" fontId="77" fillId="0" borderId="101" xfId="1" quotePrefix="1" applyNumberFormat="1" applyFont="1" applyFill="1" applyBorder="1" applyAlignment="1">
      <alignment horizontal="right" vertical="center"/>
    </xf>
    <xf numFmtId="3" fontId="77" fillId="0" borderId="101" xfId="1" applyNumberFormat="1" applyFont="1" applyFill="1" applyBorder="1" applyAlignment="1">
      <alignment horizontal="right" vertical="center"/>
    </xf>
    <xf numFmtId="3" fontId="77" fillId="0" borderId="93" xfId="1" applyNumberFormat="1" applyFont="1" applyFill="1" applyBorder="1" applyAlignment="1">
      <alignment horizontal="right" vertical="center"/>
    </xf>
    <xf numFmtId="3" fontId="77" fillId="0" borderId="108" xfId="1" applyNumberFormat="1" applyFont="1" applyFill="1" applyBorder="1" applyAlignment="1">
      <alignment horizontal="right" vertical="center"/>
    </xf>
    <xf numFmtId="3" fontId="77" fillId="0" borderId="95" xfId="1" applyNumberFormat="1" applyFont="1" applyFill="1" applyBorder="1" applyAlignment="1">
      <alignment horizontal="right" vertical="center"/>
    </xf>
    <xf numFmtId="3" fontId="77" fillId="0" borderId="102" xfId="1" applyNumberFormat="1" applyFont="1" applyFill="1" applyBorder="1" applyAlignment="1">
      <alignment horizontal="right" vertical="center"/>
    </xf>
    <xf numFmtId="0" fontId="46" fillId="0" borderId="0" xfId="1" applyFont="1" applyAlignment="1">
      <alignment horizontal="left" vertical="center" wrapText="1"/>
    </xf>
    <xf numFmtId="4" fontId="20" fillId="0" borderId="40" xfId="1" applyNumberFormat="1" applyFont="1" applyFill="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0" fillId="0" borderId="19" xfId="0" applyBorder="1" applyAlignment="1" applyProtection="1">
      <alignment horizontal="left" vertical="center"/>
    </xf>
    <xf numFmtId="178" fontId="6" fillId="31" borderId="0" xfId="1" applyNumberFormat="1" applyFont="1" applyFill="1" applyBorder="1" applyAlignment="1" applyProtection="1">
      <alignment vertical="center"/>
      <protection locked="0"/>
    </xf>
    <xf numFmtId="0" fontId="13" fillId="37" borderId="0" xfId="1" applyFont="1" applyFill="1" applyBorder="1" applyAlignment="1" applyProtection="1">
      <alignment horizontal="center" vertical="center"/>
    </xf>
    <xf numFmtId="0" fontId="4" fillId="0" borderId="0" xfId="1" applyFont="1" applyBorder="1" applyAlignment="1"/>
    <xf numFmtId="0" fontId="4" fillId="0" borderId="0" xfId="1" applyFont="1" applyBorder="1" applyAlignment="1">
      <alignment wrapText="1"/>
    </xf>
    <xf numFmtId="0" fontId="16" fillId="0" borderId="290" xfId="1" applyFont="1" applyBorder="1" applyAlignment="1" applyProtection="1">
      <alignment horizontal="left" vertical="center"/>
    </xf>
    <xf numFmtId="170" fontId="6" fillId="4" borderId="290" xfId="1" applyNumberFormat="1" applyFont="1" applyFill="1" applyBorder="1" applyAlignment="1" applyProtection="1">
      <alignment horizontal="right" vertical="center"/>
    </xf>
    <xf numFmtId="170" fontId="6" fillId="27" borderId="290" xfId="1" applyNumberFormat="1" applyFont="1" applyFill="1" applyBorder="1" applyAlignment="1" applyProtection="1">
      <alignment horizontal="right" vertical="center"/>
    </xf>
    <xf numFmtId="0" fontId="4" fillId="33" borderId="24" xfId="1" applyFill="1" applyBorder="1" applyAlignment="1">
      <alignment vertical="center"/>
    </xf>
    <xf numFmtId="0" fontId="5" fillId="33" borderId="24" xfId="1" applyFont="1" applyFill="1" applyBorder="1" applyAlignment="1">
      <alignment horizontal="left" vertical="center"/>
    </xf>
    <xf numFmtId="0" fontId="9" fillId="33" borderId="0" xfId="1" applyFont="1" applyFill="1" applyBorder="1" applyAlignment="1">
      <alignment vertical="center"/>
    </xf>
    <xf numFmtId="0" fontId="4" fillId="0" borderId="0" xfId="1" applyFont="1" applyBorder="1" applyAlignment="1">
      <alignment vertical="center"/>
    </xf>
    <xf numFmtId="171" fontId="9" fillId="33"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15" fillId="0" borderId="0" xfId="67" applyFont="1" applyAlignment="1">
      <alignment horizontal="left" wrapText="1"/>
    </xf>
    <xf numFmtId="0" fontId="4" fillId="0" borderId="0" xfId="1" applyAlignment="1" applyProtection="1">
      <alignment vertical="center"/>
    </xf>
    <xf numFmtId="0" fontId="5" fillId="0" borderId="0" xfId="1" applyFont="1" applyBorder="1" applyAlignment="1" applyProtection="1">
      <alignment vertical="center"/>
    </xf>
    <xf numFmtId="0" fontId="9" fillId="0" borderId="0" xfId="67"/>
    <xf numFmtId="171" fontId="16" fillId="54" borderId="25" xfId="1" applyNumberFormat="1" applyFont="1" applyFill="1" applyBorder="1" applyAlignment="1">
      <alignment horizontal="right" vertical="center"/>
    </xf>
    <xf numFmtId="171" fontId="45" fillId="30" borderId="40" xfId="1" applyNumberFormat="1" applyFont="1" applyFill="1" applyBorder="1" applyAlignment="1">
      <alignment horizontal="right" vertical="center"/>
    </xf>
    <xf numFmtId="171" fontId="45" fillId="30" borderId="19" xfId="1" applyNumberFormat="1" applyFont="1" applyFill="1" applyBorder="1" applyAlignment="1">
      <alignment horizontal="right" vertical="center"/>
    </xf>
    <xf numFmtId="0" fontId="5" fillId="0" borderId="19" xfId="1" applyFont="1" applyBorder="1" applyAlignment="1">
      <alignment horizontal="center" vertical="center"/>
    </xf>
    <xf numFmtId="0" fontId="43" fillId="0" borderId="40" xfId="1" applyFont="1" applyBorder="1" applyAlignment="1">
      <alignment vertical="center"/>
    </xf>
    <xf numFmtId="0" fontId="54" fillId="0" borderId="0" xfId="1" applyFont="1" applyBorder="1" applyAlignment="1">
      <alignment horizontal="centerContinuous" vertical="center"/>
    </xf>
    <xf numFmtId="172" fontId="51" fillId="30" borderId="40" xfId="1" applyNumberFormat="1" applyFont="1" applyFill="1" applyBorder="1" applyAlignment="1">
      <alignment horizontal="center" vertical="center" wrapText="1"/>
    </xf>
    <xf numFmtId="173" fontId="52" fillId="0" borderId="19" xfId="1" applyNumberFormat="1" applyFont="1" applyBorder="1" applyAlignment="1">
      <alignment horizontal="center" vertical="center" wrapText="1"/>
    </xf>
    <xf numFmtId="172" fontId="48" fillId="30" borderId="40" xfId="1" applyNumberFormat="1" applyFont="1" applyFill="1" applyBorder="1" applyAlignment="1">
      <alignment horizontal="center" vertical="center" wrapText="1"/>
    </xf>
    <xf numFmtId="0" fontId="9" fillId="0" borderId="44" xfId="1" applyFont="1" applyBorder="1" applyAlignment="1">
      <alignment horizontal="center" vertical="center"/>
    </xf>
    <xf numFmtId="172" fontId="9" fillId="30" borderId="39" xfId="1" applyNumberFormat="1" applyFont="1" applyFill="1" applyBorder="1" applyAlignment="1">
      <alignment horizontal="center" vertical="center" wrapText="1"/>
    </xf>
    <xf numFmtId="172" fontId="51" fillId="0" borderId="19" xfId="1" applyNumberFormat="1" applyFont="1" applyFill="1" applyBorder="1" applyAlignment="1">
      <alignment horizontal="center" vertical="center" wrapText="1"/>
    </xf>
    <xf numFmtId="172" fontId="51" fillId="0" borderId="40" xfId="1" applyNumberFormat="1" applyFont="1" applyFill="1" applyBorder="1" applyAlignment="1">
      <alignment horizontal="center" vertical="center" wrapText="1"/>
    </xf>
    <xf numFmtId="172" fontId="48" fillId="0" borderId="40" xfId="1" applyNumberFormat="1" applyFont="1" applyFill="1" applyBorder="1" applyAlignment="1">
      <alignment horizontal="center" vertical="center" wrapText="1"/>
    </xf>
    <xf numFmtId="172" fontId="9" fillId="0" borderId="44" xfId="1" applyNumberFormat="1" applyFont="1" applyFill="1" applyBorder="1" applyAlignment="1">
      <alignment horizontal="center" vertical="center" wrapText="1"/>
    </xf>
    <xf numFmtId="172" fontId="9" fillId="0" borderId="39" xfId="1" applyNumberFormat="1" applyFont="1" applyFill="1" applyBorder="1" applyAlignment="1">
      <alignment horizontal="center" vertical="center" wrapText="1"/>
    </xf>
    <xf numFmtId="0" fontId="18" fillId="0" borderId="0" xfId="1" applyFont="1" applyBorder="1" applyAlignment="1">
      <alignment horizontal="centerContinuous" vertical="center"/>
    </xf>
    <xf numFmtId="172" fontId="51" fillId="30" borderId="0" xfId="1" applyNumberFormat="1" applyFont="1" applyFill="1" applyBorder="1" applyAlignment="1">
      <alignment horizontal="center" vertical="center"/>
    </xf>
    <xf numFmtId="172" fontId="51" fillId="30" borderId="19" xfId="1" applyNumberFormat="1" applyFont="1" applyFill="1" applyBorder="1" applyAlignment="1">
      <alignment horizontal="center" vertical="center" wrapText="1"/>
    </xf>
    <xf numFmtId="172" fontId="50" fillId="30" borderId="19" xfId="1" applyNumberFormat="1" applyFont="1" applyFill="1" applyBorder="1" applyAlignment="1">
      <alignment horizontal="center" vertical="center" wrapText="1"/>
    </xf>
    <xf numFmtId="172" fontId="9" fillId="30" borderId="44" xfId="1" applyNumberFormat="1" applyFont="1" applyFill="1" applyBorder="1" applyAlignment="1">
      <alignment horizontal="center" vertical="center" wrapText="1"/>
    </xf>
    <xf numFmtId="0" fontId="43" fillId="0" borderId="0" xfId="1" applyFont="1" applyBorder="1" applyAlignment="1">
      <alignment horizontal="centerContinuous" vertical="center"/>
    </xf>
    <xf numFmtId="0" fontId="4" fillId="4" borderId="21" xfId="2" applyFont="1" applyFill="1" applyBorder="1" applyAlignment="1" applyProtection="1">
      <alignment horizontal="center" vertical="center"/>
    </xf>
    <xf numFmtId="0" fontId="4" fillId="4" borderId="20" xfId="2" applyFont="1" applyFill="1" applyBorder="1" applyAlignment="1" applyProtection="1">
      <alignment horizontal="center" vertical="center"/>
    </xf>
    <xf numFmtId="0" fontId="20" fillId="4" borderId="21" xfId="2" applyFont="1" applyFill="1" applyBorder="1" applyAlignment="1" applyProtection="1">
      <alignment horizontal="center" vertical="center"/>
    </xf>
    <xf numFmtId="0" fontId="20" fillId="4" borderId="20" xfId="2" applyFont="1" applyFill="1" applyBorder="1" applyAlignment="1" applyProtection="1">
      <alignment horizontal="center" vertical="center"/>
    </xf>
    <xf numFmtId="0" fontId="20" fillId="4" borderId="21" xfId="1" applyFont="1" applyFill="1" applyBorder="1" applyAlignment="1" applyProtection="1">
      <alignment horizontal="center" vertical="center"/>
    </xf>
    <xf numFmtId="0" fontId="20" fillId="4" borderId="20" xfId="1" applyFont="1" applyFill="1" applyBorder="1" applyAlignment="1" applyProtection="1">
      <alignment horizontal="center" vertical="center"/>
    </xf>
    <xf numFmtId="0" fontId="4" fillId="4" borderId="22" xfId="1" applyFont="1" applyFill="1" applyBorder="1" applyAlignment="1" applyProtection="1">
      <alignment horizontal="center" vertical="center"/>
    </xf>
    <xf numFmtId="0" fontId="4" fillId="4" borderId="21" xfId="1" applyFont="1" applyFill="1" applyBorder="1" applyAlignment="1" applyProtection="1">
      <alignment horizontal="center" vertical="center"/>
    </xf>
    <xf numFmtId="0" fontId="4" fillId="4" borderId="20" xfId="1" applyFont="1" applyFill="1" applyBorder="1" applyAlignment="1" applyProtection="1">
      <alignment horizontal="center" vertical="center"/>
    </xf>
    <xf numFmtId="0" fontId="9" fillId="0" borderId="22" xfId="1" applyFont="1" applyFill="1" applyBorder="1" applyAlignment="1" applyProtection="1">
      <alignment horizontal="center" vertical="center"/>
    </xf>
    <xf numFmtId="0" fontId="9" fillId="0" borderId="21" xfId="1" applyFont="1" applyFill="1" applyBorder="1" applyAlignment="1" applyProtection="1">
      <alignment horizontal="center" vertical="center"/>
    </xf>
    <xf numFmtId="0" fontId="9" fillId="0" borderId="20" xfId="1" applyFont="1" applyFill="1" applyBorder="1" applyAlignment="1" applyProtection="1">
      <alignment horizontal="center" vertical="center"/>
    </xf>
    <xf numFmtId="0" fontId="4" fillId="4" borderId="22" xfId="2" applyFont="1" applyFill="1" applyBorder="1" applyAlignment="1" applyProtection="1">
      <alignment horizontal="center" vertical="center"/>
    </xf>
    <xf numFmtId="0" fontId="97" fillId="37" borderId="34" xfId="1" applyFont="1" applyFill="1" applyBorder="1" applyAlignment="1" applyProtection="1">
      <alignment horizontal="left" vertical="center"/>
      <protection locked="0"/>
    </xf>
    <xf numFmtId="0" fontId="64" fillId="37" borderId="58" xfId="1" applyFont="1" applyFill="1" applyBorder="1" applyAlignment="1" applyProtection="1">
      <alignment horizontal="center" vertical="top" wrapText="1"/>
      <protection locked="0"/>
    </xf>
    <xf numFmtId="0" fontId="64" fillId="37" borderId="57" xfId="1" applyFont="1" applyFill="1" applyBorder="1" applyAlignment="1" applyProtection="1">
      <alignment horizontal="center" vertical="top" wrapText="1"/>
      <protection locked="0"/>
    </xf>
    <xf numFmtId="0" fontId="14" fillId="37" borderId="44" xfId="1" applyFont="1" applyFill="1" applyBorder="1" applyAlignment="1" applyProtection="1">
      <alignment horizontal="center" vertical="center" wrapText="1"/>
      <protection locked="0"/>
    </xf>
    <xf numFmtId="0" fontId="14" fillId="37" borderId="2" xfId="1" applyFont="1" applyFill="1" applyBorder="1" applyAlignment="1" applyProtection="1">
      <alignment horizontal="center" vertical="center" wrapText="1"/>
      <protection locked="0"/>
    </xf>
    <xf numFmtId="0" fontId="14" fillId="37" borderId="52" xfId="1" applyFont="1" applyFill="1" applyBorder="1" applyAlignment="1" applyProtection="1">
      <alignment horizontal="center" vertical="center" wrapText="1"/>
      <protection locked="0"/>
    </xf>
    <xf numFmtId="0" fontId="64" fillId="37" borderId="173" xfId="1" applyFont="1" applyFill="1" applyBorder="1" applyAlignment="1" applyProtection="1">
      <alignment horizontal="center" vertical="top" wrapText="1"/>
      <protection locked="0"/>
    </xf>
    <xf numFmtId="177" fontId="14" fillId="37" borderId="44" xfId="1" applyNumberFormat="1" applyFont="1" applyFill="1" applyBorder="1" applyAlignment="1" applyProtection="1">
      <alignment horizontal="center" vertical="center" wrapText="1"/>
      <protection locked="0"/>
    </xf>
    <xf numFmtId="0" fontId="79" fillId="37" borderId="0" xfId="1" applyFont="1" applyFill="1" applyAlignment="1" applyProtection="1">
      <alignment horizontal="center" vertical="center"/>
      <protection locked="0"/>
    </xf>
    <xf numFmtId="0" fontId="5" fillId="33" borderId="79" xfId="1" applyFont="1" applyFill="1" applyBorder="1" applyAlignment="1" applyProtection="1">
      <alignment horizontal="left" vertical="center"/>
    </xf>
    <xf numFmtId="0" fontId="5" fillId="33" borderId="24" xfId="1" applyFont="1" applyFill="1" applyBorder="1" applyAlignment="1" applyProtection="1">
      <alignment horizontal="left" vertical="center"/>
    </xf>
    <xf numFmtId="0" fontId="9" fillId="33" borderId="24" xfId="1" applyFont="1" applyFill="1" applyBorder="1" applyAlignment="1" applyProtection="1">
      <alignment vertical="center"/>
    </xf>
    <xf numFmtId="0" fontId="5" fillId="33" borderId="130" xfId="1" applyFont="1" applyFill="1" applyBorder="1" applyAlignment="1" applyProtection="1">
      <alignment horizontal="center" vertical="center"/>
    </xf>
    <xf numFmtId="0" fontId="4" fillId="33" borderId="0" xfId="1" applyFill="1" applyAlignment="1" applyProtection="1">
      <alignment vertical="center"/>
    </xf>
    <xf numFmtId="0" fontId="55" fillId="33" borderId="24" xfId="1" applyFont="1" applyFill="1" applyBorder="1" applyAlignment="1" applyProtection="1">
      <alignment horizontal="left" vertical="center"/>
    </xf>
    <xf numFmtId="0" fontId="15" fillId="33" borderId="24" xfId="1" applyFont="1" applyFill="1" applyBorder="1" applyAlignment="1" applyProtection="1">
      <alignment vertical="center"/>
    </xf>
    <xf numFmtId="0" fontId="55" fillId="33" borderId="147" xfId="1" applyFont="1" applyFill="1" applyBorder="1" applyAlignment="1" applyProtection="1">
      <alignment horizontal="center" vertical="center"/>
    </xf>
    <xf numFmtId="0" fontId="55" fillId="33" borderId="24" xfId="1" applyFont="1" applyFill="1" applyBorder="1" applyAlignment="1" applyProtection="1">
      <alignment horizontal="center" vertical="center"/>
    </xf>
    <xf numFmtId="0" fontId="55" fillId="33" borderId="148" xfId="1" applyFont="1" applyFill="1" applyBorder="1" applyAlignment="1" applyProtection="1">
      <alignment horizontal="left" vertical="center"/>
    </xf>
    <xf numFmtId="0" fontId="9" fillId="33" borderId="32" xfId="1" applyFont="1" applyFill="1" applyBorder="1" applyAlignment="1" applyProtection="1"/>
    <xf numFmtId="0" fontId="9" fillId="33" borderId="0" xfId="1" applyFont="1" applyFill="1" applyBorder="1" applyAlignment="1" applyProtection="1"/>
    <xf numFmtId="0" fontId="9" fillId="33" borderId="40" xfId="1" applyFont="1" applyFill="1" applyBorder="1" applyAlignment="1" applyProtection="1">
      <alignment horizontal="center" vertical="center" wrapText="1"/>
    </xf>
    <xf numFmtId="0" fontId="9" fillId="33" borderId="0" xfId="1" applyFont="1" applyFill="1" applyAlignment="1" applyProtection="1">
      <alignment vertical="center"/>
    </xf>
    <xf numFmtId="0" fontId="5" fillId="33" borderId="60" xfId="1" applyFont="1" applyFill="1" applyBorder="1" applyAlignment="1" applyProtection="1">
      <alignment vertical="center"/>
    </xf>
    <xf numFmtId="0" fontId="9" fillId="33" borderId="41" xfId="1" applyFont="1" applyFill="1" applyBorder="1" applyAlignment="1" applyProtection="1">
      <alignment vertical="center"/>
    </xf>
    <xf numFmtId="0" fontId="9" fillId="33" borderId="48" xfId="1" applyFont="1" applyFill="1" applyBorder="1" applyAlignment="1" applyProtection="1">
      <alignment horizontal="center" vertical="center"/>
    </xf>
    <xf numFmtId="0" fontId="9" fillId="33" borderId="41" xfId="1" applyFont="1" applyFill="1" applyBorder="1" applyAlignment="1" applyProtection="1">
      <alignment horizontal="center" vertical="center"/>
    </xf>
    <xf numFmtId="0" fontId="9" fillId="33" borderId="146" xfId="1" applyFont="1" applyFill="1" applyBorder="1" applyAlignment="1" applyProtection="1">
      <alignment vertical="center"/>
    </xf>
    <xf numFmtId="0" fontId="174" fillId="0" borderId="25" xfId="1" applyFont="1" applyBorder="1" applyAlignment="1">
      <alignment vertical="center"/>
    </xf>
    <xf numFmtId="176" fontId="6" fillId="37" borderId="66" xfId="1" applyNumberFormat="1" applyFont="1" applyFill="1" applyBorder="1" applyAlignment="1" applyProtection="1">
      <alignment vertical="center"/>
    </xf>
    <xf numFmtId="0" fontId="15" fillId="0" borderId="40" xfId="67" applyFont="1" applyFill="1" applyBorder="1" applyAlignment="1" applyProtection="1">
      <alignment horizontal="left" vertical="center"/>
    </xf>
    <xf numFmtId="0" fontId="85" fillId="0" borderId="0" xfId="67" applyFont="1" applyFill="1" applyBorder="1" applyAlignment="1" applyProtection="1">
      <alignment horizontal="center" vertical="center"/>
    </xf>
    <xf numFmtId="2" fontId="15" fillId="0" borderId="40" xfId="67" applyNumberFormat="1" applyFont="1" applyFill="1" applyBorder="1" applyAlignment="1" applyProtection="1">
      <alignment horizontal="right" vertical="center"/>
    </xf>
    <xf numFmtId="2" fontId="15" fillId="0" borderId="72" xfId="67" applyNumberFormat="1" applyFont="1" applyFill="1" applyBorder="1" applyAlignment="1" applyProtection="1">
      <alignment horizontal="left" vertical="center"/>
    </xf>
    <xf numFmtId="0" fontId="15" fillId="0" borderId="39" xfId="67" applyFont="1" applyFill="1" applyBorder="1" applyAlignment="1" applyProtection="1">
      <alignment vertical="center"/>
    </xf>
    <xf numFmtId="0" fontId="15" fillId="0" borderId="61" xfId="67" applyFont="1" applyFill="1" applyBorder="1" applyAlignment="1" applyProtection="1">
      <alignment vertical="center"/>
    </xf>
    <xf numFmtId="0" fontId="15" fillId="0" borderId="2" xfId="67" applyFont="1" applyFill="1" applyBorder="1" applyAlignment="1" applyProtection="1">
      <alignment vertical="center"/>
    </xf>
    <xf numFmtId="0" fontId="15" fillId="0" borderId="40" xfId="67" applyFont="1" applyFill="1" applyBorder="1" applyAlignment="1" applyProtection="1">
      <alignment horizontal="center" vertical="center"/>
    </xf>
    <xf numFmtId="0" fontId="15" fillId="0" borderId="0"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9" fontId="20" fillId="0" borderId="62" xfId="67" applyNumberFormat="1" applyFont="1" applyFill="1" applyBorder="1" applyAlignment="1" applyProtection="1">
      <alignment horizontal="center" vertical="center"/>
    </xf>
    <xf numFmtId="9" fontId="15" fillId="0" borderId="61" xfId="67" applyNumberFormat="1" applyFont="1" applyFill="1" applyBorder="1" applyAlignment="1" applyProtection="1">
      <alignment horizontal="center" vertical="center"/>
    </xf>
    <xf numFmtId="0" fontId="15" fillId="0" borderId="72" xfId="1" applyFont="1" applyFill="1" applyBorder="1" applyAlignment="1" applyProtection="1">
      <alignment horizontal="center" vertical="center"/>
    </xf>
    <xf numFmtId="0" fontId="15" fillId="0" borderId="66" xfId="1" applyFont="1" applyFill="1" applyBorder="1" applyAlignment="1" applyProtection="1">
      <alignment horizontal="center" vertical="center"/>
    </xf>
    <xf numFmtId="0" fontId="15" fillId="0" borderId="65" xfId="1" applyFont="1" applyFill="1" applyBorder="1" applyAlignment="1" applyProtection="1">
      <alignment horizontal="center" vertical="center"/>
    </xf>
    <xf numFmtId="0" fontId="20" fillId="0" borderId="0" xfId="1" applyFont="1" applyFill="1" applyAlignment="1" applyProtection="1">
      <alignment vertical="center"/>
    </xf>
    <xf numFmtId="14" fontId="9" fillId="0" borderId="0" xfId="1" applyNumberFormat="1" applyFont="1" applyBorder="1" applyAlignment="1" applyProtection="1">
      <alignment horizontal="right" vertical="center"/>
    </xf>
    <xf numFmtId="0" fontId="5" fillId="0" borderId="0" xfId="1" applyFont="1" applyBorder="1" applyAlignment="1" applyProtection="1">
      <alignment horizontal="centerContinuous" vertical="center"/>
    </xf>
    <xf numFmtId="0" fontId="14" fillId="0" borderId="66" xfId="1" applyFont="1" applyBorder="1" applyAlignment="1" applyProtection="1">
      <alignment horizontal="center" vertical="center"/>
    </xf>
    <xf numFmtId="0" fontId="43" fillId="0" borderId="19" xfId="1" applyFont="1" applyBorder="1" applyAlignment="1" applyProtection="1">
      <alignment vertical="center"/>
    </xf>
    <xf numFmtId="0" fontId="14" fillId="4" borderId="57" xfId="1" applyFont="1" applyFill="1" applyBorder="1" applyAlignment="1" applyProtection="1">
      <alignment horizontal="center" vertical="center"/>
    </xf>
    <xf numFmtId="179" fontId="6" fillId="0" borderId="0" xfId="1" applyNumberFormat="1" applyFont="1" applyBorder="1" applyAlignment="1" applyProtection="1">
      <alignment vertical="center"/>
    </xf>
    <xf numFmtId="0" fontId="4" fillId="0" borderId="290" xfId="1" applyBorder="1" applyAlignment="1" applyProtection="1">
      <alignment vertical="center"/>
    </xf>
    <xf numFmtId="3" fontId="6" fillId="0" borderId="40" xfId="1" applyNumberFormat="1" applyFont="1" applyBorder="1" applyAlignment="1" applyProtection="1">
      <alignment vertical="center"/>
    </xf>
    <xf numFmtId="179" fontId="6" fillId="0" borderId="0" xfId="0" applyNumberFormat="1" applyFont="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2" fontId="15" fillId="31" borderId="66" xfId="1" applyNumberFormat="1" applyFont="1" applyFill="1" applyBorder="1" applyAlignment="1" applyProtection="1">
      <alignment horizontal="center" vertical="center" wrapText="1"/>
      <protection locked="0"/>
    </xf>
    <xf numFmtId="184" fontId="15" fillId="4" borderId="66" xfId="1" applyNumberFormat="1" applyFont="1" applyFill="1" applyBorder="1" applyAlignment="1" applyProtection="1">
      <alignment horizontal="center" vertical="center"/>
    </xf>
    <xf numFmtId="2" fontId="15" fillId="31" borderId="66" xfId="1" applyNumberFormat="1" applyFont="1" applyFill="1" applyBorder="1" applyAlignment="1" applyProtection="1">
      <alignment horizontal="center" vertical="center"/>
      <protection locked="0"/>
    </xf>
    <xf numFmtId="2" fontId="15" fillId="0" borderId="66" xfId="1" applyNumberFormat="1" applyFont="1" applyBorder="1" applyAlignment="1" applyProtection="1">
      <alignment vertical="center"/>
    </xf>
    <xf numFmtId="0" fontId="5" fillId="0" borderId="0" xfId="1" applyFont="1" applyBorder="1" applyAlignment="1" applyProtection="1">
      <alignment horizontal="left" vertical="center"/>
    </xf>
    <xf numFmtId="0" fontId="63" fillId="0" borderId="0" xfId="1" applyFont="1" applyBorder="1" applyAlignment="1" applyProtection="1">
      <alignment horizontal="left" vertical="center"/>
    </xf>
    <xf numFmtId="181" fontId="20" fillId="0" borderId="0" xfId="1" applyNumberFormat="1" applyFont="1" applyBorder="1" applyAlignment="1" applyProtection="1">
      <alignment vertical="center"/>
    </xf>
    <xf numFmtId="181" fontId="20" fillId="0" borderId="19" xfId="1" applyNumberFormat="1" applyFont="1" applyBorder="1" applyAlignment="1" applyProtection="1">
      <alignment vertical="center"/>
    </xf>
    <xf numFmtId="0" fontId="5" fillId="0" borderId="40" xfId="1" applyFont="1" applyBorder="1" applyAlignment="1" applyProtection="1">
      <alignment horizontal="left" vertical="center"/>
    </xf>
    <xf numFmtId="0" fontId="5" fillId="0" borderId="0" xfId="67" applyFont="1" applyFill="1" applyBorder="1" applyAlignment="1" applyProtection="1">
      <alignment horizontal="left" vertical="center"/>
    </xf>
    <xf numFmtId="0" fontId="63" fillId="0" borderId="0" xfId="67" applyFont="1" applyFill="1" applyBorder="1" applyAlignment="1" applyProtection="1">
      <alignment horizontal="left" vertical="center"/>
    </xf>
    <xf numFmtId="0" fontId="63" fillId="0" borderId="0" xfId="67" applyFont="1" applyFill="1" applyBorder="1" applyAlignment="1" applyProtection="1">
      <alignment horizontal="center" vertical="center"/>
    </xf>
    <xf numFmtId="0" fontId="20" fillId="0" borderId="0" xfId="67" applyFont="1" applyFill="1" applyBorder="1" applyAlignment="1" applyProtection="1">
      <alignment vertical="center"/>
    </xf>
    <xf numFmtId="0" fontId="20" fillId="0" borderId="0" xfId="67" applyFont="1" applyFill="1" applyBorder="1" applyAlignment="1" applyProtection="1">
      <alignment horizontal="center" vertical="center"/>
    </xf>
    <xf numFmtId="0" fontId="15" fillId="0" borderId="0" xfId="67" applyFont="1" applyFill="1" applyBorder="1" applyAlignment="1" applyProtection="1">
      <alignment vertical="center"/>
    </xf>
    <xf numFmtId="0" fontId="14" fillId="0" borderId="0" xfId="1" applyFont="1" applyFill="1" applyBorder="1" applyAlignment="1" applyProtection="1">
      <alignment vertical="center"/>
    </xf>
    <xf numFmtId="0" fontId="9" fillId="0" borderId="40" xfId="1" applyFont="1" applyFill="1" applyBorder="1" applyAlignment="1" applyProtection="1">
      <alignment horizontal="center" vertical="center"/>
    </xf>
    <xf numFmtId="0" fontId="16" fillId="0" borderId="66" xfId="1" applyFont="1" applyFill="1" applyBorder="1" applyAlignment="1">
      <alignment horizontal="center" vertical="center"/>
    </xf>
    <xf numFmtId="0" fontId="16" fillId="0" borderId="65" xfId="1" applyFont="1" applyFill="1" applyBorder="1" applyAlignment="1">
      <alignment horizontal="center" vertical="center"/>
    </xf>
    <xf numFmtId="0" fontId="9" fillId="0" borderId="46" xfId="1" applyFont="1" applyFill="1" applyBorder="1" applyAlignment="1" applyProtection="1">
      <alignment vertical="center"/>
    </xf>
    <xf numFmtId="0" fontId="9" fillId="0" borderId="47" xfId="1" applyFont="1" applyFill="1" applyBorder="1" applyAlignment="1" applyProtection="1">
      <alignment vertical="center"/>
    </xf>
    <xf numFmtId="0" fontId="9" fillId="0" borderId="41" xfId="1" applyFont="1" applyFill="1" applyBorder="1" applyAlignment="1" applyProtection="1">
      <alignment horizontal="center" vertical="center"/>
    </xf>
    <xf numFmtId="170" fontId="9" fillId="0" borderId="85" xfId="1" applyNumberFormat="1" applyFont="1" applyFill="1" applyBorder="1" applyAlignment="1" applyProtection="1">
      <alignment horizontal="right" vertical="center"/>
    </xf>
    <xf numFmtId="190" fontId="9" fillId="0" borderId="85" xfId="1" applyNumberFormat="1" applyFont="1" applyFill="1" applyBorder="1" applyAlignment="1" applyProtection="1">
      <alignment horizontal="right" vertical="center"/>
    </xf>
    <xf numFmtId="189" fontId="9" fillId="0" borderId="85" xfId="1" applyNumberFormat="1" applyFont="1" applyFill="1" applyBorder="1" applyAlignment="1" applyProtection="1">
      <alignment horizontal="right" vertical="center"/>
    </xf>
    <xf numFmtId="188" fontId="9" fillId="0" borderId="87" xfId="1" applyNumberFormat="1" applyFont="1" applyFill="1" applyBorder="1" applyAlignment="1" applyProtection="1">
      <alignment horizontal="right" vertical="center"/>
    </xf>
    <xf numFmtId="0" fontId="5" fillId="0" borderId="0" xfId="67"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xf>
    <xf numFmtId="176" fontId="6" fillId="31" borderId="66" xfId="1" applyNumberFormat="1" applyFont="1" applyFill="1" applyBorder="1" applyAlignment="1" applyProtection="1">
      <alignment vertical="center"/>
      <protection locked="0"/>
    </xf>
    <xf numFmtId="0" fontId="43" fillId="0" borderId="2" xfId="1" applyFont="1" applyFill="1" applyBorder="1" applyAlignment="1">
      <alignment vertical="center"/>
    </xf>
    <xf numFmtId="176" fontId="6" fillId="0" borderId="39" xfId="1" applyNumberFormat="1" applyFont="1" applyFill="1" applyBorder="1" applyAlignment="1">
      <alignment vertical="center"/>
    </xf>
    <xf numFmtId="0" fontId="9" fillId="0" borderId="0" xfId="67" applyFont="1" applyFill="1" applyBorder="1" applyAlignment="1" applyProtection="1">
      <alignment horizontal="left" vertical="center"/>
    </xf>
    <xf numFmtId="0" fontId="4" fillId="0" borderId="39" xfId="1" applyFont="1" applyFill="1" applyBorder="1" applyAlignment="1" applyProtection="1">
      <alignment vertical="center"/>
    </xf>
    <xf numFmtId="9" fontId="15" fillId="0" borderId="71" xfId="1" applyNumberFormat="1" applyFont="1" applyFill="1" applyBorder="1" applyAlignment="1" applyProtection="1">
      <alignment horizontal="center" vertical="center"/>
    </xf>
    <xf numFmtId="9" fontId="15" fillId="0" borderId="62" xfId="1" applyNumberFormat="1" applyFont="1" applyFill="1" applyBorder="1" applyAlignment="1" applyProtection="1">
      <alignment horizontal="center" vertical="center"/>
    </xf>
    <xf numFmtId="9" fontId="15" fillId="0" borderId="61" xfId="1" applyNumberFormat="1" applyFont="1" applyFill="1" applyBorder="1" applyAlignment="1" applyProtection="1">
      <alignment horizontal="center" vertical="center"/>
    </xf>
    <xf numFmtId="0" fontId="43" fillId="0" borderId="0" xfId="1" applyFont="1" applyFill="1" applyBorder="1" applyAlignment="1" applyProtection="1">
      <alignment horizontal="right" vertical="center"/>
      <protection locked="0"/>
    </xf>
    <xf numFmtId="0" fontId="43" fillId="0" borderId="0" xfId="1" applyFont="1" applyFill="1" applyBorder="1" applyAlignment="1" applyProtection="1">
      <alignment horizontal="right" vertical="center"/>
    </xf>
    <xf numFmtId="184" fontId="15" fillId="4" borderId="66" xfId="67" applyNumberFormat="1" applyFont="1" applyFill="1" applyBorder="1" applyAlignment="1" applyProtection="1">
      <alignment horizontal="center" vertical="center"/>
    </xf>
    <xf numFmtId="9" fontId="15" fillId="0" borderId="0" xfId="1" applyNumberFormat="1" applyFont="1" applyBorder="1" applyAlignment="1" applyProtection="1">
      <alignment horizontal="center" vertical="center"/>
    </xf>
    <xf numFmtId="182" fontId="20" fillId="4" borderId="68" xfId="1" applyNumberFormat="1" applyFont="1" applyFill="1" applyBorder="1" applyAlignment="1" applyProtection="1">
      <alignment vertical="center"/>
    </xf>
    <xf numFmtId="0" fontId="85" fillId="0" borderId="65" xfId="67" applyFont="1" applyFill="1" applyBorder="1" applyAlignment="1" applyProtection="1">
      <alignment vertical="center"/>
    </xf>
    <xf numFmtId="0" fontId="85" fillId="0" borderId="0" xfId="67" applyFont="1" applyFill="1" applyBorder="1" applyAlignment="1" applyProtection="1">
      <alignment vertical="center"/>
    </xf>
    <xf numFmtId="0" fontId="9" fillId="0" borderId="0" xfId="67" applyAlignment="1"/>
    <xf numFmtId="0" fontId="87" fillId="0" borderId="0" xfId="1" applyFont="1" applyFill="1" applyBorder="1" applyAlignment="1" applyProtection="1">
      <alignment vertical="center"/>
    </xf>
    <xf numFmtId="0" fontId="87" fillId="0" borderId="40" xfId="1" applyFont="1" applyFill="1" applyBorder="1" applyAlignment="1" applyProtection="1">
      <alignment vertical="center"/>
    </xf>
    <xf numFmtId="0" fontId="87" fillId="0" borderId="32" xfId="1" applyFont="1" applyFill="1" applyBorder="1" applyAlignment="1" applyProtection="1">
      <alignment vertical="center"/>
    </xf>
    <xf numFmtId="0" fontId="87" fillId="0" borderId="64" xfId="1" applyFont="1" applyFill="1" applyBorder="1" applyAlignment="1" applyProtection="1">
      <alignment vertical="center"/>
    </xf>
    <xf numFmtId="0" fontId="87" fillId="0" borderId="0" xfId="67" applyFont="1" applyFill="1" applyAlignment="1" applyProtection="1">
      <alignment vertical="center"/>
    </xf>
    <xf numFmtId="0" fontId="88" fillId="0" borderId="0" xfId="67" applyFont="1" applyFill="1"/>
    <xf numFmtId="0" fontId="48" fillId="0" borderId="39" xfId="1" applyFont="1" applyBorder="1" applyAlignment="1" applyProtection="1">
      <alignment horizontal="center" vertical="center"/>
    </xf>
    <xf numFmtId="0" fontId="48" fillId="0" borderId="82" xfId="0" applyFont="1" applyBorder="1" applyAlignment="1" applyProtection="1">
      <alignment horizontal="center" vertical="center"/>
    </xf>
    <xf numFmtId="0" fontId="20" fillId="0" borderId="67" xfId="1" applyFont="1" applyFill="1" applyBorder="1" applyAlignment="1" applyProtection="1">
      <alignment horizontal="center" vertical="center"/>
    </xf>
    <xf numFmtId="0" fontId="48" fillId="0" borderId="82" xfId="1" applyFont="1" applyBorder="1" applyAlignment="1" applyProtection="1">
      <alignment horizontal="center" vertical="center"/>
    </xf>
    <xf numFmtId="0" fontId="48" fillId="0" borderId="80" xfId="0" applyFont="1" applyBorder="1" applyAlignment="1" applyProtection="1">
      <alignment horizontal="center" vertical="center"/>
    </xf>
    <xf numFmtId="0" fontId="48" fillId="0" borderId="80" xfId="1" applyFont="1" applyBorder="1" applyAlignment="1" applyProtection="1">
      <alignment horizontal="center" vertical="center"/>
    </xf>
    <xf numFmtId="0" fontId="157" fillId="0" borderId="65" xfId="1" applyFont="1" applyBorder="1" applyAlignment="1" applyProtection="1">
      <alignment horizontal="center" vertical="center"/>
    </xf>
    <xf numFmtId="0" fontId="105" fillId="0" borderId="61" xfId="1" applyFont="1" applyBorder="1" applyAlignment="1" applyProtection="1">
      <alignment horizontal="center" vertical="center"/>
    </xf>
    <xf numFmtId="4" fontId="20" fillId="4" borderId="68" xfId="67" applyNumberFormat="1" applyFont="1" applyFill="1" applyBorder="1" applyAlignment="1" applyProtection="1">
      <alignment horizontal="center" vertical="center"/>
    </xf>
    <xf numFmtId="4" fontId="20" fillId="4" borderId="65" xfId="67" applyNumberFormat="1" applyFont="1" applyFill="1" applyBorder="1" applyAlignment="1" applyProtection="1">
      <alignment horizontal="center" vertical="center"/>
    </xf>
    <xf numFmtId="0" fontId="48" fillId="0" borderId="63" xfId="1" applyFont="1" applyFill="1" applyBorder="1" applyAlignment="1" applyProtection="1">
      <alignment horizontal="center"/>
    </xf>
    <xf numFmtId="0" fontId="48" fillId="0" borderId="65" xfId="1" applyFont="1" applyBorder="1" applyAlignment="1" applyProtection="1">
      <alignment horizontal="center" vertical="center"/>
    </xf>
    <xf numFmtId="0" fontId="48" fillId="0" borderId="61" xfId="1" applyFont="1" applyBorder="1" applyAlignment="1" applyProtection="1">
      <alignment horizontal="center" vertical="center"/>
    </xf>
    <xf numFmtId="0" fontId="5" fillId="0" borderId="40" xfId="1" applyFont="1" applyFill="1" applyBorder="1" applyAlignment="1" applyProtection="1">
      <alignment vertical="top"/>
    </xf>
    <xf numFmtId="0" fontId="5" fillId="0" borderId="0" xfId="1" applyFont="1" applyFill="1" applyBorder="1" applyAlignment="1" applyProtection="1">
      <alignment vertical="top"/>
    </xf>
    <xf numFmtId="188" fontId="9" fillId="0" borderId="80" xfId="1" applyNumberFormat="1" applyFont="1" applyBorder="1" applyAlignment="1" applyProtection="1">
      <alignment horizontal="right" vertical="center"/>
    </xf>
    <xf numFmtId="0" fontId="6" fillId="0" borderId="0" xfId="67" applyFont="1" applyAlignment="1">
      <alignment vertical="top" wrapText="1"/>
    </xf>
    <xf numFmtId="0" fontId="5" fillId="0" borderId="65" xfId="1" applyFont="1" applyFill="1" applyBorder="1" applyAlignment="1" applyProtection="1">
      <alignment horizontal="centerContinuous" vertical="center"/>
    </xf>
    <xf numFmtId="177" fontId="5" fillId="4" borderId="40" xfId="1" applyNumberFormat="1" applyFont="1" applyFill="1" applyBorder="1" applyAlignment="1" applyProtection="1">
      <alignment horizontal="center" vertical="center"/>
    </xf>
    <xf numFmtId="186" fontId="5" fillId="0" borderId="40" xfId="1" applyNumberFormat="1" applyFont="1" applyFill="1" applyBorder="1" applyAlignment="1" applyProtection="1">
      <alignment horizontal="center" vertical="center"/>
    </xf>
    <xf numFmtId="0" fontId="43" fillId="0" borderId="2" xfId="1" applyFont="1" applyBorder="1" applyAlignment="1" applyProtection="1">
      <alignment vertical="top"/>
    </xf>
    <xf numFmtId="186" fontId="9" fillId="0" borderId="39" xfId="1" applyNumberFormat="1" applyFont="1" applyFill="1" applyBorder="1" applyAlignment="1" applyProtection="1">
      <alignment horizontal="center" vertical="center"/>
    </xf>
    <xf numFmtId="171" fontId="14" fillId="4" borderId="40" xfId="61" applyNumberFormat="1" applyFont="1" applyFill="1" applyBorder="1" applyAlignment="1" applyProtection="1">
      <alignment horizontal="right" vertical="center"/>
    </xf>
    <xf numFmtId="0" fontId="0" fillId="0" borderId="0" xfId="0" applyBorder="1"/>
    <xf numFmtId="171" fontId="9" fillId="0" borderId="40" xfId="1" applyNumberFormat="1" applyFont="1" applyBorder="1" applyAlignment="1" applyProtection="1">
      <alignment horizontal="right" vertical="center"/>
    </xf>
    <xf numFmtId="171" fontId="9" fillId="0" borderId="40" xfId="61" applyNumberFormat="1" applyFont="1" applyBorder="1" applyAlignment="1" applyProtection="1">
      <alignment horizontal="right" vertical="center"/>
    </xf>
    <xf numFmtId="171" fontId="9" fillId="0" borderId="39" xfId="61" applyNumberFormat="1" applyFont="1" applyBorder="1" applyAlignment="1" applyProtection="1">
      <alignment horizontal="right" vertical="center"/>
    </xf>
    <xf numFmtId="0" fontId="6" fillId="0" borderId="91" xfId="1" applyFont="1" applyBorder="1" applyAlignment="1" applyProtection="1">
      <alignment vertical="center"/>
    </xf>
    <xf numFmtId="171" fontId="6" fillId="0" borderId="40" xfId="61" applyNumberFormat="1" applyFont="1" applyBorder="1" applyAlignment="1" applyProtection="1">
      <alignment horizontal="right" vertical="center"/>
    </xf>
    <xf numFmtId="0" fontId="43" fillId="0" borderId="0" xfId="1" applyFont="1" applyFill="1" applyBorder="1" applyAlignment="1" applyProtection="1">
      <alignment vertical="top"/>
    </xf>
    <xf numFmtId="0" fontId="5" fillId="0" borderId="0" xfId="1" applyFont="1" applyFill="1" applyBorder="1" applyAlignment="1" applyProtection="1">
      <alignment horizontal="centerContinuous" vertical="center"/>
    </xf>
    <xf numFmtId="177" fontId="5" fillId="0" borderId="40" xfId="1" applyNumberFormat="1" applyFont="1" applyFill="1" applyBorder="1" applyAlignment="1" applyProtection="1">
      <alignment horizontal="center" vertical="center"/>
    </xf>
    <xf numFmtId="186" fontId="9" fillId="0" borderId="40" xfId="1" applyNumberFormat="1" applyFont="1" applyFill="1" applyBorder="1" applyAlignment="1" applyProtection="1">
      <alignment horizontal="center" vertical="center"/>
    </xf>
    <xf numFmtId="0" fontId="9" fillId="0" borderId="67" xfId="1" applyFont="1" applyFill="1" applyBorder="1" applyAlignment="1" applyProtection="1">
      <alignment horizontal="center" vertical="center"/>
    </xf>
    <xf numFmtId="0" fontId="9" fillId="0" borderId="66" xfId="1" applyFont="1" applyFill="1" applyBorder="1" applyAlignment="1" applyProtection="1">
      <alignment horizontal="center" vertical="center"/>
    </xf>
    <xf numFmtId="0" fontId="9" fillId="0" borderId="82" xfId="1" applyFont="1" applyFill="1" applyBorder="1" applyAlignment="1" applyProtection="1">
      <alignment horizontal="center" vertical="center"/>
    </xf>
    <xf numFmtId="0" fontId="14" fillId="0" borderId="42" xfId="1" applyFont="1" applyBorder="1" applyAlignment="1" applyProtection="1">
      <alignment vertical="center"/>
    </xf>
    <xf numFmtId="0" fontId="14" fillId="0" borderId="290" xfId="1" applyFont="1" applyFill="1" applyBorder="1" applyAlignment="1" applyProtection="1">
      <alignment horizontal="left" vertical="center"/>
    </xf>
    <xf numFmtId="0" fontId="70" fillId="0" borderId="290" xfId="1" applyFont="1" applyBorder="1" applyAlignment="1" applyProtection="1">
      <alignment vertical="center"/>
    </xf>
    <xf numFmtId="171" fontId="14" fillId="4" borderId="43" xfId="61" applyNumberFormat="1" applyFont="1" applyFill="1" applyBorder="1" applyAlignment="1" applyProtection="1">
      <alignment horizontal="right" vertical="center"/>
    </xf>
    <xf numFmtId="0" fontId="4" fillId="0" borderId="290" xfId="1" applyBorder="1" applyProtection="1"/>
    <xf numFmtId="186" fontId="16" fillId="0" borderId="290" xfId="1" applyNumberFormat="1" applyFont="1" applyFill="1" applyBorder="1" applyAlignment="1" applyProtection="1">
      <alignment horizontal="right" vertical="center"/>
    </xf>
    <xf numFmtId="189" fontId="5" fillId="4" borderId="0" xfId="1" applyNumberFormat="1" applyFont="1" applyFill="1" applyBorder="1" applyAlignment="1" applyProtection="1">
      <alignment horizontal="center" vertical="center"/>
    </xf>
    <xf numFmtId="170" fontId="9" fillId="4" borderId="40" xfId="1" applyNumberFormat="1" applyFont="1" applyFill="1" applyBorder="1" applyAlignment="1" applyProtection="1">
      <alignment horizontal="right" vertical="center"/>
    </xf>
    <xf numFmtId="0" fontId="14" fillId="0" borderId="40" xfId="1" applyFont="1" applyBorder="1" applyAlignment="1">
      <alignment horizontal="center" vertical="center"/>
    </xf>
    <xf numFmtId="171" fontId="9" fillId="4" borderId="40" xfId="61" applyNumberFormat="1" applyFont="1" applyFill="1" applyBorder="1" applyAlignment="1" applyProtection="1">
      <alignment horizontal="right" vertical="center"/>
    </xf>
    <xf numFmtId="189" fontId="5" fillId="0" borderId="0" xfId="1" applyNumberFormat="1" applyFont="1" applyFill="1" applyBorder="1" applyAlignment="1" applyProtection="1">
      <alignment horizontal="center" vertical="center"/>
    </xf>
    <xf numFmtId="170" fontId="9" fillId="0" borderId="0" xfId="1" applyNumberFormat="1" applyFont="1" applyFill="1" applyBorder="1" applyAlignment="1" applyProtection="1">
      <alignment horizontal="right" vertical="center"/>
    </xf>
    <xf numFmtId="190" fontId="9" fillId="0" borderId="0" xfId="1" applyNumberFormat="1" applyFont="1" applyFill="1" applyBorder="1" applyAlignment="1" applyProtection="1">
      <alignment horizontal="right" vertical="center"/>
    </xf>
    <xf numFmtId="189" fontId="9" fillId="0" borderId="0" xfId="1" applyNumberFormat="1" applyFont="1" applyFill="1" applyBorder="1" applyAlignment="1" applyProtection="1">
      <alignment horizontal="right" vertical="center"/>
    </xf>
    <xf numFmtId="188" fontId="9" fillId="0" borderId="0" xfId="1" applyNumberFormat="1" applyFont="1" applyFill="1" applyBorder="1" applyAlignment="1" applyProtection="1">
      <alignment horizontal="right" vertical="center"/>
    </xf>
    <xf numFmtId="0" fontId="14" fillId="0" borderId="40" xfId="1" applyFont="1" applyFill="1" applyBorder="1" applyAlignment="1">
      <alignment horizontal="center" vertical="center"/>
    </xf>
    <xf numFmtId="0" fontId="6" fillId="0" borderId="41" xfId="1" applyFont="1" applyFill="1" applyBorder="1" applyAlignment="1" applyProtection="1">
      <alignment vertical="center"/>
    </xf>
    <xf numFmtId="0" fontId="6" fillId="0" borderId="46" xfId="1" applyFont="1" applyFill="1" applyBorder="1" applyAlignment="1" applyProtection="1">
      <alignment vertical="center"/>
    </xf>
    <xf numFmtId="0" fontId="13" fillId="0" borderId="0" xfId="1" applyFont="1" applyBorder="1"/>
    <xf numFmtId="171" fontId="9" fillId="0" borderId="40" xfId="61" applyNumberFormat="1" applyFont="1" applyFill="1" applyBorder="1" applyAlignment="1" applyProtection="1">
      <alignment horizontal="right" vertical="center"/>
    </xf>
    <xf numFmtId="0" fontId="13" fillId="0" borderId="24" xfId="1" applyFont="1" applyBorder="1" applyAlignment="1" applyProtection="1">
      <alignment vertical="center"/>
    </xf>
    <xf numFmtId="0" fontId="13" fillId="0" borderId="131" xfId="1" applyFont="1" applyBorder="1" applyAlignment="1" applyProtection="1">
      <alignment vertical="center"/>
    </xf>
    <xf numFmtId="0" fontId="6" fillId="0" borderId="67" xfId="1" applyFont="1" applyBorder="1" applyAlignment="1" applyProtection="1">
      <alignment vertical="center"/>
    </xf>
    <xf numFmtId="170" fontId="9" fillId="4" borderId="66" xfId="1" applyNumberFormat="1" applyFont="1" applyFill="1" applyBorder="1" applyAlignment="1" applyProtection="1">
      <alignment horizontal="right" vertical="center"/>
    </xf>
    <xf numFmtId="190" fontId="9" fillId="4" borderId="66" xfId="1" applyNumberFormat="1" applyFont="1" applyFill="1" applyBorder="1" applyAlignment="1" applyProtection="1">
      <alignment horizontal="right" vertical="center"/>
    </xf>
    <xf numFmtId="189" fontId="9" fillId="4" borderId="66" xfId="1" applyNumberFormat="1" applyFont="1" applyFill="1" applyBorder="1" applyAlignment="1" applyProtection="1">
      <alignment horizontal="right" vertical="center"/>
    </xf>
    <xf numFmtId="188" fontId="9" fillId="0" borderId="0" xfId="1" applyNumberFormat="1" applyFont="1" applyBorder="1" applyAlignment="1" applyProtection="1">
      <alignment horizontal="right" vertical="center"/>
    </xf>
    <xf numFmtId="0" fontId="9" fillId="0" borderId="24" xfId="1" applyFont="1" applyFill="1" applyBorder="1" applyAlignment="1" applyProtection="1">
      <alignment horizontal="center" vertical="center"/>
    </xf>
    <xf numFmtId="171" fontId="9" fillId="0" borderId="186" xfId="61" applyNumberFormat="1" applyFont="1" applyFill="1" applyBorder="1" applyAlignment="1" applyProtection="1">
      <alignment horizontal="right" vertical="center"/>
      <protection locked="0"/>
    </xf>
    <xf numFmtId="171" fontId="9" fillId="0" borderId="205" xfId="61" applyNumberFormat="1" applyFont="1" applyFill="1" applyBorder="1" applyAlignment="1" applyProtection="1">
      <alignment horizontal="right" vertical="center"/>
      <protection locked="0"/>
    </xf>
    <xf numFmtId="171" fontId="9" fillId="0" borderId="205" xfId="61" applyNumberFormat="1" applyFont="1" applyFill="1" applyBorder="1" applyAlignment="1" applyProtection="1">
      <alignment vertical="center"/>
      <protection locked="0"/>
    </xf>
    <xf numFmtId="171" fontId="9" fillId="0" borderId="24" xfId="61" applyNumberFormat="1" applyFont="1" applyFill="1" applyBorder="1" applyAlignment="1" applyProtection="1">
      <alignment horizontal="right" vertical="center"/>
      <protection locked="0"/>
    </xf>
    <xf numFmtId="171" fontId="9" fillId="4" borderId="130" xfId="61" applyNumberFormat="1" applyFont="1" applyFill="1" applyBorder="1" applyAlignment="1" applyProtection="1">
      <alignment vertical="center"/>
    </xf>
    <xf numFmtId="171" fontId="9" fillId="0" borderId="62" xfId="61" applyNumberFormat="1" applyFont="1" applyFill="1" applyBorder="1" applyAlignment="1" applyProtection="1">
      <alignment horizontal="right" vertical="center"/>
    </xf>
    <xf numFmtId="171" fontId="9" fillId="0" borderId="62" xfId="61" applyNumberFormat="1" applyFont="1" applyFill="1" applyBorder="1" applyAlignment="1" applyProtection="1">
      <alignment horizontal="right" vertical="center"/>
      <protection locked="0"/>
    </xf>
    <xf numFmtId="0" fontId="9" fillId="0" borderId="19" xfId="1" applyFont="1" applyBorder="1" applyAlignment="1" applyProtection="1">
      <alignment horizontal="left" vertical="center"/>
    </xf>
    <xf numFmtId="0" fontId="9" fillId="0" borderId="44" xfId="1" applyFont="1" applyBorder="1" applyAlignment="1" applyProtection="1">
      <alignment horizontal="left" vertical="center"/>
    </xf>
    <xf numFmtId="171" fontId="9" fillId="0" borderId="63" xfId="61" applyNumberFormat="1" applyFont="1" applyFill="1" applyBorder="1" applyAlignment="1" applyProtection="1">
      <alignment vertical="center"/>
      <protection locked="0"/>
    </xf>
    <xf numFmtId="0" fontId="14" fillId="0" borderId="41" xfId="1" applyFont="1" applyFill="1" applyBorder="1" applyAlignment="1" applyProtection="1">
      <alignment vertical="center"/>
    </xf>
    <xf numFmtId="0" fontId="157" fillId="0" borderId="0" xfId="1" applyFont="1" applyBorder="1" applyAlignment="1" applyProtection="1">
      <alignment horizontal="center" vertical="center"/>
    </xf>
    <xf numFmtId="203" fontId="13" fillId="4" borderId="58" xfId="1" applyNumberFormat="1" applyFont="1" applyFill="1" applyBorder="1" applyAlignment="1">
      <alignment vertical="center"/>
    </xf>
    <xf numFmtId="188" fontId="6" fillId="0" borderId="19" xfId="61" applyNumberFormat="1" applyFont="1" applyBorder="1" applyAlignment="1">
      <alignment vertical="center"/>
    </xf>
    <xf numFmtId="188" fontId="6" fillId="0" borderId="19" xfId="1" applyNumberFormat="1" applyFont="1" applyBorder="1" applyAlignment="1">
      <alignment vertical="center"/>
    </xf>
    <xf numFmtId="188" fontId="6" fillId="0" borderId="42" xfId="61" applyNumberFormat="1" applyFont="1" applyBorder="1" applyAlignment="1">
      <alignment vertical="center"/>
    </xf>
    <xf numFmtId="188" fontId="6" fillId="0" borderId="0" xfId="1" applyNumberFormat="1" applyFont="1" applyBorder="1" applyAlignment="1">
      <alignment vertical="center"/>
    </xf>
    <xf numFmtId="0" fontId="115" fillId="0" borderId="77" xfId="1" applyFont="1" applyBorder="1" applyAlignment="1">
      <alignment vertical="center"/>
    </xf>
    <xf numFmtId="203" fontId="13" fillId="41" borderId="57" xfId="1" applyNumberFormat="1" applyFont="1" applyFill="1" applyBorder="1" applyAlignment="1">
      <alignment vertical="center"/>
    </xf>
    <xf numFmtId="0" fontId="115" fillId="55" borderId="77" xfId="1" applyFont="1" applyFill="1" applyBorder="1" applyAlignment="1">
      <alignment vertical="center"/>
    </xf>
    <xf numFmtId="0" fontId="4" fillId="55" borderId="43" xfId="1" applyFill="1" applyBorder="1" applyAlignment="1">
      <alignment vertical="center"/>
    </xf>
    <xf numFmtId="188" fontId="6" fillId="55" borderId="42" xfId="61" applyNumberFormat="1" applyFont="1" applyFill="1" applyBorder="1" applyAlignment="1">
      <alignment vertical="center"/>
    </xf>
    <xf numFmtId="0" fontId="4" fillId="55" borderId="40" xfId="1" applyFill="1" applyBorder="1" applyAlignment="1">
      <alignment vertical="center"/>
    </xf>
    <xf numFmtId="188" fontId="6" fillId="55" borderId="19" xfId="61" applyNumberFormat="1" applyFont="1" applyFill="1" applyBorder="1" applyAlignment="1">
      <alignment vertical="center"/>
    </xf>
    <xf numFmtId="188" fontId="6" fillId="55" borderId="19" xfId="1" applyNumberFormat="1" applyFont="1" applyFill="1" applyBorder="1" applyAlignment="1">
      <alignment vertical="center"/>
    </xf>
    <xf numFmtId="0" fontId="20" fillId="0" borderId="67" xfId="67" applyFont="1" applyFill="1" applyBorder="1" applyAlignment="1" applyProtection="1">
      <alignment vertical="center"/>
    </xf>
    <xf numFmtId="180" fontId="20" fillId="31" borderId="65" xfId="67" applyNumberFormat="1" applyFont="1" applyFill="1" applyBorder="1" applyAlignment="1" applyProtection="1">
      <alignment vertical="center"/>
    </xf>
    <xf numFmtId="4" fontId="20" fillId="31" borderId="67" xfId="1" applyNumberFormat="1" applyFont="1" applyFill="1" applyBorder="1" applyAlignment="1" applyProtection="1">
      <alignment horizontal="center" vertical="center"/>
    </xf>
    <xf numFmtId="4" fontId="20" fillId="31" borderId="67" xfId="67" applyNumberFormat="1" applyFont="1" applyFill="1" applyBorder="1" applyAlignment="1" applyProtection="1">
      <alignment horizontal="center" vertical="center"/>
    </xf>
    <xf numFmtId="4" fontId="20" fillId="31" borderId="40" xfId="1" applyNumberFormat="1" applyFont="1" applyFill="1" applyBorder="1" applyAlignment="1" applyProtection="1">
      <alignment horizontal="center" vertical="center"/>
    </xf>
    <xf numFmtId="0" fontId="20" fillId="0" borderId="40" xfId="67" applyFont="1" applyFill="1" applyBorder="1" applyAlignment="1" applyProtection="1">
      <alignment horizontal="left" vertical="center"/>
    </xf>
    <xf numFmtId="0" fontId="9" fillId="0" borderId="39" xfId="67" applyFont="1" applyFill="1" applyBorder="1" applyAlignment="1" applyProtection="1"/>
    <xf numFmtId="0" fontId="20" fillId="0" borderId="2" xfId="67" applyFont="1" applyFill="1" applyBorder="1" applyAlignment="1" applyProtection="1">
      <alignment vertical="center"/>
    </xf>
    <xf numFmtId="181" fontId="20" fillId="0" borderId="290" xfId="67" applyNumberFormat="1" applyFont="1" applyBorder="1" applyAlignment="1" applyProtection="1">
      <alignment vertical="center"/>
    </xf>
    <xf numFmtId="180" fontId="175" fillId="31" borderId="65" xfId="67" applyNumberFormat="1" applyFont="1" applyFill="1" applyBorder="1" applyAlignment="1" applyProtection="1">
      <alignment vertical="center"/>
      <protection locked="0"/>
    </xf>
    <xf numFmtId="180" fontId="175" fillId="31" borderId="65" xfId="67" applyNumberFormat="1" applyFont="1" applyFill="1" applyBorder="1" applyAlignment="1" applyProtection="1">
      <alignment vertical="center"/>
    </xf>
    <xf numFmtId="181" fontId="20" fillId="0" borderId="19" xfId="67" applyNumberFormat="1" applyFont="1" applyBorder="1" applyAlignment="1" applyProtection="1">
      <alignment vertical="center"/>
    </xf>
    <xf numFmtId="0" fontId="20" fillId="0" borderId="0" xfId="1" applyFont="1" applyBorder="1" applyAlignment="1" applyProtection="1">
      <alignment horizontal="center" vertical="center"/>
    </xf>
    <xf numFmtId="181" fontId="20" fillId="0" borderId="290" xfId="1" applyNumberFormat="1" applyFont="1" applyBorder="1" applyAlignment="1" applyProtection="1">
      <alignment vertical="center"/>
    </xf>
    <xf numFmtId="0" fontId="9" fillId="0" borderId="0" xfId="67" applyFont="1" applyFill="1" applyBorder="1" applyAlignment="1" applyProtection="1">
      <alignment vertical="center"/>
    </xf>
    <xf numFmtId="180" fontId="131" fillId="31" borderId="65" xfId="67" applyNumberFormat="1" applyFont="1" applyFill="1" applyBorder="1" applyAlignment="1" applyProtection="1">
      <alignment vertical="center"/>
      <protection locked="0"/>
    </xf>
    <xf numFmtId="180" fontId="31" fillId="31" borderId="289" xfId="67" applyNumberFormat="1" applyFont="1" applyFill="1" applyBorder="1" applyAlignment="1" applyProtection="1">
      <alignment vertical="center"/>
      <protection locked="0"/>
    </xf>
    <xf numFmtId="180" fontId="20" fillId="31" borderId="0" xfId="67" applyNumberFormat="1" applyFont="1" applyFill="1" applyBorder="1" applyAlignment="1" applyProtection="1">
      <alignment vertical="center"/>
      <protection locked="0"/>
    </xf>
    <xf numFmtId="0" fontId="55" fillId="0" borderId="43" xfId="67" applyFont="1" applyFill="1" applyBorder="1" applyAlignment="1" applyProtection="1">
      <alignment horizontal="left" vertical="center"/>
      <protection locked="0"/>
    </xf>
    <xf numFmtId="180" fontId="31" fillId="0" borderId="292" xfId="67" applyNumberFormat="1" applyFont="1" applyFill="1" applyBorder="1" applyAlignment="1" applyProtection="1">
      <alignment vertical="center"/>
    </xf>
    <xf numFmtId="181" fontId="20" fillId="0" borderId="292" xfId="67" applyNumberFormat="1" applyFont="1" applyFill="1" applyBorder="1" applyAlignment="1" applyProtection="1">
      <alignment vertical="center"/>
    </xf>
    <xf numFmtId="181" fontId="20" fillId="0" borderId="68" xfId="67" applyNumberFormat="1" applyFont="1" applyFill="1" applyBorder="1" applyAlignment="1" applyProtection="1">
      <alignment vertical="center"/>
    </xf>
    <xf numFmtId="181" fontId="20" fillId="0" borderId="290" xfId="67" applyNumberFormat="1" applyFont="1" applyFill="1" applyBorder="1" applyAlignment="1" applyProtection="1">
      <alignment vertical="center"/>
    </xf>
    <xf numFmtId="213" fontId="6" fillId="4" borderId="113" xfId="105" applyNumberFormat="1" applyFont="1" applyFill="1" applyBorder="1" applyAlignment="1" applyProtection="1">
      <alignment horizontal="center" vertical="center"/>
    </xf>
    <xf numFmtId="213" fontId="6" fillId="4" borderId="113" xfId="105" applyNumberFormat="1" applyFont="1" applyFill="1" applyBorder="1" applyAlignment="1" applyProtection="1">
      <alignment vertical="center"/>
    </xf>
    <xf numFmtId="176" fontId="6" fillId="4" borderId="293" xfId="105" applyNumberFormat="1" applyFont="1" applyFill="1" applyBorder="1" applyAlignment="1" applyProtection="1">
      <alignment vertical="center"/>
    </xf>
    <xf numFmtId="0" fontId="5" fillId="0" borderId="0" xfId="1" applyFont="1" applyBorder="1" applyAlignment="1" applyProtection="1">
      <alignment horizontal="center" vertical="center"/>
    </xf>
    <xf numFmtId="0" fontId="5" fillId="0" borderId="0" xfId="1" applyFont="1" applyAlignment="1" applyProtection="1">
      <alignment vertical="center"/>
    </xf>
    <xf numFmtId="0" fontId="4" fillId="0" borderId="0" xfId="1" applyBorder="1" applyAlignment="1" applyProtection="1">
      <alignment vertical="center"/>
    </xf>
    <xf numFmtId="0" fontId="5" fillId="0" borderId="77" xfId="1" applyFont="1" applyBorder="1" applyAlignment="1" applyProtection="1">
      <alignment vertical="center"/>
    </xf>
    <xf numFmtId="0" fontId="4" fillId="0" borderId="0" xfId="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8" fillId="31" borderId="0" xfId="1" applyFont="1" applyFill="1" applyBorder="1" applyAlignment="1" applyProtection="1">
      <alignment horizontal="right" vertical="top"/>
      <protection locked="0"/>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6" fillId="0" borderId="0" xfId="1" applyFont="1" applyFill="1" applyBorder="1" applyAlignment="1">
      <alignment horizontal="left" vertical="center" wrapText="1"/>
    </xf>
    <xf numFmtId="0" fontId="4" fillId="0" borderId="0" xfId="1" applyAlignment="1" applyProtection="1">
      <alignment vertical="center"/>
    </xf>
    <xf numFmtId="0" fontId="4" fillId="0" borderId="0" xfId="1" applyBorder="1" applyAlignment="1" applyProtection="1">
      <alignment vertical="center"/>
    </xf>
    <xf numFmtId="0" fontId="4" fillId="0" borderId="0" xfId="1" applyBorder="1" applyAlignment="1" applyProtection="1">
      <alignment vertical="center"/>
    </xf>
    <xf numFmtId="0" fontId="4" fillId="0" borderId="0" xfId="1" applyAlignment="1" applyProtection="1">
      <alignment vertical="center"/>
    </xf>
    <xf numFmtId="2" fontId="145" fillId="0" borderId="0" xfId="1" applyNumberFormat="1" applyFont="1" applyFill="1" applyBorder="1" applyAlignment="1">
      <alignment horizontal="left"/>
    </xf>
    <xf numFmtId="2" fontId="145" fillId="0" borderId="40" xfId="1" applyNumberFormat="1" applyFont="1" applyFill="1" applyBorder="1" applyAlignment="1">
      <alignment horizontal="left"/>
    </xf>
    <xf numFmtId="211" fontId="6" fillId="4" borderId="288" xfId="1" applyNumberFormat="1" applyFont="1" applyFill="1" applyBorder="1" applyAlignment="1" applyProtection="1">
      <alignment horizontal="right" vertical="center"/>
    </xf>
    <xf numFmtId="0" fontId="4" fillId="0" borderId="0" xfId="1" applyBorder="1" applyAlignment="1" applyProtection="1">
      <alignment vertical="center"/>
    </xf>
    <xf numFmtId="176" fontId="6" fillId="0" borderId="62" xfId="105" applyNumberFormat="1" applyFont="1" applyFill="1" applyBorder="1" applyAlignment="1" applyProtection="1">
      <alignment vertical="center"/>
    </xf>
    <xf numFmtId="0" fontId="85" fillId="0" borderId="65"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2" fontId="9" fillId="0" borderId="40" xfId="67" applyNumberFormat="1" applyFont="1" applyBorder="1" applyAlignment="1" applyProtection="1">
      <alignment horizontal="center" vertical="center"/>
    </xf>
    <xf numFmtId="0" fontId="9" fillId="0" borderId="0" xfId="1" applyFont="1" applyBorder="1" applyAlignment="1">
      <alignment horizontal="left" vertical="center"/>
    </xf>
    <xf numFmtId="0" fontId="4" fillId="0" borderId="32" xfId="1" applyFont="1" applyFill="1" applyBorder="1" applyAlignment="1" applyProtection="1">
      <alignment vertical="center"/>
    </xf>
    <xf numFmtId="0" fontId="20" fillId="0" borderId="290" xfId="1" applyFont="1" applyBorder="1" applyProtection="1"/>
    <xf numFmtId="174" fontId="6" fillId="0" borderId="170" xfId="1" applyNumberFormat="1" applyFont="1" applyBorder="1" applyAlignment="1" applyProtection="1">
      <alignment vertical="center"/>
    </xf>
    <xf numFmtId="174" fontId="6" fillId="0" borderId="171" xfId="1" applyNumberFormat="1" applyFont="1" applyBorder="1" applyAlignment="1" applyProtection="1">
      <alignment vertical="center"/>
    </xf>
    <xf numFmtId="174" fontId="14" fillId="30" borderId="168" xfId="1" applyNumberFormat="1" applyFont="1" applyFill="1" applyBorder="1" applyAlignment="1" applyProtection="1">
      <alignment vertical="center"/>
    </xf>
    <xf numFmtId="0" fontId="4" fillId="56" borderId="40" xfId="1" applyFill="1" applyBorder="1" applyProtection="1">
      <protection locked="0"/>
    </xf>
    <xf numFmtId="3" fontId="120" fillId="43" borderId="40" xfId="1" applyNumberFormat="1" applyFont="1" applyFill="1" applyBorder="1" applyAlignment="1">
      <alignment horizontal="left" vertical="center"/>
    </xf>
    <xf numFmtId="3" fontId="120" fillId="43" borderId="0" xfId="1" applyNumberFormat="1" applyFont="1" applyFill="1" applyBorder="1" applyAlignment="1">
      <alignment horizontal="right" vertical="center"/>
    </xf>
    <xf numFmtId="3" fontId="120" fillId="43" borderId="0" xfId="1" applyNumberFormat="1" applyFont="1" applyFill="1" applyBorder="1" applyAlignment="1">
      <alignment horizontal="center" vertical="center"/>
    </xf>
    <xf numFmtId="3" fontId="120" fillId="57" borderId="0" xfId="1" applyNumberFormat="1" applyFont="1" applyFill="1" applyAlignment="1">
      <alignment horizontal="right" vertical="center"/>
    </xf>
    <xf numFmtId="3" fontId="77" fillId="58" borderId="48" xfId="1" applyNumberFormat="1" applyFont="1" applyFill="1" applyBorder="1" applyAlignment="1">
      <alignment horizontal="right" vertical="center"/>
    </xf>
    <xf numFmtId="3" fontId="120" fillId="58" borderId="25" xfId="1" applyNumberFormat="1" applyFont="1" applyFill="1" applyBorder="1" applyAlignment="1">
      <alignment horizontal="right" vertical="center"/>
    </xf>
    <xf numFmtId="3" fontId="120" fillId="58" borderId="36" xfId="1" applyNumberFormat="1" applyFont="1" applyFill="1" applyBorder="1" applyAlignment="1">
      <alignment horizontal="right" vertical="center"/>
    </xf>
    <xf numFmtId="165" fontId="77" fillId="58" borderId="25" xfId="1" applyNumberFormat="1" applyFont="1" applyFill="1" applyBorder="1" applyAlignment="1">
      <alignment horizontal="right" vertical="center"/>
    </xf>
    <xf numFmtId="3" fontId="120" fillId="58" borderId="25" xfId="61" applyNumberFormat="1" applyFont="1" applyFill="1" applyBorder="1" applyAlignment="1">
      <alignment horizontal="right" vertical="center"/>
    </xf>
    <xf numFmtId="4" fontId="77" fillId="58" borderId="34" xfId="1" applyNumberFormat="1" applyFont="1" applyFill="1" applyBorder="1" applyAlignment="1">
      <alignment horizontal="right" vertical="center"/>
    </xf>
    <xf numFmtId="3" fontId="120" fillId="58" borderId="34" xfId="1" applyNumberFormat="1" applyFont="1" applyFill="1" applyBorder="1" applyAlignment="1">
      <alignment horizontal="right" vertical="center"/>
    </xf>
    <xf numFmtId="3" fontId="77" fillId="58" borderId="36" xfId="1" applyNumberFormat="1" applyFont="1" applyFill="1" applyBorder="1" applyAlignment="1">
      <alignment horizontal="right" vertical="center"/>
    </xf>
    <xf numFmtId="3" fontId="120" fillId="59" borderId="25" xfId="1" applyNumberFormat="1" applyFont="1" applyFill="1" applyBorder="1" applyAlignment="1">
      <alignment horizontal="right" vertical="center"/>
    </xf>
    <xf numFmtId="3" fontId="120" fillId="59" borderId="36" xfId="1" applyNumberFormat="1" applyFont="1" applyFill="1" applyBorder="1" applyAlignment="1">
      <alignment horizontal="right" vertical="center"/>
    </xf>
    <xf numFmtId="3" fontId="121" fillId="32" borderId="0" xfId="1" applyNumberFormat="1" applyFont="1" applyFill="1" applyAlignment="1">
      <alignment vertical="center"/>
    </xf>
    <xf numFmtId="3" fontId="120" fillId="4" borderId="32" xfId="1" applyNumberFormat="1" applyFont="1" applyFill="1" applyBorder="1" applyAlignment="1">
      <alignment vertical="center"/>
    </xf>
    <xf numFmtId="3" fontId="120" fillId="4" borderId="19" xfId="1" applyNumberFormat="1" applyFont="1" applyFill="1" applyBorder="1" applyAlignment="1">
      <alignment vertical="center"/>
    </xf>
    <xf numFmtId="3" fontId="120" fillId="58" borderId="25" xfId="1" applyNumberFormat="1" applyFont="1" applyFill="1" applyBorder="1" applyAlignment="1">
      <alignment vertical="center"/>
    </xf>
    <xf numFmtId="3" fontId="120" fillId="4" borderId="25" xfId="1" applyNumberFormat="1" applyFont="1" applyFill="1" applyBorder="1" applyAlignment="1">
      <alignment vertical="center"/>
    </xf>
    <xf numFmtId="3" fontId="120" fillId="4" borderId="29" xfId="1" applyNumberFormat="1" applyFont="1" applyFill="1" applyBorder="1" applyAlignment="1">
      <alignment vertical="center"/>
    </xf>
    <xf numFmtId="3" fontId="120" fillId="4" borderId="0" xfId="1" applyNumberFormat="1" applyFont="1" applyFill="1" applyBorder="1" applyAlignment="1">
      <alignment vertical="center"/>
    </xf>
    <xf numFmtId="0" fontId="4" fillId="0" borderId="0" xfId="1" applyBorder="1" applyAlignment="1" applyProtection="1">
      <alignment vertical="center"/>
    </xf>
    <xf numFmtId="213" fontId="6" fillId="31" borderId="294" xfId="105" applyNumberFormat="1" applyFont="1" applyFill="1" applyBorder="1" applyAlignment="1" applyProtection="1">
      <alignment horizontal="right" vertical="center"/>
      <protection locked="0"/>
    </xf>
    <xf numFmtId="206" fontId="6" fillId="0" borderId="163" xfId="105" applyNumberFormat="1" applyFont="1" applyBorder="1" applyAlignment="1" applyProtection="1">
      <alignment horizontal="right" vertical="center"/>
    </xf>
    <xf numFmtId="170" fontId="6" fillId="0" borderId="112" xfId="1" applyNumberFormat="1" applyFont="1" applyBorder="1" applyAlignment="1" applyProtection="1">
      <alignment horizontal="right" vertical="center"/>
    </xf>
    <xf numFmtId="206" fontId="6" fillId="27" borderId="163" xfId="105" applyNumberFormat="1" applyFont="1" applyFill="1" applyBorder="1" applyAlignment="1" applyProtection="1">
      <alignment horizontal="right" vertical="center"/>
    </xf>
    <xf numFmtId="170" fontId="6" fillId="27" borderId="112" xfId="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protection locked="0"/>
    </xf>
    <xf numFmtId="0" fontId="31" fillId="27" borderId="44" xfId="0" applyFont="1" applyFill="1" applyBorder="1" applyAlignment="1" applyProtection="1">
      <alignment vertical="center"/>
    </xf>
    <xf numFmtId="213" fontId="6" fillId="0" borderId="39" xfId="105" applyNumberFormat="1" applyFont="1" applyFill="1" applyBorder="1" applyAlignment="1" applyProtection="1">
      <alignment vertical="center"/>
      <protection locked="0"/>
    </xf>
    <xf numFmtId="213" fontId="6" fillId="35" borderId="39" xfId="105" applyNumberFormat="1" applyFont="1" applyFill="1" applyBorder="1" applyAlignment="1" applyProtection="1">
      <alignment vertical="center"/>
      <protection locked="0"/>
    </xf>
    <xf numFmtId="0" fontId="48" fillId="0" borderId="39" xfId="1" applyFont="1" applyBorder="1" applyAlignment="1" applyProtection="1">
      <alignment horizontal="center" vertical="center"/>
    </xf>
    <xf numFmtId="0" fontId="48" fillId="0" borderId="40"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9" fillId="0" borderId="0" xfId="67"/>
    <xf numFmtId="0" fontId="4" fillId="0" borderId="0" xfId="1" quotePrefix="1" applyFont="1" applyBorder="1" applyAlignment="1" applyProtection="1">
      <alignment vertical="center"/>
    </xf>
    <xf numFmtId="0" fontId="20" fillId="0" borderId="0" xfId="1" applyFont="1" applyAlignment="1" applyProtection="1">
      <alignment horizontal="center" vertical="center"/>
    </xf>
    <xf numFmtId="0" fontId="63" fillId="0" borderId="0" xfId="1" applyFont="1" applyBorder="1" applyAlignment="1" applyProtection="1">
      <alignment horizontal="center" vertical="center"/>
    </xf>
    <xf numFmtId="0" fontId="85" fillId="0" borderId="72" xfId="1" applyFont="1" applyBorder="1" applyAlignment="1" applyProtection="1">
      <alignment horizontal="center" vertical="center"/>
    </xf>
    <xf numFmtId="0" fontId="20" fillId="0" borderId="0" xfId="67" applyFont="1" applyBorder="1" applyAlignment="1" applyProtection="1">
      <alignment horizontal="center" vertical="center"/>
    </xf>
    <xf numFmtId="0" fontId="4" fillId="0" borderId="102" xfId="124" applyFont="1" applyBorder="1" applyAlignment="1" applyProtection="1">
      <alignment horizontal="center" vertical="center"/>
    </xf>
    <xf numFmtId="0" fontId="14" fillId="0" borderId="101" xfId="124" applyFont="1" applyBorder="1" applyAlignment="1" applyProtection="1">
      <alignment vertical="center"/>
    </xf>
    <xf numFmtId="185" fontId="14" fillId="0" borderId="94" xfId="124" applyNumberFormat="1" applyFont="1" applyBorder="1" applyAlignment="1" applyProtection="1">
      <alignment vertical="center"/>
    </xf>
    <xf numFmtId="0" fontId="65" fillId="0" borderId="95" xfId="124" applyFont="1" applyBorder="1" applyAlignment="1" applyProtection="1">
      <alignment horizontal="left" vertical="center"/>
    </xf>
    <xf numFmtId="0" fontId="65" fillId="0" borderId="94" xfId="124" applyFont="1" applyBorder="1" applyAlignment="1" applyProtection="1">
      <alignment horizontal="left" vertical="center"/>
    </xf>
    <xf numFmtId="0" fontId="65" fillId="0" borderId="93" xfId="124" applyFont="1" applyBorder="1" applyAlignment="1" applyProtection="1">
      <alignment horizontal="left" vertical="center"/>
    </xf>
    <xf numFmtId="0" fontId="16" fillId="60" borderId="0" xfId="124" applyFont="1" applyFill="1" applyAlignment="1" applyProtection="1">
      <alignment vertical="center"/>
    </xf>
    <xf numFmtId="0" fontId="16" fillId="60" borderId="0" xfId="124" applyFont="1" applyFill="1" applyAlignment="1" applyProtection="1">
      <alignment horizontal="center" vertical="center"/>
    </xf>
    <xf numFmtId="0" fontId="16" fillId="0" borderId="27" xfId="124" applyFont="1" applyFill="1" applyBorder="1" applyAlignment="1" applyProtection="1">
      <alignment vertical="center"/>
    </xf>
    <xf numFmtId="185" fontId="16" fillId="31" borderId="92" xfId="124" applyNumberFormat="1" applyFont="1" applyFill="1" applyBorder="1" applyAlignment="1" applyProtection="1">
      <alignment vertical="center"/>
      <protection locked="0"/>
    </xf>
    <xf numFmtId="0" fontId="16" fillId="0" borderId="26" xfId="0" applyFont="1" applyBorder="1" applyAlignment="1">
      <alignment horizontal="center" vertical="center"/>
    </xf>
    <xf numFmtId="185" fontId="16" fillId="0" borderId="0" xfId="124" applyNumberFormat="1" applyFont="1" applyAlignment="1" applyProtection="1">
      <alignment horizontal="left" vertical="center"/>
    </xf>
    <xf numFmtId="0" fontId="14" fillId="0" borderId="43" xfId="124" applyFont="1" applyBorder="1" applyAlignment="1" applyProtection="1">
      <alignment horizontal="center" vertical="center"/>
    </xf>
    <xf numFmtId="185" fontId="14" fillId="0" borderId="290" xfId="124" applyNumberFormat="1" applyFont="1" applyBorder="1" applyAlignment="1" applyProtection="1">
      <alignment horizontal="left" vertical="center"/>
    </xf>
    <xf numFmtId="0" fontId="16" fillId="0" borderId="290" xfId="124" applyFont="1" applyBorder="1" applyAlignment="1" applyProtection="1">
      <alignment vertical="center"/>
    </xf>
    <xf numFmtId="0" fontId="16" fillId="0" borderId="42" xfId="124" applyFont="1" applyBorder="1" applyAlignment="1" applyProtection="1">
      <alignment vertical="center"/>
    </xf>
    <xf numFmtId="0" fontId="14" fillId="0" borderId="0" xfId="124" applyFont="1" applyAlignment="1" applyProtection="1">
      <alignment vertical="center"/>
    </xf>
    <xf numFmtId="0" fontId="14" fillId="0" borderId="40" xfId="124" applyFont="1" applyBorder="1" applyAlignment="1" applyProtection="1">
      <alignment horizontal="center" vertical="center"/>
    </xf>
    <xf numFmtId="185" fontId="14" fillId="0" borderId="0" xfId="124" applyNumberFormat="1" applyFont="1" applyBorder="1" applyAlignment="1" applyProtection="1">
      <alignment horizontal="left" vertical="center"/>
    </xf>
    <xf numFmtId="0" fontId="16" fillId="60" borderId="0" xfId="124" applyFont="1" applyFill="1" applyBorder="1" applyAlignment="1" applyProtection="1">
      <alignment vertical="center"/>
    </xf>
    <xf numFmtId="0" fontId="14" fillId="0" borderId="39" xfId="124" applyFont="1" applyBorder="1" applyAlignment="1" applyProtection="1">
      <alignment horizontal="center" vertical="center"/>
    </xf>
    <xf numFmtId="0" fontId="14" fillId="0" borderId="2" xfId="124" applyFont="1" applyBorder="1" applyAlignment="1" applyProtection="1">
      <alignment vertical="center"/>
    </xf>
    <xf numFmtId="0" fontId="16" fillId="0" borderId="44" xfId="124" applyFont="1" applyBorder="1" applyAlignment="1" applyProtection="1">
      <alignment vertical="center"/>
    </xf>
    <xf numFmtId="0" fontId="16" fillId="0" borderId="0" xfId="124" applyFont="1" applyFill="1" applyAlignment="1" applyProtection="1">
      <alignment vertical="center"/>
    </xf>
    <xf numFmtId="0" fontId="16" fillId="0" borderId="32" xfId="124" applyFont="1" applyFill="1" applyBorder="1" applyAlignment="1" applyProtection="1">
      <alignment horizontal="center" vertical="center"/>
    </xf>
    <xf numFmtId="185" fontId="16" fillId="37" borderId="92" xfId="124" applyNumberFormat="1" applyFont="1" applyFill="1" applyBorder="1" applyAlignment="1" applyProtection="1">
      <alignment vertical="center"/>
      <protection locked="0"/>
    </xf>
    <xf numFmtId="0" fontId="16" fillId="0" borderId="26" xfId="0" applyFont="1" applyFill="1" applyBorder="1" applyAlignment="1">
      <alignment horizontal="center" vertical="center"/>
    </xf>
    <xf numFmtId="0" fontId="43" fillId="37" borderId="91" xfId="106" applyFont="1" applyFill="1" applyBorder="1" applyAlignment="1" applyProtection="1">
      <alignment horizontal="center" vertical="center"/>
      <protection locked="0"/>
    </xf>
    <xf numFmtId="0" fontId="43" fillId="37" borderId="92" xfId="106" applyFont="1" applyFill="1" applyBorder="1" applyAlignment="1" applyProtection="1">
      <alignment horizontal="center" vertical="center"/>
      <protection locked="0"/>
    </xf>
    <xf numFmtId="0" fontId="43" fillId="37" borderId="26" xfId="106" applyFont="1" applyFill="1" applyBorder="1" applyAlignment="1" applyProtection="1">
      <alignment horizontal="center" vertical="center"/>
      <protection locked="0"/>
    </xf>
    <xf numFmtId="0" fontId="16" fillId="0" borderId="0" xfId="124" applyFont="1" applyFill="1" applyAlignment="1" applyProtection="1">
      <alignment horizontal="center" vertical="center"/>
    </xf>
    <xf numFmtId="0" fontId="96" fillId="0" borderId="0" xfId="124" applyFont="1" applyAlignment="1" applyProtection="1">
      <alignment vertical="center"/>
    </xf>
    <xf numFmtId="0" fontId="16" fillId="0" borderId="43" xfId="124" applyFont="1" applyBorder="1" applyAlignment="1" applyProtection="1">
      <alignment horizontal="center" vertical="center"/>
    </xf>
    <xf numFmtId="185" fontId="16" fillId="0" borderId="290" xfId="124" applyNumberFormat="1" applyFont="1" applyBorder="1" applyAlignment="1" applyProtection="1">
      <alignment vertical="center"/>
    </xf>
    <xf numFmtId="0" fontId="16" fillId="0" borderId="83" xfId="124" applyFont="1" applyBorder="1" applyAlignment="1" applyProtection="1">
      <alignment vertical="center"/>
    </xf>
    <xf numFmtId="0" fontId="16" fillId="0" borderId="40" xfId="124" applyFont="1" applyBorder="1" applyAlignment="1" applyProtection="1">
      <alignment horizontal="center" vertical="center"/>
    </xf>
    <xf numFmtId="185" fontId="16" fillId="0" borderId="0" xfId="124" applyNumberFormat="1" applyFont="1" applyBorder="1" applyAlignment="1" applyProtection="1">
      <alignment vertical="center"/>
    </xf>
    <xf numFmtId="0" fontId="16" fillId="0" borderId="82" xfId="124" applyFont="1" applyBorder="1" applyAlignment="1" applyProtection="1">
      <alignment vertical="center"/>
    </xf>
    <xf numFmtId="0" fontId="16" fillId="60" borderId="40" xfId="124" applyFont="1" applyFill="1" applyBorder="1" applyAlignment="1" applyProtection="1">
      <alignment horizontal="center" vertical="center"/>
    </xf>
    <xf numFmtId="185" fontId="16" fillId="60" borderId="0" xfId="124" applyNumberFormat="1" applyFont="1" applyFill="1" applyBorder="1" applyAlignment="1" applyProtection="1">
      <alignment vertical="center"/>
    </xf>
    <xf numFmtId="0" fontId="16" fillId="60" borderId="82" xfId="124" applyFont="1" applyFill="1" applyBorder="1" applyAlignment="1" applyProtection="1">
      <alignment vertical="center"/>
    </xf>
    <xf numFmtId="0" fontId="0" fillId="60" borderId="0" xfId="0" applyFill="1"/>
    <xf numFmtId="0" fontId="16" fillId="0" borderId="40" xfId="124" applyFont="1" applyFill="1" applyBorder="1" applyAlignment="1" applyProtection="1">
      <alignment horizontal="center" vertical="center"/>
    </xf>
    <xf numFmtId="0" fontId="16" fillId="0" borderId="0" xfId="124" applyFont="1" applyFill="1" applyBorder="1" applyAlignment="1" applyProtection="1">
      <alignment vertical="center"/>
    </xf>
    <xf numFmtId="185" fontId="16" fillId="0" borderId="0" xfId="124" applyNumberFormat="1" applyFont="1" applyFill="1" applyBorder="1" applyAlignment="1" applyProtection="1">
      <alignment vertical="center"/>
    </xf>
    <xf numFmtId="0" fontId="16" fillId="0" borderId="82" xfId="124" applyFont="1" applyFill="1" applyBorder="1" applyAlignment="1" applyProtection="1">
      <alignment vertical="center"/>
    </xf>
    <xf numFmtId="0" fontId="0" fillId="0" borderId="0" xfId="0" applyFill="1"/>
    <xf numFmtId="182" fontId="16" fillId="0" borderId="72" xfId="124" applyNumberFormat="1" applyFont="1" applyBorder="1" applyAlignment="1" applyProtection="1">
      <alignment vertical="center"/>
    </xf>
    <xf numFmtId="0" fontId="16" fillId="0" borderId="39" xfId="124" applyFont="1" applyBorder="1" applyAlignment="1" applyProtection="1">
      <alignment horizontal="center" vertical="center"/>
    </xf>
    <xf numFmtId="185" fontId="16" fillId="0" borderId="2" xfId="124" applyNumberFormat="1" applyFont="1" applyBorder="1" applyAlignment="1" applyProtection="1">
      <alignment vertical="center"/>
    </xf>
    <xf numFmtId="0" fontId="16" fillId="0" borderId="80" xfId="124" applyFont="1" applyBorder="1" applyAlignment="1" applyProtection="1">
      <alignment vertical="center"/>
    </xf>
    <xf numFmtId="0" fontId="16" fillId="0" borderId="49" xfId="124" applyFont="1" applyBorder="1" applyAlignment="1" applyProtection="1">
      <alignment horizontal="center" vertical="center"/>
    </xf>
    <xf numFmtId="0" fontId="16" fillId="31" borderId="98" xfId="124" applyFont="1" applyFill="1" applyBorder="1" applyAlignment="1" applyProtection="1">
      <alignment vertical="center"/>
      <protection locked="0"/>
    </xf>
    <xf numFmtId="185" fontId="16" fillId="31" borderId="98" xfId="124" applyNumberFormat="1" applyFont="1" applyFill="1" applyBorder="1" applyAlignment="1" applyProtection="1">
      <alignment vertical="center"/>
      <protection locked="0"/>
    </xf>
    <xf numFmtId="0" fontId="16" fillId="31" borderId="96" xfId="124" applyFont="1" applyFill="1" applyBorder="1" applyAlignment="1" applyProtection="1">
      <alignment horizontal="center" vertical="center"/>
      <protection locked="0"/>
    </xf>
    <xf numFmtId="0" fontId="4" fillId="0" borderId="0" xfId="0" applyFont="1"/>
    <xf numFmtId="0" fontId="16" fillId="0" borderId="0" xfId="124" applyFont="1" applyAlignment="1" applyProtection="1">
      <alignment horizontal="center" vertical="center"/>
      <protection locked="0"/>
    </xf>
    <xf numFmtId="14" fontId="16" fillId="0" borderId="0" xfId="124" applyNumberFormat="1" applyFont="1" applyAlignment="1" applyProtection="1">
      <alignment vertical="center"/>
    </xf>
    <xf numFmtId="0" fontId="16" fillId="0" borderId="27" xfId="124" applyFont="1" applyBorder="1" applyAlignment="1" applyProtection="1">
      <alignment vertical="center"/>
    </xf>
    <xf numFmtId="0" fontId="16" fillId="0" borderId="26" xfId="124" applyFont="1" applyBorder="1" applyAlignment="1" applyProtection="1">
      <alignment horizontal="center" vertical="center"/>
    </xf>
    <xf numFmtId="0" fontId="43" fillId="31" borderId="91" xfId="124" applyFont="1" applyFill="1" applyBorder="1" applyAlignment="1" applyProtection="1">
      <alignment horizontal="center" vertical="center"/>
      <protection locked="0"/>
    </xf>
    <xf numFmtId="0" fontId="43" fillId="31" borderId="92" xfId="124" applyFont="1" applyFill="1" applyBorder="1" applyAlignment="1" applyProtection="1">
      <alignment horizontal="center" vertical="center"/>
      <protection locked="0"/>
    </xf>
    <xf numFmtId="0" fontId="43" fillId="31" borderId="26" xfId="124" applyFont="1" applyFill="1" applyBorder="1" applyAlignment="1" applyProtection="1">
      <alignment horizontal="center" vertical="center"/>
      <protection locked="0"/>
    </xf>
    <xf numFmtId="0" fontId="16" fillId="0" borderId="26" xfId="124" applyFont="1" applyFill="1" applyBorder="1" applyAlignment="1" applyProtection="1">
      <alignment horizontal="center" vertical="center"/>
    </xf>
    <xf numFmtId="0" fontId="16" fillId="4" borderId="26" xfId="124" applyFont="1" applyFill="1" applyBorder="1" applyAlignment="1" applyProtection="1">
      <alignment horizontal="center" vertical="center"/>
    </xf>
    <xf numFmtId="0" fontId="16" fillId="4" borderId="27" xfId="124" applyFont="1" applyFill="1" applyBorder="1" applyAlignment="1" applyProtection="1">
      <alignment vertical="center"/>
    </xf>
    <xf numFmtId="0" fontId="16" fillId="4" borderId="28" xfId="124" applyFont="1" applyFill="1" applyBorder="1" applyAlignment="1" applyProtection="1">
      <alignment vertical="center"/>
    </xf>
    <xf numFmtId="185" fontId="16" fillId="31" borderId="99" xfId="124" applyNumberFormat="1" applyFont="1" applyFill="1" applyBorder="1" applyAlignment="1" applyProtection="1">
      <alignment vertical="center"/>
      <protection locked="0"/>
    </xf>
    <xf numFmtId="0" fontId="16" fillId="4" borderId="33" xfId="124" applyFont="1" applyFill="1" applyBorder="1" applyAlignment="1" applyProtection="1">
      <alignment horizontal="center" vertical="center"/>
    </xf>
    <xf numFmtId="0" fontId="43" fillId="31" borderId="99" xfId="124" applyFont="1" applyFill="1" applyBorder="1" applyAlignment="1" applyProtection="1">
      <alignment horizontal="center" vertical="center"/>
      <protection locked="0"/>
    </xf>
    <xf numFmtId="0" fontId="43" fillId="31" borderId="33" xfId="124" applyFont="1" applyFill="1" applyBorder="1" applyAlignment="1" applyProtection="1">
      <alignment horizontal="center" vertical="center"/>
      <protection locked="0"/>
    </xf>
    <xf numFmtId="0" fontId="16" fillId="31" borderId="33" xfId="124" applyFont="1" applyFill="1" applyBorder="1" applyAlignment="1" applyProtection="1">
      <alignment horizontal="center" vertical="center"/>
      <protection locked="0"/>
    </xf>
    <xf numFmtId="185" fontId="16" fillId="31" borderId="100" xfId="124" applyNumberFormat="1" applyFont="1" applyFill="1" applyBorder="1" applyAlignment="1" applyProtection="1">
      <alignment vertical="center"/>
      <protection locked="0"/>
    </xf>
    <xf numFmtId="0" fontId="16" fillId="31" borderId="37" xfId="124" applyFont="1" applyFill="1" applyBorder="1" applyAlignment="1" applyProtection="1">
      <alignment horizontal="center" vertical="center"/>
      <protection locked="0"/>
    </xf>
    <xf numFmtId="0" fontId="16" fillId="4" borderId="98" xfId="124" applyFont="1" applyFill="1" applyBorder="1" applyAlignment="1" applyProtection="1">
      <alignment vertical="center"/>
    </xf>
    <xf numFmtId="185" fontId="16" fillId="31" borderId="97" xfId="124" applyNumberFormat="1" applyFont="1" applyFill="1" applyBorder="1" applyAlignment="1" applyProtection="1">
      <alignment vertical="center"/>
      <protection locked="0"/>
    </xf>
    <xf numFmtId="0" fontId="43" fillId="31" borderId="41" xfId="124" applyFont="1" applyFill="1" applyBorder="1" applyAlignment="1" applyProtection="1">
      <alignment horizontal="center" vertical="center"/>
      <protection locked="0"/>
    </xf>
    <xf numFmtId="0" fontId="43" fillId="31" borderId="46" xfId="124" applyFont="1" applyFill="1" applyBorder="1" applyAlignment="1" applyProtection="1">
      <alignment horizontal="center" vertical="center"/>
      <protection locked="0"/>
    </xf>
    <xf numFmtId="0" fontId="43" fillId="31" borderId="97" xfId="124" applyFont="1" applyFill="1" applyBorder="1" applyAlignment="1" applyProtection="1">
      <alignment horizontal="center" vertical="center"/>
      <protection locked="0"/>
    </xf>
    <xf numFmtId="0" fontId="43" fillId="31" borderId="96" xfId="124" applyFont="1" applyFill="1" applyBorder="1" applyAlignment="1" applyProtection="1">
      <alignment horizontal="center" vertical="center"/>
      <protection locked="0"/>
    </xf>
    <xf numFmtId="0" fontId="16" fillId="31" borderId="97" xfId="124" applyFont="1" applyFill="1" applyBorder="1" applyAlignment="1" applyProtection="1">
      <alignment horizontal="center" vertical="center"/>
      <protection locked="0"/>
    </xf>
    <xf numFmtId="0" fontId="43" fillId="31" borderId="296" xfId="106" applyFont="1" applyFill="1" applyBorder="1" applyAlignment="1" applyProtection="1">
      <alignment horizontal="center" vertical="center"/>
      <protection locked="0"/>
    </xf>
    <xf numFmtId="0" fontId="43" fillId="31" borderId="295" xfId="106" applyFont="1" applyFill="1" applyBorder="1" applyAlignment="1" applyProtection="1">
      <alignment horizontal="center" vertical="center"/>
      <protection locked="0"/>
    </xf>
    <xf numFmtId="0" fontId="43" fillId="0" borderId="26" xfId="106" applyFont="1" applyFill="1" applyBorder="1" applyAlignment="1" applyProtection="1">
      <alignment horizontal="center" vertical="center"/>
      <protection locked="0"/>
    </xf>
    <xf numFmtId="0" fontId="14" fillId="0" borderId="0" xfId="124" applyFont="1" applyFill="1" applyAlignment="1" applyProtection="1">
      <alignment vertical="center"/>
    </xf>
    <xf numFmtId="185" fontId="16" fillId="0" borderId="0" xfId="124" applyNumberFormat="1" applyFont="1" applyFill="1" applyAlignment="1" applyProtection="1">
      <alignment horizontal="left" vertical="center"/>
    </xf>
    <xf numFmtId="0" fontId="14" fillId="0" borderId="40" xfId="124" applyFont="1" applyFill="1" applyBorder="1" applyAlignment="1" applyProtection="1">
      <alignment horizontal="center" vertical="center"/>
    </xf>
    <xf numFmtId="185" fontId="14" fillId="0" borderId="0" xfId="124" applyNumberFormat="1" applyFont="1" applyFill="1" applyBorder="1" applyAlignment="1" applyProtection="1">
      <alignment horizontal="left" vertical="center"/>
    </xf>
    <xf numFmtId="0" fontId="16" fillId="0" borderId="19" xfId="124" applyFont="1" applyFill="1" applyBorder="1" applyAlignment="1" applyProtection="1">
      <alignment vertical="center"/>
    </xf>
    <xf numFmtId="185" fontId="16" fillId="0" borderId="27" xfId="124" applyNumberFormat="1" applyFont="1" applyFill="1" applyBorder="1" applyAlignment="1" applyProtection="1">
      <alignment vertical="center"/>
      <protection locked="0"/>
    </xf>
    <xf numFmtId="185" fontId="16" fillId="0" borderId="26" xfId="124" applyNumberFormat="1" applyFont="1" applyFill="1" applyBorder="1" applyAlignment="1" applyProtection="1">
      <alignment horizontal="center" vertical="center"/>
      <protection locked="0"/>
    </xf>
    <xf numFmtId="0" fontId="16" fillId="37" borderId="32" xfId="124" applyFont="1" applyFill="1" applyBorder="1" applyAlignment="1" applyProtection="1">
      <alignment horizontal="center" vertical="center"/>
    </xf>
    <xf numFmtId="0" fontId="16" fillId="37" borderId="27" xfId="124" applyFont="1" applyFill="1" applyBorder="1" applyAlignment="1" applyProtection="1">
      <alignment vertical="center"/>
    </xf>
    <xf numFmtId="0" fontId="16" fillId="37" borderId="26" xfId="0" applyFont="1" applyFill="1" applyBorder="1" applyAlignment="1">
      <alignment horizontal="center" vertical="center"/>
    </xf>
    <xf numFmtId="0" fontId="43" fillId="37" borderId="31" xfId="106" applyFont="1" applyFill="1" applyBorder="1" applyAlignment="1" applyProtection="1">
      <alignment horizontal="center" vertical="center"/>
      <protection locked="0"/>
    </xf>
    <xf numFmtId="0" fontId="43" fillId="37" borderId="99" xfId="106" applyFont="1" applyFill="1" applyBorder="1" applyAlignment="1" applyProtection="1">
      <alignment horizontal="center" vertical="center"/>
      <protection locked="0"/>
    </xf>
    <xf numFmtId="0" fontId="43" fillId="37" borderId="33" xfId="106" applyFont="1" applyFill="1" applyBorder="1" applyAlignment="1" applyProtection="1">
      <alignment horizontal="center" vertical="center"/>
      <protection locked="0"/>
    </xf>
    <xf numFmtId="0" fontId="16" fillId="37" borderId="0" xfId="124" applyFont="1" applyFill="1" applyAlignment="1" applyProtection="1">
      <alignment horizontal="center" vertical="center"/>
    </xf>
    <xf numFmtId="0" fontId="16" fillId="37" borderId="0" xfId="124" applyFont="1" applyFill="1" applyAlignment="1" applyProtection="1">
      <alignment vertical="center"/>
    </xf>
    <xf numFmtId="0" fontId="16" fillId="37" borderId="28" xfId="124" applyFont="1" applyFill="1" applyBorder="1" applyAlignment="1" applyProtection="1">
      <alignment vertical="center"/>
    </xf>
    <xf numFmtId="0" fontId="16" fillId="37" borderId="38" xfId="124" applyFont="1" applyFill="1" applyBorder="1" applyAlignment="1" applyProtection="1">
      <alignment vertical="center"/>
    </xf>
    <xf numFmtId="0" fontId="16" fillId="37" borderId="29" xfId="0" applyFont="1" applyFill="1" applyBorder="1" applyAlignment="1">
      <alignment horizontal="center" vertical="center"/>
    </xf>
    <xf numFmtId="0" fontId="43" fillId="37" borderId="104" xfId="106" applyFont="1" applyFill="1" applyBorder="1" applyAlignment="1" applyProtection="1">
      <alignment horizontal="center" vertical="center"/>
      <protection locked="0"/>
    </xf>
    <xf numFmtId="0" fontId="43" fillId="37" borderId="100" xfId="106" applyFont="1" applyFill="1" applyBorder="1" applyAlignment="1" applyProtection="1">
      <alignment horizontal="center" vertical="center"/>
      <protection locked="0"/>
    </xf>
    <xf numFmtId="0" fontId="43" fillId="37" borderId="37" xfId="106" applyFont="1" applyFill="1" applyBorder="1" applyAlignment="1" applyProtection="1">
      <alignment horizontal="center" vertical="center"/>
      <protection locked="0"/>
    </xf>
    <xf numFmtId="0" fontId="16" fillId="37" borderId="92" xfId="124" applyFont="1" applyFill="1" applyBorder="1" applyAlignment="1" applyProtection="1">
      <alignment vertical="center"/>
    </xf>
    <xf numFmtId="0" fontId="16" fillId="37" borderId="92" xfId="0" applyFont="1" applyFill="1" applyBorder="1" applyAlignment="1">
      <alignment horizontal="center" vertical="center"/>
    </xf>
    <xf numFmtId="0" fontId="43" fillId="37" borderId="296" xfId="106" applyFont="1" applyFill="1" applyBorder="1" applyAlignment="1" applyProtection="1">
      <alignment horizontal="center" vertical="center"/>
      <protection locked="0"/>
    </xf>
    <xf numFmtId="0" fontId="16" fillId="0" borderId="0" xfId="124" applyFont="1" applyFill="1" applyAlignment="1" applyProtection="1">
      <alignment vertical="center"/>
      <protection locked="0"/>
    </xf>
    <xf numFmtId="188" fontId="6" fillId="0" borderId="19" xfId="1" applyNumberFormat="1" applyFont="1" applyBorder="1" applyAlignment="1">
      <alignment horizontal="right" vertical="center"/>
    </xf>
    <xf numFmtId="188" fontId="13" fillId="0" borderId="58" xfId="1" applyNumberFormat="1" applyFont="1" applyBorder="1" applyAlignment="1">
      <alignment horizontal="right" vertical="center"/>
    </xf>
    <xf numFmtId="188" fontId="6" fillId="0" borderId="42" xfId="1" applyNumberFormat="1" applyFont="1" applyBorder="1" applyAlignment="1">
      <alignment horizontal="right" vertical="center"/>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213" fontId="6" fillId="4" borderId="164" xfId="105" applyNumberFormat="1" applyFont="1" applyFill="1" applyBorder="1" applyAlignment="1" applyProtection="1">
      <alignment horizontal="center" vertical="center"/>
    </xf>
    <xf numFmtId="213" fontId="6" fillId="4" borderId="66" xfId="105" applyNumberFormat="1" applyFont="1" applyFill="1" applyBorder="1" applyAlignment="1" applyProtection="1">
      <alignment horizontal="center" vertical="center"/>
    </xf>
    <xf numFmtId="213" fontId="6" fillId="4" borderId="162" xfId="105" applyNumberFormat="1" applyFont="1" applyFill="1" applyBorder="1" applyAlignment="1" applyProtection="1">
      <alignment horizontal="center" vertical="center"/>
    </xf>
    <xf numFmtId="170" fontId="6" fillId="0" borderId="0" xfId="1" applyNumberFormat="1" applyFont="1" applyBorder="1" applyAlignment="1" applyProtection="1">
      <alignment vertical="center"/>
    </xf>
    <xf numFmtId="0" fontId="137" fillId="3" borderId="0" xfId="1" applyFont="1" applyFill="1" applyBorder="1" applyAlignment="1">
      <alignment vertical="center"/>
    </xf>
    <xf numFmtId="0" fontId="6" fillId="3" borderId="0" xfId="1" applyFont="1" applyFill="1" applyBorder="1" applyAlignment="1">
      <alignment vertical="center"/>
    </xf>
    <xf numFmtId="0" fontId="6" fillId="49" borderId="2" xfId="1" applyFont="1" applyFill="1" applyBorder="1" applyAlignment="1">
      <alignment vertical="center"/>
    </xf>
    <xf numFmtId="0" fontId="6" fillId="33" borderId="2" xfId="1" applyFont="1" applyFill="1" applyBorder="1" applyAlignment="1">
      <alignment vertical="center"/>
    </xf>
    <xf numFmtId="172" fontId="13" fillId="4" borderId="42" xfId="1" applyNumberFormat="1" applyFont="1" applyFill="1" applyBorder="1" applyAlignment="1">
      <alignment horizontal="right" vertical="center"/>
    </xf>
    <xf numFmtId="172" fontId="6" fillId="4" borderId="44" xfId="1" applyNumberFormat="1" applyFont="1" applyFill="1" applyBorder="1" applyAlignment="1">
      <alignment horizontal="right" vertical="center"/>
    </xf>
    <xf numFmtId="0" fontId="128" fillId="0" borderId="77" xfId="1" applyFont="1" applyBorder="1" applyAlignment="1">
      <alignment vertical="center"/>
    </xf>
    <xf numFmtId="0" fontId="6" fillId="0" borderId="40" xfId="1" applyFont="1" applyBorder="1" applyAlignment="1">
      <alignment horizontal="left" vertical="center"/>
    </xf>
    <xf numFmtId="0" fontId="6" fillId="0" borderId="70" xfId="105" applyFont="1" applyBorder="1" applyAlignment="1" applyProtection="1">
      <alignment horizontal="center" vertical="center"/>
    </xf>
    <xf numFmtId="0" fontId="6" fillId="0" borderId="83" xfId="105" applyFont="1" applyBorder="1" applyAlignment="1" applyProtection="1">
      <alignment horizontal="center" vertical="center"/>
    </xf>
    <xf numFmtId="0" fontId="6" fillId="0" borderId="67" xfId="105" applyFont="1" applyBorder="1" applyAlignment="1" applyProtection="1">
      <alignment horizontal="center"/>
    </xf>
    <xf numFmtId="0" fontId="6" fillId="0" borderId="82" xfId="105" applyFont="1" applyBorder="1" applyAlignment="1" applyProtection="1">
      <alignment horizontal="center"/>
    </xf>
    <xf numFmtId="200" fontId="6" fillId="0" borderId="81" xfId="1" applyNumberFormat="1" applyFont="1" applyFill="1" applyBorder="1" applyAlignment="1">
      <alignment vertical="center"/>
    </xf>
    <xf numFmtId="200" fontId="6" fillId="0" borderId="82" xfId="1" applyNumberFormat="1" applyFont="1" applyBorder="1" applyAlignment="1">
      <alignment vertical="center"/>
    </xf>
    <xf numFmtId="0" fontId="173" fillId="49" borderId="0" xfId="67" applyFont="1" applyFill="1" applyBorder="1" applyAlignment="1">
      <alignment horizontal="right" vertical="center"/>
    </xf>
    <xf numFmtId="202" fontId="6" fillId="0" borderId="43" xfId="1" applyNumberFormat="1" applyFont="1" applyBorder="1" applyAlignment="1">
      <alignment horizontal="right" vertical="center"/>
    </xf>
    <xf numFmtId="202" fontId="6" fillId="0" borderId="40" xfId="1" applyNumberFormat="1" applyFont="1" applyBorder="1" applyAlignment="1">
      <alignment horizontal="right" vertical="center"/>
    </xf>
    <xf numFmtId="202" fontId="6" fillId="0" borderId="77" xfId="1" applyNumberFormat="1" applyFont="1" applyBorder="1" applyAlignment="1">
      <alignment horizontal="right" vertical="center"/>
    </xf>
    <xf numFmtId="202" fontId="6" fillId="0" borderId="39" xfId="1" applyNumberFormat="1" applyFont="1" applyBorder="1" applyAlignment="1">
      <alignment horizontal="right" vertical="center"/>
    </xf>
    <xf numFmtId="0" fontId="6" fillId="2" borderId="0" xfId="1" applyFont="1" applyFill="1" applyBorder="1" applyAlignment="1">
      <alignment vertical="center"/>
    </xf>
    <xf numFmtId="0" fontId="6" fillId="0" borderId="130" xfId="1" applyFont="1" applyBorder="1" applyAlignment="1">
      <alignment vertical="center"/>
    </xf>
    <xf numFmtId="0" fontId="6" fillId="0" borderId="78" xfId="1" applyFont="1" applyBorder="1" applyAlignment="1">
      <alignment vertical="center"/>
    </xf>
    <xf numFmtId="0" fontId="6" fillId="0" borderId="64" xfId="1" applyFont="1" applyBorder="1" applyAlignment="1">
      <alignment vertical="center"/>
    </xf>
    <xf numFmtId="0" fontId="6" fillId="0" borderId="43" xfId="1" applyFont="1" applyBorder="1" applyAlignment="1">
      <alignment vertical="center"/>
    </xf>
    <xf numFmtId="0" fontId="6" fillId="0" borderId="128" xfId="1" applyFont="1" applyBorder="1" applyAlignment="1">
      <alignment vertical="center"/>
    </xf>
    <xf numFmtId="0" fontId="6" fillId="0" borderId="46" xfId="1" applyFont="1" applyBorder="1" applyAlignment="1">
      <alignment vertical="center"/>
    </xf>
    <xf numFmtId="0" fontId="6" fillId="0" borderId="59" xfId="1" applyFont="1" applyBorder="1" applyAlignment="1">
      <alignment vertical="center"/>
    </xf>
    <xf numFmtId="0" fontId="6" fillId="49" borderId="0" xfId="1" applyFont="1" applyFill="1" applyBorder="1" applyAlignment="1">
      <alignment vertical="center"/>
    </xf>
    <xf numFmtId="0" fontId="6" fillId="33" borderId="23" xfId="1" applyFont="1" applyFill="1" applyBorder="1" applyAlignment="1" applyProtection="1">
      <alignment vertical="center"/>
    </xf>
    <xf numFmtId="0" fontId="6" fillId="33" borderId="23" xfId="1" applyFont="1" applyFill="1" applyBorder="1" applyAlignment="1">
      <alignment vertical="center"/>
    </xf>
    <xf numFmtId="0" fontId="62" fillId="0" borderId="19" xfId="1" applyFont="1" applyBorder="1" applyAlignment="1">
      <alignment horizontal="center"/>
    </xf>
    <xf numFmtId="0" fontId="6" fillId="49" borderId="23" xfId="1" applyFont="1" applyFill="1" applyBorder="1" applyAlignment="1">
      <alignment vertical="center"/>
    </xf>
    <xf numFmtId="172" fontId="62" fillId="0" borderId="57" xfId="1" applyNumberFormat="1" applyFont="1" applyBorder="1" applyAlignment="1"/>
    <xf numFmtId="172" fontId="62" fillId="0" borderId="58" xfId="1" applyNumberFormat="1" applyFont="1" applyBorder="1" applyAlignment="1"/>
    <xf numFmtId="3" fontId="61" fillId="0" borderId="0"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172" fontId="61" fillId="0" borderId="8" xfId="1" applyNumberFormat="1" applyFont="1" applyBorder="1" applyAlignment="1"/>
    <xf numFmtId="172" fontId="61" fillId="0" borderId="58" xfId="1" applyNumberFormat="1" applyFont="1" applyBorder="1" applyAlignment="1"/>
    <xf numFmtId="3" fontId="62" fillId="30" borderId="57" xfId="1" applyNumberFormat="1" applyFont="1" applyFill="1" applyBorder="1" applyAlignment="1">
      <alignment horizontal="center"/>
    </xf>
    <xf numFmtId="3" fontId="62" fillId="30" borderId="58" xfId="1" applyNumberFormat="1" applyFont="1" applyFill="1" applyBorder="1" applyAlignment="1">
      <alignment horizontal="center"/>
    </xf>
    <xf numFmtId="190" fontId="61" fillId="0" borderId="8" xfId="1" applyNumberFormat="1" applyFont="1" applyBorder="1" applyAlignment="1"/>
    <xf numFmtId="190" fontId="61" fillId="0" borderId="58" xfId="1" applyNumberFormat="1" applyFont="1" applyBorder="1" applyAlignment="1"/>
    <xf numFmtId="190" fontId="62" fillId="30" borderId="57" xfId="1" applyNumberFormat="1" applyFont="1" applyFill="1" applyBorder="1" applyAlignment="1"/>
    <xf numFmtId="190" fontId="62" fillId="30" borderId="58" xfId="1" applyNumberFormat="1" applyFont="1" applyFill="1" applyBorder="1" applyAlignment="1"/>
    <xf numFmtId="190" fontId="61" fillId="0" borderId="116" xfId="1" applyNumberFormat="1" applyFont="1" applyBorder="1" applyAlignment="1"/>
    <xf numFmtId="190" fontId="61" fillId="0" borderId="115" xfId="1" applyNumberFormat="1" applyFont="1" applyBorder="1" applyAlignment="1"/>
    <xf numFmtId="0" fontId="6" fillId="49" borderId="0" xfId="1" applyFont="1" applyFill="1" applyBorder="1" applyAlignment="1" applyProtection="1">
      <alignment vertical="center"/>
    </xf>
    <xf numFmtId="0" fontId="6" fillId="49" borderId="0" xfId="1" applyFont="1" applyFill="1" applyAlignment="1">
      <alignment vertical="center"/>
    </xf>
    <xf numFmtId="0" fontId="2" fillId="49" borderId="0" xfId="0" applyFont="1" applyFill="1" applyAlignment="1">
      <alignment vertical="center"/>
    </xf>
    <xf numFmtId="172" fontId="2" fillId="49" borderId="0" xfId="0" applyNumberFormat="1" applyFont="1" applyFill="1" applyAlignment="1">
      <alignment vertical="center"/>
    </xf>
    <xf numFmtId="0" fontId="6" fillId="49" borderId="0" xfId="0" applyFont="1" applyFill="1" applyAlignment="1">
      <alignment vertical="center"/>
    </xf>
    <xf numFmtId="171" fontId="2" fillId="49" borderId="0" xfId="0" applyNumberFormat="1" applyFont="1" applyFill="1" applyAlignment="1">
      <alignment vertical="center"/>
    </xf>
    <xf numFmtId="185" fontId="2" fillId="49" borderId="0" xfId="0" applyNumberFormat="1" applyFont="1" applyFill="1" applyAlignment="1">
      <alignment vertical="center"/>
    </xf>
    <xf numFmtId="0" fontId="6" fillId="4" borderId="0" xfId="1" applyFont="1" applyFill="1" applyBorder="1" applyAlignment="1">
      <alignment vertical="center"/>
    </xf>
    <xf numFmtId="0" fontId="6" fillId="0" borderId="290" xfId="105" applyFont="1" applyBorder="1" applyAlignment="1" applyProtection="1">
      <alignment vertical="center"/>
    </xf>
    <xf numFmtId="0" fontId="6" fillId="0" borderId="290" xfId="1" applyFont="1" applyBorder="1" applyAlignment="1">
      <alignment horizontal="right" vertical="center"/>
    </xf>
    <xf numFmtId="188" fontId="6" fillId="0" borderId="42" xfId="1" applyNumberFormat="1" applyFont="1" applyBorder="1" applyAlignment="1">
      <alignment vertical="center"/>
    </xf>
    <xf numFmtId="188" fontId="6" fillId="0" borderId="290" xfId="1" applyNumberFormat="1" applyFont="1" applyBorder="1" applyAlignment="1">
      <alignment vertical="center"/>
    </xf>
    <xf numFmtId="188" fontId="13" fillId="0" borderId="39" xfId="61" applyNumberFormat="1" applyFont="1" applyBorder="1" applyAlignment="1">
      <alignment vertical="center"/>
    </xf>
    <xf numFmtId="188" fontId="13" fillId="0" borderId="44" xfId="61" applyNumberFormat="1" applyFont="1" applyBorder="1" applyAlignment="1">
      <alignment vertical="center"/>
    </xf>
    <xf numFmtId="0" fontId="4" fillId="55" borderId="39" xfId="1" applyFill="1" applyBorder="1" applyAlignment="1">
      <alignment vertical="center"/>
    </xf>
    <xf numFmtId="188" fontId="13" fillId="55" borderId="44" xfId="61" applyNumberFormat="1" applyFont="1" applyFill="1" applyBorder="1" applyAlignment="1">
      <alignment vertical="center"/>
    </xf>
    <xf numFmtId="188" fontId="13" fillId="0" borderId="2" xfId="61" applyNumberFormat="1" applyFont="1" applyBorder="1" applyAlignment="1">
      <alignment vertical="center"/>
    </xf>
    <xf numFmtId="0" fontId="6" fillId="0" borderId="39" xfId="1" applyFont="1" applyBorder="1" applyAlignment="1">
      <alignment vertical="center"/>
    </xf>
    <xf numFmtId="0" fontId="14" fillId="0" borderId="91" xfId="1" applyFont="1" applyFill="1" applyBorder="1" applyAlignment="1" applyProtection="1">
      <alignment vertical="center"/>
    </xf>
    <xf numFmtId="0" fontId="16" fillId="41" borderId="2" xfId="1" applyNumberFormat="1" applyFont="1" applyFill="1" applyBorder="1" applyAlignment="1">
      <alignment vertical="center"/>
    </xf>
    <xf numFmtId="0" fontId="16" fillId="33" borderId="2" xfId="1" applyNumberFormat="1" applyFont="1" applyFill="1" applyBorder="1" applyAlignment="1">
      <alignment vertical="center"/>
    </xf>
    <xf numFmtId="171" fontId="9" fillId="4" borderId="39" xfId="61" applyNumberFormat="1" applyFont="1" applyFill="1" applyBorder="1" applyAlignment="1" applyProtection="1">
      <alignment horizontal="right" vertical="center"/>
    </xf>
    <xf numFmtId="0" fontId="9" fillId="0" borderId="0" xfId="1" applyFont="1" applyBorder="1" applyAlignment="1" applyProtection="1">
      <alignment horizontal="right" vertical="center"/>
    </xf>
    <xf numFmtId="2" fontId="70" fillId="0" borderId="32" xfId="1" applyNumberFormat="1" applyFont="1" applyBorder="1" applyAlignment="1" applyProtection="1">
      <alignment vertical="center"/>
    </xf>
    <xf numFmtId="180" fontId="63" fillId="31" borderId="65" xfId="1" applyNumberFormat="1" applyFont="1" applyFill="1" applyBorder="1" applyAlignment="1" applyProtection="1">
      <alignment vertical="center"/>
      <protection locked="0"/>
    </xf>
    <xf numFmtId="0" fontId="4" fillId="0" borderId="0" xfId="67" applyFont="1"/>
    <xf numFmtId="180" fontId="63" fillId="31" borderId="65" xfId="67" applyNumberFormat="1" applyFont="1" applyFill="1" applyBorder="1" applyAlignment="1" applyProtection="1">
      <alignment vertical="center"/>
      <protection locked="0"/>
    </xf>
    <xf numFmtId="180" fontId="63" fillId="31" borderId="65" xfId="1" applyNumberFormat="1" applyFont="1" applyFill="1" applyBorder="1" applyAlignment="1" applyProtection="1">
      <alignment vertical="center"/>
    </xf>
    <xf numFmtId="0" fontId="63" fillId="31" borderId="40" xfId="1" applyFont="1" applyFill="1" applyBorder="1" applyAlignment="1" applyProtection="1">
      <alignment horizontal="left" vertical="center"/>
      <protection locked="0"/>
    </xf>
    <xf numFmtId="14" fontId="72" fillId="0" borderId="0" xfId="1" applyNumberFormat="1" applyFont="1" applyAlignment="1" applyProtection="1">
      <alignment vertical="center"/>
    </xf>
    <xf numFmtId="180" fontId="20" fillId="57" borderId="65" xfId="1" applyNumberFormat="1" applyFont="1" applyFill="1" applyBorder="1" applyAlignment="1" applyProtection="1">
      <alignment vertical="center"/>
      <protection locked="0"/>
    </xf>
    <xf numFmtId="171" fontId="9" fillId="0" borderId="66" xfId="61" applyNumberFormat="1" applyFont="1" applyFill="1" applyBorder="1" applyAlignment="1" applyProtection="1">
      <alignment horizontal="right" vertical="center"/>
      <protection locked="0"/>
    </xf>
    <xf numFmtId="171" fontId="9" fillId="0" borderId="62" xfId="61" applyNumberFormat="1" applyFont="1" applyFill="1" applyBorder="1" applyAlignment="1" applyProtection="1">
      <alignment horizontal="right" vertical="center"/>
      <protection locked="0"/>
    </xf>
    <xf numFmtId="171" fontId="9" fillId="0" borderId="65" xfId="61" applyNumberFormat="1" applyFont="1" applyFill="1" applyBorder="1" applyAlignment="1" applyProtection="1">
      <alignment horizontal="right" vertical="center"/>
      <protection locked="0"/>
    </xf>
    <xf numFmtId="171" fontId="9" fillId="0" borderId="61" xfId="61" applyNumberFormat="1" applyFont="1" applyFill="1" applyBorder="1" applyAlignment="1" applyProtection="1">
      <alignment horizontal="right" vertical="center"/>
      <protection locked="0"/>
    </xf>
    <xf numFmtId="185" fontId="9" fillId="0" borderId="66" xfId="61" applyNumberFormat="1" applyFont="1" applyFill="1" applyBorder="1" applyAlignment="1" applyProtection="1">
      <alignment horizontal="right" vertical="center"/>
      <protection locked="0"/>
    </xf>
    <xf numFmtId="185" fontId="9" fillId="0" borderId="65"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8" fontId="6" fillId="0" borderId="0" xfId="1" applyNumberFormat="1" applyFont="1" applyFill="1" applyBorder="1" applyAlignment="1" applyProtection="1">
      <alignment vertical="center"/>
    </xf>
    <xf numFmtId="176" fontId="6" fillId="37" borderId="0" xfId="1" applyNumberFormat="1" applyFont="1" applyFill="1" applyBorder="1" applyAlignment="1" applyProtection="1">
      <alignment vertical="center"/>
    </xf>
    <xf numFmtId="0" fontId="9" fillId="0" borderId="0" xfId="67"/>
    <xf numFmtId="0" fontId="20" fillId="24" borderId="25" xfId="139" applyFont="1" applyFill="1" applyBorder="1" applyAlignment="1" applyProtection="1">
      <alignment vertical="center"/>
      <protection locked="0"/>
    </xf>
    <xf numFmtId="0" fontId="6" fillId="0" borderId="0" xfId="1" applyFont="1" applyBorder="1" applyAlignment="1" applyProtection="1">
      <alignment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right" vertical="center"/>
    </xf>
    <xf numFmtId="0" fontId="6" fillId="0" borderId="2" xfId="1" applyFont="1" applyBorder="1" applyAlignment="1" applyProtection="1">
      <alignment horizontal="right" vertical="center"/>
    </xf>
    <xf numFmtId="0" fontId="14" fillId="0" borderId="40" xfId="1" applyFont="1" applyBorder="1" applyAlignment="1" applyProtection="1">
      <alignment vertical="center"/>
    </xf>
    <xf numFmtId="0" fontId="16" fillId="0" borderId="0" xfId="1" applyFont="1" applyBorder="1" applyAlignment="1" applyProtection="1">
      <alignment vertical="center"/>
    </xf>
    <xf numFmtId="0" fontId="14"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13" fillId="0" borderId="0" xfId="105" applyFont="1" applyBorder="1" applyAlignment="1" applyProtection="1">
      <alignment vertical="center"/>
    </xf>
    <xf numFmtId="0" fontId="14" fillId="0" borderId="2" xfId="105" applyFont="1" applyBorder="1" applyAlignment="1" applyProtection="1">
      <alignment vertical="center"/>
    </xf>
    <xf numFmtId="0" fontId="6" fillId="27" borderId="0" xfId="1" applyFont="1" applyFill="1" applyBorder="1" applyAlignment="1" applyProtection="1">
      <alignment vertical="center"/>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0" fontId="6" fillId="31" borderId="121" xfId="105" applyFont="1" applyFill="1" applyBorder="1" applyAlignment="1" applyProtection="1">
      <alignment vertical="center"/>
      <protection locked="0"/>
    </xf>
    <xf numFmtId="209" fontId="6" fillId="4" borderId="91" xfId="1" applyNumberFormat="1" applyFont="1" applyFill="1" applyBorder="1" applyAlignment="1" applyProtection="1">
      <alignment horizontal="center" vertical="center"/>
    </xf>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0" fontId="6" fillId="0" borderId="2" xfId="1" applyFont="1" applyBorder="1" applyAlignment="1" applyProtection="1">
      <alignment horizontal="center" vertical="center"/>
    </xf>
    <xf numFmtId="190" fontId="6" fillId="4" borderId="163" xfId="105" applyNumberFormat="1" applyFont="1" applyFill="1" applyBorder="1" applyAlignment="1" applyProtection="1">
      <alignment vertical="center"/>
    </xf>
    <xf numFmtId="0" fontId="6" fillId="31" borderId="62" xfId="1" applyFont="1" applyFill="1" applyBorder="1" applyAlignment="1" applyProtection="1">
      <alignment vertical="center"/>
      <protection locked="0"/>
    </xf>
    <xf numFmtId="209" fontId="6" fillId="4" borderId="0" xfId="1" applyNumberFormat="1" applyFont="1" applyFill="1" applyBorder="1" applyAlignment="1" applyProtection="1">
      <alignment horizontal="center" vertical="center"/>
    </xf>
    <xf numFmtId="180" fontId="6" fillId="31" borderId="163"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2"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4" xfId="1" applyNumberFormat="1" applyFont="1" applyFill="1" applyBorder="1" applyAlignment="1" applyProtection="1">
      <alignment horizontal="righ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209" fontId="6" fillId="4" borderId="162" xfId="1" applyNumberFormat="1" applyFont="1" applyFill="1" applyBorder="1" applyAlignment="1" applyProtection="1">
      <alignment horizontal="center" vertical="center"/>
    </xf>
    <xf numFmtId="0" fontId="16" fillId="0" borderId="83" xfId="105" applyFont="1" applyBorder="1" applyAlignment="1" applyProtection="1">
      <alignment horizontal="left" vertical="center"/>
    </xf>
    <xf numFmtId="170" fontId="6" fillId="4" borderId="0" xfId="1" applyNumberFormat="1" applyFont="1" applyFill="1" applyBorder="1" applyAlignment="1" applyProtection="1">
      <alignment horizontal="right" vertical="center"/>
    </xf>
    <xf numFmtId="0" fontId="31" fillId="0" borderId="0" xfId="1" applyFont="1" applyAlignment="1">
      <alignment horizontal="centerContinuous" vertical="center"/>
    </xf>
    <xf numFmtId="176" fontId="6" fillId="0" borderId="40" xfId="1" applyNumberFormat="1" applyFont="1" applyBorder="1" applyAlignment="1">
      <alignment vertical="center"/>
    </xf>
    <xf numFmtId="0" fontId="18" fillId="31" borderId="0" xfId="1" applyFont="1" applyFill="1" applyBorder="1" applyAlignment="1" applyProtection="1">
      <alignment vertical="top"/>
      <protection locked="0"/>
    </xf>
    <xf numFmtId="176" fontId="6" fillId="33" borderId="0" xfId="1" applyNumberFormat="1" applyFont="1" applyFill="1" applyBorder="1" applyAlignment="1" applyProtection="1">
      <alignment vertical="center"/>
    </xf>
    <xf numFmtId="0" fontId="70" fillId="0" borderId="289" xfId="1" applyFont="1" applyBorder="1" applyAlignment="1" applyProtection="1">
      <alignment vertical="center"/>
    </xf>
    <xf numFmtId="0" fontId="44" fillId="33" borderId="0" xfId="1" applyFont="1" applyFill="1" applyBorder="1" applyAlignment="1" applyProtection="1">
      <alignment horizontal="right" vertical="center"/>
    </xf>
    <xf numFmtId="0" fontId="44" fillId="33" borderId="40" xfId="1" applyFont="1" applyFill="1" applyBorder="1" applyAlignment="1" applyProtection="1">
      <alignment horizontal="right" vertical="center"/>
    </xf>
    <xf numFmtId="0" fontId="66" fillId="33" borderId="0" xfId="1" applyFont="1" applyFill="1" applyBorder="1" applyAlignment="1" applyProtection="1">
      <alignment vertical="center"/>
    </xf>
    <xf numFmtId="0" fontId="70" fillId="33" borderId="0" xfId="1" applyFont="1" applyFill="1" applyBorder="1" applyAlignment="1" applyProtection="1">
      <alignment vertical="center"/>
    </xf>
    <xf numFmtId="0" fontId="13" fillId="33" borderId="40" xfId="1" applyFont="1" applyFill="1" applyBorder="1" applyAlignment="1" applyProtection="1">
      <alignment vertical="center"/>
    </xf>
    <xf numFmtId="0" fontId="72" fillId="33" borderId="0" xfId="1" applyFont="1" applyFill="1" applyBorder="1" applyAlignment="1" applyProtection="1">
      <alignment vertical="center"/>
    </xf>
    <xf numFmtId="0" fontId="6" fillId="33" borderId="0" xfId="1" applyFont="1" applyFill="1" applyBorder="1" applyAlignment="1" applyProtection="1">
      <alignment vertical="center"/>
    </xf>
    <xf numFmtId="0" fontId="43" fillId="33" borderId="0" xfId="1" applyFont="1" applyFill="1" applyBorder="1" applyAlignment="1" applyProtection="1">
      <alignment horizontal="right" vertical="center"/>
    </xf>
    <xf numFmtId="0" fontId="70" fillId="33" borderId="0" xfId="1" applyFont="1" applyFill="1" applyBorder="1" applyAlignment="1" applyProtection="1">
      <alignment horizontal="left" vertical="center"/>
    </xf>
    <xf numFmtId="0" fontId="13" fillId="33" borderId="40" xfId="1" applyFont="1" applyFill="1" applyBorder="1" applyAlignment="1" applyProtection="1">
      <alignment horizontal="right" vertical="center"/>
    </xf>
    <xf numFmtId="0" fontId="7" fillId="0" borderId="32" xfId="2" applyBorder="1" applyAlignment="1" applyProtection="1">
      <alignment horizontal="right" vertical="center"/>
    </xf>
    <xf numFmtId="0" fontId="4" fillId="0" borderId="0" xfId="1" applyAlignment="1" applyProtection="1">
      <alignment vertical="center"/>
    </xf>
    <xf numFmtId="0" fontId="15" fillId="4" borderId="40" xfId="1" applyFont="1" applyFill="1" applyBorder="1" applyAlignment="1" applyProtection="1">
      <alignment horizontal="right" vertical="center"/>
    </xf>
    <xf numFmtId="0" fontId="15" fillId="4" borderId="19" xfId="1" applyFont="1" applyFill="1" applyBorder="1" applyAlignment="1" applyProtection="1">
      <alignment vertical="center"/>
    </xf>
    <xf numFmtId="0" fontId="15" fillId="4" borderId="0" xfId="1" applyFont="1" applyFill="1" applyBorder="1" applyAlignment="1" applyProtection="1">
      <alignment horizontal="right" vertical="center"/>
    </xf>
    <xf numFmtId="0" fontId="4" fillId="0" borderId="3" xfId="1" applyBorder="1" applyAlignment="1">
      <alignment horizontal="center"/>
    </xf>
    <xf numFmtId="2" fontId="15" fillId="4" borderId="3" xfId="1" applyNumberFormat="1" applyFont="1" applyFill="1" applyBorder="1" applyAlignment="1" applyProtection="1">
      <alignment horizontal="center" vertical="center"/>
    </xf>
    <xf numFmtId="2" fontId="15" fillId="0" borderId="3" xfId="1" applyNumberFormat="1" applyFont="1" applyBorder="1" applyAlignment="1" applyProtection="1">
      <alignment horizontal="center" vertical="center"/>
    </xf>
    <xf numFmtId="2" fontId="15" fillId="31" borderId="3" xfId="1" applyNumberFormat="1" applyFont="1" applyFill="1" applyBorder="1" applyAlignment="1" applyProtection="1">
      <alignment horizontal="center" vertical="center"/>
      <protection locked="0"/>
    </xf>
    <xf numFmtId="0" fontId="5" fillId="0" borderId="3" xfId="1" applyFont="1" applyBorder="1" applyAlignment="1">
      <alignment horizontal="center"/>
    </xf>
    <xf numFmtId="176" fontId="6" fillId="0" borderId="62" xfId="1" applyNumberFormat="1" applyFont="1" applyFill="1" applyBorder="1" applyAlignment="1" applyProtection="1">
      <alignment vertical="center"/>
    </xf>
    <xf numFmtId="0" fontId="9" fillId="0" borderId="2" xfId="1" applyFont="1" applyFill="1" applyBorder="1" applyAlignment="1" applyProtection="1">
      <alignment horizontal="right" vertical="center"/>
    </xf>
    <xf numFmtId="176" fontId="6" fillId="0" borderId="71" xfId="1" applyNumberFormat="1" applyFont="1" applyFill="1" applyBorder="1" applyAlignment="1" applyProtection="1">
      <alignment vertical="center"/>
    </xf>
    <xf numFmtId="176" fontId="6" fillId="0" borderId="39" xfId="61" applyNumberFormat="1" applyFont="1" applyBorder="1" applyAlignment="1" applyProtection="1">
      <alignment vertical="center"/>
    </xf>
    <xf numFmtId="0" fontId="15" fillId="33" borderId="0" xfId="1" applyFont="1" applyFill="1" applyBorder="1" applyAlignment="1" applyProtection="1">
      <alignment vertical="center"/>
      <protection locked="0"/>
    </xf>
    <xf numFmtId="0" fontId="4" fillId="33" borderId="19" xfId="1" applyFill="1" applyBorder="1" applyAlignment="1" applyProtection="1">
      <alignment vertical="center"/>
      <protection locked="0"/>
    </xf>
    <xf numFmtId="2" fontId="15" fillId="33" borderId="3" xfId="1" applyNumberFormat="1" applyFont="1" applyFill="1" applyBorder="1" applyAlignment="1" applyProtection="1">
      <alignment horizontal="center" vertical="center"/>
      <protection locked="0"/>
    </xf>
    <xf numFmtId="0" fontId="6" fillId="33" borderId="297" xfId="1" applyFont="1" applyFill="1" applyBorder="1" applyAlignment="1" applyProtection="1">
      <alignment vertical="center"/>
      <protection locked="0"/>
    </xf>
    <xf numFmtId="0" fontId="4" fillId="0" borderId="129" xfId="1" applyBorder="1" applyAlignment="1" applyProtection="1">
      <alignment vertical="center"/>
    </xf>
    <xf numFmtId="176" fontId="6" fillId="33" borderId="114" xfId="1" applyNumberFormat="1" applyFont="1" applyFill="1" applyBorder="1" applyAlignment="1" applyProtection="1">
      <alignment vertical="center"/>
    </xf>
    <xf numFmtId="176" fontId="6" fillId="33" borderId="297" xfId="1" applyNumberFormat="1" applyFont="1" applyFill="1" applyBorder="1" applyAlignment="1" applyProtection="1">
      <alignment vertical="center"/>
    </xf>
    <xf numFmtId="176" fontId="6" fillId="33" borderId="117" xfId="1" applyNumberFormat="1" applyFont="1" applyFill="1" applyBorder="1" applyAlignment="1" applyProtection="1">
      <alignment vertical="center"/>
    </xf>
    <xf numFmtId="176" fontId="6" fillId="0" borderId="2" xfId="61" applyNumberFormat="1" applyFont="1" applyBorder="1" applyAlignment="1" applyProtection="1">
      <alignment vertical="center"/>
    </xf>
    <xf numFmtId="176" fontId="6" fillId="33" borderId="9" xfId="1" applyNumberFormat="1" applyFont="1" applyFill="1" applyBorder="1" applyAlignment="1" applyProtection="1">
      <alignment vertical="center"/>
      <protection locked="0"/>
    </xf>
    <xf numFmtId="176" fontId="6" fillId="31" borderId="0" xfId="1" applyNumberFormat="1" applyFont="1" applyFill="1" applyBorder="1" applyAlignment="1" applyProtection="1">
      <alignment vertical="center"/>
      <protection locked="0"/>
    </xf>
    <xf numFmtId="176" fontId="6" fillId="0" borderId="66"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0" fontId="6" fillId="37" borderId="9" xfId="1" applyFont="1" applyFill="1" applyBorder="1" applyAlignment="1" applyProtection="1">
      <alignment vertical="center"/>
    </xf>
    <xf numFmtId="0" fontId="6" fillId="37" borderId="164" xfId="1" applyFont="1" applyFill="1" applyBorder="1" applyAlignment="1" applyProtection="1">
      <alignment vertical="center"/>
    </xf>
    <xf numFmtId="0" fontId="13" fillId="0" borderId="19" xfId="1" applyFont="1" applyFill="1" applyBorder="1" applyAlignment="1" applyProtection="1">
      <alignment horizontal="centerContinuous" vertical="center" wrapText="1"/>
    </xf>
    <xf numFmtId="0" fontId="72" fillId="0" borderId="108" xfId="1" applyFont="1" applyBorder="1" applyAlignment="1" applyProtection="1">
      <alignment vertical="center"/>
    </xf>
    <xf numFmtId="0" fontId="72" fillId="0" borderId="95" xfId="1" applyFont="1" applyBorder="1" applyAlignment="1" applyProtection="1">
      <alignment vertical="center"/>
    </xf>
    <xf numFmtId="177" fontId="72" fillId="0" borderId="95" xfId="1" applyNumberFormat="1" applyFont="1" applyFill="1" applyBorder="1" applyAlignment="1" applyProtection="1">
      <alignment vertical="center"/>
    </xf>
    <xf numFmtId="176" fontId="6" fillId="0" borderId="93" xfId="1" applyNumberFormat="1" applyFont="1" applyBorder="1" applyAlignment="1" applyProtection="1">
      <alignment vertical="center"/>
    </xf>
    <xf numFmtId="0" fontId="15" fillId="0" borderId="108" xfId="1" applyFont="1" applyBorder="1" applyAlignment="1" applyProtection="1">
      <alignment horizontal="left" vertical="center"/>
    </xf>
    <xf numFmtId="0" fontId="72" fillId="0" borderId="107" xfId="1" applyFont="1" applyBorder="1" applyAlignment="1" applyProtection="1">
      <alignment vertical="center"/>
    </xf>
    <xf numFmtId="0" fontId="72" fillId="37" borderId="95" xfId="1" applyFont="1" applyFill="1" applyBorder="1" applyAlignment="1" applyProtection="1">
      <alignment vertical="center"/>
    </xf>
    <xf numFmtId="0" fontId="14" fillId="37" borderId="40" xfId="1" applyFont="1" applyFill="1" applyBorder="1" applyAlignment="1" applyProtection="1">
      <alignment horizontal="center" vertical="center"/>
    </xf>
    <xf numFmtId="0" fontId="5" fillId="0" borderId="190" xfId="1" applyFont="1" applyBorder="1" applyAlignment="1" applyProtection="1">
      <alignment horizontal="left" vertical="center"/>
    </xf>
    <xf numFmtId="178" fontId="6" fillId="57" borderId="65" xfId="1" applyNumberFormat="1" applyFont="1" applyFill="1" applyBorder="1" applyAlignment="1" applyProtection="1">
      <alignment vertical="center"/>
    </xf>
    <xf numFmtId="0" fontId="5" fillId="0" borderId="0" xfId="1" applyFont="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0" borderId="24" xfId="67" applyBorder="1"/>
    <xf numFmtId="2" fontId="20" fillId="0" borderId="298" xfId="67" applyNumberFormat="1" applyFont="1" applyBorder="1" applyAlignment="1">
      <alignment horizont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33" borderId="40" xfId="0" applyFont="1" applyFill="1" applyBorder="1" applyAlignment="1" applyProtection="1">
      <alignment horizontal="left" vertical="center"/>
    </xf>
    <xf numFmtId="0" fontId="4" fillId="33" borderId="43" xfId="1" applyFont="1" applyFill="1" applyBorder="1" applyAlignment="1" applyProtection="1">
      <alignment vertical="center"/>
    </xf>
    <xf numFmtId="0" fontId="14" fillId="0" borderId="40" xfId="1" applyFont="1" applyBorder="1" applyAlignment="1" applyProtection="1">
      <alignment horizontal="center" vertical="center"/>
    </xf>
    <xf numFmtId="0" fontId="4" fillId="33" borderId="40" xfId="1" applyFont="1" applyFill="1" applyBorder="1" applyAlignment="1" applyProtection="1">
      <alignment vertical="center"/>
    </xf>
    <xf numFmtId="0" fontId="4" fillId="0" borderId="0" xfId="1" applyAlignment="1" applyProtection="1">
      <alignment vertical="center"/>
    </xf>
    <xf numFmtId="0" fontId="6" fillId="37" borderId="0" xfId="1" applyFont="1" applyFill="1" applyBorder="1" applyAlignment="1" applyProtection="1">
      <alignment horizontal="left" vertical="center"/>
      <protection locked="0"/>
    </xf>
    <xf numFmtId="0" fontId="4" fillId="33" borderId="40" xfId="0" applyFont="1" applyFill="1" applyBorder="1" applyAlignment="1" applyProtection="1">
      <alignment vertical="center"/>
    </xf>
    <xf numFmtId="0" fontId="14" fillId="0" borderId="290" xfId="1" applyFont="1" applyBorder="1" applyAlignment="1" applyProtection="1">
      <alignment horizontal="center" vertical="center"/>
    </xf>
    <xf numFmtId="4" fontId="15" fillId="0" borderId="40" xfId="95" applyNumberFormat="1" applyFont="1" applyFill="1" applyBorder="1" applyAlignment="1" applyProtection="1">
      <alignment horizontal="right" vertical="center"/>
    </xf>
    <xf numFmtId="4" fontId="15" fillId="0" borderId="40" xfId="1" applyNumberFormat="1" applyFont="1" applyFill="1" applyBorder="1" applyAlignment="1" applyProtection="1">
      <alignment horizontal="right" vertical="center"/>
    </xf>
    <xf numFmtId="4" fontId="185" fillId="0" borderId="40" xfId="95" applyNumberFormat="1" applyFont="1" applyFill="1" applyBorder="1" applyAlignment="1" applyProtection="1">
      <alignment horizontal="right" vertical="center"/>
    </xf>
    <xf numFmtId="17" fontId="0" fillId="0" borderId="0" xfId="0" applyNumberFormat="1"/>
    <xf numFmtId="0" fontId="16" fillId="0" borderId="40" xfId="1" applyFont="1" applyFill="1" applyBorder="1" applyAlignment="1" applyProtection="1">
      <alignment vertical="center"/>
    </xf>
    <xf numFmtId="0" fontId="16" fillId="0" borderId="19" xfId="1" applyFont="1" applyFill="1" applyBorder="1" applyAlignment="1" applyProtection="1">
      <alignment vertical="center"/>
    </xf>
    <xf numFmtId="189" fontId="6" fillId="0" borderId="0" xfId="1" applyNumberFormat="1" applyFont="1" applyBorder="1" applyAlignment="1" applyProtection="1">
      <alignment vertical="center"/>
    </xf>
    <xf numFmtId="0" fontId="4" fillId="0" borderId="0" xfId="1" applyAlignment="1" applyProtection="1">
      <alignment vertical="center"/>
    </xf>
    <xf numFmtId="4" fontId="4" fillId="0" borderId="130" xfId="1" applyNumberFormat="1" applyFont="1" applyFill="1" applyBorder="1" applyAlignment="1" applyProtection="1">
      <alignment horizontal="center" vertical="center"/>
    </xf>
    <xf numFmtId="4" fontId="4" fillId="0" borderId="40" xfId="1" applyNumberFormat="1" applyFont="1" applyFill="1" applyBorder="1" applyAlignment="1" applyProtection="1">
      <alignment horizontal="center" vertical="center"/>
    </xf>
    <xf numFmtId="3" fontId="4" fillId="0" borderId="40" xfId="1" applyNumberFormat="1" applyFont="1" applyFill="1" applyBorder="1" applyAlignment="1" applyProtection="1">
      <alignment horizontal="center" vertical="center"/>
    </xf>
    <xf numFmtId="3" fontId="88" fillId="0" borderId="40" xfId="1" applyNumberFormat="1" applyFont="1" applyFill="1" applyBorder="1" applyAlignment="1" applyProtection="1">
      <alignment horizontal="center" vertical="center"/>
    </xf>
    <xf numFmtId="4" fontId="4" fillId="0" borderId="43" xfId="1" applyNumberFormat="1" applyFont="1" applyFill="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64"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49" fontId="9" fillId="0" borderId="40" xfId="1" applyNumberFormat="1" applyFont="1" applyFill="1" applyBorder="1" applyAlignment="1" applyProtection="1">
      <alignment horizontal="center" vertical="center"/>
    </xf>
    <xf numFmtId="0" fontId="9" fillId="0" borderId="43" xfId="1" applyNumberFormat="1" applyFont="1" applyFill="1" applyBorder="1" applyAlignment="1" applyProtection="1">
      <alignment horizontal="center" vertical="center"/>
    </xf>
    <xf numFmtId="49" fontId="9" fillId="0" borderId="128" xfId="1" applyNumberFormat="1" applyFont="1" applyFill="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0" fontId="6" fillId="37" borderId="0" xfId="1" applyFont="1" applyFill="1" applyBorder="1" applyAlignment="1" applyProtection="1">
      <alignment horizontal="left" vertical="center"/>
      <protection locked="0"/>
    </xf>
    <xf numFmtId="0" fontId="6" fillId="37" borderId="2" xfId="1" applyFont="1" applyFill="1" applyBorder="1" applyAlignment="1" applyProtection="1">
      <alignment horizontal="left" vertical="center"/>
      <protection locked="0"/>
    </xf>
    <xf numFmtId="0" fontId="9" fillId="0" borderId="60" xfId="1" applyFont="1" applyFill="1" applyBorder="1" applyProtection="1"/>
    <xf numFmtId="0" fontId="12" fillId="0" borderId="48" xfId="1" applyFont="1" applyFill="1" applyBorder="1" applyProtection="1"/>
    <xf numFmtId="0" fontId="12" fillId="0" borderId="41" xfId="1" applyFont="1" applyFill="1" applyBorder="1" applyProtection="1"/>
    <xf numFmtId="0" fontId="12" fillId="0" borderId="146" xfId="1" applyFont="1" applyFill="1" applyBorder="1" applyProtection="1"/>
    <xf numFmtId="0" fontId="9" fillId="0" borderId="47" xfId="1" applyFont="1" applyFill="1" applyBorder="1" applyAlignment="1" applyProtection="1">
      <alignment horizontal="right" vertical="center"/>
    </xf>
    <xf numFmtId="0" fontId="4" fillId="0" borderId="24" xfId="1" applyBorder="1" applyProtection="1"/>
    <xf numFmtId="0" fontId="4" fillId="0" borderId="299" xfId="1" applyBorder="1" applyAlignment="1" applyProtection="1">
      <alignment vertical="center"/>
    </xf>
    <xf numFmtId="0" fontId="5" fillId="0" borderId="0" xfId="1" applyFont="1" applyFill="1" applyBorder="1" applyAlignment="1" applyProtection="1">
      <alignment horizontal="center" vertical="center"/>
    </xf>
    <xf numFmtId="171" fontId="9" fillId="33" borderId="62"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Alignment="1" applyProtection="1">
      <alignment vertical="center"/>
    </xf>
    <xf numFmtId="0" fontId="4" fillId="0" borderId="0" xfId="1" applyBorder="1" applyAlignment="1" applyProtection="1">
      <alignment vertical="center"/>
    </xf>
    <xf numFmtId="0" fontId="186" fillId="0" borderId="0" xfId="1" applyFont="1" applyBorder="1" applyAlignment="1">
      <alignment vertical="center"/>
    </xf>
    <xf numFmtId="0" fontId="88" fillId="0" borderId="0" xfId="1" applyFont="1" applyProtection="1"/>
    <xf numFmtId="0" fontId="13" fillId="4" borderId="40" xfId="1" applyFont="1" applyFill="1" applyBorder="1" applyAlignment="1" applyProtection="1">
      <alignment horizontal="center" vertical="center"/>
      <protection locked="0"/>
    </xf>
    <xf numFmtId="177" fontId="5" fillId="4" borderId="0" xfId="1" applyNumberFormat="1" applyFont="1" applyFill="1" applyBorder="1" applyAlignment="1" applyProtection="1">
      <alignment horizontal="center" vertical="center"/>
    </xf>
    <xf numFmtId="186" fontId="5" fillId="0" borderId="0" xfId="1" applyNumberFormat="1" applyFont="1" applyFill="1" applyBorder="1" applyAlignment="1" applyProtection="1">
      <alignment horizontal="center" vertical="center"/>
    </xf>
    <xf numFmtId="186" fontId="9" fillId="0" borderId="0" xfId="1" applyNumberFormat="1" applyFont="1" applyFill="1" applyBorder="1" applyAlignment="1" applyProtection="1">
      <alignment horizontal="center" vertical="center"/>
    </xf>
    <xf numFmtId="171" fontId="14" fillId="4" borderId="0" xfId="61" applyNumberFormat="1" applyFont="1" applyFill="1" applyBorder="1" applyAlignment="1" applyProtection="1">
      <alignment horizontal="right" vertical="center"/>
    </xf>
    <xf numFmtId="171" fontId="9" fillId="0" borderId="0" xfId="1" applyNumberFormat="1" applyFont="1" applyBorder="1" applyAlignment="1" applyProtection="1">
      <alignment horizontal="right" vertical="center"/>
    </xf>
    <xf numFmtId="171" fontId="9" fillId="0" borderId="0" xfId="61" applyNumberFormat="1" applyFont="1" applyBorder="1" applyAlignment="1" applyProtection="1">
      <alignment horizontal="right" vertical="center"/>
    </xf>
    <xf numFmtId="171" fontId="6" fillId="0" borderId="0" xfId="61" applyNumberFormat="1" applyFont="1" applyBorder="1" applyAlignment="1" applyProtection="1">
      <alignment horizontal="right" vertical="center"/>
    </xf>
    <xf numFmtId="0" fontId="16" fillId="0" borderId="0" xfId="1" applyFont="1" applyBorder="1" applyAlignment="1">
      <alignment horizontal="center" vertical="center"/>
    </xf>
    <xf numFmtId="0" fontId="186" fillId="0" borderId="0" xfId="1" applyFont="1" applyAlignment="1" applyProtection="1">
      <alignment vertical="center"/>
    </xf>
    <xf numFmtId="188" fontId="9" fillId="0" borderId="2" xfId="1" applyNumberFormat="1" applyFont="1" applyBorder="1" applyAlignment="1" applyProtection="1">
      <alignment horizontal="right" vertical="center"/>
    </xf>
    <xf numFmtId="188" fontId="9" fillId="0" borderId="41" xfId="1" applyNumberFormat="1" applyFont="1" applyBorder="1" applyAlignment="1" applyProtection="1">
      <alignment horizontal="right" vertical="center"/>
    </xf>
    <xf numFmtId="0" fontId="16" fillId="0" borderId="0" xfId="1" applyFont="1" applyFill="1" applyBorder="1" applyAlignment="1">
      <alignment horizontal="center" vertical="center"/>
    </xf>
    <xf numFmtId="188" fontId="9" fillId="0" borderId="41" xfId="1" applyNumberFormat="1" applyFont="1" applyFill="1" applyBorder="1" applyAlignment="1" applyProtection="1">
      <alignment horizontal="right" vertical="center"/>
    </xf>
    <xf numFmtId="171" fontId="9" fillId="0" borderId="0" xfId="61" applyNumberFormat="1" applyFont="1" applyFill="1" applyBorder="1" applyAlignment="1" applyProtection="1">
      <alignment horizontal="right" vertical="center"/>
      <protection locked="0"/>
    </xf>
    <xf numFmtId="0" fontId="187" fillId="0" borderId="0" xfId="1" applyFont="1" applyAlignment="1" applyProtection="1">
      <alignment vertical="center"/>
    </xf>
    <xf numFmtId="0" fontId="188" fillId="0" borderId="0" xfId="1" applyFont="1" applyAlignment="1" applyProtection="1">
      <alignment vertical="center"/>
    </xf>
    <xf numFmtId="171" fontId="9" fillId="33" borderId="66" xfId="61" applyNumberFormat="1" applyFont="1" applyFill="1" applyBorder="1" applyAlignment="1" applyProtection="1">
      <alignment horizontal="right" vertical="center"/>
      <protection locked="0"/>
    </xf>
    <xf numFmtId="188" fontId="9" fillId="0" borderId="47" xfId="1" applyNumberFormat="1" applyFont="1" applyBorder="1" applyAlignment="1" applyProtection="1">
      <alignment horizontal="right" vertical="center"/>
    </xf>
    <xf numFmtId="188" fontId="9" fillId="0" borderId="66" xfId="1" applyNumberFormat="1" applyFont="1" applyBorder="1" applyAlignment="1" applyProtection="1">
      <alignment horizontal="right" vertical="center"/>
    </xf>
    <xf numFmtId="1" fontId="6" fillId="37" borderId="9" xfId="1" applyNumberFormat="1" applyFont="1" applyFill="1" applyBorder="1" applyAlignment="1" applyProtection="1">
      <alignment vertical="center"/>
    </xf>
    <xf numFmtId="1" fontId="6" fillId="37" borderId="164" xfId="1" applyNumberFormat="1" applyFont="1" applyFill="1" applyBorder="1" applyAlignment="1" applyProtection="1">
      <alignment vertical="center"/>
    </xf>
    <xf numFmtId="0" fontId="2" fillId="0" borderId="0" xfId="1" applyFont="1" applyAlignment="1" applyProtection="1">
      <alignment horizontal="left" vertical="center"/>
    </xf>
    <xf numFmtId="0" fontId="4" fillId="0" borderId="0" xfId="1" applyBorder="1" applyAlignment="1" applyProtection="1">
      <alignment vertical="center"/>
    </xf>
    <xf numFmtId="0" fontId="6" fillId="37" borderId="0" xfId="1" applyFont="1" applyFill="1" applyBorder="1" applyAlignment="1" applyProtection="1">
      <alignment horizontal="left" vertical="center"/>
      <protection locked="0"/>
    </xf>
    <xf numFmtId="0" fontId="16" fillId="0" borderId="19" xfId="1" applyFont="1" applyBorder="1" applyAlignment="1" applyProtection="1">
      <alignment horizontal="left" vertical="center"/>
    </xf>
    <xf numFmtId="185" fontId="189" fillId="31" borderId="92" xfId="124" applyNumberFormat="1" applyFont="1" applyFill="1" applyBorder="1" applyAlignment="1" applyProtection="1">
      <alignment vertical="center"/>
      <protection locked="0"/>
    </xf>
    <xf numFmtId="0" fontId="189" fillId="0" borderId="27" xfId="124" applyFont="1" applyFill="1" applyBorder="1" applyAlignment="1" applyProtection="1">
      <alignment vertical="center"/>
    </xf>
    <xf numFmtId="0" fontId="189" fillId="37" borderId="27" xfId="124" applyFont="1" applyFill="1" applyBorder="1" applyAlignment="1" applyProtection="1">
      <alignment vertical="center"/>
    </xf>
    <xf numFmtId="185" fontId="189" fillId="37" borderId="92" xfId="124" applyNumberFormat="1" applyFont="1" applyFill="1" applyBorder="1" applyAlignment="1" applyProtection="1">
      <alignment vertical="center"/>
      <protection locked="0"/>
    </xf>
    <xf numFmtId="0" fontId="4" fillId="0" borderId="0" xfId="67" applyFont="1" applyBorder="1" applyAlignment="1">
      <alignment vertical="top" wrapText="1"/>
    </xf>
    <xf numFmtId="0" fontId="4" fillId="38" borderId="0" xfId="67" applyFont="1" applyFill="1" applyBorder="1" applyAlignment="1">
      <alignment vertical="center"/>
    </xf>
    <xf numFmtId="2" fontId="4" fillId="37" borderId="25" xfId="1" applyNumberFormat="1" applyFill="1" applyBorder="1" applyProtection="1">
      <protection locked="0"/>
    </xf>
    <xf numFmtId="2" fontId="4" fillId="40" borderId="19" xfId="1" applyNumberFormat="1" applyFill="1" applyBorder="1" applyProtection="1">
      <protection locked="0"/>
    </xf>
    <xf numFmtId="0" fontId="20" fillId="50" borderId="60" xfId="1" applyFont="1" applyFill="1" applyBorder="1" applyAlignment="1">
      <alignment horizontal="left" vertical="top"/>
    </xf>
    <xf numFmtId="0" fontId="20" fillId="50" borderId="41" xfId="1" applyFont="1" applyFill="1" applyBorder="1" applyAlignment="1">
      <alignment horizontal="left" vertical="top"/>
    </xf>
    <xf numFmtId="0" fontId="54" fillId="50" borderId="32" xfId="1" applyFont="1" applyFill="1" applyBorder="1" applyAlignment="1">
      <alignment horizontal="center"/>
    </xf>
    <xf numFmtId="0" fontId="54" fillId="50" borderId="0" xfId="1" applyFont="1" applyFill="1" applyBorder="1" applyAlignment="1">
      <alignment horizontal="center"/>
    </xf>
    <xf numFmtId="0" fontId="54" fillId="50" borderId="289" xfId="1" applyFont="1" applyFill="1" applyBorder="1" applyAlignment="1">
      <alignment horizontal="center"/>
    </xf>
    <xf numFmtId="0" fontId="44" fillId="50" borderId="32" xfId="1" applyFont="1" applyFill="1" applyBorder="1" applyAlignment="1">
      <alignment horizontal="center"/>
    </xf>
    <xf numFmtId="0" fontId="44" fillId="50" borderId="0" xfId="1" applyFont="1" applyFill="1" applyBorder="1" applyAlignment="1">
      <alignment horizontal="center"/>
    </xf>
    <xf numFmtId="0" fontId="44" fillId="50" borderId="289" xfId="1" applyFont="1" applyFill="1" applyBorder="1" applyAlignment="1">
      <alignment horizontal="center"/>
    </xf>
    <xf numFmtId="0" fontId="18" fillId="50" borderId="32" xfId="1" applyFont="1" applyFill="1" applyBorder="1" applyAlignment="1">
      <alignment horizontal="center"/>
    </xf>
    <xf numFmtId="0" fontId="18" fillId="50" borderId="0" xfId="1" applyFont="1" applyFill="1" applyBorder="1" applyAlignment="1">
      <alignment horizontal="center"/>
    </xf>
    <xf numFmtId="0" fontId="18" fillId="50" borderId="289" xfId="1" applyFont="1" applyFill="1" applyBorder="1" applyAlignment="1">
      <alignment horizontal="center"/>
    </xf>
    <xf numFmtId="0" fontId="133" fillId="50" borderId="32" xfId="1" applyFont="1" applyFill="1" applyBorder="1" applyAlignment="1">
      <alignment horizontal="center"/>
    </xf>
    <xf numFmtId="0" fontId="133" fillId="50" borderId="0" xfId="1" applyFont="1" applyFill="1" applyBorder="1" applyAlignment="1">
      <alignment horizontal="center"/>
    </xf>
    <xf numFmtId="0" fontId="133" fillId="50" borderId="289" xfId="1" applyFont="1" applyFill="1" applyBorder="1" applyAlignment="1">
      <alignment horizontal="center"/>
    </xf>
    <xf numFmtId="49" fontId="4" fillId="0" borderId="0" xfId="1" applyNumberFormat="1" applyFont="1" applyAlignment="1">
      <alignment horizontal="left"/>
    </xf>
    <xf numFmtId="49" fontId="9" fillId="0" borderId="0" xfId="1" applyNumberFormat="1" applyFont="1" applyAlignment="1">
      <alignment horizontal="left"/>
    </xf>
    <xf numFmtId="0" fontId="6" fillId="0" borderId="0" xfId="1" applyFont="1" applyBorder="1" applyAlignment="1" applyProtection="1">
      <alignment horizontal="left" vertical="top" wrapText="1"/>
    </xf>
    <xf numFmtId="0" fontId="4" fillId="0" borderId="0" xfId="1" applyAlignment="1">
      <alignment horizontal="left" vertical="top" wrapText="1"/>
    </xf>
    <xf numFmtId="0" fontId="9" fillId="0" borderId="0" xfId="1" applyFont="1" applyAlignment="1">
      <alignment horizontal="left" vertical="top" wrapText="1"/>
    </xf>
    <xf numFmtId="0" fontId="4" fillId="0" borderId="0" xfId="1" applyFont="1" applyBorder="1" applyAlignment="1" applyProtection="1">
      <alignment horizontal="left" vertical="top" wrapText="1"/>
    </xf>
    <xf numFmtId="0" fontId="9" fillId="0" borderId="0" xfId="1" applyFont="1" applyBorder="1" applyAlignment="1" applyProtection="1">
      <alignment horizontal="left" vertical="top"/>
    </xf>
    <xf numFmtId="0" fontId="9" fillId="0" borderId="0" xfId="1" applyFont="1" applyBorder="1" applyAlignment="1" applyProtection="1">
      <alignment horizontal="left" vertical="top" wrapText="1"/>
    </xf>
    <xf numFmtId="0" fontId="4" fillId="0" borderId="0" xfId="1" applyFont="1" applyAlignment="1">
      <alignment horizontal="left" vertical="top" wrapText="1"/>
    </xf>
    <xf numFmtId="0" fontId="43" fillId="37" borderId="0" xfId="1" applyFont="1" applyFill="1" applyAlignment="1" applyProtection="1">
      <alignment horizontal="center" vertical="center"/>
      <protection locked="0"/>
    </xf>
    <xf numFmtId="0" fontId="16" fillId="0" borderId="0" xfId="1" applyFont="1" applyAlignment="1">
      <alignment horizontal="center" vertical="top"/>
    </xf>
    <xf numFmtId="0" fontId="14" fillId="0" borderId="0" xfId="1" applyFont="1" applyAlignment="1">
      <alignment horizontal="center" vertical="top" wrapText="1"/>
    </xf>
    <xf numFmtId="0" fontId="13" fillId="37" borderId="0" xfId="1" applyFont="1" applyFill="1" applyAlignment="1" applyProtection="1">
      <alignment horizontal="left" vertical="center"/>
      <protection locked="0"/>
    </xf>
    <xf numFmtId="0" fontId="67" fillId="0" borderId="0" xfId="1" applyFont="1" applyAlignment="1" applyProtection="1">
      <alignment horizontal="left"/>
    </xf>
    <xf numFmtId="0" fontId="13" fillId="37" borderId="0" xfId="1" applyFont="1" applyFill="1" applyAlignment="1" applyProtection="1">
      <alignment horizontal="left" vertical="center"/>
    </xf>
    <xf numFmtId="0" fontId="108" fillId="0" borderId="0" xfId="1" applyFont="1" applyAlignment="1">
      <alignment horizontal="left" wrapText="1"/>
    </xf>
    <xf numFmtId="0" fontId="141" fillId="0" borderId="0" xfId="1" applyFont="1" applyAlignment="1" applyProtection="1">
      <alignment horizontal="left"/>
    </xf>
    <xf numFmtId="0" fontId="20" fillId="0" borderId="24" xfId="1" applyFont="1" applyBorder="1" applyAlignment="1" applyProtection="1">
      <alignment horizontal="left" vertical="top" wrapText="1"/>
    </xf>
    <xf numFmtId="0" fontId="20" fillId="0" borderId="0" xfId="1" applyFont="1" applyBorder="1" applyAlignment="1" applyProtection="1">
      <alignment horizontal="left" vertical="top" wrapText="1"/>
    </xf>
    <xf numFmtId="0" fontId="13" fillId="0" borderId="0" xfId="1" applyFont="1" applyFill="1" applyBorder="1" applyAlignment="1" applyProtection="1">
      <alignment horizontal="left" vertical="center" wrapText="1"/>
    </xf>
    <xf numFmtId="0" fontId="0" fillId="0" borderId="0" xfId="0" applyAlignment="1">
      <alignment horizontal="left" wrapText="1"/>
    </xf>
    <xf numFmtId="0" fontId="15" fillId="0" borderId="23" xfId="1" applyFont="1" applyBorder="1" applyAlignment="1">
      <alignment horizontal="center"/>
    </xf>
    <xf numFmtId="0" fontId="4" fillId="0" borderId="23" xfId="1" applyBorder="1" applyAlignment="1">
      <alignment horizontal="center"/>
    </xf>
    <xf numFmtId="0" fontId="15" fillId="0" borderId="0" xfId="1" applyFont="1" applyAlignment="1"/>
    <xf numFmtId="0" fontId="4" fillId="0" borderId="0" xfId="1" applyAlignment="1"/>
    <xf numFmtId="0" fontId="15" fillId="0" borderId="0" xfId="1" applyFont="1" applyAlignment="1">
      <alignment horizontal="center"/>
    </xf>
    <xf numFmtId="0" fontId="4" fillId="0" borderId="0" xfId="1" applyAlignment="1">
      <alignment horizontal="center"/>
    </xf>
    <xf numFmtId="0" fontId="5" fillId="0" borderId="0" xfId="1" applyFont="1" applyAlignment="1">
      <alignment horizontal="center" vertical="top" wrapText="1"/>
    </xf>
    <xf numFmtId="0" fontId="5" fillId="0" borderId="0" xfId="1" applyFont="1" applyAlignment="1">
      <alignment horizontal="center" vertical="center" wrapText="1"/>
    </xf>
    <xf numFmtId="0" fontId="9" fillId="30" borderId="276" xfId="1" applyFont="1" applyFill="1" applyBorder="1" applyAlignment="1" applyProtection="1">
      <alignment horizontal="center" vertical="top" wrapText="1"/>
    </xf>
    <xf numFmtId="0" fontId="9" fillId="30" borderId="274" xfId="1" applyFont="1" applyFill="1" applyBorder="1" applyAlignment="1" applyProtection="1">
      <alignment horizontal="center" vertical="top" wrapText="1"/>
    </xf>
    <xf numFmtId="0" fontId="9" fillId="30" borderId="258" xfId="1" applyFont="1" applyFill="1" applyBorder="1" applyAlignment="1" applyProtection="1">
      <alignment horizontal="center" vertical="top" wrapText="1"/>
    </xf>
    <xf numFmtId="0" fontId="9" fillId="30" borderId="275" xfId="1" applyFont="1" applyFill="1" applyBorder="1" applyAlignment="1" applyProtection="1">
      <alignment horizontal="center" vertical="top" wrapText="1"/>
    </xf>
    <xf numFmtId="0" fontId="14" fillId="0" borderId="149" xfId="1" applyFont="1" applyFill="1" applyBorder="1" applyAlignment="1" applyProtection="1">
      <alignment horizontal="center" vertical="center"/>
    </xf>
    <xf numFmtId="0" fontId="14" fillId="0" borderId="124" xfId="1" applyFont="1" applyFill="1" applyBorder="1" applyAlignment="1" applyProtection="1">
      <alignment horizontal="center" vertical="center"/>
    </xf>
    <xf numFmtId="9" fontId="14" fillId="31" borderId="60" xfId="1" applyNumberFormat="1" applyFont="1" applyFill="1" applyBorder="1" applyAlignment="1" applyProtection="1">
      <alignment horizontal="center" vertical="center"/>
      <protection locked="0"/>
    </xf>
    <xf numFmtId="9" fontId="14" fillId="31" borderId="59" xfId="1" applyNumberFormat="1" applyFont="1" applyFill="1" applyBorder="1" applyAlignment="1" applyProtection="1">
      <alignment horizontal="center" vertical="center"/>
      <protection locked="0"/>
    </xf>
    <xf numFmtId="172" fontId="14" fillId="44" borderId="211" xfId="1" applyNumberFormat="1" applyFont="1" applyFill="1" applyBorder="1" applyAlignment="1" applyProtection="1">
      <alignment horizontal="center" vertical="center"/>
    </xf>
    <xf numFmtId="172" fontId="14" fillId="44" borderId="278" xfId="1" applyNumberFormat="1" applyFont="1" applyFill="1" applyBorder="1" applyAlignment="1" applyProtection="1">
      <alignment horizontal="center" vertical="center"/>
    </xf>
    <xf numFmtId="0" fontId="14" fillId="44" borderId="40" xfId="1" applyFont="1" applyFill="1" applyBorder="1" applyAlignment="1" applyProtection="1">
      <alignment horizontal="center"/>
    </xf>
    <xf numFmtId="0" fontId="14" fillId="44" borderId="64" xfId="1" applyFont="1" applyFill="1" applyBorder="1" applyAlignment="1" applyProtection="1">
      <alignment horizontal="center"/>
    </xf>
    <xf numFmtId="9" fontId="14" fillId="30" borderId="32" xfId="1" applyNumberFormat="1" applyFont="1" applyFill="1" applyBorder="1" applyAlignment="1" applyProtection="1">
      <alignment horizontal="center"/>
    </xf>
    <xf numFmtId="9" fontId="14" fillId="30" borderId="0" xfId="1" applyNumberFormat="1" applyFont="1" applyFill="1" applyBorder="1" applyAlignment="1" applyProtection="1">
      <alignment horizontal="center"/>
    </xf>
    <xf numFmtId="0" fontId="14" fillId="30" borderId="79" xfId="1" applyFont="1" applyFill="1" applyBorder="1" applyAlignment="1" applyProtection="1">
      <alignment horizontal="center"/>
    </xf>
    <xf numFmtId="0" fontId="14" fillId="30" borderId="24" xfId="1" applyFont="1" applyFill="1" applyBorder="1" applyAlignment="1" applyProtection="1">
      <alignment horizontal="center"/>
    </xf>
    <xf numFmtId="239" fontId="14" fillId="0" borderId="279" xfId="1" applyNumberFormat="1" applyFont="1" applyFill="1" applyBorder="1" applyAlignment="1" applyProtection="1">
      <alignment horizontal="left" vertical="center"/>
    </xf>
    <xf numFmtId="239" fontId="14" fillId="0" borderId="95" xfId="1" applyNumberFormat="1" applyFont="1" applyFill="1" applyBorder="1" applyAlignment="1" applyProtection="1">
      <alignment horizontal="left" vertical="center"/>
    </xf>
    <xf numFmtId="239" fontId="14" fillId="0" borderId="107" xfId="1" applyNumberFormat="1" applyFont="1" applyFill="1" applyBorder="1" applyAlignment="1" applyProtection="1">
      <alignment horizontal="left" vertical="center"/>
    </xf>
    <xf numFmtId="0" fontId="5" fillId="0" borderId="136" xfId="1" applyFont="1" applyFill="1" applyBorder="1" applyAlignment="1" applyProtection="1">
      <alignment horizontal="center" vertical="top" wrapText="1"/>
    </xf>
    <xf numFmtId="229" fontId="65" fillId="0" borderId="0" xfId="1" applyNumberFormat="1" applyFont="1" applyBorder="1" applyAlignment="1" applyProtection="1">
      <alignment horizontal="right"/>
    </xf>
    <xf numFmtId="0" fontId="16" fillId="44" borderId="150" xfId="1" applyFont="1" applyFill="1" applyBorder="1" applyAlignment="1" applyProtection="1">
      <alignment horizontal="right" vertical="center"/>
    </xf>
    <xf numFmtId="0" fontId="16" fillId="44" borderId="136" xfId="1" applyFont="1" applyFill="1" applyBorder="1" applyAlignment="1" applyProtection="1">
      <alignment horizontal="right" vertical="center"/>
    </xf>
    <xf numFmtId="0" fontId="16" fillId="44" borderId="134" xfId="1" applyFont="1" applyFill="1" applyBorder="1" applyAlignment="1" applyProtection="1">
      <alignment horizontal="right" vertical="center"/>
    </xf>
    <xf numFmtId="0" fontId="16" fillId="44" borderId="60" xfId="1" applyFont="1" applyFill="1" applyBorder="1" applyAlignment="1" applyProtection="1">
      <alignment horizontal="right" vertical="center"/>
    </xf>
    <xf numFmtId="0" fontId="16" fillId="44" borderId="41" xfId="1" applyFont="1" applyFill="1" applyBorder="1" applyAlignment="1" applyProtection="1">
      <alignment horizontal="right" vertical="center"/>
    </xf>
    <xf numFmtId="0" fontId="16" fillId="44" borderId="47" xfId="1" applyFont="1" applyFill="1" applyBorder="1" applyAlignment="1" applyProtection="1">
      <alignment horizontal="right" vertical="center"/>
    </xf>
    <xf numFmtId="0" fontId="157" fillId="0" borderId="0" xfId="1" applyFont="1" applyFill="1" applyBorder="1" applyAlignment="1" applyProtection="1">
      <alignment horizontal="left"/>
    </xf>
    <xf numFmtId="0" fontId="16" fillId="44" borderId="160" xfId="1" applyFont="1" applyFill="1" applyBorder="1" applyAlignment="1" applyProtection="1">
      <alignment horizontal="right" vertical="center"/>
    </xf>
    <xf numFmtId="0" fontId="16" fillId="44" borderId="2" xfId="1" applyFont="1" applyFill="1" applyBorder="1" applyAlignment="1" applyProtection="1">
      <alignment horizontal="right" vertical="center"/>
    </xf>
    <xf numFmtId="0" fontId="16" fillId="44" borderId="44" xfId="1" applyFont="1" applyFill="1" applyBorder="1" applyAlignment="1" applyProtection="1">
      <alignment horizontal="right" vertical="center"/>
    </xf>
    <xf numFmtId="0" fontId="9" fillId="0" borderId="0" xfId="1" applyFont="1" applyFill="1" applyBorder="1" applyAlignment="1" applyProtection="1">
      <alignment horizontal="center" vertical="top" wrapText="1"/>
    </xf>
    <xf numFmtId="0" fontId="157" fillId="0" borderId="127" xfId="1" applyFont="1" applyFill="1" applyBorder="1" applyAlignment="1" applyProtection="1">
      <alignment horizontal="left"/>
    </xf>
    <xf numFmtId="229" fontId="65" fillId="0" borderId="127" xfId="1" applyNumberFormat="1" applyFont="1" applyBorder="1" applyAlignment="1" applyProtection="1">
      <alignment horizontal="right"/>
    </xf>
    <xf numFmtId="0" fontId="14" fillId="31" borderId="187" xfId="1" applyFont="1" applyFill="1" applyBorder="1" applyAlignment="1" applyProtection="1">
      <alignment horizontal="left" vertical="center"/>
      <protection locked="0"/>
    </xf>
    <xf numFmtId="0" fontId="14" fillId="31" borderId="103" xfId="1" applyFont="1" applyFill="1" applyBorder="1" applyAlignment="1" applyProtection="1">
      <alignment horizontal="left" vertical="center"/>
      <protection locked="0"/>
    </xf>
    <xf numFmtId="0" fontId="14" fillId="0" borderId="79" xfId="1" applyFont="1" applyFill="1" applyBorder="1" applyAlignment="1" applyProtection="1">
      <alignment horizontal="center" vertical="center"/>
    </xf>
    <xf numFmtId="0" fontId="14" fillId="0" borderId="78" xfId="1" applyFont="1" applyFill="1" applyBorder="1" applyAlignment="1" applyProtection="1">
      <alignment horizontal="center" vertical="center"/>
    </xf>
    <xf numFmtId="0" fontId="14" fillId="0" borderId="79" xfId="1" applyFont="1" applyFill="1" applyBorder="1" applyAlignment="1" applyProtection="1">
      <alignment horizontal="center"/>
    </xf>
    <xf numFmtId="0" fontId="14" fillId="0" borderId="24" xfId="1" applyFont="1" applyFill="1" applyBorder="1" applyAlignment="1" applyProtection="1">
      <alignment horizontal="center"/>
    </xf>
    <xf numFmtId="0" fontId="14" fillId="0" borderId="78" xfId="1" applyFont="1" applyFill="1" applyBorder="1" applyAlignment="1" applyProtection="1">
      <alignment horizontal="center"/>
    </xf>
    <xf numFmtId="0" fontId="14" fillId="0" borderId="60" xfId="1" applyFont="1" applyFill="1" applyBorder="1" applyAlignment="1" applyProtection="1">
      <alignment horizontal="center"/>
    </xf>
    <xf numFmtId="0" fontId="14" fillId="0" borderId="41" xfId="1" applyFont="1" applyFill="1" applyBorder="1" applyAlignment="1" applyProtection="1">
      <alignment horizontal="center"/>
    </xf>
    <xf numFmtId="0" fontId="14" fillId="0" borderId="59" xfId="1" applyFont="1" applyFill="1" applyBorder="1" applyAlignment="1" applyProtection="1">
      <alignment horizontal="center"/>
    </xf>
    <xf numFmtId="165" fontId="14" fillId="31" borderId="285" xfId="1" applyNumberFormat="1" applyFont="1" applyFill="1" applyBorder="1" applyAlignment="1" applyProtection="1">
      <alignment horizontal="center" vertical="center" shrinkToFit="1"/>
      <protection locked="0"/>
    </xf>
    <xf numFmtId="165" fontId="14" fillId="31" borderId="31" xfId="1" applyNumberFormat="1" applyFont="1" applyFill="1" applyBorder="1" applyAlignment="1" applyProtection="1">
      <alignment horizontal="center" vertical="center" shrinkToFit="1"/>
      <protection locked="0"/>
    </xf>
    <xf numFmtId="0" fontId="14" fillId="31" borderId="287" xfId="1" applyFont="1" applyFill="1" applyBorder="1" applyAlignment="1" applyProtection="1">
      <alignment horizontal="left" vertical="center"/>
      <protection locked="0"/>
    </xf>
    <xf numFmtId="0" fontId="14" fillId="31" borderId="284" xfId="1" applyFont="1" applyFill="1" applyBorder="1" applyAlignment="1" applyProtection="1">
      <alignment horizontal="left" vertical="center"/>
      <protection locked="0"/>
    </xf>
    <xf numFmtId="0" fontId="14" fillId="31" borderId="286" xfId="1" applyFont="1" applyFill="1" applyBorder="1" applyAlignment="1" applyProtection="1">
      <alignment horizontal="left" vertical="center"/>
      <protection locked="0"/>
    </xf>
    <xf numFmtId="0" fontId="14" fillId="31" borderId="31" xfId="1" applyFont="1" applyFill="1" applyBorder="1" applyAlignment="1" applyProtection="1">
      <alignment horizontal="left" vertical="center"/>
      <protection locked="0"/>
    </xf>
    <xf numFmtId="0" fontId="16" fillId="31" borderId="60" xfId="1" applyFont="1" applyFill="1" applyBorder="1" applyAlignment="1" applyProtection="1">
      <alignment horizontal="center" vertical="center"/>
      <protection locked="0"/>
    </xf>
    <xf numFmtId="0" fontId="16" fillId="31" borderId="41" xfId="1" applyFont="1" applyFill="1" applyBorder="1" applyAlignment="1" applyProtection="1">
      <alignment horizontal="center" vertical="center"/>
      <protection locked="0"/>
    </xf>
    <xf numFmtId="0" fontId="16" fillId="31" borderId="59" xfId="1" applyFont="1" applyFill="1" applyBorder="1" applyAlignment="1" applyProtection="1">
      <alignment horizontal="center" vertical="center"/>
      <protection locked="0"/>
    </xf>
    <xf numFmtId="0" fontId="43" fillId="31" borderId="79" xfId="1" applyFont="1" applyFill="1" applyBorder="1" applyAlignment="1" applyProtection="1">
      <alignment horizontal="center" vertical="center"/>
      <protection locked="0"/>
    </xf>
    <xf numFmtId="0" fontId="43" fillId="31" borderId="24" xfId="1" applyFont="1" applyFill="1" applyBorder="1" applyAlignment="1" applyProtection="1">
      <alignment horizontal="center" vertical="center"/>
      <protection locked="0"/>
    </xf>
    <xf numFmtId="0" fontId="43" fillId="31" borderId="78" xfId="1" applyFont="1" applyFill="1" applyBorder="1" applyAlignment="1" applyProtection="1">
      <alignment horizontal="center" vertical="center"/>
      <protection locked="0"/>
    </xf>
    <xf numFmtId="9" fontId="14" fillId="31" borderId="282" xfId="1" applyNumberFormat="1" applyFont="1" applyFill="1" applyBorder="1" applyAlignment="1" applyProtection="1">
      <alignment horizontal="left" vertical="center"/>
      <protection locked="0"/>
    </xf>
    <xf numFmtId="9" fontId="14" fillId="31" borderId="103" xfId="1" applyNumberFormat="1" applyFont="1" applyFill="1" applyBorder="1" applyAlignment="1" applyProtection="1">
      <alignment horizontal="left" vertical="center"/>
      <protection locked="0"/>
    </xf>
    <xf numFmtId="9" fontId="14" fillId="31" borderId="281" xfId="1" applyNumberFormat="1" applyFont="1" applyFill="1" applyBorder="1" applyAlignment="1" applyProtection="1">
      <alignment horizontal="left" vertical="center"/>
      <protection locked="0"/>
    </xf>
    <xf numFmtId="235" fontId="14" fillId="0" borderId="284" xfId="1" applyNumberFormat="1" applyFont="1" applyFill="1" applyBorder="1" applyAlignment="1" applyProtection="1">
      <alignment horizontal="center" vertical="center"/>
    </xf>
    <xf numFmtId="235" fontId="14" fillId="0" borderId="283" xfId="1" applyNumberFormat="1" applyFont="1" applyFill="1" applyBorder="1" applyAlignment="1" applyProtection="1">
      <alignment horizontal="center" vertical="center"/>
    </xf>
    <xf numFmtId="240" fontId="16" fillId="31" borderId="282" xfId="1" applyNumberFormat="1" applyFont="1" applyFill="1" applyBorder="1" applyAlignment="1" applyProtection="1">
      <alignment horizontal="center" vertical="center"/>
      <protection locked="0"/>
    </xf>
    <xf numFmtId="240" fontId="16" fillId="31" borderId="103" xfId="1" applyNumberFormat="1" applyFont="1" applyFill="1" applyBorder="1" applyAlignment="1" applyProtection="1">
      <alignment horizontal="center" vertical="center"/>
      <protection locked="0"/>
    </xf>
    <xf numFmtId="240" fontId="16" fillId="31" borderId="281" xfId="1" applyNumberFormat="1" applyFont="1" applyFill="1" applyBorder="1" applyAlignment="1" applyProtection="1">
      <alignment horizontal="center" vertical="center"/>
      <protection locked="0"/>
    </xf>
    <xf numFmtId="0" fontId="16" fillId="0" borderId="0" xfId="1" applyFont="1" applyBorder="1" applyAlignment="1" applyProtection="1">
      <alignment horizontal="center"/>
    </xf>
    <xf numFmtId="229" fontId="65" fillId="31" borderId="127" xfId="1" applyNumberFormat="1" applyFont="1" applyFill="1" applyBorder="1" applyAlignment="1" applyProtection="1">
      <alignment horizontal="right"/>
      <protection locked="0"/>
    </xf>
    <xf numFmtId="234" fontId="157" fillId="0" borderId="127" xfId="1" applyNumberFormat="1" applyFont="1" applyBorder="1" applyAlignment="1" applyProtection="1">
      <alignment horizontal="center"/>
    </xf>
    <xf numFmtId="0" fontId="157" fillId="31" borderId="127" xfId="1" applyFont="1" applyFill="1" applyBorder="1" applyAlignment="1" applyProtection="1">
      <alignment horizontal="left"/>
      <protection locked="0"/>
    </xf>
    <xf numFmtId="223" fontId="14" fillId="0" borderId="0"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32" fontId="157" fillId="31" borderId="262" xfId="1" applyNumberFormat="1" applyFont="1" applyFill="1" applyBorder="1" applyAlignment="1" applyProtection="1">
      <alignment horizontal="center"/>
      <protection locked="0"/>
    </xf>
    <xf numFmtId="232" fontId="157" fillId="31" borderId="261" xfId="1" applyNumberFormat="1" applyFont="1" applyFill="1" applyBorder="1" applyAlignment="1" applyProtection="1">
      <alignment horizontal="center"/>
      <protection locked="0"/>
    </xf>
    <xf numFmtId="0" fontId="5" fillId="0" borderId="0" xfId="1" applyFont="1" applyFill="1" applyBorder="1" applyAlignment="1" applyProtection="1">
      <alignment horizontal="center" vertical="top" wrapText="1"/>
    </xf>
    <xf numFmtId="0" fontId="4" fillId="0" borderId="0" xfId="1" applyFont="1" applyBorder="1" applyAlignment="1">
      <alignment horizontal="left" vertical="center" wrapText="1"/>
    </xf>
    <xf numFmtId="0" fontId="16" fillId="33" borderId="0" xfId="1" applyFont="1" applyFill="1" applyBorder="1" applyAlignment="1">
      <alignment horizontal="left" vertical="center" wrapText="1"/>
    </xf>
    <xf numFmtId="0" fontId="16" fillId="33" borderId="2" xfId="1" applyFont="1" applyFill="1" applyBorder="1" applyAlignment="1">
      <alignment horizontal="left" vertical="center" wrapText="1"/>
    </xf>
    <xf numFmtId="0" fontId="6" fillId="33" borderId="40" xfId="1" applyFont="1" applyFill="1" applyBorder="1" applyAlignment="1">
      <alignment horizontal="center" vertical="center"/>
    </xf>
    <xf numFmtId="0" fontId="6" fillId="33" borderId="0" xfId="1" applyFont="1" applyFill="1" applyBorder="1" applyAlignment="1">
      <alignment horizontal="center" vertical="center"/>
    </xf>
    <xf numFmtId="0" fontId="6" fillId="33" borderId="19" xfId="1" applyFont="1" applyFill="1" applyBorder="1" applyAlignment="1">
      <alignment horizontal="center" vertical="center"/>
    </xf>
    <xf numFmtId="0" fontId="6" fillId="33" borderId="39" xfId="1" applyFont="1" applyFill="1" applyBorder="1" applyAlignment="1">
      <alignment horizontal="center" vertical="center"/>
    </xf>
    <xf numFmtId="0" fontId="6" fillId="33" borderId="2" xfId="1" applyFont="1" applyFill="1" applyBorder="1" applyAlignment="1">
      <alignment horizontal="center" vertical="center"/>
    </xf>
    <xf numFmtId="0" fontId="6" fillId="33" borderId="44" xfId="1" applyFont="1" applyFill="1" applyBorder="1" applyAlignment="1">
      <alignment horizontal="center" vertical="center"/>
    </xf>
    <xf numFmtId="0" fontId="13" fillId="27" borderId="60" xfId="1" applyFont="1" applyFill="1" applyBorder="1" applyAlignment="1" applyProtection="1">
      <alignment horizontal="left" vertical="top" wrapText="1"/>
    </xf>
    <xf numFmtId="0" fontId="13" fillId="27" borderId="41" xfId="1" applyFont="1" applyFill="1" applyBorder="1" applyAlignment="1" applyProtection="1">
      <alignment horizontal="left" vertical="top" wrapText="1"/>
    </xf>
    <xf numFmtId="0" fontId="13" fillId="27" borderId="59" xfId="1" applyFont="1" applyFill="1" applyBorder="1" applyAlignment="1" applyProtection="1">
      <alignment horizontal="left" vertical="top" wrapText="1"/>
    </xf>
    <xf numFmtId="0" fontId="9" fillId="31" borderId="40" xfId="1" applyFont="1" applyFill="1" applyBorder="1" applyAlignment="1" applyProtection="1">
      <alignment horizontal="left" vertical="center"/>
      <protection locked="0"/>
    </xf>
    <xf numFmtId="0" fontId="9" fillId="31" borderId="0" xfId="1" applyFont="1" applyFill="1" applyBorder="1" applyAlignment="1" applyProtection="1">
      <alignment horizontal="left" vertical="center"/>
      <protection locked="0"/>
    </xf>
    <xf numFmtId="0" fontId="9" fillId="31" borderId="19" xfId="1" applyFont="1" applyFill="1" applyBorder="1" applyAlignment="1" applyProtection="1">
      <alignment horizontal="left" vertical="center"/>
      <protection locked="0"/>
    </xf>
    <xf numFmtId="0" fontId="4" fillId="0" borderId="0" xfId="1" applyFont="1" applyFill="1" applyBorder="1" applyAlignment="1" applyProtection="1">
      <alignment vertical="center" wrapText="1"/>
    </xf>
    <xf numFmtId="0" fontId="4" fillId="0" borderId="0" xfId="1" applyFill="1" applyBorder="1" applyAlignment="1" applyProtection="1">
      <alignment vertical="center" wrapText="1"/>
    </xf>
    <xf numFmtId="0" fontId="18" fillId="4" borderId="0" xfId="1" applyFont="1" applyFill="1" applyAlignment="1" applyProtection="1">
      <alignment horizontal="right" vertical="center"/>
    </xf>
    <xf numFmtId="4" fontId="20" fillId="0" borderId="40" xfId="1" applyNumberFormat="1" applyFont="1" applyFill="1" applyBorder="1" applyAlignment="1" applyProtection="1">
      <alignment horizontal="center" vertical="center"/>
    </xf>
    <xf numFmtId="4" fontId="20" fillId="0" borderId="19" xfId="1" applyNumberFormat="1" applyFont="1" applyFill="1" applyBorder="1" applyAlignment="1" applyProtection="1">
      <alignment horizontal="center" vertical="center"/>
    </xf>
    <xf numFmtId="0" fontId="48" fillId="0" borderId="39" xfId="1" applyFont="1" applyBorder="1" applyAlignment="1" applyProtection="1">
      <alignment horizontal="center" vertical="center"/>
    </xf>
    <xf numFmtId="0" fontId="48" fillId="0" borderId="44" xfId="1" applyFont="1" applyBorder="1" applyAlignment="1" applyProtection="1">
      <alignment horizontal="center" vertical="center"/>
    </xf>
    <xf numFmtId="4" fontId="20" fillId="0" borderId="43" xfId="1" applyNumberFormat="1" applyFont="1" applyFill="1" applyBorder="1" applyAlignment="1" applyProtection="1">
      <alignment horizontal="center" vertical="center"/>
    </xf>
    <xf numFmtId="4" fontId="20" fillId="0" borderId="42" xfId="1" applyNumberFormat="1" applyFont="1" applyFill="1" applyBorder="1" applyAlignment="1" applyProtection="1">
      <alignment horizontal="center" vertical="center"/>
    </xf>
    <xf numFmtId="0" fontId="5" fillId="0" borderId="40" xfId="1" applyFont="1" applyBorder="1" applyAlignment="1" applyProtection="1">
      <alignment horizontal="center" vertical="center"/>
    </xf>
    <xf numFmtId="0" fontId="5" fillId="0" borderId="0" xfId="1" applyFont="1" applyBorder="1" applyAlignment="1" applyProtection="1">
      <alignment horizontal="center" vertical="center"/>
    </xf>
    <xf numFmtId="182" fontId="20" fillId="31" borderId="40" xfId="1" applyNumberFormat="1" applyFont="1" applyFill="1" applyBorder="1" applyAlignment="1" applyProtection="1">
      <alignment horizontal="center" vertical="center"/>
      <protection locked="0"/>
    </xf>
    <xf numFmtId="182" fontId="20" fillId="31" borderId="0" xfId="1" applyNumberFormat="1" applyFont="1" applyFill="1" applyBorder="1" applyAlignment="1" applyProtection="1">
      <alignment horizontal="center" vertical="center"/>
      <protection locked="0"/>
    </xf>
    <xf numFmtId="0" fontId="85" fillId="0" borderId="65" xfId="1" applyFont="1" applyBorder="1" applyAlignment="1" applyProtection="1">
      <alignment horizontal="left" vertical="center"/>
    </xf>
    <xf numFmtId="0" fontId="85" fillId="0" borderId="0" xfId="1" applyFont="1" applyBorder="1" applyAlignment="1" applyProtection="1">
      <alignment horizontal="left" vertical="center"/>
    </xf>
    <xf numFmtId="0" fontId="48" fillId="0" borderId="40" xfId="1" applyFont="1" applyBorder="1" applyAlignment="1" applyProtection="1">
      <alignment horizontal="center" vertical="center"/>
    </xf>
    <xf numFmtId="0" fontId="48" fillId="0" borderId="19" xfId="1" applyFont="1" applyBorder="1" applyAlignment="1" applyProtection="1">
      <alignment horizontal="center" vertical="center"/>
    </xf>
    <xf numFmtId="182" fontId="20" fillId="0" borderId="40" xfId="1" applyNumberFormat="1" applyFont="1" applyFill="1" applyBorder="1" applyAlignment="1" applyProtection="1">
      <alignment horizontal="center" vertical="center"/>
    </xf>
    <xf numFmtId="182" fontId="20" fillId="0" borderId="19" xfId="1" applyNumberFormat="1" applyFont="1" applyFill="1" applyBorder="1" applyAlignment="1" applyProtection="1">
      <alignment horizontal="center" vertical="center"/>
    </xf>
    <xf numFmtId="0" fontId="5" fillId="0" borderId="19" xfId="1" applyFont="1" applyBorder="1" applyAlignment="1" applyProtection="1">
      <alignment horizontal="center" vertical="center"/>
    </xf>
    <xf numFmtId="0" fontId="157" fillId="0" borderId="61" xfId="1" applyFont="1" applyBorder="1" applyAlignment="1" applyProtection="1">
      <alignment horizontal="center" vertical="center"/>
    </xf>
    <xf numFmtId="0" fontId="157" fillId="0" borderId="2" xfId="1" applyFont="1" applyBorder="1" applyAlignment="1" applyProtection="1">
      <alignment horizontal="center" vertical="center"/>
    </xf>
    <xf numFmtId="0" fontId="85" fillId="0" borderId="65" xfId="1" applyFont="1" applyBorder="1" applyAlignment="1" applyProtection="1">
      <alignment horizontal="center" vertical="center"/>
    </xf>
    <xf numFmtId="0" fontId="85" fillId="0" borderId="0" xfId="1" applyFont="1" applyBorder="1" applyAlignment="1" applyProtection="1">
      <alignment horizontal="center" vertical="center"/>
    </xf>
    <xf numFmtId="0" fontId="85" fillId="0" borderId="19" xfId="1" applyFont="1" applyBorder="1" applyAlignment="1" applyProtection="1">
      <alignment horizontal="center" vertical="center"/>
    </xf>
    <xf numFmtId="0" fontId="157" fillId="0" borderId="71" xfId="1" applyFont="1" applyBorder="1" applyAlignment="1" applyProtection="1">
      <alignment horizontal="center" vertical="center"/>
    </xf>
    <xf numFmtId="183" fontId="20" fillId="31" borderId="65" xfId="1" applyNumberFormat="1" applyFont="1" applyFill="1" applyBorder="1" applyAlignment="1" applyProtection="1">
      <alignment horizontal="center" vertical="center"/>
      <protection locked="0"/>
    </xf>
    <xf numFmtId="183" fontId="20" fillId="31" borderId="72" xfId="1" applyNumberFormat="1" applyFont="1" applyFill="1" applyBorder="1" applyAlignment="1" applyProtection="1">
      <alignment horizontal="center" vertical="center"/>
      <protection locked="0"/>
    </xf>
    <xf numFmtId="0" fontId="55" fillId="0" borderId="40" xfId="1" applyFont="1" applyBorder="1" applyAlignment="1" applyProtection="1">
      <alignment horizontal="center" vertical="center"/>
    </xf>
    <xf numFmtId="0" fontId="55" fillId="0" borderId="19" xfId="1" applyFont="1" applyBorder="1" applyAlignment="1" applyProtection="1">
      <alignment horizontal="center" vertical="center"/>
    </xf>
    <xf numFmtId="0" fontId="48" fillId="0" borderId="0" xfId="1" applyFont="1" applyBorder="1" applyAlignment="1" applyProtection="1">
      <alignment horizontal="center" vertical="center"/>
    </xf>
    <xf numFmtId="182" fontId="87" fillId="31" borderId="40" xfId="1" applyNumberFormat="1" applyFont="1" applyFill="1" applyBorder="1" applyAlignment="1" applyProtection="1">
      <alignment horizontal="center" vertical="center"/>
      <protection locked="0"/>
    </xf>
    <xf numFmtId="182" fontId="87" fillId="31" borderId="0" xfId="1" applyNumberFormat="1" applyFont="1" applyFill="1" applyBorder="1" applyAlignment="1" applyProtection="1">
      <alignment horizontal="center" vertical="center"/>
      <protection locked="0"/>
    </xf>
    <xf numFmtId="182" fontId="20" fillId="31" borderId="65" xfId="1" applyNumberFormat="1" applyFont="1" applyFill="1" applyBorder="1" applyAlignment="1" applyProtection="1">
      <alignment horizontal="center" vertical="center"/>
      <protection locked="0"/>
    </xf>
    <xf numFmtId="182" fontId="20" fillId="31" borderId="19" xfId="1" applyNumberFormat="1" applyFont="1" applyFill="1" applyBorder="1" applyAlignment="1" applyProtection="1">
      <alignment horizontal="center" vertical="center"/>
      <protection locked="0"/>
    </xf>
    <xf numFmtId="183" fontId="20" fillId="31" borderId="68" xfId="1" applyNumberFormat="1" applyFont="1" applyFill="1" applyBorder="1" applyAlignment="1" applyProtection="1">
      <alignment horizontal="center" vertical="center"/>
      <protection locked="0"/>
    </xf>
    <xf numFmtId="183" fontId="20" fillId="31" borderId="291" xfId="1" applyNumberFormat="1" applyFont="1" applyFill="1" applyBorder="1" applyAlignment="1" applyProtection="1">
      <alignment horizontal="center" vertical="center"/>
      <protection locked="0"/>
    </xf>
    <xf numFmtId="182" fontId="20" fillId="31" borderId="68" xfId="1" applyNumberFormat="1" applyFont="1" applyFill="1" applyBorder="1" applyAlignment="1" applyProtection="1">
      <alignment horizontal="center" vertical="center"/>
      <protection locked="0"/>
    </xf>
    <xf numFmtId="182" fontId="20" fillId="31" borderId="42" xfId="1" applyNumberFormat="1" applyFont="1" applyFill="1" applyBorder="1" applyAlignment="1" applyProtection="1">
      <alignment horizontal="center" vertical="center"/>
      <protection locked="0"/>
    </xf>
    <xf numFmtId="182" fontId="20" fillId="0" borderId="43" xfId="1" applyNumberFormat="1" applyFont="1" applyFill="1" applyBorder="1" applyAlignment="1" applyProtection="1">
      <alignment horizontal="center" vertical="center"/>
    </xf>
    <xf numFmtId="182" fontId="20" fillId="0" borderId="42" xfId="1" applyNumberFormat="1" applyFont="1" applyFill="1" applyBorder="1" applyAlignment="1" applyProtection="1">
      <alignment horizontal="center" vertical="center"/>
    </xf>
    <xf numFmtId="182" fontId="20" fillId="31" borderId="43" xfId="1" applyNumberFormat="1" applyFont="1" applyFill="1" applyBorder="1" applyAlignment="1" applyProtection="1">
      <alignment horizontal="center" vertical="center"/>
      <protection locked="0"/>
    </xf>
    <xf numFmtId="182" fontId="20" fillId="31" borderId="290" xfId="1" applyNumberFormat="1" applyFont="1" applyFill="1" applyBorder="1" applyAlignment="1" applyProtection="1">
      <alignment horizontal="center" vertical="center"/>
      <protection locked="0"/>
    </xf>
    <xf numFmtId="0" fontId="85" fillId="0" borderId="72" xfId="1" applyFont="1" applyBorder="1" applyAlignment="1" applyProtection="1">
      <alignment horizontal="center" vertical="center"/>
    </xf>
    <xf numFmtId="0" fontId="15" fillId="0" borderId="65" xfId="1" applyFont="1" applyBorder="1" applyAlignment="1" applyProtection="1">
      <alignment horizontal="center" vertical="center"/>
    </xf>
    <xf numFmtId="0" fontId="15" fillId="0" borderId="72" xfId="1" applyFont="1" applyBorder="1" applyAlignment="1" applyProtection="1">
      <alignment horizontal="center" vertical="center"/>
    </xf>
    <xf numFmtId="0" fontId="15" fillId="0" borderId="19" xfId="1" applyFont="1" applyBorder="1" applyAlignment="1" applyProtection="1">
      <alignment horizontal="center" vertical="center"/>
    </xf>
    <xf numFmtId="4" fontId="87" fillId="33" borderId="40" xfId="1" applyNumberFormat="1" applyFont="1" applyFill="1" applyBorder="1" applyAlignment="1" applyProtection="1">
      <alignment horizontal="center" vertical="center"/>
    </xf>
    <xf numFmtId="4" fontId="87" fillId="33" borderId="19" xfId="1" applyNumberFormat="1" applyFont="1" applyFill="1" applyBorder="1" applyAlignment="1" applyProtection="1">
      <alignment horizontal="center" vertical="center"/>
    </xf>
    <xf numFmtId="0" fontId="5" fillId="0" borderId="40" xfId="67" applyFont="1" applyFill="1" applyBorder="1" applyAlignment="1" applyProtection="1">
      <alignment horizontal="center" vertical="center"/>
    </xf>
    <xf numFmtId="0" fontId="5" fillId="0" borderId="0" xfId="67" applyFont="1" applyFill="1" applyBorder="1" applyAlignment="1" applyProtection="1">
      <alignment horizontal="center" vertical="center"/>
    </xf>
    <xf numFmtId="0" fontId="20" fillId="0" borderId="0" xfId="67" applyFont="1" applyBorder="1" applyAlignment="1" applyProtection="1">
      <alignment horizontal="left" vertical="top" wrapText="1"/>
    </xf>
    <xf numFmtId="0" fontId="85" fillId="0" borderId="65" xfId="67" applyFont="1" applyFill="1" applyBorder="1" applyAlignment="1" applyProtection="1">
      <alignment horizontal="center" vertical="center"/>
    </xf>
    <xf numFmtId="0" fontId="85" fillId="0" borderId="72" xfId="67" applyFont="1" applyFill="1" applyBorder="1" applyAlignment="1" applyProtection="1">
      <alignment horizontal="center" vertical="center"/>
    </xf>
    <xf numFmtId="0" fontId="85" fillId="0" borderId="19" xfId="67" applyFont="1" applyFill="1" applyBorder="1" applyAlignment="1" applyProtection="1">
      <alignment horizontal="center" vertical="center"/>
    </xf>
    <xf numFmtId="0" fontId="85" fillId="0" borderId="40" xfId="67" applyFont="1" applyFill="1" applyBorder="1" applyAlignment="1" applyProtection="1">
      <alignment horizontal="center" vertical="center" wrapText="1"/>
    </xf>
    <xf numFmtId="0" fontId="85" fillId="0" borderId="72" xfId="67" applyFont="1" applyFill="1" applyBorder="1" applyAlignment="1" applyProtection="1">
      <alignment horizontal="center" vertical="center" wrapText="1"/>
    </xf>
    <xf numFmtId="0" fontId="85" fillId="0" borderId="0" xfId="67" applyFont="1" applyFill="1" applyBorder="1" applyAlignment="1" applyProtection="1">
      <alignment horizontal="center" vertical="center"/>
    </xf>
    <xf numFmtId="0" fontId="20" fillId="31" borderId="36" xfId="1" applyFont="1" applyFill="1" applyBorder="1" applyAlignment="1" applyProtection="1">
      <alignment horizontal="center" vertical="center" textRotation="90"/>
      <protection locked="0"/>
    </xf>
    <xf numFmtId="0" fontId="20" fillId="31" borderId="25" xfId="1" applyFont="1" applyFill="1" applyBorder="1" applyAlignment="1" applyProtection="1">
      <alignment horizontal="center" vertical="center" textRotation="90"/>
      <protection locked="0"/>
    </xf>
    <xf numFmtId="0" fontId="15" fillId="0" borderId="65" xfId="67" applyFont="1" applyFill="1" applyBorder="1" applyAlignment="1" applyProtection="1">
      <alignment horizontal="center" vertical="center"/>
    </xf>
    <xf numFmtId="0" fontId="15" fillId="0" borderId="72" xfId="67" applyFont="1" applyFill="1" applyBorder="1" applyAlignment="1" applyProtection="1">
      <alignment horizontal="center" vertical="center"/>
    </xf>
    <xf numFmtId="0" fontId="15" fillId="0" borderId="19" xfId="67" applyFont="1" applyFill="1" applyBorder="1" applyAlignment="1" applyProtection="1">
      <alignment horizontal="center" vertical="center"/>
    </xf>
    <xf numFmtId="0" fontId="15" fillId="0" borderId="40" xfId="67" applyFont="1" applyFill="1" applyBorder="1" applyAlignment="1" applyProtection="1">
      <alignment horizontal="center" vertical="center" wrapText="1"/>
    </xf>
    <xf numFmtId="0" fontId="15" fillId="0" borderId="0" xfId="67" applyFont="1" applyFill="1" applyBorder="1" applyAlignment="1" applyProtection="1">
      <alignment horizontal="center" vertical="center" wrapText="1"/>
    </xf>
    <xf numFmtId="0" fontId="15" fillId="0" borderId="39" xfId="67" applyFont="1" applyFill="1" applyBorder="1" applyAlignment="1" applyProtection="1">
      <alignment horizontal="center" vertical="center" wrapText="1"/>
    </xf>
    <xf numFmtId="0" fontId="15" fillId="0" borderId="2" xfId="67" applyFont="1" applyFill="1" applyBorder="1" applyAlignment="1" applyProtection="1">
      <alignment horizontal="center" vertical="center" wrapText="1"/>
    </xf>
    <xf numFmtId="0" fontId="15" fillId="0" borderId="61" xfId="67" applyFont="1" applyFill="1" applyBorder="1" applyAlignment="1" applyProtection="1">
      <alignment horizontal="center" vertical="center"/>
    </xf>
    <xf numFmtId="0" fontId="15" fillId="0" borderId="44"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183" fontId="20" fillId="31" borderId="290" xfId="1" applyNumberFormat="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xf>
    <xf numFmtId="0" fontId="147" fillId="0" borderId="88" xfId="67" applyFont="1" applyFill="1" applyBorder="1" applyAlignment="1" applyProtection="1">
      <alignment horizontal="center" wrapText="1"/>
    </xf>
    <xf numFmtId="0" fontId="147" fillId="0" borderId="179" xfId="67" applyFont="1" applyFill="1" applyBorder="1" applyAlignment="1" applyProtection="1">
      <alignment horizontal="center" wrapText="1"/>
    </xf>
    <xf numFmtId="0" fontId="147" fillId="0" borderId="21" xfId="67" applyFont="1" applyFill="1" applyBorder="1" applyAlignment="1" applyProtection="1">
      <alignment horizontal="center" vertical="center" wrapText="1"/>
    </xf>
    <xf numFmtId="0" fontId="147" fillId="0" borderId="181" xfId="67" applyFont="1" applyFill="1" applyBorder="1" applyAlignment="1" applyProtection="1">
      <alignment horizontal="center" vertical="center" wrapText="1"/>
    </xf>
    <xf numFmtId="180" fontId="9" fillId="31" borderId="32" xfId="67" applyNumberFormat="1" applyFont="1" applyFill="1" applyBorder="1" applyAlignment="1" applyProtection="1">
      <alignment horizontal="center" vertical="center" wrapText="1"/>
      <protection locked="0"/>
    </xf>
    <xf numFmtId="180" fontId="131" fillId="31" borderId="32" xfId="67" applyNumberFormat="1" applyFont="1" applyFill="1" applyBorder="1" applyAlignment="1" applyProtection="1">
      <alignment horizontal="center" vertical="center" wrapText="1"/>
      <protection locked="0"/>
    </xf>
    <xf numFmtId="180" fontId="131" fillId="31" borderId="60" xfId="67" applyNumberFormat="1" applyFont="1" applyFill="1" applyBorder="1" applyAlignment="1" applyProtection="1">
      <alignment horizontal="center" vertical="center" wrapText="1"/>
      <protection locked="0"/>
    </xf>
    <xf numFmtId="0" fontId="55" fillId="0" borderId="40" xfId="1" applyFont="1" applyFill="1" applyBorder="1" applyAlignment="1" applyProtection="1">
      <alignment horizontal="center" vertical="center"/>
    </xf>
    <xf numFmtId="0" fontId="55" fillId="0" borderId="0" xfId="1" applyFont="1" applyFill="1" applyBorder="1" applyAlignment="1" applyProtection="1">
      <alignment horizontal="center" vertical="center"/>
    </xf>
    <xf numFmtId="0" fontId="55" fillId="0" borderId="19" xfId="1" applyFont="1" applyFill="1" applyBorder="1" applyAlignment="1" applyProtection="1">
      <alignment horizontal="center" vertical="center"/>
    </xf>
    <xf numFmtId="183" fontId="20" fillId="31" borderId="0" xfId="1" applyNumberFormat="1" applyFont="1" applyFill="1" applyBorder="1" applyAlignment="1" applyProtection="1">
      <alignment horizontal="center" vertical="center"/>
      <protection locked="0"/>
    </xf>
    <xf numFmtId="0" fontId="48" fillId="0" borderId="2" xfId="1" applyFont="1" applyBorder="1" applyAlignment="1" applyProtection="1">
      <alignment horizontal="center" vertical="center"/>
    </xf>
    <xf numFmtId="4" fontId="20" fillId="0" borderId="40" xfId="67" applyNumberFormat="1" applyFont="1" applyFill="1" applyBorder="1" applyAlignment="1" applyProtection="1">
      <alignment horizontal="center" vertical="center"/>
    </xf>
    <xf numFmtId="4" fontId="20" fillId="0" borderId="19" xfId="67" applyNumberFormat="1" applyFont="1" applyFill="1" applyBorder="1" applyAlignment="1" applyProtection="1">
      <alignment horizontal="center" vertical="center"/>
    </xf>
    <xf numFmtId="0" fontId="20" fillId="0" borderId="0" xfId="67" applyFont="1" applyAlignment="1">
      <alignment horizontal="left" vertical="top" wrapText="1"/>
    </xf>
    <xf numFmtId="185" fontId="9" fillId="0" borderId="69" xfId="61" applyNumberFormat="1" applyFont="1" applyFill="1" applyBorder="1" applyAlignment="1" applyProtection="1">
      <alignment horizontal="right" vertical="center"/>
    </xf>
    <xf numFmtId="0" fontId="4" fillId="0" borderId="66" xfId="1" applyBorder="1" applyAlignment="1">
      <alignment horizontal="right" vertical="center"/>
    </xf>
    <xf numFmtId="186" fontId="15" fillId="0" borderId="40" xfId="1" applyNumberFormat="1" applyFont="1" applyFill="1" applyBorder="1" applyAlignment="1" applyProtection="1">
      <alignment horizontal="center" vertical="center"/>
    </xf>
    <xf numFmtId="186" fontId="15" fillId="0" borderId="19" xfId="1" applyNumberFormat="1" applyFont="1" applyFill="1" applyBorder="1" applyAlignment="1" applyProtection="1">
      <alignment horizontal="center" vertical="center"/>
    </xf>
    <xf numFmtId="185" fontId="4" fillId="37" borderId="69" xfId="135" applyNumberFormat="1" applyFont="1" applyFill="1" applyBorder="1" applyAlignment="1" applyProtection="1">
      <alignment horizontal="right" vertical="center"/>
      <protection locked="0"/>
    </xf>
    <xf numFmtId="185" fontId="4" fillId="37" borderId="66" xfId="135" applyNumberFormat="1" applyFont="1" applyFill="1" applyBorder="1" applyAlignment="1" applyProtection="1">
      <alignment horizontal="right" vertical="center"/>
      <protection locked="0"/>
    </xf>
    <xf numFmtId="171" fontId="4" fillId="37" borderId="69" xfId="135" applyNumberFormat="1" applyFont="1" applyFill="1" applyBorder="1" applyAlignment="1" applyProtection="1">
      <alignment horizontal="right" vertical="center"/>
      <protection locked="0"/>
    </xf>
    <xf numFmtId="171" fontId="4" fillId="37" borderId="62" xfId="135" applyNumberFormat="1" applyFont="1" applyFill="1" applyBorder="1" applyAlignment="1" applyProtection="1">
      <alignment horizontal="right" vertical="center"/>
      <protection locked="0"/>
    </xf>
    <xf numFmtId="185" fontId="9" fillId="33" borderId="65" xfId="61" applyNumberFormat="1" applyFont="1" applyFill="1" applyBorder="1" applyAlignment="1" applyProtection="1">
      <alignment horizontal="right" vertical="center"/>
      <protection locked="0"/>
    </xf>
    <xf numFmtId="171" fontId="9" fillId="33" borderId="69" xfId="61" applyNumberFormat="1" applyFont="1" applyFill="1" applyBorder="1" applyAlignment="1" applyProtection="1">
      <alignment horizontal="right" vertical="center"/>
      <protection locked="0"/>
    </xf>
    <xf numFmtId="171" fontId="9" fillId="33" borderId="62" xfId="61" applyNumberFormat="1" applyFont="1" applyFill="1" applyBorder="1" applyAlignment="1" applyProtection="1">
      <alignment horizontal="right" vertical="center"/>
      <protection locked="0"/>
    </xf>
    <xf numFmtId="171" fontId="9" fillId="4" borderId="43" xfId="61" applyNumberFormat="1" applyFont="1" applyFill="1" applyBorder="1" applyAlignment="1" applyProtection="1">
      <alignment horizontal="right" vertical="center"/>
    </xf>
    <xf numFmtId="171" fontId="9" fillId="4" borderId="39" xfId="61" applyNumberFormat="1" applyFont="1" applyFill="1" applyBorder="1" applyAlignment="1" applyProtection="1">
      <alignment horizontal="right" vertical="center"/>
    </xf>
    <xf numFmtId="185" fontId="9" fillId="0" borderId="69" xfId="61" applyNumberFormat="1" applyFont="1" applyFill="1" applyBorder="1" applyAlignment="1" applyProtection="1">
      <alignment horizontal="right" vertical="center"/>
      <protection locked="0"/>
    </xf>
    <xf numFmtId="171" fontId="9" fillId="33" borderId="68" xfId="61" applyNumberFormat="1" applyFont="1" applyFill="1" applyBorder="1" applyAlignment="1" applyProtection="1">
      <alignment horizontal="right" vertical="center"/>
      <protection locked="0"/>
    </xf>
    <xf numFmtId="171" fontId="9" fillId="33" borderId="61" xfId="61" applyNumberFormat="1" applyFont="1" applyFill="1" applyBorder="1" applyAlignment="1" applyProtection="1">
      <alignment horizontal="right" vertical="center"/>
      <protection locked="0"/>
    </xf>
    <xf numFmtId="185" fontId="9" fillId="4" borderId="40" xfId="61" applyNumberFormat="1" applyFont="1" applyFill="1" applyBorder="1" applyAlignment="1" applyProtection="1">
      <alignment horizontal="right" vertical="center"/>
    </xf>
    <xf numFmtId="0" fontId="5" fillId="4" borderId="40" xfId="1" applyFont="1" applyFill="1" applyBorder="1" applyAlignment="1" applyProtection="1">
      <alignment horizontal="center" vertical="center"/>
    </xf>
    <xf numFmtId="0" fontId="5" fillId="4" borderId="19" xfId="1" applyFont="1" applyFill="1" applyBorder="1" applyAlignment="1" applyProtection="1">
      <alignment horizontal="center" vertical="center"/>
    </xf>
    <xf numFmtId="186" fontId="15" fillId="0" borderId="43" xfId="1" applyNumberFormat="1" applyFont="1" applyFill="1" applyBorder="1" applyAlignment="1" applyProtection="1">
      <alignment horizontal="center" vertical="center"/>
    </xf>
    <xf numFmtId="186" fontId="15" fillId="0" borderId="42" xfId="1" applyNumberFormat="1" applyFont="1" applyFill="1" applyBorder="1" applyAlignment="1" applyProtection="1">
      <alignment horizontal="center" vertical="center"/>
    </xf>
    <xf numFmtId="171" fontId="9" fillId="0" borderId="69" xfId="61" applyNumberFormat="1" applyFont="1" applyFill="1" applyBorder="1" applyAlignment="1" applyProtection="1">
      <alignment horizontal="right" vertical="center"/>
    </xf>
    <xf numFmtId="0" fontId="4" fillId="0" borderId="62" xfId="1" applyBorder="1" applyAlignment="1">
      <alignment horizontal="right" vertical="center"/>
    </xf>
    <xf numFmtId="171" fontId="9" fillId="0" borderId="69" xfId="61" applyNumberFormat="1" applyFont="1" applyFill="1" applyBorder="1" applyAlignment="1" applyProtection="1">
      <alignment horizontal="right" vertical="center"/>
      <protection locked="0"/>
    </xf>
    <xf numFmtId="0" fontId="15" fillId="0" borderId="0" xfId="1" applyFont="1" applyBorder="1" applyAlignment="1" applyProtection="1">
      <alignment vertical="center" wrapText="1"/>
    </xf>
    <xf numFmtId="0" fontId="4" fillId="0" borderId="0" xfId="1" applyFont="1" applyBorder="1" applyAlignment="1">
      <alignment vertical="center" wrapText="1"/>
    </xf>
    <xf numFmtId="187" fontId="9" fillId="0" borderId="290" xfId="61" applyNumberFormat="1" applyFont="1" applyFill="1" applyBorder="1" applyAlignment="1" applyProtection="1">
      <alignment horizontal="right" vertical="center"/>
    </xf>
    <xf numFmtId="187" fontId="9" fillId="0" borderId="2" xfId="61" applyNumberFormat="1" applyFont="1" applyFill="1" applyBorder="1" applyAlignment="1" applyProtection="1">
      <alignment horizontal="right" vertical="center"/>
    </xf>
    <xf numFmtId="0" fontId="9" fillId="0" borderId="40" xfId="1" applyFont="1" applyBorder="1" applyAlignment="1" applyProtection="1">
      <alignment horizontal="center" vertical="center"/>
    </xf>
    <xf numFmtId="0" fontId="9" fillId="0" borderId="19" xfId="1" applyFont="1" applyBorder="1" applyAlignment="1" applyProtection="1">
      <alignment horizontal="center" vertical="center"/>
    </xf>
    <xf numFmtId="186" fontId="157" fillId="0" borderId="24" xfId="1" applyNumberFormat="1" applyFont="1" applyFill="1" applyBorder="1" applyAlignment="1" applyProtection="1">
      <alignment horizontal="center" vertical="center"/>
    </xf>
    <xf numFmtId="186" fontId="157" fillId="0" borderId="131" xfId="1" applyNumberFormat="1" applyFont="1" applyFill="1" applyBorder="1" applyAlignment="1" applyProtection="1">
      <alignment horizontal="center" vertical="center"/>
    </xf>
    <xf numFmtId="186" fontId="157" fillId="0" borderId="0" xfId="1" applyNumberFormat="1" applyFont="1" applyFill="1" applyBorder="1" applyAlignment="1" applyProtection="1">
      <alignment horizontal="center" vertical="center"/>
    </xf>
    <xf numFmtId="186" fontId="157" fillId="0" borderId="19" xfId="1" applyNumberFormat="1" applyFont="1" applyFill="1" applyBorder="1" applyAlignment="1" applyProtection="1">
      <alignment horizontal="center" vertical="center"/>
    </xf>
    <xf numFmtId="186" fontId="157" fillId="0" borderId="2" xfId="1" applyNumberFormat="1" applyFont="1" applyFill="1" applyBorder="1" applyAlignment="1" applyProtection="1">
      <alignment horizontal="center" vertical="center"/>
    </xf>
    <xf numFmtId="186" fontId="157" fillId="0" borderId="44" xfId="1" applyNumberFormat="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2" xfId="1" applyFont="1" applyBorder="1" applyAlignment="1" applyProtection="1">
      <alignment horizontal="lef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171" fontId="9" fillId="0" borderId="43" xfId="61" applyNumberFormat="1" applyFont="1" applyFill="1" applyBorder="1" applyAlignment="1" applyProtection="1">
      <alignment horizontal="right" vertical="center"/>
    </xf>
    <xf numFmtId="171" fontId="9" fillId="0" borderId="39" xfId="61" applyNumberFormat="1" applyFont="1" applyFill="1" applyBorder="1" applyAlignment="1" applyProtection="1">
      <alignment horizontal="right" vertical="center"/>
    </xf>
    <xf numFmtId="185" fontId="9" fillId="31" borderId="65" xfId="61" applyNumberFormat="1" applyFont="1" applyFill="1" applyBorder="1" applyAlignment="1" applyProtection="1">
      <alignment horizontal="right" vertical="center"/>
      <protection locked="0"/>
    </xf>
    <xf numFmtId="186" fontId="157" fillId="0" borderId="130" xfId="1" applyNumberFormat="1" applyFont="1" applyFill="1" applyBorder="1" applyAlignment="1" applyProtection="1">
      <alignment horizontal="center" vertical="center"/>
    </xf>
    <xf numFmtId="186" fontId="157" fillId="0" borderId="40" xfId="1" applyNumberFormat="1" applyFont="1" applyFill="1" applyBorder="1" applyAlignment="1" applyProtection="1">
      <alignment horizontal="center" vertical="center"/>
    </xf>
    <xf numFmtId="186" fontId="157" fillId="0" borderId="39" xfId="1" applyNumberFormat="1" applyFont="1" applyFill="1" applyBorder="1" applyAlignment="1" applyProtection="1">
      <alignment horizontal="center" vertical="center"/>
    </xf>
    <xf numFmtId="185" fontId="9" fillId="0" borderId="40" xfId="61" applyNumberFormat="1" applyFont="1" applyFill="1" applyBorder="1" applyAlignment="1" applyProtection="1">
      <alignment horizontal="right" vertical="center"/>
    </xf>
    <xf numFmtId="0" fontId="9" fillId="0" borderId="40" xfId="1" applyFont="1" applyFill="1" applyBorder="1" applyAlignment="1" applyProtection="1">
      <alignment horizontal="center" vertical="center"/>
    </xf>
    <xf numFmtId="0" fontId="9" fillId="0" borderId="19" xfId="1" applyFont="1" applyFill="1" applyBorder="1" applyAlignment="1" applyProtection="1">
      <alignment horizontal="center" vertical="center"/>
    </xf>
    <xf numFmtId="0" fontId="5" fillId="0" borderId="40" xfId="1" applyFont="1" applyFill="1" applyBorder="1" applyAlignment="1" applyProtection="1">
      <alignment horizontal="center" vertical="center"/>
    </xf>
    <xf numFmtId="0" fontId="5" fillId="0" borderId="19" xfId="1" applyFont="1" applyFill="1" applyBorder="1" applyAlignment="1" applyProtection="1">
      <alignment horizontal="center" vertical="center"/>
    </xf>
    <xf numFmtId="187" fontId="9" fillId="0" borderId="0" xfId="61" applyNumberFormat="1" applyFont="1" applyFill="1" applyBorder="1" applyAlignment="1" applyProtection="1">
      <alignment horizontal="right" vertical="center"/>
    </xf>
    <xf numFmtId="0" fontId="43" fillId="4" borderId="41" xfId="1" applyFont="1" applyFill="1" applyBorder="1" applyAlignment="1" applyProtection="1">
      <alignment horizontal="right" vertical="center"/>
    </xf>
    <xf numFmtId="185" fontId="14" fillId="0" borderId="108" xfId="124" applyNumberFormat="1" applyFont="1" applyBorder="1" applyAlignment="1" applyProtection="1">
      <alignment horizontal="center" vertical="center" wrapText="1"/>
    </xf>
    <xf numFmtId="185" fontId="14" fillId="0" borderId="107" xfId="124" applyNumberFormat="1" applyFont="1" applyBorder="1" applyAlignment="1" applyProtection="1">
      <alignment horizontal="center" vertical="center" wrapText="1"/>
    </xf>
    <xf numFmtId="0" fontId="44" fillId="31" borderId="92" xfId="124" applyFont="1" applyFill="1" applyBorder="1" applyAlignment="1" applyProtection="1">
      <alignment horizontal="center" vertical="center"/>
      <protection locked="0"/>
    </xf>
    <xf numFmtId="0" fontId="44" fillId="31" borderId="189" xfId="124" applyFont="1" applyFill="1" applyBorder="1" applyAlignment="1" applyProtection="1">
      <alignment horizontal="center" vertical="center"/>
      <protection locked="0"/>
    </xf>
    <xf numFmtId="0" fontId="94" fillId="31" borderId="92" xfId="124" applyFont="1" applyFill="1" applyBorder="1" applyAlignment="1" applyProtection="1">
      <alignment horizontal="center" vertical="center"/>
      <protection locked="0"/>
    </xf>
    <xf numFmtId="0" fontId="94" fillId="31" borderId="189" xfId="124" applyFont="1" applyFill="1" applyBorder="1" applyAlignment="1" applyProtection="1">
      <alignment horizontal="center" vertical="center"/>
      <protection locked="0"/>
    </xf>
    <xf numFmtId="0" fontId="94" fillId="31" borderId="40" xfId="124" applyFont="1" applyFill="1" applyBorder="1" applyAlignment="1" applyProtection="1">
      <alignment horizontal="center" vertical="center"/>
      <protection locked="0"/>
    </xf>
    <xf numFmtId="0" fontId="94" fillId="31" borderId="64" xfId="124" applyFont="1" applyFill="1" applyBorder="1" applyAlignment="1" applyProtection="1">
      <alignment horizontal="center" vertical="center"/>
      <protection locked="0"/>
    </xf>
    <xf numFmtId="0" fontId="44" fillId="0" borderId="0" xfId="124" applyFont="1" applyAlignment="1" applyProtection="1">
      <alignment horizontal="left" vertical="center" wrapText="1"/>
    </xf>
    <xf numFmtId="0" fontId="151" fillId="0" borderId="0" xfId="2" applyFont="1" applyAlignment="1" applyProtection="1">
      <alignment horizontal="left" vertical="center" wrapText="1"/>
    </xf>
    <xf numFmtId="1" fontId="18" fillId="0" borderId="0" xfId="1" applyNumberFormat="1" applyFont="1" applyBorder="1" applyAlignment="1">
      <alignment horizontal="left"/>
    </xf>
    <xf numFmtId="2" fontId="5" fillId="30" borderId="43" xfId="67" applyNumberFormat="1" applyFont="1" applyFill="1" applyBorder="1" applyAlignment="1">
      <alignment horizontal="center" vertical="center" wrapText="1"/>
    </xf>
    <xf numFmtId="2" fontId="5" fillId="30" borderId="42" xfId="67" applyNumberFormat="1" applyFont="1" applyFill="1" applyBorder="1" applyAlignment="1">
      <alignment horizontal="center" vertical="center" wrapText="1"/>
    </xf>
    <xf numFmtId="2" fontId="5" fillId="30" borderId="39" xfId="67" applyNumberFormat="1" applyFont="1" applyFill="1" applyBorder="1" applyAlignment="1">
      <alignment horizontal="center" vertical="center" wrapText="1"/>
    </xf>
    <xf numFmtId="2" fontId="5" fillId="30" borderId="44" xfId="67" applyNumberFormat="1" applyFont="1" applyFill="1" applyBorder="1" applyAlignment="1">
      <alignment horizontal="center" vertical="center" wrapText="1"/>
    </xf>
    <xf numFmtId="49" fontId="5" fillId="30" borderId="77" xfId="67" applyNumberFormat="1" applyFont="1" applyFill="1" applyBorder="1" applyAlignment="1">
      <alignment horizontal="center" vertical="top"/>
    </xf>
    <xf numFmtId="49" fontId="5" fillId="30" borderId="58" xfId="67" applyNumberFormat="1" applyFont="1" applyFill="1" applyBorder="1" applyAlignment="1">
      <alignment horizontal="center" vertical="top"/>
    </xf>
    <xf numFmtId="191" fontId="99" fillId="0" borderId="0" xfId="1" applyNumberFormat="1" applyFont="1" applyBorder="1" applyAlignment="1">
      <alignment horizontal="center"/>
    </xf>
    <xf numFmtId="2" fontId="5" fillId="30" borderId="43" xfId="67" applyNumberFormat="1" applyFont="1" applyFill="1" applyBorder="1" applyAlignment="1">
      <alignment horizontal="center" vertical="center"/>
    </xf>
    <xf numFmtId="2" fontId="5" fillId="30" borderId="42" xfId="67" applyNumberFormat="1" applyFont="1" applyFill="1" applyBorder="1" applyAlignment="1">
      <alignment horizontal="center" vertical="center"/>
    </xf>
    <xf numFmtId="2" fontId="5" fillId="30" borderId="39" xfId="67" applyNumberFormat="1" applyFont="1" applyFill="1" applyBorder="1" applyAlignment="1">
      <alignment horizontal="center" vertical="center"/>
    </xf>
    <xf numFmtId="2" fontId="5" fillId="30" borderId="44" xfId="67" applyNumberFormat="1" applyFont="1" applyFill="1" applyBorder="1" applyAlignment="1">
      <alignment horizontal="center" vertical="center"/>
    </xf>
    <xf numFmtId="2" fontId="5" fillId="30" borderId="23" xfId="67" applyNumberFormat="1" applyFont="1" applyFill="1" applyBorder="1" applyAlignment="1">
      <alignment horizontal="center" vertical="center" wrapText="1"/>
    </xf>
    <xf numFmtId="2" fontId="5" fillId="30" borderId="2" xfId="67" applyNumberFormat="1" applyFont="1" applyFill="1" applyBorder="1" applyAlignment="1">
      <alignment horizontal="center" vertical="center" wrapText="1"/>
    </xf>
    <xf numFmtId="0" fontId="5" fillId="30" borderId="43" xfId="67" applyFont="1" applyFill="1" applyBorder="1" applyAlignment="1">
      <alignment horizontal="center" vertical="center" readingOrder="1"/>
    </xf>
    <xf numFmtId="0" fontId="5" fillId="30" borderId="42" xfId="67" applyFont="1" applyFill="1" applyBorder="1" applyAlignment="1">
      <alignment horizontal="center" vertical="center" readingOrder="1"/>
    </xf>
    <xf numFmtId="0" fontId="5" fillId="30" borderId="39" xfId="67" applyFont="1" applyFill="1" applyBorder="1" applyAlignment="1">
      <alignment horizontal="center" vertical="center" readingOrder="1"/>
    </xf>
    <xf numFmtId="0" fontId="5" fillId="30" borderId="44" xfId="67" applyFont="1" applyFill="1" applyBorder="1" applyAlignment="1">
      <alignment horizontal="center" vertical="center" readingOrder="1"/>
    </xf>
    <xf numFmtId="0" fontId="5" fillId="30" borderId="23" xfId="67" applyFont="1" applyFill="1" applyBorder="1" applyAlignment="1">
      <alignment horizontal="center" vertical="center" readingOrder="1"/>
    </xf>
    <xf numFmtId="0" fontId="5" fillId="30" borderId="2" xfId="67" applyFont="1" applyFill="1" applyBorder="1" applyAlignment="1">
      <alignment horizontal="center" vertical="center" readingOrder="1"/>
    </xf>
    <xf numFmtId="0" fontId="5" fillId="30" borderId="43" xfId="67" applyFont="1" applyFill="1" applyBorder="1" applyAlignment="1">
      <alignment horizontal="center" vertical="center"/>
    </xf>
    <xf numFmtId="0" fontId="5" fillId="30" borderId="42" xfId="67" applyFont="1" applyFill="1" applyBorder="1" applyAlignment="1">
      <alignment horizontal="center" vertical="center"/>
    </xf>
    <xf numFmtId="0" fontId="5" fillId="30" borderId="39" xfId="67" applyFont="1" applyFill="1" applyBorder="1" applyAlignment="1">
      <alignment horizontal="center" vertical="center"/>
    </xf>
    <xf numFmtId="0" fontId="5" fillId="30" borderId="44" xfId="67" applyFont="1" applyFill="1" applyBorder="1" applyAlignment="1">
      <alignment horizontal="center" vertical="center"/>
    </xf>
    <xf numFmtId="0" fontId="5" fillId="30" borderId="77" xfId="67" applyFont="1" applyFill="1" applyBorder="1" applyAlignment="1">
      <alignment horizontal="center" vertical="top" wrapText="1"/>
    </xf>
    <xf numFmtId="0" fontId="5" fillId="30" borderId="58" xfId="67" applyFont="1" applyFill="1" applyBorder="1" applyAlignment="1">
      <alignment horizontal="center" vertical="top"/>
    </xf>
    <xf numFmtId="0" fontId="15" fillId="0" borderId="24" xfId="1" applyFont="1" applyBorder="1" applyAlignment="1" applyProtection="1">
      <alignment horizontal="center" vertical="center"/>
    </xf>
    <xf numFmtId="0" fontId="15" fillId="0" borderId="46" xfId="1" applyFont="1" applyBorder="1" applyAlignment="1" applyProtection="1">
      <alignment horizontal="center" vertical="center"/>
    </xf>
    <xf numFmtId="0" fontId="15" fillId="0" borderId="47" xfId="1" applyFont="1" applyBorder="1" applyAlignment="1" applyProtection="1">
      <alignment horizontal="center" vertical="center"/>
    </xf>
    <xf numFmtId="0" fontId="15" fillId="0" borderId="59" xfId="1" applyFont="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289" xfId="1" applyNumberFormat="1" applyFont="1" applyFill="1" applyBorder="1" applyAlignment="1" applyProtection="1">
      <alignment horizontal="center" vertical="center"/>
    </xf>
    <xf numFmtId="3" fontId="15" fillId="0" borderId="39" xfId="1" applyNumberFormat="1" applyFont="1" applyBorder="1" applyAlignment="1" applyProtection="1">
      <alignment horizontal="center" vertical="center"/>
    </xf>
    <xf numFmtId="3" fontId="15" fillId="0" borderId="44" xfId="1" applyNumberFormat="1" applyFont="1" applyBorder="1" applyAlignment="1" applyProtection="1">
      <alignment horizontal="center" vertical="center"/>
    </xf>
    <xf numFmtId="3" fontId="15" fillId="0" borderId="43" xfId="1" applyNumberFormat="1" applyFont="1" applyBorder="1" applyAlignment="1" applyProtection="1">
      <alignment horizontal="center" vertical="center"/>
    </xf>
    <xf numFmtId="3" fontId="15" fillId="0" borderId="42" xfId="1" applyNumberFormat="1" applyFont="1" applyBorder="1" applyAlignment="1" applyProtection="1">
      <alignment horizontal="center" vertical="center"/>
    </xf>
    <xf numFmtId="3" fontId="15" fillId="0" borderId="77" xfId="1" applyNumberFormat="1" applyFont="1" applyBorder="1" applyAlignment="1" applyProtection="1">
      <alignment horizontal="center" vertical="center"/>
    </xf>
    <xf numFmtId="3" fontId="15" fillId="0" borderId="58" xfId="1" applyNumberFormat="1" applyFont="1" applyBorder="1" applyAlignment="1" applyProtection="1">
      <alignment horizontal="center" vertical="center"/>
    </xf>
    <xf numFmtId="3" fontId="15" fillId="31" borderId="39" xfId="1" applyNumberFormat="1" applyFont="1" applyFill="1" applyBorder="1" applyAlignment="1" applyProtection="1">
      <alignment horizontal="center" vertical="center"/>
      <protection locked="0"/>
    </xf>
    <xf numFmtId="3" fontId="15" fillId="31" borderId="44" xfId="1" applyNumberFormat="1" applyFont="1" applyFill="1" applyBorder="1" applyAlignment="1" applyProtection="1">
      <alignment horizontal="center" vertical="center"/>
      <protection locked="0"/>
    </xf>
    <xf numFmtId="3" fontId="15" fillId="0" borderId="40" xfId="1" applyNumberFormat="1" applyFont="1" applyBorder="1" applyAlignment="1" applyProtection="1">
      <alignment horizontal="center" vertical="center"/>
    </xf>
    <xf numFmtId="3" fontId="15" fillId="0" borderId="19" xfId="1" applyNumberFormat="1" applyFont="1" applyBorder="1" applyAlignment="1" applyProtection="1">
      <alignment horizontal="center" vertical="center"/>
    </xf>
    <xf numFmtId="3" fontId="15" fillId="31" borderId="129" xfId="1" applyNumberFormat="1" applyFont="1" applyFill="1" applyBorder="1" applyAlignment="1" applyProtection="1">
      <alignment horizontal="center" vertical="center"/>
      <protection locked="0"/>
    </xf>
    <xf numFmtId="0" fontId="15" fillId="0" borderId="130" xfId="1" applyFont="1" applyBorder="1" applyAlignment="1" applyProtection="1">
      <alignment horizontal="center" vertical="center"/>
    </xf>
    <xf numFmtId="0" fontId="15" fillId="0" borderId="78" xfId="1" applyFont="1" applyBorder="1" applyAlignment="1" applyProtection="1">
      <alignment horizontal="center" vertical="center"/>
    </xf>
    <xf numFmtId="3" fontId="9" fillId="0" borderId="40" xfId="1" applyNumberFormat="1" applyFont="1" applyFill="1" applyBorder="1" applyAlignment="1" applyProtection="1">
      <alignment horizontal="center" vertical="center"/>
    </xf>
    <xf numFmtId="3" fontId="9" fillId="0" borderId="64"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2" fontId="15" fillId="31" borderId="39" xfId="1" applyNumberFormat="1" applyFont="1" applyFill="1" applyBorder="1" applyAlignment="1" applyProtection="1">
      <alignment horizontal="center" vertical="center"/>
      <protection locked="0"/>
    </xf>
    <xf numFmtId="2" fontId="15" fillId="31" borderId="129" xfId="1" applyNumberFormat="1" applyFont="1" applyFill="1" applyBorder="1" applyAlignment="1" applyProtection="1">
      <alignment horizontal="center" vertical="center"/>
      <protection locked="0"/>
    </xf>
    <xf numFmtId="3" fontId="15" fillId="0" borderId="210" xfId="1" applyNumberFormat="1" applyFont="1" applyBorder="1" applyAlignment="1" applyProtection="1">
      <alignment horizontal="center" vertical="center"/>
    </xf>
    <xf numFmtId="3" fontId="15" fillId="0" borderId="129" xfId="1" applyNumberFormat="1" applyFont="1" applyBorder="1" applyAlignment="1" applyProtection="1">
      <alignment horizontal="center" vertical="center"/>
    </xf>
    <xf numFmtId="3" fontId="15" fillId="0" borderId="289" xfId="1" applyNumberFormat="1" applyFont="1" applyBorder="1" applyAlignment="1" applyProtection="1">
      <alignment horizontal="center" vertical="center"/>
    </xf>
    <xf numFmtId="3" fontId="15" fillId="0" borderId="128" xfId="1" applyNumberFormat="1" applyFont="1" applyBorder="1" applyAlignment="1" applyProtection="1">
      <alignment horizontal="center" vertical="center"/>
    </xf>
    <xf numFmtId="2" fontId="15" fillId="0" borderId="39" xfId="1" applyNumberFormat="1" applyFont="1" applyBorder="1" applyAlignment="1" applyProtection="1">
      <alignment horizontal="center" vertical="center"/>
    </xf>
    <xf numFmtId="2" fontId="15" fillId="0" borderId="129" xfId="1" applyNumberFormat="1" applyFont="1" applyBorder="1" applyAlignment="1" applyProtection="1">
      <alignment horizontal="center" vertical="center"/>
    </xf>
    <xf numFmtId="0" fontId="15" fillId="31" borderId="39" xfId="1" applyFont="1" applyFill="1" applyBorder="1" applyAlignment="1" applyProtection="1">
      <alignment horizontal="center" vertical="center"/>
      <protection locked="0"/>
    </xf>
    <xf numFmtId="0" fontId="15" fillId="31" borderId="44" xfId="1" applyFont="1" applyFill="1" applyBorder="1" applyAlignment="1" applyProtection="1">
      <alignment horizontal="center" vertical="center"/>
      <protection locked="0"/>
    </xf>
    <xf numFmtId="2" fontId="55" fillId="0" borderId="46" xfId="1" applyNumberFormat="1" applyFont="1" applyBorder="1" applyAlignment="1" applyProtection="1">
      <alignment horizontal="center" vertical="center"/>
    </xf>
    <xf numFmtId="2" fontId="55" fillId="0" borderId="47" xfId="1" applyNumberFormat="1" applyFont="1" applyBorder="1" applyAlignment="1" applyProtection="1">
      <alignment horizontal="center" vertical="center"/>
    </xf>
    <xf numFmtId="0" fontId="14" fillId="0" borderId="0" xfId="1" applyFont="1" applyAlignment="1" applyProtection="1">
      <alignment horizontal="center" vertical="center"/>
    </xf>
    <xf numFmtId="2" fontId="15" fillId="0" borderId="44" xfId="1" applyNumberFormat="1" applyFont="1" applyBorder="1" applyAlignment="1" applyProtection="1">
      <alignment horizontal="center" vertical="center"/>
    </xf>
    <xf numFmtId="2" fontId="15" fillId="31" borderId="44" xfId="1" applyNumberFormat="1" applyFont="1" applyFill="1" applyBorder="1" applyAlignment="1" applyProtection="1">
      <alignment horizontal="center" vertical="center"/>
      <protection locked="0"/>
    </xf>
    <xf numFmtId="0" fontId="15" fillId="31" borderId="129" xfId="1" applyFont="1" applyFill="1" applyBorder="1" applyAlignment="1" applyProtection="1">
      <alignment horizontal="center" vertical="center"/>
      <protection locked="0"/>
    </xf>
    <xf numFmtId="3" fontId="55" fillId="0" borderId="43" xfId="1" applyNumberFormat="1" applyFont="1" applyBorder="1" applyAlignment="1" applyProtection="1">
      <alignment horizontal="center" vertical="center"/>
    </xf>
    <xf numFmtId="3" fontId="55" fillId="0" borderId="128" xfId="1" applyNumberFormat="1" applyFont="1" applyBorder="1" applyAlignment="1" applyProtection="1">
      <alignment horizontal="center" vertical="center"/>
    </xf>
    <xf numFmtId="3" fontId="55" fillId="0" borderId="42" xfId="1" applyNumberFormat="1" applyFont="1" applyBorder="1" applyAlignment="1" applyProtection="1">
      <alignment horizontal="center" vertical="center"/>
    </xf>
    <xf numFmtId="2" fontId="55" fillId="0" borderId="59" xfId="1" applyNumberFormat="1" applyFont="1" applyBorder="1" applyAlignment="1" applyProtection="1">
      <alignment horizontal="center" vertical="center"/>
    </xf>
    <xf numFmtId="0" fontId="5" fillId="33" borderId="130" xfId="1" applyFont="1" applyFill="1" applyBorder="1" applyAlignment="1" applyProtection="1">
      <alignment horizontal="center" vertical="center" wrapText="1"/>
    </xf>
    <xf numFmtId="0" fontId="5" fillId="33" borderId="78" xfId="1" applyFont="1" applyFill="1" applyBorder="1" applyAlignment="1" applyProtection="1">
      <alignment horizontal="center" vertical="center" wrapText="1"/>
    </xf>
    <xf numFmtId="0" fontId="9" fillId="33" borderId="40" xfId="1" applyFont="1" applyFill="1" applyBorder="1" applyAlignment="1" applyProtection="1">
      <alignment horizontal="center" vertical="center" wrapText="1"/>
    </xf>
    <xf numFmtId="0" fontId="9" fillId="33" borderId="64" xfId="1" applyFont="1" applyFill="1" applyBorder="1" applyAlignment="1" applyProtection="1">
      <alignment horizontal="center" vertical="center" wrapText="1"/>
    </xf>
    <xf numFmtId="0" fontId="9" fillId="0" borderId="130" xfId="1" applyNumberFormat="1" applyFont="1" applyFill="1" applyBorder="1" applyAlignment="1" applyProtection="1">
      <alignment horizontal="center" vertical="center"/>
    </xf>
    <xf numFmtId="49" fontId="9" fillId="0" borderId="78" xfId="1" applyNumberFormat="1" applyFont="1" applyFill="1" applyBorder="1" applyAlignment="1" applyProtection="1">
      <alignment horizontal="center" vertical="center"/>
    </xf>
    <xf numFmtId="3" fontId="15" fillId="31" borderId="40" xfId="1" applyNumberFormat="1" applyFont="1" applyFill="1" applyBorder="1" applyAlignment="1" applyProtection="1">
      <alignment horizontal="left" vertical="center"/>
      <protection locked="0"/>
    </xf>
    <xf numFmtId="3" fontId="15" fillId="31" borderId="19" xfId="1" applyNumberFormat="1" applyFont="1" applyFill="1" applyBorder="1" applyAlignment="1" applyProtection="1">
      <alignment horizontal="left" vertical="center"/>
      <protection locked="0"/>
    </xf>
    <xf numFmtId="3" fontId="15" fillId="31" borderId="289" xfId="1" applyNumberFormat="1" applyFont="1" applyFill="1" applyBorder="1" applyAlignment="1" applyProtection="1">
      <alignment horizontal="left" vertical="center"/>
      <protection locked="0"/>
    </xf>
    <xf numFmtId="2" fontId="13" fillId="0" borderId="195" xfId="1" applyNumberFormat="1" applyFont="1" applyBorder="1" applyAlignment="1" applyProtection="1">
      <alignment horizontal="center" vertical="center"/>
    </xf>
    <xf numFmtId="2" fontId="13" fillId="0" borderId="207" xfId="1" applyNumberFormat="1" applyFont="1" applyBorder="1" applyAlignment="1" applyProtection="1">
      <alignment horizontal="center" vertical="center"/>
    </xf>
    <xf numFmtId="2" fontId="55" fillId="0" borderId="180" xfId="1" applyNumberFormat="1" applyFont="1" applyBorder="1" applyAlignment="1" applyProtection="1">
      <alignment horizontal="center" vertical="center"/>
    </xf>
    <xf numFmtId="2" fontId="55" fillId="0" borderId="171" xfId="1" applyNumberFormat="1" applyFont="1" applyBorder="1" applyAlignment="1" applyProtection="1">
      <alignment horizontal="center" vertical="center"/>
    </xf>
    <xf numFmtId="2" fontId="13" fillId="0" borderId="193" xfId="1" applyNumberFormat="1" applyFont="1" applyBorder="1" applyAlignment="1" applyProtection="1">
      <alignment horizontal="center" vertical="center"/>
    </xf>
    <xf numFmtId="2" fontId="55" fillId="0" borderId="209" xfId="1" applyNumberFormat="1" applyFont="1" applyBorder="1" applyAlignment="1" applyProtection="1">
      <alignment horizontal="center" vertical="center"/>
    </xf>
    <xf numFmtId="3" fontId="9" fillId="0" borderId="289" xfId="1" applyNumberFormat="1" applyFont="1" applyFill="1" applyBorder="1" applyAlignment="1" applyProtection="1">
      <alignment horizontal="center" vertical="center"/>
    </xf>
    <xf numFmtId="0" fontId="15" fillId="0" borderId="131" xfId="1" applyFont="1" applyBorder="1" applyAlignment="1" applyProtection="1">
      <alignment horizontal="center" vertical="center"/>
    </xf>
    <xf numFmtId="2" fontId="9" fillId="0" borderId="40" xfId="67" applyNumberFormat="1" applyFont="1" applyBorder="1" applyAlignment="1" applyProtection="1">
      <alignment horizontal="center" vertical="center"/>
    </xf>
    <xf numFmtId="2" fontId="9" fillId="0" borderId="289" xfId="67" applyNumberFormat="1" applyFont="1" applyBorder="1" applyAlignment="1" applyProtection="1">
      <alignment horizontal="center" vertical="center"/>
    </xf>
    <xf numFmtId="0" fontId="5" fillId="27" borderId="79" xfId="67" applyFont="1" applyFill="1" applyBorder="1" applyAlignment="1" applyProtection="1">
      <alignment horizontal="center" vertical="center"/>
    </xf>
    <xf numFmtId="0" fontId="5" fillId="27" borderId="24" xfId="67" applyFont="1" applyFill="1" applyBorder="1" applyAlignment="1" applyProtection="1">
      <alignment horizontal="center" vertical="center"/>
    </xf>
    <xf numFmtId="0" fontId="5" fillId="27" borderId="131" xfId="67" applyFont="1" applyFill="1" applyBorder="1" applyAlignment="1" applyProtection="1">
      <alignment horizontal="center" vertical="center"/>
    </xf>
    <xf numFmtId="0" fontId="18" fillId="0" borderId="0" xfId="1" applyFont="1" applyBorder="1" applyAlignment="1" applyProtection="1">
      <alignment horizontal="left" vertical="center"/>
    </xf>
    <xf numFmtId="0" fontId="9" fillId="0" borderId="46" xfId="1" applyNumberFormat="1" applyFont="1" applyFill="1" applyBorder="1" applyAlignment="1" applyProtection="1">
      <alignment horizontal="center" vertical="center"/>
    </xf>
    <xf numFmtId="0" fontId="9" fillId="0" borderId="59" xfId="1" applyNumberFormat="1" applyFont="1" applyFill="1" applyBorder="1" applyAlignment="1" applyProtection="1">
      <alignment horizontal="center" vertical="center"/>
    </xf>
    <xf numFmtId="0" fontId="9" fillId="27" borderId="130" xfId="67" applyFont="1" applyFill="1" applyBorder="1" applyAlignment="1">
      <alignment horizontal="center" vertical="center" wrapText="1"/>
    </xf>
    <xf numFmtId="0" fontId="9" fillId="27" borderId="78" xfId="67" applyFont="1" applyFill="1" applyBorder="1" applyAlignment="1">
      <alignment horizontal="center" vertical="center" wrapText="1"/>
    </xf>
    <xf numFmtId="0" fontId="20" fillId="4" borderId="0" xfId="67" applyFont="1" applyFill="1" applyBorder="1" applyAlignment="1" applyProtection="1">
      <alignment horizontal="left" vertical="center" wrapText="1"/>
    </xf>
    <xf numFmtId="193" fontId="5" fillId="0" borderId="77" xfId="1" applyNumberFormat="1" applyFont="1" applyBorder="1" applyAlignment="1" applyProtection="1">
      <alignment vertical="center"/>
    </xf>
    <xf numFmtId="193" fontId="5" fillId="0" borderId="58" xfId="1" applyNumberFormat="1" applyFont="1" applyBorder="1" applyAlignment="1" applyProtection="1">
      <alignment vertical="center"/>
    </xf>
    <xf numFmtId="193" fontId="5" fillId="0" borderId="57" xfId="1" applyNumberFormat="1" applyFont="1" applyBorder="1" applyAlignment="1" applyProtection="1">
      <alignment vertical="center"/>
    </xf>
    <xf numFmtId="0" fontId="4" fillId="0" borderId="0" xfId="1" applyAlignment="1" applyProtection="1">
      <alignment vertical="center"/>
    </xf>
    <xf numFmtId="193" fontId="5" fillId="0" borderId="0" xfId="1" applyNumberFormat="1" applyFont="1" applyAlignment="1" applyProtection="1">
      <alignment vertical="center"/>
    </xf>
    <xf numFmtId="193" fontId="4" fillId="0" borderId="0" xfId="1" applyNumberFormat="1" applyAlignment="1" applyProtection="1">
      <alignment vertical="center"/>
    </xf>
    <xf numFmtId="0" fontId="5" fillId="0" borderId="0" xfId="1" applyFont="1" applyAlignment="1" applyProtection="1">
      <alignment vertical="center"/>
    </xf>
    <xf numFmtId="193" fontId="4" fillId="0" borderId="0" xfId="1" applyNumberFormat="1" applyBorder="1" applyAlignment="1" applyProtection="1">
      <alignment vertical="center"/>
    </xf>
    <xf numFmtId="193" fontId="4" fillId="0" borderId="19" xfId="1" applyNumberFormat="1" applyBorder="1" applyAlignment="1" applyProtection="1">
      <alignment vertical="center"/>
    </xf>
    <xf numFmtId="0" fontId="9" fillId="0" borderId="111" xfId="67" applyFont="1" applyBorder="1" applyAlignment="1" applyProtection="1">
      <alignment horizontal="left" vertical="center" wrapText="1"/>
    </xf>
    <xf numFmtId="0" fontId="9" fillId="0" borderId="110" xfId="67" applyFont="1" applyBorder="1" applyAlignment="1" applyProtection="1">
      <alignment horizontal="center" vertical="center" wrapText="1"/>
    </xf>
    <xf numFmtId="0" fontId="9" fillId="0" borderId="0" xfId="67" applyFont="1" applyAlignment="1">
      <alignment horizontal="left" vertical="center" wrapText="1"/>
    </xf>
    <xf numFmtId="0" fontId="9" fillId="0" borderId="0" xfId="67"/>
    <xf numFmtId="0" fontId="5" fillId="0" borderId="0" xfId="67" applyFont="1" applyBorder="1" applyAlignment="1" applyProtection="1">
      <alignment horizontal="left" vertical="center" wrapText="1"/>
    </xf>
    <xf numFmtId="0" fontId="5" fillId="0" borderId="0" xfId="67" applyFont="1" applyBorder="1" applyAlignment="1" applyProtection="1">
      <alignment horizontal="left" vertical="top" wrapText="1"/>
    </xf>
    <xf numFmtId="0" fontId="9" fillId="0" borderId="3" xfId="67" applyFont="1" applyBorder="1" applyAlignment="1" applyProtection="1">
      <alignment horizontal="center" vertical="center" wrapText="1"/>
    </xf>
    <xf numFmtId="193" fontId="4" fillId="0" borderId="40" xfId="1" applyNumberFormat="1" applyBorder="1" applyAlignment="1" applyProtection="1">
      <alignment vertical="center"/>
    </xf>
    <xf numFmtId="0" fontId="5" fillId="0" borderId="43" xfId="1" applyFont="1" applyBorder="1" applyAlignment="1" applyProtection="1">
      <alignment horizontal="right" vertical="center"/>
    </xf>
    <xf numFmtId="0" fontId="5" fillId="0" borderId="42" xfId="1" applyFont="1" applyBorder="1" applyAlignment="1" applyProtection="1">
      <alignment horizontal="right" vertical="center"/>
    </xf>
    <xf numFmtId="0" fontId="5" fillId="0" borderId="23" xfId="1" applyFont="1" applyBorder="1" applyAlignment="1" applyProtection="1">
      <alignment horizontal="right" vertical="center"/>
    </xf>
    <xf numFmtId="0" fontId="9" fillId="0" borderId="3" xfId="67" applyFont="1" applyBorder="1" applyAlignment="1" applyProtection="1">
      <alignment horizontal="left" vertical="center" wrapText="1"/>
    </xf>
    <xf numFmtId="0" fontId="4" fillId="0" borderId="0" xfId="1" applyBorder="1" applyAlignment="1" applyProtection="1">
      <alignment vertical="center"/>
    </xf>
    <xf numFmtId="0" fontId="4" fillId="0" borderId="19" xfId="1" applyBorder="1" applyAlignment="1" applyProtection="1">
      <alignment vertical="center"/>
    </xf>
    <xf numFmtId="193" fontId="5" fillId="0" borderId="40" xfId="1" applyNumberFormat="1" applyFont="1" applyBorder="1" applyAlignment="1" applyProtection="1">
      <alignment vertical="center"/>
    </xf>
    <xf numFmtId="193" fontId="5" fillId="0" borderId="19" xfId="1" applyNumberFormat="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185" fontId="15" fillId="31" borderId="104" xfId="1" applyNumberFormat="1" applyFont="1" applyFill="1" applyBorder="1" applyAlignment="1" applyProtection="1">
      <alignment horizontal="left" vertical="center"/>
      <protection locked="0"/>
    </xf>
    <xf numFmtId="185" fontId="15" fillId="31" borderId="105" xfId="1" applyNumberFormat="1" applyFont="1" applyFill="1" applyBorder="1" applyAlignment="1" applyProtection="1">
      <alignment horizontal="left" vertical="center"/>
      <protection locked="0"/>
    </xf>
    <xf numFmtId="0" fontId="5" fillId="0" borderId="43" xfId="1" applyFont="1" applyBorder="1" applyAlignment="1" applyProtection="1">
      <alignment horizontal="left" vertical="center"/>
    </xf>
    <xf numFmtId="0" fontId="5" fillId="0" borderId="23" xfId="1" applyFont="1" applyBorder="1" applyAlignment="1" applyProtection="1">
      <alignment horizontal="left" vertical="center"/>
    </xf>
    <xf numFmtId="0" fontId="20" fillId="0" borderId="39" xfId="1" applyFont="1" applyBorder="1" applyAlignment="1" applyProtection="1">
      <alignment horizontal="center" vertical="center"/>
    </xf>
    <xf numFmtId="0" fontId="20" fillId="0" borderId="44" xfId="1" applyFont="1" applyBorder="1" applyAlignment="1" applyProtection="1">
      <alignment horizontal="center" vertical="center"/>
    </xf>
    <xf numFmtId="185" fontId="15" fillId="31" borderId="0" xfId="1" applyNumberFormat="1" applyFont="1" applyFill="1" applyBorder="1" applyAlignment="1" applyProtection="1">
      <alignment horizontal="left" vertical="center"/>
      <protection locked="0"/>
    </xf>
    <xf numFmtId="185" fontId="15" fillId="31" borderId="19" xfId="1" applyNumberFormat="1" applyFont="1" applyFill="1" applyBorder="1" applyAlignment="1" applyProtection="1">
      <alignment horizontal="left" vertical="center"/>
      <protection locked="0"/>
    </xf>
    <xf numFmtId="185" fontId="15" fillId="31" borderId="2" xfId="1" applyNumberFormat="1" applyFont="1" applyFill="1" applyBorder="1" applyAlignment="1" applyProtection="1">
      <alignment horizontal="left" vertical="center"/>
      <protection locked="0"/>
    </xf>
    <xf numFmtId="185" fontId="15" fillId="31" borderId="44" xfId="1" applyNumberFormat="1" applyFont="1" applyFill="1" applyBorder="1" applyAlignment="1" applyProtection="1">
      <alignment horizontal="left" vertical="center"/>
      <protection locked="0"/>
    </xf>
    <xf numFmtId="0" fontId="55" fillId="0" borderId="43" xfId="1" applyFont="1" applyBorder="1" applyAlignment="1" applyProtection="1">
      <alignment horizontal="center" vertical="center"/>
    </xf>
    <xf numFmtId="0" fontId="55" fillId="0" borderId="42" xfId="1" applyFont="1" applyBorder="1" applyAlignment="1" applyProtection="1">
      <alignment horizontal="center" vertical="center"/>
    </xf>
    <xf numFmtId="49" fontId="9" fillId="0" borderId="40" xfId="1" applyNumberFormat="1" applyFont="1" applyBorder="1" applyAlignment="1" applyProtection="1">
      <alignment horizontal="right" vertical="center"/>
    </xf>
    <xf numFmtId="49" fontId="9" fillId="0" borderId="0" xfId="1" applyNumberFormat="1" applyFont="1" applyBorder="1" applyAlignment="1" applyProtection="1">
      <alignment horizontal="right" vertical="center"/>
    </xf>
    <xf numFmtId="49" fontId="9" fillId="0" borderId="19" xfId="1" applyNumberFormat="1" applyFont="1" applyBorder="1" applyAlignment="1" applyProtection="1">
      <alignment horizontal="right" vertical="center"/>
    </xf>
    <xf numFmtId="197" fontId="5" fillId="0" borderId="77" xfId="1" applyNumberFormat="1" applyFont="1" applyBorder="1" applyAlignment="1" applyProtection="1">
      <alignment horizontal="right" vertical="center"/>
    </xf>
    <xf numFmtId="197" fontId="5" fillId="0" borderId="57" xfId="1" applyNumberFormat="1" applyFont="1" applyBorder="1" applyAlignment="1" applyProtection="1">
      <alignment horizontal="right" vertical="center"/>
    </xf>
    <xf numFmtId="197" fontId="5" fillId="0" borderId="58" xfId="1" applyNumberFormat="1" applyFont="1" applyBorder="1" applyAlignment="1" applyProtection="1">
      <alignment horizontal="right" vertical="center"/>
    </xf>
    <xf numFmtId="49" fontId="5" fillId="31" borderId="23" xfId="1" applyNumberFormat="1" applyFont="1" applyFill="1" applyBorder="1" applyAlignment="1" applyProtection="1">
      <alignment horizontal="left" vertical="center"/>
      <protection locked="0"/>
    </xf>
    <xf numFmtId="49" fontId="5" fillId="31" borderId="42" xfId="1" applyNumberFormat="1" applyFont="1" applyFill="1" applyBorder="1" applyAlignment="1" applyProtection="1">
      <alignment horizontal="left" vertical="center"/>
      <protection locked="0"/>
    </xf>
    <xf numFmtId="185" fontId="64" fillId="0" borderId="36" xfId="1" applyNumberFormat="1" applyFont="1" applyBorder="1" applyAlignment="1" applyProtection="1">
      <alignment horizontal="center" vertical="top" wrapText="1"/>
    </xf>
    <xf numFmtId="185" fontId="64" fillId="0" borderId="25" xfId="1" applyNumberFormat="1" applyFont="1" applyBorder="1" applyAlignment="1" applyProtection="1">
      <alignment horizontal="center" vertical="top" wrapText="1"/>
    </xf>
    <xf numFmtId="49" fontId="9" fillId="0" borderId="39" xfId="1" applyNumberFormat="1" applyFont="1" applyBorder="1" applyAlignment="1" applyProtection="1">
      <alignment horizontal="right" vertical="center"/>
    </xf>
    <xf numFmtId="49" fontId="9" fillId="0" borderId="2" xfId="1" applyNumberFormat="1" applyFont="1" applyBorder="1" applyAlignment="1" applyProtection="1">
      <alignment horizontal="right" vertical="center"/>
    </xf>
    <xf numFmtId="49" fontId="9" fillId="0" borderId="44" xfId="1" applyNumberFormat="1" applyFont="1" applyBorder="1" applyAlignment="1" applyProtection="1">
      <alignment horizontal="right" vertical="center"/>
    </xf>
    <xf numFmtId="0" fontId="15" fillId="0" borderId="43" xfId="1" applyFont="1" applyBorder="1" applyAlignment="1" applyProtection="1">
      <alignment horizontal="right" vertical="center"/>
    </xf>
    <xf numFmtId="0" fontId="15" fillId="0" borderId="42" xfId="1" applyFont="1" applyBorder="1" applyAlignment="1" applyProtection="1">
      <alignment horizontal="right" vertical="center"/>
    </xf>
    <xf numFmtId="0" fontId="15" fillId="0" borderId="39" xfId="1" applyFont="1" applyBorder="1" applyAlignment="1" applyProtection="1">
      <alignment horizontal="right" vertical="center"/>
    </xf>
    <xf numFmtId="0" fontId="15" fillId="0" borderId="44" xfId="1" applyFont="1" applyBorder="1" applyAlignment="1" applyProtection="1">
      <alignment horizontal="right" vertical="center"/>
    </xf>
    <xf numFmtId="196" fontId="70" fillId="0" borderId="23" xfId="1" applyNumberFormat="1" applyFont="1" applyBorder="1" applyAlignment="1" applyProtection="1">
      <alignment horizontal="left"/>
    </xf>
    <xf numFmtId="0" fontId="5" fillId="0" borderId="77" xfId="1" applyFont="1" applyBorder="1" applyAlignment="1" applyProtection="1">
      <alignment vertical="center"/>
    </xf>
    <xf numFmtId="0" fontId="5" fillId="0" borderId="58" xfId="1" applyFont="1" applyBorder="1" applyAlignment="1" applyProtection="1">
      <alignment vertical="center"/>
    </xf>
    <xf numFmtId="0" fontId="5" fillId="0" borderId="57" xfId="1" applyFont="1" applyBorder="1" applyAlignment="1" applyProtection="1">
      <alignment horizontal="right" vertical="center"/>
    </xf>
    <xf numFmtId="0" fontId="5" fillId="0" borderId="58" xfId="1" applyFont="1" applyBorder="1" applyAlignment="1" applyProtection="1">
      <alignment horizontal="right" vertical="center"/>
    </xf>
    <xf numFmtId="0" fontId="55" fillId="4" borderId="43" xfId="1" applyFont="1" applyFill="1" applyBorder="1" applyAlignment="1" applyProtection="1">
      <alignment horizontal="center" vertical="center"/>
    </xf>
    <xf numFmtId="0" fontId="55" fillId="4" borderId="42" xfId="1" applyFont="1" applyFill="1" applyBorder="1" applyAlignment="1" applyProtection="1">
      <alignment horizontal="center" vertical="center"/>
    </xf>
    <xf numFmtId="0" fontId="55" fillId="4" borderId="23" xfId="1" applyFont="1" applyFill="1" applyBorder="1" applyAlignment="1" applyProtection="1">
      <alignment horizontal="center" vertical="center"/>
    </xf>
    <xf numFmtId="0" fontId="4" fillId="0" borderId="39" xfId="1" applyBorder="1" applyAlignment="1">
      <alignment horizontal="center"/>
    </xf>
    <xf numFmtId="0" fontId="4" fillId="0" borderId="2" xfId="1" applyBorder="1" applyAlignment="1">
      <alignment horizontal="center"/>
    </xf>
    <xf numFmtId="0" fontId="4" fillId="0" borderId="44" xfId="1" applyBorder="1" applyAlignment="1">
      <alignment horizontal="center"/>
    </xf>
    <xf numFmtId="49" fontId="9" fillId="0" borderId="43" xfId="1" applyNumberFormat="1" applyFont="1" applyBorder="1" applyAlignment="1" applyProtection="1">
      <alignment horizontal="right" vertical="center"/>
    </xf>
    <xf numFmtId="49" fontId="9" fillId="0" borderId="23" xfId="1" applyNumberFormat="1" applyFont="1" applyBorder="1" applyAlignment="1" applyProtection="1">
      <alignment horizontal="right" vertical="center"/>
    </xf>
    <xf numFmtId="49" fontId="9" fillId="0" borderId="42" xfId="1" applyNumberFormat="1" applyFont="1" applyBorder="1" applyAlignment="1" applyProtection="1">
      <alignment horizontal="right" vertical="center"/>
    </xf>
    <xf numFmtId="0" fontId="9" fillId="0" borderId="40" xfId="1" applyFont="1" applyBorder="1" applyAlignment="1" applyProtection="1">
      <alignment horizontal="right" vertical="center"/>
    </xf>
    <xf numFmtId="0" fontId="9" fillId="0" borderId="0" xfId="1" applyFont="1" applyBorder="1" applyAlignment="1" applyProtection="1">
      <alignment horizontal="right" vertical="center"/>
    </xf>
    <xf numFmtId="0" fontId="9" fillId="0" borderId="19" xfId="1" applyFont="1" applyBorder="1" applyAlignment="1" applyProtection="1">
      <alignment horizontal="right" vertical="center"/>
    </xf>
    <xf numFmtId="185" fontId="64" fillId="0" borderId="40" xfId="1" applyNumberFormat="1" applyFont="1" applyBorder="1" applyAlignment="1" applyProtection="1">
      <alignment horizontal="center" vertical="top"/>
    </xf>
    <xf numFmtId="185" fontId="64" fillId="0" borderId="19" xfId="1" applyNumberFormat="1" applyFont="1" applyBorder="1" applyAlignment="1" applyProtection="1">
      <alignment horizontal="center" vertical="top"/>
    </xf>
    <xf numFmtId="2" fontId="5" fillId="30" borderId="36" xfId="1" applyNumberFormat="1" applyFont="1" applyFill="1" applyBorder="1" applyAlignment="1">
      <alignment horizontal="center" vertical="center" wrapText="1"/>
    </xf>
    <xf numFmtId="0" fontId="4" fillId="0" borderId="34" xfId="1" applyBorder="1" applyAlignment="1">
      <alignment horizontal="center" vertical="center" wrapText="1"/>
    </xf>
    <xf numFmtId="2" fontId="5" fillId="30" borderId="40" xfId="1" applyNumberFormat="1" applyFont="1" applyFill="1" applyBorder="1" applyAlignment="1">
      <alignment horizontal="center"/>
    </xf>
    <xf numFmtId="2" fontId="5" fillId="30" borderId="0" xfId="1" applyNumberFormat="1" applyFont="1" applyFill="1" applyBorder="1" applyAlignment="1">
      <alignment horizontal="center"/>
    </xf>
    <xf numFmtId="0" fontId="20" fillId="47" borderId="30" xfId="67" applyFont="1" applyFill="1" applyBorder="1" applyAlignment="1">
      <alignment horizontal="left" vertical="center" textRotation="90"/>
    </xf>
    <xf numFmtId="0" fontId="4" fillId="47" borderId="30" xfId="1" applyFill="1" applyBorder="1" applyAlignment="1">
      <alignment horizontal="left" vertical="center" textRotation="90"/>
    </xf>
    <xf numFmtId="0" fontId="20" fillId="48" borderId="30" xfId="67" applyFont="1" applyFill="1" applyBorder="1" applyAlignment="1">
      <alignment horizontal="left" vertical="center" textRotation="90"/>
    </xf>
    <xf numFmtId="0" fontId="4" fillId="48" borderId="30" xfId="1" applyFill="1" applyBorder="1" applyAlignment="1">
      <alignment horizontal="left" vertical="center" textRotation="90"/>
    </xf>
    <xf numFmtId="0" fontId="4" fillId="0" borderId="23" xfId="1" applyBorder="1" applyAlignment="1">
      <alignment horizontal="left" vertical="center"/>
    </xf>
    <xf numFmtId="0" fontId="20" fillId="48" borderId="30" xfId="67" applyFont="1" applyFill="1" applyBorder="1" applyAlignment="1">
      <alignment horizontal="left" vertical="center" textRotation="90" wrapText="1"/>
    </xf>
    <xf numFmtId="3" fontId="110" fillId="30" borderId="65" xfId="1" applyNumberFormat="1" applyFont="1" applyFill="1" applyBorder="1" applyAlignment="1">
      <alignment horizontal="center"/>
    </xf>
    <xf numFmtId="3" fontId="110" fillId="30" borderId="72" xfId="1" applyNumberFormat="1" applyFont="1" applyFill="1" applyBorder="1" applyAlignment="1">
      <alignment horizontal="center"/>
    </xf>
    <xf numFmtId="3" fontId="111" fillId="30" borderId="8" xfId="1" applyNumberFormat="1" applyFont="1" applyFill="1" applyBorder="1" applyAlignment="1">
      <alignment horizontal="center"/>
    </xf>
    <xf numFmtId="3" fontId="111" fillId="30" borderId="120" xfId="1" applyNumberFormat="1" applyFont="1" applyFill="1" applyBorder="1" applyAlignment="1">
      <alignment horizontal="center"/>
    </xf>
    <xf numFmtId="190" fontId="110" fillId="30" borderId="65" xfId="1" applyNumberFormat="1" applyFont="1" applyFill="1" applyBorder="1" applyAlignment="1"/>
    <xf numFmtId="190" fontId="110" fillId="30" borderId="72" xfId="1" applyNumberFormat="1" applyFont="1" applyFill="1" applyBorder="1" applyAlignment="1"/>
    <xf numFmtId="190" fontId="111" fillId="30" borderId="8" xfId="1" applyNumberFormat="1" applyFont="1" applyFill="1" applyBorder="1" applyAlignment="1"/>
    <xf numFmtId="190" fontId="111" fillId="30" borderId="120" xfId="1" applyNumberFormat="1" applyFont="1" applyFill="1" applyBorder="1" applyAlignment="1"/>
    <xf numFmtId="172" fontId="111" fillId="30" borderId="8" xfId="1" applyNumberFormat="1" applyFont="1" applyFill="1" applyBorder="1" applyAlignment="1"/>
    <xf numFmtId="172" fontId="111" fillId="30" borderId="120" xfId="1" applyNumberFormat="1" applyFont="1" applyFill="1" applyBorder="1" applyAlignment="1"/>
    <xf numFmtId="172" fontId="110" fillId="30" borderId="65" xfId="1" applyNumberFormat="1" applyFont="1" applyFill="1" applyBorder="1" applyAlignment="1"/>
    <xf numFmtId="172" fontId="110" fillId="30" borderId="72" xfId="1" applyNumberFormat="1" applyFont="1" applyFill="1" applyBorder="1" applyAlignment="1"/>
    <xf numFmtId="3" fontId="111" fillId="30" borderId="58" xfId="1" applyNumberFormat="1" applyFont="1" applyFill="1" applyBorder="1" applyAlignment="1">
      <alignment horizontal="center"/>
    </xf>
    <xf numFmtId="3" fontId="110" fillId="0" borderId="113" xfId="1" applyNumberFormat="1" applyFont="1" applyBorder="1" applyAlignment="1">
      <alignment horizontal="center"/>
    </xf>
    <xf numFmtId="3" fontId="110" fillId="0" borderId="112" xfId="1" applyNumberFormat="1" applyFont="1" applyBorder="1" applyAlignment="1">
      <alignment horizontal="center"/>
    </xf>
    <xf numFmtId="190" fontId="110" fillId="30" borderId="116" xfId="1" applyNumberFormat="1" applyFont="1" applyFill="1" applyBorder="1" applyAlignment="1"/>
    <xf numFmtId="190" fontId="110" fillId="30" borderId="117" xfId="1" applyNumberFormat="1" applyFont="1" applyFill="1" applyBorder="1" applyAlignment="1"/>
    <xf numFmtId="3" fontId="110" fillId="30" borderId="113" xfId="1" applyNumberFormat="1" applyFont="1" applyFill="1" applyBorder="1" applyAlignment="1">
      <alignment horizontal="center"/>
    </xf>
    <xf numFmtId="3" fontId="110" fillId="30" borderId="114" xfId="1" applyNumberFormat="1" applyFont="1" applyFill="1" applyBorder="1" applyAlignment="1">
      <alignment horizontal="center"/>
    </xf>
    <xf numFmtId="3" fontId="110" fillId="0" borderId="121" xfId="1" applyNumberFormat="1" applyFont="1" applyBorder="1" applyAlignment="1">
      <alignment horizontal="center"/>
    </xf>
    <xf numFmtId="3" fontId="110" fillId="0" borderId="105" xfId="1" applyNumberFormat="1" applyFont="1" applyBorder="1" applyAlignment="1">
      <alignment horizontal="center"/>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1" fillId="0" borderId="8" xfId="1" applyNumberFormat="1" applyFont="1" applyBorder="1" applyAlignment="1">
      <alignment horizontal="center"/>
    </xf>
    <xf numFmtId="3" fontId="111" fillId="0" borderId="58" xfId="1" applyNumberFormat="1" applyFont="1" applyBorder="1" applyAlignment="1">
      <alignment horizontal="center"/>
    </xf>
    <xf numFmtId="3" fontId="110" fillId="0" borderId="68" xfId="1" applyNumberFormat="1" applyFont="1" applyBorder="1" applyAlignment="1">
      <alignment horizontal="center"/>
    </xf>
    <xf numFmtId="3" fontId="110" fillId="0" borderId="42" xfId="1" applyNumberFormat="1" applyFont="1" applyBorder="1" applyAlignment="1">
      <alignment horizontal="center"/>
    </xf>
    <xf numFmtId="2" fontId="14" fillId="0" borderId="40" xfId="1" applyNumberFormat="1" applyFont="1" applyBorder="1" applyAlignment="1">
      <alignment horizontal="center" vertical="center"/>
    </xf>
    <xf numFmtId="2" fontId="14" fillId="0" borderId="0" xfId="1" applyNumberFormat="1" applyFont="1" applyBorder="1" applyAlignment="1">
      <alignment horizontal="center" vertical="center"/>
    </xf>
    <xf numFmtId="177" fontId="14" fillId="0" borderId="40" xfId="1" applyNumberFormat="1" applyFont="1" applyBorder="1" applyAlignment="1">
      <alignment horizontal="center" vertical="center"/>
    </xf>
    <xf numFmtId="177" fontId="14" fillId="0" borderId="0" xfId="1" applyNumberFormat="1" applyFont="1" applyBorder="1" applyAlignment="1">
      <alignment horizontal="center" vertical="center"/>
    </xf>
    <xf numFmtId="0" fontId="110" fillId="33" borderId="2" xfId="1" applyFont="1" applyFill="1" applyBorder="1" applyAlignment="1">
      <alignment horizontal="center"/>
    </xf>
    <xf numFmtId="0" fontId="110" fillId="33" borderId="44" xfId="1" applyFont="1" applyFill="1" applyBorder="1" applyAlignment="1">
      <alignment horizontal="center"/>
    </xf>
    <xf numFmtId="0" fontId="111" fillId="0" borderId="8" xfId="1" applyFont="1" applyBorder="1" applyAlignment="1">
      <alignment horizontal="center"/>
    </xf>
    <xf numFmtId="0" fontId="111" fillId="0" borderId="58" xfId="1" applyFont="1" applyBorder="1" applyAlignment="1">
      <alignment horizontal="center"/>
    </xf>
    <xf numFmtId="172" fontId="111" fillId="0" borderId="65" xfId="1" applyNumberFormat="1" applyFont="1" applyBorder="1" applyAlignment="1"/>
    <xf numFmtId="172" fontId="111" fillId="0" borderId="19" xfId="1" applyNumberFormat="1" applyFont="1" applyBorder="1" applyAlignment="1"/>
    <xf numFmtId="190" fontId="110" fillId="0" borderId="122" xfId="1" applyNumberFormat="1" applyFont="1" applyBorder="1" applyAlignment="1"/>
    <xf numFmtId="190" fontId="110" fillId="0" borderId="90" xfId="1" applyNumberFormat="1" applyFont="1" applyBorder="1" applyAlignment="1"/>
    <xf numFmtId="204" fontId="13" fillId="0" borderId="40" xfId="1" applyNumberFormat="1" applyFont="1" applyBorder="1" applyAlignment="1">
      <alignment horizontal="center" vertical="center"/>
    </xf>
    <xf numFmtId="204" fontId="13" fillId="0" borderId="19" xfId="1" applyNumberFormat="1" applyFont="1" applyBorder="1" applyAlignment="1">
      <alignment horizontal="center" vertical="center"/>
    </xf>
    <xf numFmtId="188" fontId="6" fillId="0" borderId="40" xfId="1" applyNumberFormat="1" applyFont="1" applyBorder="1" applyAlignment="1">
      <alignment horizontal="right" vertical="center"/>
    </xf>
    <xf numFmtId="188" fontId="6" fillId="0" borderId="19" xfId="1" applyNumberFormat="1" applyFont="1" applyBorder="1" applyAlignment="1">
      <alignment horizontal="right" vertical="center"/>
    </xf>
    <xf numFmtId="188" fontId="13" fillId="0" borderId="39" xfId="1" applyNumberFormat="1" applyFont="1" applyBorder="1" applyAlignment="1">
      <alignment horizontal="right" vertical="center"/>
    </xf>
    <xf numFmtId="188" fontId="13" fillId="0" borderId="44" xfId="1" applyNumberFormat="1" applyFont="1" applyBorder="1" applyAlignment="1">
      <alignment horizontal="right" vertical="center"/>
    </xf>
    <xf numFmtId="188" fontId="13" fillId="0" borderId="43" xfId="1" applyNumberFormat="1" applyFont="1" applyBorder="1" applyAlignment="1">
      <alignment horizontal="right" vertical="center"/>
    </xf>
    <xf numFmtId="188" fontId="13" fillId="0" borderId="42" xfId="1" applyNumberFormat="1" applyFont="1" applyBorder="1" applyAlignment="1">
      <alignment horizontal="right" vertical="center"/>
    </xf>
    <xf numFmtId="188" fontId="13" fillId="0" borderId="43" xfId="1" applyNumberFormat="1" applyFont="1" applyFill="1" applyBorder="1" applyAlignment="1">
      <alignment horizontal="right" vertical="center"/>
    </xf>
    <xf numFmtId="188" fontId="13" fillId="0" borderId="42" xfId="1" applyNumberFormat="1" applyFont="1" applyFill="1" applyBorder="1" applyAlignment="1">
      <alignment horizontal="right" vertical="center"/>
    </xf>
    <xf numFmtId="203" fontId="6" fillId="4" borderId="39" xfId="1" applyNumberFormat="1" applyFont="1" applyFill="1" applyBorder="1" applyAlignment="1">
      <alignment horizontal="right" vertical="center"/>
    </xf>
    <xf numFmtId="203" fontId="6" fillId="4" borderId="44" xfId="1" applyNumberFormat="1" applyFont="1" applyFill="1" applyBorder="1" applyAlignment="1">
      <alignment horizontal="right" vertical="center"/>
    </xf>
    <xf numFmtId="203" fontId="6" fillId="4" borderId="39" xfId="1" applyNumberFormat="1" applyFont="1" applyFill="1" applyBorder="1" applyAlignment="1">
      <alignment horizontal="center" vertical="center"/>
    </xf>
    <xf numFmtId="0" fontId="4" fillId="0" borderId="44" xfId="1" applyBorder="1" applyAlignment="1">
      <alignment horizontal="center" vertical="center"/>
    </xf>
    <xf numFmtId="171" fontId="14" fillId="0" borderId="40" xfId="1" applyNumberFormat="1" applyFont="1" applyBorder="1" applyAlignment="1">
      <alignment horizontal="center" vertical="center"/>
    </xf>
    <xf numFmtId="171" fontId="14" fillId="0" borderId="0" xfId="1" applyNumberFormat="1" applyFont="1" applyBorder="1" applyAlignment="1">
      <alignment horizontal="center" vertical="center"/>
    </xf>
    <xf numFmtId="204" fontId="6" fillId="0" borderId="40" xfId="1" applyNumberFormat="1" applyFont="1" applyBorder="1" applyAlignment="1">
      <alignment horizontal="center" vertical="center"/>
    </xf>
    <xf numFmtId="204" fontId="6" fillId="0" borderId="19" xfId="1" applyNumberFormat="1" applyFont="1" applyBorder="1" applyAlignment="1">
      <alignment horizontal="center" vertical="center"/>
    </xf>
    <xf numFmtId="204" fontId="6" fillId="0" borderId="39" xfId="1" applyNumberFormat="1" applyFont="1" applyBorder="1" applyAlignment="1">
      <alignment horizontal="center" vertical="center"/>
    </xf>
    <xf numFmtId="204" fontId="6" fillId="0" borderId="44" xfId="1" applyNumberFormat="1" applyFont="1" applyBorder="1" applyAlignment="1">
      <alignment horizontal="center" vertical="center"/>
    </xf>
    <xf numFmtId="171" fontId="6" fillId="0" borderId="43" xfId="1" applyNumberFormat="1" applyFont="1" applyBorder="1" applyAlignment="1">
      <alignment horizontal="center" vertical="center"/>
    </xf>
    <xf numFmtId="171" fontId="6" fillId="0" borderId="42" xfId="1" applyNumberFormat="1" applyFont="1" applyBorder="1" applyAlignment="1">
      <alignment horizontal="center" vertical="center"/>
    </xf>
    <xf numFmtId="171" fontId="13" fillId="0" borderId="40" xfId="1" applyNumberFormat="1" applyFont="1" applyBorder="1" applyAlignment="1">
      <alignment horizontal="center" vertical="center"/>
    </xf>
    <xf numFmtId="171" fontId="13" fillId="0" borderId="19" xfId="1" applyNumberFormat="1" applyFont="1" applyBorder="1" applyAlignment="1">
      <alignment horizontal="center" vertical="center"/>
    </xf>
    <xf numFmtId="200" fontId="6" fillId="0" borderId="39" xfId="1" applyNumberFormat="1" applyFont="1" applyBorder="1" applyAlignment="1">
      <alignment horizontal="right" vertical="center"/>
    </xf>
    <xf numFmtId="200" fontId="6" fillId="0" borderId="44" xfId="1" applyNumberFormat="1" applyFont="1" applyBorder="1" applyAlignment="1">
      <alignment horizontal="right" vertical="center"/>
    </xf>
    <xf numFmtId="204" fontId="13" fillId="30" borderId="40" xfId="1" applyNumberFormat="1" applyFont="1" applyFill="1" applyBorder="1" applyAlignment="1">
      <alignment horizontal="center" vertical="center"/>
    </xf>
    <xf numFmtId="204" fontId="13" fillId="30" borderId="19" xfId="1" applyNumberFormat="1" applyFont="1" applyFill="1" applyBorder="1" applyAlignment="1">
      <alignment horizontal="center" vertical="center"/>
    </xf>
    <xf numFmtId="0" fontId="13" fillId="37" borderId="57" xfId="1" applyFont="1" applyFill="1" applyBorder="1" applyAlignment="1" applyProtection="1">
      <alignment horizontal="center" vertical="center"/>
      <protection locked="0"/>
    </xf>
    <xf numFmtId="0" fontId="6" fillId="37" borderId="57" xfId="1" applyFont="1" applyFill="1" applyBorder="1" applyAlignment="1">
      <alignment horizontal="center" vertical="center"/>
    </xf>
    <xf numFmtId="0" fontId="7" fillId="3" borderId="23" xfId="2" applyFill="1" applyBorder="1" applyAlignment="1" applyProtection="1">
      <alignment horizontal="center" vertical="center"/>
    </xf>
    <xf numFmtId="0" fontId="9" fillId="0" borderId="23" xfId="1" applyFont="1" applyBorder="1" applyAlignment="1">
      <alignment horizontal="center" vertical="center"/>
    </xf>
    <xf numFmtId="172" fontId="14" fillId="37" borderId="77" xfId="1" applyNumberFormat="1" applyFont="1" applyFill="1" applyBorder="1" applyAlignment="1" applyProtection="1">
      <alignment horizontal="center" vertical="center"/>
      <protection locked="0"/>
    </xf>
    <xf numFmtId="172" fontId="14" fillId="37" borderId="58" xfId="1" applyNumberFormat="1" applyFont="1" applyFill="1" applyBorder="1" applyAlignment="1" applyProtection="1">
      <alignment horizontal="center" vertical="center"/>
      <protection locked="0"/>
    </xf>
    <xf numFmtId="188" fontId="6" fillId="0" borderId="43"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6" fillId="0" borderId="40" xfId="61" applyNumberFormat="1" applyFont="1" applyBorder="1" applyAlignment="1">
      <alignment horizontal="right" vertical="center"/>
    </xf>
    <xf numFmtId="188" fontId="6" fillId="0" borderId="19" xfId="61" applyNumberFormat="1" applyFont="1" applyBorder="1" applyAlignment="1">
      <alignment horizontal="right" vertical="center"/>
    </xf>
    <xf numFmtId="188" fontId="13" fillId="0" borderId="77" xfId="1" applyNumberFormat="1" applyFont="1" applyBorder="1" applyAlignment="1">
      <alignment horizontal="right" vertical="center"/>
    </xf>
    <xf numFmtId="188" fontId="13" fillId="0" borderId="58" xfId="1" applyNumberFormat="1" applyFont="1" applyBorder="1" applyAlignment="1">
      <alignment horizontal="right" vertical="center"/>
    </xf>
    <xf numFmtId="4" fontId="13" fillId="0" borderId="138" xfId="1" applyNumberFormat="1" applyFont="1" applyBorder="1" applyAlignment="1">
      <alignment horizontal="center" vertical="center"/>
    </xf>
    <xf numFmtId="4" fontId="13" fillId="0" borderId="137" xfId="1" applyNumberFormat="1" applyFont="1" applyBorder="1" applyAlignment="1">
      <alignment horizontal="center" vertical="center"/>
    </xf>
    <xf numFmtId="204" fontId="13" fillId="0" borderId="135" xfId="1" applyNumberFormat="1" applyFont="1" applyBorder="1" applyAlignment="1">
      <alignment horizontal="center"/>
    </xf>
    <xf numFmtId="204" fontId="13" fillId="0" borderId="134" xfId="1" applyNumberFormat="1" applyFont="1" applyBorder="1" applyAlignment="1">
      <alignment horizontal="center"/>
    </xf>
    <xf numFmtId="171" fontId="13" fillId="30" borderId="40" xfId="1" applyNumberFormat="1" applyFont="1" applyFill="1" applyBorder="1" applyAlignment="1">
      <alignment horizontal="center" vertical="center"/>
    </xf>
    <xf numFmtId="171" fontId="13" fillId="30" borderId="19" xfId="1" applyNumberFormat="1" applyFont="1" applyFill="1" applyBorder="1" applyAlignment="1">
      <alignment horizontal="center" vertical="center"/>
    </xf>
    <xf numFmtId="200" fontId="6" fillId="30" borderId="39" xfId="1" applyNumberFormat="1" applyFont="1" applyFill="1" applyBorder="1" applyAlignment="1">
      <alignment horizontal="right" vertical="center"/>
    </xf>
    <xf numFmtId="200" fontId="6" fillId="30" borderId="44" xfId="1" applyNumberFormat="1" applyFont="1" applyFill="1" applyBorder="1" applyAlignment="1">
      <alignment horizontal="right" vertical="center"/>
    </xf>
    <xf numFmtId="203" fontId="6" fillId="30" borderId="39" xfId="1" applyNumberFormat="1" applyFont="1" applyFill="1" applyBorder="1" applyAlignment="1">
      <alignment horizontal="center" vertical="center"/>
    </xf>
    <xf numFmtId="171" fontId="14" fillId="30" borderId="40" xfId="1" applyNumberFormat="1" applyFont="1" applyFill="1" applyBorder="1" applyAlignment="1">
      <alignment horizontal="center" vertical="center"/>
    </xf>
    <xf numFmtId="171" fontId="14" fillId="30" borderId="19" xfId="1" applyNumberFormat="1" applyFont="1" applyFill="1" applyBorder="1" applyAlignment="1">
      <alignment horizontal="center" vertical="center"/>
    </xf>
    <xf numFmtId="177" fontId="14" fillId="30" borderId="40" xfId="1" applyNumberFormat="1" applyFont="1" applyFill="1" applyBorder="1" applyAlignment="1">
      <alignment horizontal="center" vertical="center"/>
    </xf>
    <xf numFmtId="177" fontId="14" fillId="30" borderId="19" xfId="1" applyNumberFormat="1" applyFont="1" applyFill="1" applyBorder="1" applyAlignment="1">
      <alignment horizontal="center" vertical="center"/>
    </xf>
    <xf numFmtId="0" fontId="4" fillId="33" borderId="2" xfId="1" applyFill="1" applyBorder="1" applyAlignment="1">
      <alignment horizontal="center"/>
    </xf>
    <xf numFmtId="0" fontId="111" fillId="30" borderId="8" xfId="1" applyFont="1" applyFill="1" applyBorder="1" applyAlignment="1">
      <alignment horizontal="center"/>
    </xf>
    <xf numFmtId="0" fontId="111" fillId="30" borderId="120" xfId="1" applyFont="1" applyFill="1" applyBorder="1" applyAlignment="1">
      <alignment horizontal="center"/>
    </xf>
    <xf numFmtId="172" fontId="111" fillId="30" borderId="65" xfId="1" applyNumberFormat="1" applyFont="1" applyFill="1" applyBorder="1" applyAlignment="1"/>
    <xf numFmtId="172" fontId="111" fillId="30" borderId="72" xfId="1" applyNumberFormat="1" applyFont="1" applyFill="1" applyBorder="1" applyAlignment="1"/>
    <xf numFmtId="190" fontId="110" fillId="30" borderId="122" xfId="1" applyNumberFormat="1" applyFont="1" applyFill="1" applyBorder="1" applyAlignment="1"/>
    <xf numFmtId="190" fontId="110" fillId="30" borderId="123" xfId="1" applyNumberFormat="1" applyFont="1" applyFill="1" applyBorder="1" applyAlignment="1"/>
    <xf numFmtId="201" fontId="16" fillId="30" borderId="40" xfId="1" applyNumberFormat="1" applyFont="1" applyFill="1" applyBorder="1" applyAlignment="1">
      <alignment horizontal="center" vertical="center"/>
    </xf>
    <xf numFmtId="201" fontId="16" fillId="30" borderId="19" xfId="1" applyNumberFormat="1" applyFont="1" applyFill="1" applyBorder="1" applyAlignment="1">
      <alignment horizontal="center" vertical="center"/>
    </xf>
    <xf numFmtId="200" fontId="6" fillId="30" borderId="125" xfId="1" applyNumberFormat="1" applyFont="1" applyFill="1" applyBorder="1" applyAlignment="1">
      <alignment horizontal="right" vertical="center"/>
    </xf>
    <xf numFmtId="200" fontId="6" fillId="30" borderId="126" xfId="1" applyNumberFormat="1" applyFont="1" applyFill="1" applyBorder="1" applyAlignment="1">
      <alignment horizontal="right" vertical="center"/>
    </xf>
    <xf numFmtId="2" fontId="14" fillId="30" borderId="40" xfId="1" applyNumberFormat="1" applyFont="1" applyFill="1" applyBorder="1" applyAlignment="1">
      <alignment horizontal="center" vertical="center"/>
    </xf>
    <xf numFmtId="2" fontId="14" fillId="30" borderId="19" xfId="1" applyNumberFormat="1" applyFont="1" applyFill="1" applyBorder="1" applyAlignment="1">
      <alignment horizontal="center" vertical="center"/>
    </xf>
    <xf numFmtId="188" fontId="13" fillId="30" borderId="39" xfId="1" applyNumberFormat="1" applyFont="1" applyFill="1" applyBorder="1" applyAlignment="1">
      <alignment horizontal="right" vertical="center"/>
    </xf>
    <xf numFmtId="188" fontId="13" fillId="30" borderId="44" xfId="1" applyNumberFormat="1" applyFont="1" applyFill="1" applyBorder="1" applyAlignment="1">
      <alignment horizontal="right" vertical="center"/>
    </xf>
    <xf numFmtId="188" fontId="13" fillId="30" borderId="43" xfId="1" applyNumberFormat="1" applyFont="1" applyFill="1" applyBorder="1" applyAlignment="1">
      <alignment horizontal="right" vertical="center"/>
    </xf>
    <xf numFmtId="188" fontId="13" fillId="30" borderId="42" xfId="1" applyNumberFormat="1" applyFont="1" applyFill="1" applyBorder="1" applyAlignment="1">
      <alignment horizontal="right" vertical="center"/>
    </xf>
    <xf numFmtId="203" fontId="6" fillId="30" borderId="39" xfId="1" applyNumberFormat="1" applyFont="1" applyFill="1" applyBorder="1" applyAlignment="1">
      <alignment horizontal="right" vertical="center"/>
    </xf>
    <xf numFmtId="203" fontId="6" fillId="30" borderId="44" xfId="1" applyNumberFormat="1" applyFont="1" applyFill="1" applyBorder="1" applyAlignment="1">
      <alignment horizontal="right" vertical="center"/>
    </xf>
    <xf numFmtId="188" fontId="13" fillId="41" borderId="43" xfId="1" applyNumberFormat="1" applyFont="1" applyFill="1" applyBorder="1" applyAlignment="1">
      <alignment horizontal="right" vertical="center"/>
    </xf>
    <xf numFmtId="188" fontId="13" fillId="41" borderId="42" xfId="1" applyNumberFormat="1" applyFont="1" applyFill="1" applyBorder="1" applyAlignment="1">
      <alignment horizontal="right" vertical="center"/>
    </xf>
    <xf numFmtId="188" fontId="6" fillId="41" borderId="40" xfId="61" applyNumberFormat="1" applyFont="1" applyFill="1" applyBorder="1" applyAlignment="1">
      <alignment horizontal="right" vertical="center"/>
    </xf>
    <xf numFmtId="188" fontId="6" fillId="41" borderId="19" xfId="61" applyNumberFormat="1" applyFont="1" applyFill="1" applyBorder="1" applyAlignment="1">
      <alignment horizontal="right" vertical="center"/>
    </xf>
    <xf numFmtId="204" fontId="6" fillId="30" borderId="40" xfId="1" applyNumberFormat="1" applyFont="1" applyFill="1" applyBorder="1" applyAlignment="1">
      <alignment horizontal="center" vertical="center"/>
    </xf>
    <xf numFmtId="204" fontId="6" fillId="30" borderId="19" xfId="1" applyNumberFormat="1" applyFont="1" applyFill="1" applyBorder="1" applyAlignment="1">
      <alignment horizontal="center" vertical="center"/>
    </xf>
    <xf numFmtId="204" fontId="6" fillId="30" borderId="39" xfId="1" applyNumberFormat="1" applyFont="1" applyFill="1" applyBorder="1" applyAlignment="1">
      <alignment horizontal="center" vertical="center"/>
    </xf>
    <xf numFmtId="204" fontId="6" fillId="30" borderId="44" xfId="1" applyNumberFormat="1" applyFont="1" applyFill="1" applyBorder="1" applyAlignment="1">
      <alignment horizontal="center" vertical="center"/>
    </xf>
    <xf numFmtId="171" fontId="6" fillId="30" borderId="43" xfId="1" applyNumberFormat="1" applyFont="1" applyFill="1" applyBorder="1" applyAlignment="1">
      <alignment horizontal="center" vertical="center"/>
    </xf>
    <xf numFmtId="171" fontId="6" fillId="30" borderId="42" xfId="1" applyNumberFormat="1" applyFont="1" applyFill="1" applyBorder="1" applyAlignment="1">
      <alignment horizontal="center" vertical="center"/>
    </xf>
    <xf numFmtId="188" fontId="6" fillId="30" borderId="40" xfId="1" applyNumberFormat="1" applyFont="1" applyFill="1" applyBorder="1" applyAlignment="1">
      <alignment horizontal="right" vertical="center"/>
    </xf>
    <xf numFmtId="188" fontId="6" fillId="30" borderId="19" xfId="1" applyNumberFormat="1" applyFont="1" applyFill="1" applyBorder="1" applyAlignment="1">
      <alignment horizontal="right" vertical="center"/>
    </xf>
    <xf numFmtId="203" fontId="6" fillId="41" borderId="39" xfId="1" applyNumberFormat="1" applyFont="1" applyFill="1" applyBorder="1" applyAlignment="1">
      <alignment horizontal="right" vertical="center"/>
    </xf>
    <xf numFmtId="203" fontId="6" fillId="41" borderId="44" xfId="1" applyNumberFormat="1" applyFont="1" applyFill="1" applyBorder="1" applyAlignment="1">
      <alignment horizontal="right" vertical="center"/>
    </xf>
    <xf numFmtId="188" fontId="6" fillId="30" borderId="43" xfId="1" applyNumberFormat="1" applyFont="1" applyFill="1" applyBorder="1" applyAlignment="1">
      <alignment horizontal="right" vertical="center"/>
    </xf>
    <xf numFmtId="188" fontId="6" fillId="30" borderId="42" xfId="1" applyNumberFormat="1" applyFont="1" applyFill="1" applyBorder="1" applyAlignment="1">
      <alignment horizontal="right" vertical="center"/>
    </xf>
    <xf numFmtId="4" fontId="13" fillId="30" borderId="138" xfId="1" applyNumberFormat="1" applyFont="1" applyFill="1" applyBorder="1" applyAlignment="1">
      <alignment horizontal="center" vertical="center"/>
    </xf>
    <xf numFmtId="4" fontId="13" fillId="30" borderId="137" xfId="1" applyNumberFormat="1" applyFont="1" applyFill="1" applyBorder="1" applyAlignment="1">
      <alignment horizontal="center" vertical="center"/>
    </xf>
    <xf numFmtId="204" fontId="13" fillId="30" borderId="40" xfId="1" applyNumberFormat="1" applyFont="1" applyFill="1" applyBorder="1" applyAlignment="1">
      <alignment horizontal="center"/>
    </xf>
    <xf numFmtId="204" fontId="13" fillId="30" borderId="19" xfId="1" applyNumberFormat="1" applyFont="1" applyFill="1" applyBorder="1" applyAlignment="1">
      <alignment horizontal="center"/>
    </xf>
    <xf numFmtId="0" fontId="13" fillId="37" borderId="77" xfId="1" applyFont="1" applyFill="1" applyBorder="1" applyAlignment="1" applyProtection="1">
      <alignment horizontal="center" vertical="center"/>
      <protection locked="0"/>
    </xf>
    <xf numFmtId="0" fontId="6" fillId="37" borderId="58" xfId="1" applyFont="1" applyFill="1" applyBorder="1" applyAlignment="1">
      <alignment horizontal="center" vertical="center"/>
    </xf>
    <xf numFmtId="201" fontId="16" fillId="0" borderId="43" xfId="1" applyNumberFormat="1" applyFont="1" applyBorder="1" applyAlignment="1">
      <alignment horizontal="center" vertical="center"/>
    </xf>
    <xf numFmtId="201" fontId="16" fillId="0" borderId="128" xfId="1" applyNumberFormat="1" applyFont="1" applyBorder="1" applyAlignment="1">
      <alignment horizontal="center" vertical="center"/>
    </xf>
    <xf numFmtId="200" fontId="6" fillId="0" borderId="125" xfId="1" applyNumberFormat="1" applyFont="1" applyBorder="1" applyAlignment="1">
      <alignment horizontal="right" vertical="center"/>
    </xf>
    <xf numFmtId="200" fontId="6" fillId="0" borderId="124" xfId="1" applyNumberFormat="1" applyFont="1" applyBorder="1" applyAlignment="1">
      <alignment horizontal="right" vertical="center"/>
    </xf>
    <xf numFmtId="2" fontId="14" fillId="0" borderId="64" xfId="1" applyNumberFormat="1" applyFont="1" applyBorder="1" applyAlignment="1">
      <alignment horizontal="center" vertical="center"/>
    </xf>
    <xf numFmtId="177" fontId="14" fillId="0" borderId="64" xfId="1" applyNumberFormat="1" applyFont="1" applyBorder="1" applyAlignment="1">
      <alignment horizontal="center" vertical="center"/>
    </xf>
    <xf numFmtId="188" fontId="13" fillId="55" borderId="39" xfId="1" applyNumberFormat="1" applyFont="1" applyFill="1" applyBorder="1" applyAlignment="1">
      <alignment horizontal="right" vertical="center"/>
    </xf>
    <xf numFmtId="188" fontId="13" fillId="55" borderId="44" xfId="1" applyNumberFormat="1" applyFont="1" applyFill="1" applyBorder="1" applyAlignment="1">
      <alignment horizontal="right" vertical="center"/>
    </xf>
    <xf numFmtId="188" fontId="6" fillId="41" borderId="43" xfId="1" applyNumberFormat="1" applyFont="1" applyFill="1" applyBorder="1" applyAlignment="1">
      <alignment horizontal="right" vertical="center"/>
    </xf>
    <xf numFmtId="0" fontId="4" fillId="41" borderId="42" xfId="1" applyFill="1" applyBorder="1" applyAlignment="1">
      <alignment horizontal="right" vertical="center"/>
    </xf>
    <xf numFmtId="188" fontId="6" fillId="41" borderId="40" xfId="1" applyNumberFormat="1" applyFont="1" applyFill="1" applyBorder="1" applyAlignment="1">
      <alignment horizontal="right" vertical="center"/>
    </xf>
    <xf numFmtId="0" fontId="4" fillId="41" borderId="19" xfId="1" applyFill="1" applyBorder="1" applyAlignment="1">
      <alignment horizontal="right" vertical="center"/>
    </xf>
    <xf numFmtId="188" fontId="13" fillId="41" borderId="39" xfId="1" applyNumberFormat="1" applyFont="1" applyFill="1" applyBorder="1" applyAlignment="1">
      <alignment horizontal="right" vertical="center"/>
    </xf>
    <xf numFmtId="188" fontId="13" fillId="41" borderId="44" xfId="1" applyNumberFormat="1" applyFont="1" applyFill="1" applyBorder="1" applyAlignment="1">
      <alignment horizontal="right" vertical="center"/>
    </xf>
    <xf numFmtId="188" fontId="13" fillId="41" borderId="77" xfId="1" applyNumberFormat="1" applyFont="1" applyFill="1" applyBorder="1" applyAlignment="1">
      <alignment horizontal="right" vertical="center"/>
    </xf>
    <xf numFmtId="188" fontId="13" fillId="41" borderId="58" xfId="1" applyNumberFormat="1" applyFont="1" applyFill="1" applyBorder="1" applyAlignment="1">
      <alignment horizontal="right" vertical="center"/>
    </xf>
    <xf numFmtId="171" fontId="16" fillId="30" borderId="39" xfId="1" applyNumberFormat="1" applyFont="1" applyFill="1" applyBorder="1" applyAlignment="1">
      <alignment horizontal="center" vertical="center"/>
    </xf>
    <xf numFmtId="171" fontId="16" fillId="30" borderId="44" xfId="1" applyNumberFormat="1" applyFont="1" applyFill="1" applyBorder="1" applyAlignment="1">
      <alignment horizontal="center" vertical="center"/>
    </xf>
    <xf numFmtId="0" fontId="4" fillId="0" borderId="42" xfId="1" applyBorder="1" applyAlignment="1">
      <alignment horizontal="right" vertical="center"/>
    </xf>
    <xf numFmtId="0" fontId="4" fillId="0" borderId="19" xfId="1" applyBorder="1" applyAlignment="1">
      <alignment horizontal="right" vertical="center"/>
    </xf>
    <xf numFmtId="0" fontId="5" fillId="0" borderId="77" xfId="1" applyFont="1" applyBorder="1" applyAlignment="1">
      <alignment wrapText="1"/>
    </xf>
    <xf numFmtId="0" fontId="5" fillId="0" borderId="57" xfId="1" applyFont="1" applyBorder="1" applyAlignment="1">
      <alignment wrapText="1"/>
    </xf>
    <xf numFmtId="0" fontId="9" fillId="0" borderId="40" xfId="1" applyFont="1" applyBorder="1" applyAlignment="1">
      <alignment wrapText="1"/>
    </xf>
    <xf numFmtId="0" fontId="9" fillId="0" borderId="0" xfId="1" applyFont="1" applyBorder="1" applyAlignment="1">
      <alignment wrapText="1"/>
    </xf>
    <xf numFmtId="3" fontId="110" fillId="0" borderId="0" xfId="1" applyNumberFormat="1" applyFont="1" applyBorder="1" applyAlignment="1">
      <alignment horizontal="center"/>
    </xf>
    <xf numFmtId="188" fontId="6" fillId="41" borderId="42" xfId="1" applyNumberFormat="1" applyFont="1" applyFill="1" applyBorder="1" applyAlignment="1">
      <alignment horizontal="right" vertical="center"/>
    </xf>
    <xf numFmtId="190" fontId="111" fillId="30" borderId="57" xfId="1" applyNumberFormat="1" applyFont="1" applyFill="1" applyBorder="1" applyAlignment="1"/>
    <xf numFmtId="0" fontId="17" fillId="0" borderId="0" xfId="1" applyFont="1" applyAlignment="1">
      <alignment horizontal="center"/>
    </xf>
    <xf numFmtId="190" fontId="110" fillId="0" borderId="0" xfId="1" applyNumberFormat="1" applyFont="1" applyBorder="1" applyAlignment="1"/>
    <xf numFmtId="172" fontId="110" fillId="0" borderId="0" xfId="1" applyNumberFormat="1" applyFont="1" applyBorder="1" applyAlignment="1"/>
    <xf numFmtId="3" fontId="111" fillId="30" borderId="57" xfId="1" applyNumberFormat="1" applyFont="1" applyFill="1" applyBorder="1" applyAlignment="1">
      <alignment horizontal="center"/>
    </xf>
    <xf numFmtId="190" fontId="110" fillId="0" borderId="118" xfId="1" applyNumberFormat="1" applyFont="1" applyBorder="1" applyAlignment="1"/>
    <xf numFmtId="0" fontId="17" fillId="49" borderId="0" xfId="1" applyFont="1" applyFill="1" applyAlignment="1">
      <alignment horizontal="center"/>
    </xf>
    <xf numFmtId="3" fontId="110" fillId="0" borderId="2" xfId="1" applyNumberFormat="1" applyFont="1" applyBorder="1" applyAlignment="1">
      <alignment horizontal="center"/>
    </xf>
    <xf numFmtId="0" fontId="9" fillId="0" borderId="119" xfId="1" applyFont="1" applyBorder="1" applyAlignment="1">
      <alignment wrapText="1"/>
    </xf>
    <xf numFmtId="0" fontId="9" fillId="0" borderId="118" xfId="1" applyFont="1" applyBorder="1" applyAlignment="1">
      <alignment wrapText="1"/>
    </xf>
    <xf numFmtId="0" fontId="9" fillId="0" borderId="39" xfId="1" applyFont="1" applyBorder="1" applyAlignment="1">
      <alignment wrapText="1"/>
    </xf>
    <xf numFmtId="0" fontId="9" fillId="0" borderId="2" xfId="1" applyFont="1" applyBorder="1" applyAlignment="1">
      <alignment wrapText="1"/>
    </xf>
    <xf numFmtId="0" fontId="5" fillId="30" borderId="77" xfId="1" applyFont="1" applyFill="1" applyBorder="1" applyAlignment="1">
      <alignment wrapText="1"/>
    </xf>
    <xf numFmtId="0" fontId="5" fillId="30" borderId="57" xfId="1" applyFont="1" applyFill="1" applyBorder="1" applyAlignment="1">
      <alignment wrapText="1"/>
    </xf>
    <xf numFmtId="171" fontId="14" fillId="0" borderId="64" xfId="1" applyNumberFormat="1" applyFont="1" applyBorder="1" applyAlignment="1">
      <alignment horizontal="center" vertical="center"/>
    </xf>
    <xf numFmtId="171" fontId="16" fillId="0" borderId="39" xfId="1" applyNumberFormat="1" applyFont="1" applyBorder="1" applyAlignment="1">
      <alignment horizontal="center" vertical="center"/>
    </xf>
    <xf numFmtId="171" fontId="16" fillId="0" borderId="44" xfId="1" applyNumberFormat="1" applyFont="1" applyBorder="1" applyAlignment="1">
      <alignment horizontal="center" vertical="center"/>
    </xf>
    <xf numFmtId="171" fontId="16" fillId="0" borderId="129" xfId="1" applyNumberFormat="1" applyFont="1" applyBorder="1" applyAlignment="1">
      <alignment horizontal="center" vertical="center"/>
    </xf>
    <xf numFmtId="3" fontId="111" fillId="0" borderId="57" xfId="1" applyNumberFormat="1" applyFont="1" applyBorder="1" applyAlignment="1">
      <alignment horizontal="center"/>
    </xf>
    <xf numFmtId="172" fontId="111" fillId="0" borderId="57" xfId="1" applyNumberFormat="1" applyFont="1" applyBorder="1" applyAlignment="1"/>
    <xf numFmtId="204" fontId="13" fillId="0" borderId="40" xfId="1" applyNumberFormat="1" applyFont="1" applyBorder="1" applyAlignment="1">
      <alignment horizontal="center"/>
    </xf>
    <xf numFmtId="204" fontId="13" fillId="0" borderId="19" xfId="1" applyNumberFormat="1" applyFont="1" applyBorder="1" applyAlignment="1">
      <alignment horizontal="center"/>
    </xf>
    <xf numFmtId="0" fontId="63" fillId="0" borderId="36" xfId="1" applyFont="1" applyBorder="1" applyAlignment="1">
      <alignment horizontal="center" vertical="center" textRotation="90"/>
    </xf>
    <xf numFmtId="0" fontId="63" fillId="0" borderId="25" xfId="1" applyFont="1" applyBorder="1" applyAlignment="1">
      <alignment horizontal="center" vertical="center" textRotation="90"/>
    </xf>
    <xf numFmtId="0" fontId="63" fillId="0" borderId="34" xfId="1" applyFont="1" applyBorder="1" applyAlignment="1">
      <alignment horizontal="center" vertical="center" textRotation="90"/>
    </xf>
    <xf numFmtId="0" fontId="9" fillId="0" borderId="0" xfId="1" applyFont="1" applyBorder="1" applyAlignment="1">
      <alignment horizontal="left" vertical="center"/>
    </xf>
    <xf numFmtId="0" fontId="4" fillId="0" borderId="25" xfId="1" applyBorder="1" applyAlignment="1">
      <alignment horizontal="center" vertical="center" textRotation="90"/>
    </xf>
    <xf numFmtId="0" fontId="4" fillId="0" borderId="34" xfId="1" applyBorder="1" applyAlignment="1">
      <alignment horizontal="center" vertical="center" textRotation="90"/>
    </xf>
    <xf numFmtId="190" fontId="110" fillId="0" borderId="91" xfId="1" applyNumberFormat="1" applyFont="1" applyBorder="1" applyAlignment="1"/>
    <xf numFmtId="0" fontId="111" fillId="33" borderId="23" xfId="1" applyFont="1" applyFill="1" applyBorder="1" applyAlignment="1">
      <alignment horizontal="center" wrapText="1"/>
    </xf>
    <xf numFmtId="171" fontId="14" fillId="0" borderId="19" xfId="1" applyNumberFormat="1" applyFont="1" applyBorder="1" applyAlignment="1">
      <alignment horizontal="center" vertical="center"/>
    </xf>
    <xf numFmtId="200" fontId="6" fillId="0" borderId="126" xfId="1" applyNumberFormat="1" applyFont="1" applyBorder="1" applyAlignment="1">
      <alignment horizontal="right" vertical="center"/>
    </xf>
    <xf numFmtId="0" fontId="5" fillId="0" borderId="43" xfId="1" applyFont="1" applyBorder="1" applyAlignment="1">
      <alignment wrapText="1"/>
    </xf>
    <xf numFmtId="0" fontId="5" fillId="0" borderId="23" xfId="1" applyFont="1" applyBorder="1" applyAlignment="1">
      <alignment wrapText="1"/>
    </xf>
    <xf numFmtId="2" fontId="14" fillId="0" borderId="19" xfId="1" applyNumberFormat="1" applyFont="1" applyBorder="1" applyAlignment="1">
      <alignment horizontal="center" vertical="center"/>
    </xf>
    <xf numFmtId="177" fontId="14" fillId="0" borderId="19" xfId="1" applyNumberFormat="1" applyFont="1" applyBorder="1" applyAlignment="1">
      <alignment horizontal="center" vertical="center"/>
    </xf>
    <xf numFmtId="0" fontId="5" fillId="0" borderId="40" xfId="1" applyFont="1" applyBorder="1" applyAlignment="1">
      <alignment wrapText="1"/>
    </xf>
    <xf numFmtId="0" fontId="5" fillId="0" borderId="0" xfId="1" applyFont="1" applyBorder="1" applyAlignment="1">
      <alignment wrapText="1"/>
    </xf>
    <xf numFmtId="0" fontId="9" fillId="0" borderId="92" xfId="1" applyFont="1" applyBorder="1" applyAlignment="1">
      <alignment wrapText="1"/>
    </xf>
    <xf numFmtId="0" fontId="9" fillId="0" borderId="91" xfId="1" applyFont="1" applyBorder="1" applyAlignment="1">
      <alignment wrapText="1"/>
    </xf>
    <xf numFmtId="0" fontId="9" fillId="49" borderId="23" xfId="1" applyFont="1" applyFill="1" applyBorder="1" applyAlignment="1">
      <alignment wrapText="1"/>
    </xf>
    <xf numFmtId="201" fontId="16" fillId="0" borderId="40" xfId="1" applyNumberFormat="1" applyFont="1" applyBorder="1" applyAlignment="1">
      <alignment horizontal="center" vertical="center"/>
    </xf>
    <xf numFmtId="201" fontId="16" fillId="0" borderId="19" xfId="1" applyNumberFormat="1" applyFont="1" applyBorder="1" applyAlignment="1">
      <alignment horizontal="center" vertical="center"/>
    </xf>
    <xf numFmtId="171" fontId="16" fillId="0" borderId="2" xfId="1" applyNumberFormat="1" applyFont="1" applyBorder="1" applyAlignment="1">
      <alignment horizontal="center" vertical="center"/>
    </xf>
    <xf numFmtId="201" fontId="16" fillId="0" borderId="23" xfId="1" applyNumberFormat="1" applyFont="1" applyBorder="1" applyAlignment="1">
      <alignment horizontal="center" vertical="center"/>
    </xf>
    <xf numFmtId="200" fontId="6" fillId="0" borderId="127" xfId="1" applyNumberFormat="1" applyFont="1" applyBorder="1" applyAlignment="1">
      <alignment horizontal="right" vertical="center"/>
    </xf>
    <xf numFmtId="172" fontId="111" fillId="0" borderId="0" xfId="1" applyNumberFormat="1" applyFont="1" applyBorder="1" applyAlignment="1"/>
    <xf numFmtId="0" fontId="111" fillId="0" borderId="3" xfId="1" applyFont="1" applyBorder="1" applyAlignment="1">
      <alignment horizontal="center"/>
    </xf>
    <xf numFmtId="0" fontId="111" fillId="0" borderId="133" xfId="1" applyFont="1" applyBorder="1" applyAlignment="1">
      <alignment horizontal="center"/>
    </xf>
    <xf numFmtId="0" fontId="117" fillId="49" borderId="0" xfId="1" applyFont="1" applyFill="1" applyBorder="1" applyAlignment="1">
      <alignment horizontal="center" vertical="center"/>
    </xf>
    <xf numFmtId="0" fontId="4" fillId="49" borderId="0" xfId="1" applyFill="1" applyBorder="1" applyAlignment="1">
      <alignment horizontal="center" vertical="center"/>
    </xf>
    <xf numFmtId="0" fontId="13" fillId="61" borderId="57" xfId="1" applyFont="1" applyFill="1" applyBorder="1" applyAlignment="1" applyProtection="1">
      <alignment horizontal="center" vertical="center"/>
      <protection locked="0"/>
    </xf>
    <xf numFmtId="0" fontId="6" fillId="61" borderId="58" xfId="1" applyFont="1" applyFill="1" applyBorder="1" applyAlignment="1">
      <alignment horizontal="center" vertical="center"/>
    </xf>
    <xf numFmtId="0" fontId="181" fillId="3" borderId="23" xfId="2" applyFont="1" applyFill="1" applyBorder="1" applyAlignment="1" applyProtection="1">
      <alignment horizontal="center" vertical="center"/>
    </xf>
    <xf numFmtId="0" fontId="6" fillId="0" borderId="23" xfId="1" applyFont="1" applyBorder="1" applyAlignment="1">
      <alignment horizontal="center" vertical="center"/>
    </xf>
    <xf numFmtId="172" fontId="13" fillId="61" borderId="77" xfId="1" applyNumberFormat="1" applyFont="1" applyFill="1" applyBorder="1" applyAlignment="1">
      <alignment horizontal="center" vertical="center"/>
    </xf>
    <xf numFmtId="172" fontId="13" fillId="61" borderId="58" xfId="1" applyNumberFormat="1" applyFont="1" applyFill="1" applyBorder="1" applyAlignment="1">
      <alignment horizontal="center" vertical="center"/>
    </xf>
    <xf numFmtId="171" fontId="13" fillId="0" borderId="64" xfId="1" applyNumberFormat="1" applyFont="1" applyBorder="1" applyAlignment="1">
      <alignment horizontal="center" vertical="center"/>
    </xf>
    <xf numFmtId="171" fontId="6" fillId="0" borderId="39" xfId="1" applyNumberFormat="1" applyFont="1" applyBorder="1" applyAlignment="1">
      <alignment horizontal="center" vertical="center"/>
    </xf>
    <xf numFmtId="171" fontId="6" fillId="0" borderId="129" xfId="1" applyNumberFormat="1" applyFont="1" applyBorder="1" applyAlignment="1">
      <alignment horizontal="center" vertical="center"/>
    </xf>
    <xf numFmtId="201" fontId="6" fillId="0" borderId="43" xfId="1" applyNumberFormat="1" applyFont="1" applyBorder="1" applyAlignment="1">
      <alignment horizontal="center" vertical="center"/>
    </xf>
    <xf numFmtId="201" fontId="6" fillId="0" borderId="128" xfId="1" applyNumberFormat="1" applyFont="1" applyBorder="1" applyAlignment="1">
      <alignment horizontal="center" vertical="center"/>
    </xf>
    <xf numFmtId="2" fontId="13" fillId="0" borderId="40" xfId="1" applyNumberFormat="1" applyFont="1" applyBorder="1" applyAlignment="1">
      <alignment horizontal="center" vertical="center"/>
    </xf>
    <xf numFmtId="2" fontId="13" fillId="0" borderId="64" xfId="1" applyNumberFormat="1" applyFont="1" applyBorder="1" applyAlignment="1">
      <alignment horizontal="center" vertical="center"/>
    </xf>
    <xf numFmtId="177" fontId="13" fillId="0" borderId="40" xfId="1" applyNumberFormat="1" applyFont="1" applyBorder="1" applyAlignment="1">
      <alignment horizontal="center" vertical="center"/>
    </xf>
    <xf numFmtId="177" fontId="13" fillId="0" borderId="64" xfId="1" applyNumberFormat="1" applyFont="1" applyBorder="1" applyAlignment="1">
      <alignment horizontal="center" vertical="center"/>
    </xf>
    <xf numFmtId="3" fontId="61" fillId="0" borderId="113" xfId="1" applyNumberFormat="1" applyFont="1" applyBorder="1" applyAlignment="1">
      <alignment horizontal="center"/>
    </xf>
    <xf numFmtId="3" fontId="61" fillId="0" borderId="112" xfId="1" applyNumberFormat="1" applyFont="1" applyBorder="1" applyAlignment="1">
      <alignment horizontal="center"/>
    </xf>
    <xf numFmtId="0" fontId="61" fillId="33" borderId="2" xfId="1" applyFont="1" applyFill="1" applyBorder="1" applyAlignment="1">
      <alignment horizontal="center"/>
    </xf>
    <xf numFmtId="0" fontId="62" fillId="0" borderId="8" xfId="1" applyFont="1" applyBorder="1" applyAlignment="1">
      <alignment horizontal="center"/>
    </xf>
    <xf numFmtId="0" fontId="62" fillId="0" borderId="58" xfId="1" applyFont="1" applyBorder="1" applyAlignment="1">
      <alignment horizontal="center"/>
    </xf>
    <xf numFmtId="172" fontId="62" fillId="0" borderId="65" xfId="1" applyNumberFormat="1" applyFont="1" applyBorder="1" applyAlignment="1"/>
    <xf numFmtId="172" fontId="62" fillId="0" borderId="19" xfId="1" applyNumberFormat="1" applyFont="1" applyBorder="1" applyAlignment="1"/>
    <xf numFmtId="190" fontId="61" fillId="0" borderId="122" xfId="1" applyNumberFormat="1" applyFont="1" applyBorder="1" applyAlignment="1"/>
    <xf numFmtId="190" fontId="61" fillId="0" borderId="90" xfId="1" applyNumberFormat="1" applyFont="1" applyBorder="1" applyAlignment="1"/>
    <xf numFmtId="3" fontId="61" fillId="0" borderId="121" xfId="1" applyNumberFormat="1" applyFont="1" applyBorder="1" applyAlignment="1">
      <alignment horizontal="center"/>
    </xf>
    <xf numFmtId="3" fontId="61" fillId="0" borderId="105" xfId="1" applyNumberFormat="1" applyFont="1" applyBorder="1" applyAlignment="1">
      <alignment horizontal="center"/>
    </xf>
    <xf numFmtId="3" fontId="61" fillId="0" borderId="65"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3" fontId="62" fillId="0" borderId="8" xfId="1" applyNumberFormat="1" applyFont="1" applyBorder="1" applyAlignment="1">
      <alignment horizontal="center"/>
    </xf>
    <xf numFmtId="3" fontId="62" fillId="0" borderId="58" xfId="1" applyNumberFormat="1" applyFont="1" applyBorder="1" applyAlignment="1">
      <alignment horizontal="center"/>
    </xf>
    <xf numFmtId="3" fontId="61" fillId="0" borderId="68" xfId="1" applyNumberFormat="1" applyFont="1" applyBorder="1" applyAlignment="1">
      <alignment horizontal="center"/>
    </xf>
    <xf numFmtId="3" fontId="61" fillId="0" borderId="42" xfId="1" applyNumberFormat="1" applyFont="1" applyBorder="1" applyAlignment="1">
      <alignment horizontal="center"/>
    </xf>
    <xf numFmtId="3" fontId="62" fillId="30" borderId="8" xfId="1" applyNumberFormat="1" applyFont="1" applyFill="1" applyBorder="1" applyAlignment="1">
      <alignment horizontal="center"/>
    </xf>
    <xf numFmtId="3" fontId="62" fillId="30" borderId="58" xfId="1" applyNumberFormat="1" applyFont="1" applyFill="1" applyBorder="1" applyAlignment="1">
      <alignment horizontal="center"/>
    </xf>
    <xf numFmtId="0" fontId="13" fillId="0" borderId="43" xfId="67" applyFont="1" applyBorder="1" applyAlignment="1">
      <alignment horizontal="center" vertical="center" wrapText="1"/>
    </xf>
    <xf numFmtId="0" fontId="13" fillId="0" borderId="23" xfId="67" applyFont="1" applyBorder="1" applyAlignment="1">
      <alignment horizontal="center" vertical="center" wrapText="1"/>
    </xf>
    <xf numFmtId="0" fontId="13" fillId="0" borderId="42" xfId="67" applyFont="1" applyBorder="1" applyAlignment="1">
      <alignment horizontal="center" vertical="center" wrapText="1"/>
    </xf>
    <xf numFmtId="0" fontId="13" fillId="0" borderId="39" xfId="67" applyFont="1" applyBorder="1" applyAlignment="1">
      <alignment horizontal="center" vertical="center" wrapText="1"/>
    </xf>
    <xf numFmtId="0" fontId="13" fillId="0" borderId="2" xfId="67" applyFont="1" applyBorder="1" applyAlignment="1">
      <alignment horizontal="center" vertical="center" wrapText="1"/>
    </xf>
    <xf numFmtId="0" fontId="13" fillId="0" borderId="44" xfId="67" applyFont="1" applyBorder="1" applyAlignment="1">
      <alignment horizontal="center" vertical="center" wrapText="1"/>
    </xf>
    <xf numFmtId="0" fontId="6" fillId="0" borderId="44" xfId="1" applyFont="1" applyBorder="1" applyAlignment="1">
      <alignment horizontal="center" vertical="center"/>
    </xf>
    <xf numFmtId="0" fontId="6" fillId="0" borderId="42" xfId="1" applyFont="1" applyBorder="1" applyAlignment="1">
      <alignment horizontal="right" vertical="center"/>
    </xf>
    <xf numFmtId="0" fontId="6" fillId="0" borderId="19" xfId="1" applyFont="1" applyBorder="1" applyAlignment="1">
      <alignment horizontal="right" vertical="center"/>
    </xf>
    <xf numFmtId="3" fontId="120" fillId="4" borderId="32" xfId="105" applyNumberFormat="1" applyFont="1" applyFill="1" applyBorder="1" applyAlignment="1" applyProtection="1">
      <alignment horizontal="left" vertical="center"/>
    </xf>
    <xf numFmtId="3" fontId="120" fillId="4" borderId="19" xfId="105" applyNumberFormat="1" applyFont="1" applyFill="1" applyBorder="1" applyAlignment="1" applyProtection="1">
      <alignment horizontal="left" vertical="center"/>
    </xf>
    <xf numFmtId="0" fontId="13" fillId="31" borderId="0" xfId="1" applyFont="1" applyFill="1" applyAlignment="1" applyProtection="1">
      <alignment vertical="center"/>
      <protection locked="0"/>
    </xf>
    <xf numFmtId="0" fontId="9" fillId="0" borderId="23" xfId="1" applyFont="1" applyBorder="1" applyAlignment="1" applyProtection="1">
      <alignment horizontal="center" vertical="center"/>
    </xf>
    <xf numFmtId="0" fontId="9" fillId="0" borderId="42" xfId="1" applyFont="1" applyBorder="1" applyAlignment="1" applyProtection="1">
      <alignment horizontal="center" vertical="center"/>
    </xf>
    <xf numFmtId="0" fontId="6" fillId="37" borderId="0" xfId="1" applyFont="1" applyFill="1" applyBorder="1" applyAlignment="1" applyProtection="1">
      <alignment horizontal="left" vertical="center"/>
      <protection locked="0"/>
    </xf>
    <xf numFmtId="0" fontId="6" fillId="37" borderId="2" xfId="1" applyFont="1" applyFill="1" applyBorder="1" applyAlignment="1" applyProtection="1">
      <alignment horizontal="left" vertical="center"/>
      <protection locked="0"/>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0" fontId="13" fillId="0" borderId="77" xfId="105" applyFont="1" applyBorder="1" applyAlignment="1" applyProtection="1">
      <alignment horizontal="left" vertical="center" wrapText="1"/>
    </xf>
    <xf numFmtId="0" fontId="13" fillId="0" borderId="120" xfId="105" applyFont="1" applyBorder="1" applyAlignment="1" applyProtection="1">
      <alignment horizontal="left" vertical="center" wrapText="1"/>
    </xf>
    <xf numFmtId="0" fontId="6" fillId="0" borderId="2" xfId="1" applyFont="1" applyFill="1" applyBorder="1" applyAlignment="1" applyProtection="1">
      <alignment horizontal="left" vertical="center"/>
    </xf>
    <xf numFmtId="0" fontId="6" fillId="37" borderId="91" xfId="105" applyFont="1" applyFill="1" applyBorder="1" applyAlignment="1" applyProtection="1">
      <alignment horizontal="left" vertical="center"/>
      <protection locked="0"/>
    </xf>
    <xf numFmtId="0" fontId="6" fillId="37" borderId="123"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protection locked="0"/>
    </xf>
    <xf numFmtId="0" fontId="6" fillId="37" borderId="91" xfId="1" applyFont="1" applyFill="1" applyBorder="1" applyAlignment="1" applyProtection="1">
      <alignment horizontal="left" vertical="center"/>
      <protection locked="0"/>
    </xf>
    <xf numFmtId="0" fontId="6" fillId="37" borderId="123" xfId="1" applyFont="1" applyFill="1" applyBorder="1" applyAlignment="1" applyProtection="1">
      <alignment horizontal="left" vertical="center"/>
      <protection locked="0"/>
    </xf>
    <xf numFmtId="0" fontId="6" fillId="31" borderId="2" xfId="1" applyFont="1" applyFill="1" applyBorder="1" applyAlignment="1" applyProtection="1">
      <alignment horizontal="left" vertical="center"/>
      <protection locked="0"/>
    </xf>
    <xf numFmtId="0" fontId="6" fillId="31" borderId="0"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wrapText="1"/>
      <protection locked="0"/>
    </xf>
    <xf numFmtId="0" fontId="6" fillId="37" borderId="71" xfId="105" applyFont="1" applyFill="1" applyBorder="1" applyAlignment="1" applyProtection="1">
      <alignment horizontal="left" vertical="center" wrapText="1"/>
      <protection locked="0"/>
    </xf>
    <xf numFmtId="1" fontId="126" fillId="27" borderId="77" xfId="1" applyNumberFormat="1" applyFont="1" applyFill="1" applyBorder="1" applyAlignment="1" applyProtection="1">
      <alignment horizontal="center" vertical="center"/>
    </xf>
    <xf numFmtId="1" fontId="126" fillId="27" borderId="57" xfId="1" applyNumberFormat="1" applyFont="1" applyFill="1" applyBorder="1" applyAlignment="1" applyProtection="1">
      <alignment horizontal="center" vertical="center"/>
    </xf>
    <xf numFmtId="0" fontId="9" fillId="31" borderId="104" xfId="105" applyFont="1" applyFill="1" applyBorder="1" applyAlignment="1" applyProtection="1">
      <alignment horizontal="left" vertical="center"/>
      <protection locked="0"/>
    </xf>
    <xf numFmtId="0" fontId="9" fillId="31" borderId="166" xfId="105" applyFont="1" applyFill="1" applyBorder="1" applyAlignment="1" applyProtection="1">
      <alignment horizontal="left" vertical="center"/>
      <protection locked="0"/>
    </xf>
    <xf numFmtId="0" fontId="9" fillId="31" borderId="2" xfId="105" applyFont="1" applyFill="1" applyBorder="1" applyAlignment="1" applyProtection="1">
      <alignment horizontal="left" vertical="center"/>
      <protection locked="0"/>
    </xf>
    <xf numFmtId="0" fontId="9" fillId="31" borderId="71" xfId="105" applyFont="1" applyFill="1" applyBorder="1" applyAlignment="1" applyProtection="1">
      <alignment horizontal="left" vertical="center"/>
      <protection locked="0"/>
    </xf>
    <xf numFmtId="2" fontId="6" fillId="37" borderId="0" xfId="105" applyNumberFormat="1" applyFont="1" applyFill="1" applyBorder="1" applyAlignment="1" applyProtection="1">
      <alignment horizontal="left" vertical="center"/>
      <protection locked="0"/>
    </xf>
    <xf numFmtId="2" fontId="6" fillId="37" borderId="72" xfId="105" applyNumberFormat="1" applyFont="1" applyFill="1" applyBorder="1" applyAlignment="1" applyProtection="1">
      <alignment horizontal="left" vertical="center"/>
      <protection locked="0"/>
    </xf>
    <xf numFmtId="2" fontId="6" fillId="37" borderId="104" xfId="105" applyNumberFormat="1" applyFont="1" applyFill="1" applyBorder="1" applyAlignment="1" applyProtection="1">
      <alignment horizontal="left" vertical="center"/>
      <protection locked="0"/>
    </xf>
    <xf numFmtId="2" fontId="6" fillId="37" borderId="166" xfId="105" applyNumberFormat="1" applyFont="1" applyFill="1" applyBorder="1" applyAlignment="1" applyProtection="1">
      <alignment horizontal="left" vertical="center"/>
      <protection locked="0"/>
    </xf>
    <xf numFmtId="216" fontId="130" fillId="0" borderId="0" xfId="1" applyNumberFormat="1" applyFont="1" applyAlignment="1" applyProtection="1">
      <alignment horizontal="center" vertical="top"/>
    </xf>
    <xf numFmtId="2" fontId="6" fillId="37" borderId="2" xfId="105" applyNumberFormat="1" applyFont="1" applyFill="1" applyBorder="1" applyAlignment="1" applyProtection="1">
      <alignment horizontal="left" vertical="center"/>
      <protection locked="0"/>
    </xf>
    <xf numFmtId="2" fontId="6" fillId="37" borderId="71" xfId="105" applyNumberFormat="1" applyFont="1" applyFill="1" applyBorder="1" applyAlignment="1" applyProtection="1">
      <alignment horizontal="left" vertical="center"/>
      <protection locked="0"/>
    </xf>
    <xf numFmtId="0" fontId="6" fillId="37" borderId="104" xfId="105" applyFont="1" applyFill="1" applyBorder="1" applyAlignment="1" applyProtection="1">
      <alignment horizontal="left" vertical="center"/>
      <protection locked="0"/>
    </xf>
    <xf numFmtId="0" fontId="6" fillId="37" borderId="166" xfId="105" applyFont="1" applyFill="1" applyBorder="1" applyAlignment="1" applyProtection="1">
      <alignment horizontal="left" vertical="center"/>
      <protection locked="0"/>
    </xf>
    <xf numFmtId="1" fontId="126" fillId="4" borderId="77" xfId="1" applyNumberFormat="1" applyFont="1" applyFill="1" applyBorder="1" applyAlignment="1" applyProtection="1">
      <alignment horizontal="center" vertical="center"/>
    </xf>
    <xf numFmtId="1" fontId="126" fillId="4" borderId="57" xfId="1" applyNumberFormat="1" applyFont="1" applyFill="1" applyBorder="1" applyAlignment="1" applyProtection="1">
      <alignment horizontal="center" vertical="center"/>
    </xf>
    <xf numFmtId="0" fontId="13" fillId="0" borderId="0" xfId="1" applyFont="1" applyFill="1" applyAlignment="1" applyProtection="1">
      <alignment horizontal="right" vertical="center"/>
      <protection locked="0"/>
    </xf>
    <xf numFmtId="0" fontId="9" fillId="0" borderId="0" xfId="1" applyFont="1" applyAlignment="1">
      <alignment horizontal="right"/>
    </xf>
    <xf numFmtId="0" fontId="6" fillId="31" borderId="57" xfId="1" applyFont="1" applyFill="1" applyBorder="1" applyAlignment="1" applyProtection="1">
      <alignment horizontal="center" vertical="center"/>
      <protection locked="0"/>
    </xf>
    <xf numFmtId="0" fontId="6" fillId="31" borderId="58" xfId="1" applyFont="1" applyFill="1" applyBorder="1" applyAlignment="1" applyProtection="1">
      <alignment horizontal="center" vertical="center"/>
      <protection locked="0"/>
    </xf>
    <xf numFmtId="0" fontId="18" fillId="0" borderId="0" xfId="1" applyFont="1" applyFill="1" applyBorder="1" applyAlignment="1" applyProtection="1">
      <alignment horizontal="right" vertical="top"/>
    </xf>
    <xf numFmtId="0" fontId="108" fillId="4" borderId="0" xfId="1" applyNumberFormat="1" applyFont="1" applyFill="1" applyBorder="1" applyAlignment="1" applyProtection="1">
      <alignment horizontal="left" vertical="center" wrapText="1" readingOrder="1"/>
    </xf>
    <xf numFmtId="0" fontId="9" fillId="0" borderId="0" xfId="1" applyFont="1" applyAlignment="1">
      <alignment horizontal="left" vertical="center"/>
    </xf>
    <xf numFmtId="0" fontId="6" fillId="31" borderId="2" xfId="1" applyFont="1" applyFill="1" applyBorder="1" applyAlignment="1" applyProtection="1">
      <alignment horizontal="right" vertical="center"/>
      <protection locked="0"/>
    </xf>
    <xf numFmtId="0" fontId="6" fillId="31" borderId="71" xfId="1" applyFont="1" applyFill="1" applyBorder="1" applyAlignment="1" applyProtection="1">
      <alignment horizontal="right" vertical="center"/>
      <protection locked="0"/>
    </xf>
    <xf numFmtId="0" fontId="4" fillId="0" borderId="104" xfId="1" applyBorder="1" applyAlignment="1">
      <alignment horizontal="left" vertical="center"/>
    </xf>
    <xf numFmtId="0" fontId="4" fillId="0" borderId="166" xfId="1" applyBorder="1" applyAlignment="1">
      <alignment horizontal="left" vertical="center"/>
    </xf>
    <xf numFmtId="0" fontId="4" fillId="0" borderId="0" xfId="1" applyAlignment="1">
      <alignment horizontal="left" vertical="center"/>
    </xf>
    <xf numFmtId="0" fontId="4" fillId="0" borderId="72" xfId="1" applyBorder="1" applyAlignment="1">
      <alignment horizontal="left" vertical="center"/>
    </xf>
    <xf numFmtId="0" fontId="0" fillId="0" borderId="72" xfId="0" applyBorder="1" applyAlignment="1">
      <alignment horizontal="left" vertical="center"/>
    </xf>
    <xf numFmtId="0" fontId="0" fillId="0" borderId="166" xfId="0" applyBorder="1" applyAlignment="1">
      <alignment horizontal="left" vertical="center"/>
    </xf>
    <xf numFmtId="0" fontId="6" fillId="32" borderId="23" xfId="105" applyFont="1" applyFill="1" applyBorder="1" applyAlignment="1" applyProtection="1">
      <alignment horizontal="left" vertical="center"/>
      <protection locked="0"/>
    </xf>
    <xf numFmtId="0" fontId="6" fillId="0" borderId="2" xfId="1" applyFont="1" applyFill="1" applyBorder="1" applyAlignment="1" applyProtection="1">
      <alignment horizontal="right" vertical="center"/>
    </xf>
    <xf numFmtId="0" fontId="6" fillId="0" borderId="71" xfId="1" applyFont="1" applyFill="1" applyBorder="1" applyAlignment="1" applyProtection="1">
      <alignment horizontal="right" vertical="center"/>
    </xf>
    <xf numFmtId="0" fontId="108" fillId="0" borderId="0" xfId="1" applyNumberFormat="1" applyFont="1" applyFill="1" applyBorder="1" applyAlignment="1" applyProtection="1">
      <alignment horizontal="left" vertical="center" wrapText="1" readingOrder="1"/>
    </xf>
    <xf numFmtId="0" fontId="9" fillId="0" borderId="0" xfId="1" applyFont="1" applyFill="1" applyAlignment="1">
      <alignment horizontal="left" vertical="center"/>
    </xf>
    <xf numFmtId="0" fontId="9" fillId="0" borderId="0" xfId="1" applyFont="1" applyFill="1" applyAlignment="1">
      <alignment horizontal="right"/>
    </xf>
    <xf numFmtId="0" fontId="6" fillId="37" borderId="2" xfId="1" applyFont="1" applyFill="1" applyBorder="1" applyAlignment="1" applyProtection="1">
      <alignment horizontal="left" vertical="center" wrapText="1"/>
      <protection locked="0"/>
    </xf>
    <xf numFmtId="0" fontId="6" fillId="37" borderId="71" xfId="1" applyFont="1" applyFill="1" applyBorder="1" applyAlignment="1" applyProtection="1">
      <alignment horizontal="left" vertical="center" wrapText="1"/>
      <protection locked="0"/>
    </xf>
    <xf numFmtId="0" fontId="124" fillId="37" borderId="91" xfId="105" applyFont="1" applyFill="1" applyBorder="1" applyAlignment="1" applyProtection="1">
      <alignment horizontal="left" vertical="center"/>
      <protection locked="0"/>
    </xf>
    <xf numFmtId="0" fontId="124" fillId="37" borderId="123" xfId="105" applyFont="1" applyFill="1" applyBorder="1" applyAlignment="1" applyProtection="1">
      <alignment horizontal="left" vertical="center"/>
      <protection locked="0"/>
    </xf>
    <xf numFmtId="0" fontId="6" fillId="37" borderId="71" xfId="1" applyFont="1" applyFill="1" applyBorder="1" applyAlignment="1" applyProtection="1">
      <alignment horizontal="left" vertical="center"/>
      <protection locked="0"/>
    </xf>
    <xf numFmtId="0" fontId="6" fillId="37" borderId="104" xfId="1" applyFont="1" applyFill="1" applyBorder="1" applyAlignment="1" applyProtection="1">
      <alignment horizontal="left" vertical="center"/>
      <protection locked="0"/>
    </xf>
    <xf numFmtId="0" fontId="6" fillId="37" borderId="166" xfId="1" applyFont="1" applyFill="1" applyBorder="1" applyAlignment="1" applyProtection="1">
      <alignment horizontal="left" vertical="center"/>
      <protection locked="0"/>
    </xf>
    <xf numFmtId="0" fontId="6" fillId="37" borderId="71" xfId="105" applyFont="1" applyFill="1" applyBorder="1" applyAlignment="1" applyProtection="1">
      <alignment horizontal="left" vertical="center"/>
      <protection locked="0"/>
    </xf>
    <xf numFmtId="0" fontId="13" fillId="31" borderId="0" xfId="1" applyFont="1" applyFill="1" applyAlignment="1">
      <alignment vertical="center"/>
    </xf>
    <xf numFmtId="0" fontId="55" fillId="31" borderId="0" xfId="1" applyFont="1" applyFill="1" applyAlignment="1" applyProtection="1">
      <alignment vertical="center"/>
      <protection locked="0"/>
    </xf>
    <xf numFmtId="0" fontId="4" fillId="0" borderId="0" xfId="1" applyFont="1" applyAlignment="1">
      <alignment horizontal="right"/>
    </xf>
    <xf numFmtId="0" fontId="18" fillId="31" borderId="0" xfId="1" applyFont="1" applyFill="1" applyBorder="1" applyAlignment="1" applyProtection="1">
      <alignment horizontal="right" vertical="top"/>
      <protection locked="0"/>
    </xf>
    <xf numFmtId="0" fontId="4" fillId="0" borderId="0" xfId="1" applyFont="1" applyAlignment="1">
      <alignment horizontal="left" vertical="center"/>
    </xf>
    <xf numFmtId="0" fontId="4" fillId="0" borderId="23" xfId="1" applyFont="1" applyBorder="1" applyAlignment="1" applyProtection="1">
      <alignment horizontal="center" vertical="center"/>
    </xf>
    <xf numFmtId="0" fontId="4" fillId="0" borderId="42" xfId="1" applyFont="1" applyBorder="1" applyAlignment="1" applyProtection="1">
      <alignment horizontal="center" vertical="center"/>
    </xf>
    <xf numFmtId="0" fontId="4" fillId="31" borderId="104" xfId="105" applyFont="1" applyFill="1" applyBorder="1" applyAlignment="1" applyProtection="1">
      <alignment horizontal="left" vertical="center"/>
      <protection locked="0"/>
    </xf>
    <xf numFmtId="0" fontId="4" fillId="31" borderId="166" xfId="105" applyFont="1" applyFill="1" applyBorder="1" applyAlignment="1" applyProtection="1">
      <alignment horizontal="left" vertical="center"/>
      <protection locked="0"/>
    </xf>
    <xf numFmtId="0" fontId="4" fillId="31" borderId="2" xfId="105" applyFont="1" applyFill="1" applyBorder="1" applyAlignment="1" applyProtection="1">
      <alignment horizontal="left" vertical="center"/>
      <protection locked="0"/>
    </xf>
    <xf numFmtId="0" fontId="4" fillId="31" borderId="71" xfId="105" applyFont="1" applyFill="1" applyBorder="1" applyAlignment="1" applyProtection="1">
      <alignment horizontal="left" vertical="center"/>
      <protection locked="0"/>
    </xf>
    <xf numFmtId="0" fontId="6" fillId="0" borderId="71" xfId="1" applyFont="1" applyFill="1" applyBorder="1" applyAlignment="1" applyProtection="1">
      <alignment horizontal="left" vertical="center"/>
    </xf>
    <xf numFmtId="0" fontId="9" fillId="0" borderId="0" xfId="1" applyFont="1" applyBorder="1" applyAlignment="1" applyProtection="1">
      <alignment horizontal="center" vertical="top" wrapText="1"/>
    </xf>
    <xf numFmtId="216" fontId="159" fillId="0" borderId="0" xfId="1" applyNumberFormat="1" applyFont="1" applyAlignment="1" applyProtection="1">
      <alignment horizontal="right" vertical="top"/>
    </xf>
    <xf numFmtId="0" fontId="163" fillId="4" borderId="0" xfId="1" applyNumberFormat="1" applyFont="1" applyFill="1" applyBorder="1" applyAlignment="1" applyProtection="1">
      <alignment horizontal="left" vertical="center" wrapText="1" readingOrder="1"/>
    </xf>
    <xf numFmtId="0" fontId="9"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4" fillId="0" borderId="0" xfId="1" applyAlignment="1">
      <alignment horizontal="right"/>
    </xf>
    <xf numFmtId="0" fontId="6" fillId="37" borderId="288" xfId="105" applyFont="1" applyFill="1" applyBorder="1" applyAlignment="1" applyProtection="1">
      <alignment horizontal="left" vertical="center" wrapText="1"/>
      <protection locked="0"/>
    </xf>
    <xf numFmtId="0" fontId="6" fillId="37" borderId="114" xfId="105" applyFont="1" applyFill="1" applyBorder="1" applyAlignment="1" applyProtection="1">
      <alignment horizontal="left" vertical="center" wrapText="1"/>
      <protection locked="0"/>
    </xf>
    <xf numFmtId="0" fontId="6" fillId="37" borderId="0" xfId="105" applyFont="1" applyFill="1" applyBorder="1" applyAlignment="1" applyProtection="1">
      <alignment horizontal="center" vertical="center"/>
      <protection locked="0"/>
    </xf>
    <xf numFmtId="0" fontId="6" fillId="37" borderId="72" xfId="105" applyFont="1" applyFill="1" applyBorder="1" applyAlignment="1" applyProtection="1">
      <alignment horizontal="center" vertical="center"/>
      <protection locked="0"/>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6" fillId="31" borderId="71" xfId="1" applyFont="1" applyFill="1" applyBorder="1" applyAlignment="1" applyProtection="1">
      <alignment horizontal="left" vertical="center"/>
      <protection locked="0"/>
    </xf>
    <xf numFmtId="0" fontId="6" fillId="0" borderId="288" xfId="105" applyFont="1" applyFill="1" applyBorder="1" applyAlignment="1" applyProtection="1">
      <alignment horizontal="left" vertical="center" wrapText="1"/>
      <protection locked="0"/>
    </xf>
    <xf numFmtId="0" fontId="6" fillId="0" borderId="114" xfId="105" applyFont="1" applyFill="1" applyBorder="1" applyAlignment="1" applyProtection="1">
      <alignment horizontal="left" vertical="center" wrapText="1"/>
      <protection locked="0"/>
    </xf>
    <xf numFmtId="0" fontId="6" fillId="31" borderId="104" xfId="105" applyFont="1" applyFill="1" applyBorder="1" applyAlignment="1" applyProtection="1">
      <alignment horizontal="left" vertical="center"/>
      <protection locked="0"/>
    </xf>
    <xf numFmtId="0" fontId="6" fillId="31" borderId="166" xfId="105" applyFont="1" applyFill="1" applyBorder="1" applyAlignment="1" applyProtection="1">
      <alignment horizontal="left" vertical="center"/>
      <protection locked="0"/>
    </xf>
    <xf numFmtId="0" fontId="6" fillId="37" borderId="288" xfId="105" applyFont="1" applyFill="1" applyBorder="1" applyAlignment="1" applyProtection="1">
      <alignment horizontal="left" vertical="center"/>
      <protection locked="0"/>
    </xf>
    <xf numFmtId="0" fontId="6" fillId="37" borderId="114" xfId="105" applyFont="1" applyFill="1" applyBorder="1" applyAlignment="1" applyProtection="1">
      <alignment horizontal="left" vertical="center"/>
      <protection locked="0"/>
    </xf>
    <xf numFmtId="0" fontId="13" fillId="31" borderId="0" xfId="1" applyFont="1" applyFill="1" applyAlignment="1" applyProtection="1">
      <alignment horizontal="left" vertical="center"/>
      <protection locked="0"/>
    </xf>
    <xf numFmtId="0" fontId="4" fillId="0" borderId="0" xfId="1" applyAlignment="1" applyProtection="1">
      <alignment horizontal="left" vertical="center"/>
      <protection locked="0"/>
    </xf>
    <xf numFmtId="0" fontId="13" fillId="0" borderId="0" xfId="1" applyFont="1" applyFill="1" applyAlignment="1" applyProtection="1">
      <alignment horizontal="right" vertical="center"/>
    </xf>
    <xf numFmtId="0" fontId="4" fillId="0" borderId="0" xfId="1" applyAlignment="1" applyProtection="1">
      <alignment horizontal="right"/>
    </xf>
    <xf numFmtId="0" fontId="6" fillId="37" borderId="0" xfId="105" applyFont="1" applyFill="1" applyBorder="1" applyAlignment="1" applyProtection="1">
      <alignment vertical="center"/>
      <protection locked="0"/>
    </xf>
    <xf numFmtId="0" fontId="6" fillId="37" borderId="72" xfId="105" applyFont="1" applyFill="1" applyBorder="1" applyAlignment="1" applyProtection="1">
      <alignment vertical="center"/>
      <protection locked="0"/>
    </xf>
    <xf numFmtId="0" fontId="6" fillId="37" borderId="91" xfId="105" applyFont="1" applyFill="1" applyBorder="1" applyAlignment="1" applyProtection="1">
      <alignment vertical="center"/>
      <protection locked="0"/>
    </xf>
    <xf numFmtId="0" fontId="6" fillId="37" borderId="123" xfId="105" applyFont="1" applyFill="1" applyBorder="1" applyAlignment="1" applyProtection="1">
      <alignment vertical="center"/>
      <protection locked="0"/>
    </xf>
    <xf numFmtId="0" fontId="9" fillId="0" borderId="32" xfId="1" applyFont="1" applyBorder="1" applyAlignment="1" applyProtection="1">
      <alignment horizontal="center" vertical="center" wrapText="1"/>
    </xf>
    <xf numFmtId="0" fontId="4" fillId="0" borderId="32" xfId="1" applyBorder="1" applyAlignment="1" applyProtection="1">
      <alignment horizontal="center" vertical="center" wrapText="1"/>
    </xf>
    <xf numFmtId="0" fontId="158" fillId="31" borderId="0" xfId="105" applyFont="1" applyFill="1" applyBorder="1" applyAlignment="1" applyProtection="1">
      <alignment horizontal="left" vertical="center"/>
      <protection locked="0"/>
    </xf>
    <xf numFmtId="0" fontId="13" fillId="0" borderId="172" xfId="105" applyFont="1" applyBorder="1" applyAlignment="1" applyProtection="1">
      <alignment horizontal="left" vertical="center" wrapText="1"/>
    </xf>
    <xf numFmtId="0" fontId="13" fillId="0" borderId="212" xfId="105" applyFont="1" applyBorder="1" applyAlignment="1" applyProtection="1">
      <alignment horizontal="left" vertical="center" wrapText="1"/>
    </xf>
    <xf numFmtId="0" fontId="158" fillId="32" borderId="0" xfId="1" applyFont="1" applyFill="1" applyBorder="1" applyAlignment="1" applyProtection="1">
      <alignment horizontal="left" vertical="center"/>
      <protection locked="0"/>
    </xf>
    <xf numFmtId="0" fontId="158" fillId="32" borderId="2" xfId="1" applyFont="1" applyFill="1" applyBorder="1" applyAlignment="1" applyProtection="1">
      <alignment horizontal="left" vertical="center"/>
      <protection locked="0"/>
    </xf>
    <xf numFmtId="0" fontId="6" fillId="31" borderId="57" xfId="1" applyFont="1" applyFill="1" applyBorder="1" applyAlignment="1" applyProtection="1">
      <alignment horizontal="left" vertical="center"/>
      <protection locked="0"/>
    </xf>
    <xf numFmtId="0" fontId="6" fillId="31" borderId="58" xfId="1" applyFont="1" applyFill="1" applyBorder="1" applyAlignment="1" applyProtection="1">
      <alignment horizontal="left" vertical="center"/>
      <protection locked="0"/>
    </xf>
    <xf numFmtId="1" fontId="43" fillId="4" borderId="74" xfId="1" applyNumberFormat="1" applyFont="1" applyFill="1" applyBorder="1" applyAlignment="1" applyProtection="1">
      <alignment horizontal="center" vertical="center"/>
    </xf>
    <xf numFmtId="1" fontId="43" fillId="4" borderId="75" xfId="1" applyNumberFormat="1" applyFont="1" applyFill="1" applyBorder="1" applyAlignment="1" applyProtection="1">
      <alignment horizontal="center" vertical="center"/>
    </xf>
    <xf numFmtId="1" fontId="43" fillId="27" borderId="74" xfId="1" applyNumberFormat="1" applyFont="1" applyFill="1" applyBorder="1" applyAlignment="1" applyProtection="1">
      <alignment horizontal="center" vertical="center"/>
    </xf>
    <xf numFmtId="1" fontId="43" fillId="27" borderId="75" xfId="1" applyNumberFormat="1" applyFont="1" applyFill="1" applyBorder="1" applyAlignment="1" applyProtection="1">
      <alignment horizontal="center" vertical="center"/>
    </xf>
    <xf numFmtId="0" fontId="118" fillId="31" borderId="2" xfId="1" applyFont="1" applyFill="1" applyBorder="1" applyAlignment="1" applyProtection="1">
      <alignment horizontal="left" vertical="center"/>
      <protection locked="0"/>
    </xf>
    <xf numFmtId="0" fontId="118" fillId="31" borderId="71" xfId="1" applyFont="1" applyFill="1" applyBorder="1" applyAlignment="1" applyProtection="1">
      <alignment horizontal="left" vertical="center"/>
      <protection locked="0"/>
    </xf>
    <xf numFmtId="0" fontId="158" fillId="32" borderId="0" xfId="105" applyFont="1" applyFill="1" applyBorder="1" applyAlignment="1" applyProtection="1">
      <alignment horizontal="left" vertical="center"/>
      <protection locked="0"/>
    </xf>
    <xf numFmtId="0" fontId="158" fillId="32" borderId="72" xfId="105" applyFont="1" applyFill="1" applyBorder="1" applyAlignment="1" applyProtection="1">
      <alignment horizontal="left" vertical="center"/>
      <protection locked="0"/>
    </xf>
    <xf numFmtId="2" fontId="158" fillId="32" borderId="0" xfId="105" applyNumberFormat="1" applyFont="1" applyFill="1" applyBorder="1" applyAlignment="1" applyProtection="1">
      <alignment horizontal="left" vertical="center"/>
      <protection locked="0"/>
    </xf>
    <xf numFmtId="2" fontId="158" fillId="32" borderId="72" xfId="105" applyNumberFormat="1" applyFont="1" applyFill="1" applyBorder="1" applyAlignment="1" applyProtection="1">
      <alignment horizontal="left" vertical="center"/>
      <protection locked="0"/>
    </xf>
    <xf numFmtId="2" fontId="158" fillId="32" borderId="104" xfId="105" applyNumberFormat="1" applyFont="1" applyFill="1" applyBorder="1" applyAlignment="1" applyProtection="1">
      <alignment horizontal="left" vertical="center"/>
      <protection locked="0"/>
    </xf>
    <xf numFmtId="2" fontId="158" fillId="32" borderId="166" xfId="105" applyNumberFormat="1" applyFont="1" applyFill="1" applyBorder="1" applyAlignment="1" applyProtection="1">
      <alignment horizontal="left" vertical="center"/>
      <protection locked="0"/>
    </xf>
    <xf numFmtId="2" fontId="158" fillId="32" borderId="2" xfId="105" applyNumberFormat="1" applyFont="1" applyFill="1" applyBorder="1" applyAlignment="1" applyProtection="1">
      <alignment horizontal="left" vertical="center"/>
      <protection locked="0"/>
    </xf>
    <xf numFmtId="2" fontId="158" fillId="32" borderId="71" xfId="105" applyNumberFormat="1" applyFont="1" applyFill="1" applyBorder="1" applyAlignment="1" applyProtection="1">
      <alignment horizontal="left" vertical="center"/>
      <protection locked="0"/>
    </xf>
    <xf numFmtId="0" fontId="158" fillId="32" borderId="104" xfId="105" applyFont="1" applyFill="1" applyBorder="1" applyAlignment="1" applyProtection="1">
      <alignment horizontal="left" vertical="center"/>
      <protection locked="0"/>
    </xf>
    <xf numFmtId="0" fontId="158" fillId="32" borderId="166" xfId="105" applyFont="1" applyFill="1" applyBorder="1" applyAlignment="1" applyProtection="1">
      <alignment horizontal="left" vertical="center"/>
      <protection locked="0"/>
    </xf>
    <xf numFmtId="0" fontId="158" fillId="31" borderId="2" xfId="1" applyFont="1" applyFill="1" applyBorder="1" applyAlignment="1" applyProtection="1">
      <alignment horizontal="left" vertical="center"/>
      <protection locked="0"/>
    </xf>
    <xf numFmtId="0" fontId="158" fillId="32" borderId="72" xfId="1" applyFont="1" applyFill="1" applyBorder="1" applyAlignment="1" applyProtection="1">
      <alignment horizontal="left" vertical="center"/>
      <protection locked="0"/>
    </xf>
    <xf numFmtId="0" fontId="158" fillId="0" borderId="2" xfId="105" applyFont="1" applyFill="1" applyBorder="1" applyAlignment="1" applyProtection="1">
      <alignment horizontal="left" vertical="center"/>
      <protection locked="0"/>
    </xf>
    <xf numFmtId="0" fontId="158" fillId="0" borderId="2" xfId="1" applyFont="1" applyFill="1" applyBorder="1" applyAlignment="1" applyProtection="1">
      <alignment horizontal="left" vertical="center"/>
      <protection locked="0"/>
    </xf>
    <xf numFmtId="0" fontId="9" fillId="31" borderId="0" xfId="1" applyFont="1" applyFill="1" applyAlignment="1" applyProtection="1">
      <alignment horizontal="center" vertical="center"/>
      <protection locked="0"/>
    </xf>
    <xf numFmtId="0" fontId="9" fillId="31" borderId="0" xfId="1" applyFont="1" applyFill="1" applyAlignment="1" applyProtection="1">
      <alignment vertical="center" wrapText="1"/>
      <protection locked="0"/>
    </xf>
    <xf numFmtId="0" fontId="158" fillId="0" borderId="2" xfId="105" applyFont="1" applyFill="1" applyBorder="1" applyAlignment="1" applyProtection="1">
      <alignment horizontal="left" vertical="center" wrapText="1"/>
      <protection locked="0"/>
    </xf>
    <xf numFmtId="0" fontId="158" fillId="0" borderId="71" xfId="105" applyFont="1" applyFill="1" applyBorder="1" applyAlignment="1" applyProtection="1">
      <alignment horizontal="left" vertical="center" wrapText="1"/>
      <protection locked="0"/>
    </xf>
    <xf numFmtId="1" fontId="126" fillId="4" borderId="74" xfId="1" applyNumberFormat="1" applyFont="1" applyFill="1" applyBorder="1" applyAlignment="1" applyProtection="1">
      <alignment horizontal="center" vertical="center"/>
    </xf>
    <xf numFmtId="1" fontId="126" fillId="4" borderId="75" xfId="1" applyNumberFormat="1" applyFont="1" applyFill="1" applyBorder="1" applyAlignment="1" applyProtection="1">
      <alignment horizontal="center" vertical="center"/>
    </xf>
    <xf numFmtId="1" fontId="101" fillId="27" borderId="74" xfId="1" applyNumberFormat="1" applyFont="1" applyFill="1" applyBorder="1" applyAlignment="1" applyProtection="1">
      <alignment horizontal="center" vertical="center"/>
    </xf>
    <xf numFmtId="1" fontId="101" fillId="27" borderId="75" xfId="1" applyNumberFormat="1" applyFont="1" applyFill="1" applyBorder="1" applyAlignment="1" applyProtection="1">
      <alignment horizontal="center" vertical="center"/>
    </xf>
    <xf numFmtId="1" fontId="101" fillId="4" borderId="74" xfId="1" applyNumberFormat="1" applyFont="1" applyFill="1" applyBorder="1" applyAlignment="1" applyProtection="1">
      <alignment horizontal="center" vertical="center"/>
    </xf>
    <xf numFmtId="1" fontId="101" fillId="4" borderId="75" xfId="1" applyNumberFormat="1" applyFont="1" applyFill="1" applyBorder="1" applyAlignment="1" applyProtection="1">
      <alignment horizontal="center" vertical="center"/>
    </xf>
    <xf numFmtId="0" fontId="109" fillId="31" borderId="0" xfId="1" applyFont="1" applyFill="1" applyBorder="1" applyAlignment="1" applyProtection="1">
      <alignment horizontal="right" vertical="top"/>
      <protection locked="0"/>
    </xf>
  </cellXfs>
  <cellStyles count="181">
    <cellStyle name="20% - Akzent1" xfId="3"/>
    <cellStyle name="20% - Akzent2" xfId="4"/>
    <cellStyle name="20% - Akzent3" xfId="5"/>
    <cellStyle name="20% - Akzent4" xfId="6"/>
    <cellStyle name="20% - Akzent5" xfId="7"/>
    <cellStyle name="20% - Akzent6" xfId="8"/>
    <cellStyle name="40% - Akzent1" xfId="9"/>
    <cellStyle name="40% - Akzent2" xfId="10"/>
    <cellStyle name="40% - Akzent3" xfId="11"/>
    <cellStyle name="40% - Akzent4" xfId="12"/>
    <cellStyle name="40% - Akzent5" xfId="13"/>
    <cellStyle name="40% - Akzent6" xfId="14"/>
    <cellStyle name="60% - Akzent1" xfId="15"/>
    <cellStyle name="60% - Akzent2" xfId="16"/>
    <cellStyle name="60% - Akzent3" xfId="17"/>
    <cellStyle name="60% - Akzent4" xfId="18"/>
    <cellStyle name="60% - Akzent5" xfId="19"/>
    <cellStyle name="60% - Akzent6" xfId="20"/>
    <cellStyle name="Akzent1 2" xfId="21"/>
    <cellStyle name="Akzent2 2" xfId="22"/>
    <cellStyle name="Akzent3 2" xfId="23"/>
    <cellStyle name="Akzent4 2" xfId="24"/>
    <cellStyle name="Akzent5 2" xfId="25"/>
    <cellStyle name="Akzent6 2" xfId="26"/>
    <cellStyle name="Ausgabe 2" xfId="27"/>
    <cellStyle name="Ausgabe 3" xfId="122"/>
    <cellStyle name="Berechnung 2" xfId="28"/>
    <cellStyle name="Berechnung 3" xfId="130"/>
    <cellStyle name="blau" xfId="123"/>
    <cellStyle name="Dezimal (2)" xfId="29"/>
    <cellStyle name="Dezimal (2) 2" xfId="146"/>
    <cellStyle name="Dezimal [1]" xfId="30"/>
    <cellStyle name="Dezimal [1] 2" xfId="31"/>
    <cellStyle name="Dezimal [1] 2 2" xfId="32"/>
    <cellStyle name="Dezimal [1] 2 2 2" xfId="149"/>
    <cellStyle name="Dezimal [1] 2 3" xfId="148"/>
    <cellStyle name="Dezimal [1] 3" xfId="33"/>
    <cellStyle name="Dezimal [1] 3 2" xfId="150"/>
    <cellStyle name="Dezimal [1] 4" xfId="147"/>
    <cellStyle name="Eingabe 2" xfId="34"/>
    <cellStyle name="Eingabe2kommastelle" xfId="35"/>
    <cellStyle name="Eingabe2kommastelle 2" xfId="151"/>
    <cellStyle name="Ergebnis 2" xfId="36"/>
    <cellStyle name="Erklärender Text 2" xfId="37"/>
    <cellStyle name="Euro" xfId="38"/>
    <cellStyle name="Euro 2" xfId="39"/>
    <cellStyle name="Euro 2 2" xfId="40"/>
    <cellStyle name="Euro 2 2 2" xfId="153"/>
    <cellStyle name="Euro 2 3" xfId="152"/>
    <cellStyle name="Euro 3" xfId="41"/>
    <cellStyle name="Euro 3 2" xfId="154"/>
    <cellStyle name="Euro 4" xfId="42"/>
    <cellStyle name="Euro 4 2" xfId="155"/>
    <cellStyle name="Euro 5" xfId="140"/>
    <cellStyle name="Euro_Tabak_Kalkulation 2010 Auflagen 15_55_71_72_101116" xfId="43"/>
    <cellStyle name="europrom3" xfId="44"/>
    <cellStyle name="Gut 2" xfId="45"/>
    <cellStyle name="Hyperlink 2" xfId="46"/>
    <cellStyle name="Hyperlink 2 2" xfId="145"/>
    <cellStyle name="Hyperlink 3" xfId="47"/>
    <cellStyle name="Komma 2" xfId="48"/>
    <cellStyle name="Komma 2 2" xfId="156"/>
    <cellStyle name="Komma 3" xfId="49"/>
    <cellStyle name="Komma 3 2" xfId="50"/>
    <cellStyle name="Komma 4" xfId="142"/>
    <cellStyle name="Link" xfId="2" builtinId="8"/>
    <cellStyle name="Link 2" xfId="141"/>
    <cellStyle name="M_w_Z+%2_Sz_AS10_R_G" xfId="51"/>
    <cellStyle name="M_w_Z+%2_Sz_AS10_R_G 2" xfId="157"/>
    <cellStyle name="M_w_Z+2nr_Sz_AS10_R_G" xfId="52"/>
    <cellStyle name="M_w_Z+2nr_Sz_AS10_R_G 2" xfId="158"/>
    <cellStyle name="matrix_allgem" xfId="53"/>
    <cellStyle name="Matrix1" xfId="54"/>
    <cellStyle name="Matrix1 2" xfId="143"/>
    <cellStyle name="MatrixNr" xfId="55"/>
    <cellStyle name="Neutral 2" xfId="56"/>
    <cellStyle name="Notiz 2" xfId="57"/>
    <cellStyle name="Notiz 2 2" xfId="58"/>
    <cellStyle name="Notiz 2 2 2" xfId="160"/>
    <cellStyle name="Notiz 2 3" xfId="159"/>
    <cellStyle name="Notiz 3" xfId="59"/>
    <cellStyle name="Notiz 3 2" xfId="161"/>
    <cellStyle name="Notiz 4" xfId="60"/>
    <cellStyle name="Notiz 4 2" xfId="162"/>
    <cellStyle name="Prozent 2" xfId="61"/>
    <cellStyle name="Prozent 2 2" xfId="135"/>
    <cellStyle name="Prozent 3" xfId="62"/>
    <cellStyle name="Prozent 3 2" xfId="163"/>
    <cellStyle name="Prozent 4" xfId="63"/>
    <cellStyle name="Prozent 4 2" xfId="64"/>
    <cellStyle name="Prozent 5" xfId="131"/>
    <cellStyle name="Schlecht 2" xfId="65"/>
    <cellStyle name="Spaltenüberschrift" xfId="66"/>
    <cellStyle name="Standard" xfId="0" builtinId="0"/>
    <cellStyle name="Standard 10" xfId="178"/>
    <cellStyle name="Standard 11" xfId="179"/>
    <cellStyle name="Standard 12" xfId="180"/>
    <cellStyle name="Standard 2" xfId="1"/>
    <cellStyle name="Standard 2 2" xfId="67"/>
    <cellStyle name="Standard 2 2 2" xfId="164"/>
    <cellStyle name="Standard 2 3" xfId="68"/>
    <cellStyle name="Standard 2 4" xfId="69"/>
    <cellStyle name="Standard 3" xfId="70"/>
    <cellStyle name="Standard 3 2" xfId="136"/>
    <cellStyle name="Standard 3 3" xfId="144"/>
    <cellStyle name="Standard 4" xfId="71"/>
    <cellStyle name="Standard 4 2" xfId="72"/>
    <cellStyle name="Standard 4 2 2" xfId="73"/>
    <cellStyle name="Standard 4 2 2 2" xfId="74"/>
    <cellStyle name="Standard 4 2 2 2 2" xfId="75"/>
    <cellStyle name="Standard 4 2 2 3" xfId="76"/>
    <cellStyle name="Standard 4 2 2 4" xfId="77"/>
    <cellStyle name="Standard 4 2 2 5" xfId="78"/>
    <cellStyle name="Standard 4 2 3" xfId="79"/>
    <cellStyle name="Standard 4 2 3 2" xfId="80"/>
    <cellStyle name="Standard 4 2 4" xfId="81"/>
    <cellStyle name="Standard 4 2 5" xfId="82"/>
    <cellStyle name="Standard 4 2 6" xfId="83"/>
    <cellStyle name="Standard 4 3" xfId="84"/>
    <cellStyle name="Standard 4 3 2" xfId="85"/>
    <cellStyle name="Standard 4 3 2 2" xfId="86"/>
    <cellStyle name="Standard 4 3 3" xfId="87"/>
    <cellStyle name="Standard 4 3 4" xfId="88"/>
    <cellStyle name="Standard 4 3 5" xfId="89"/>
    <cellStyle name="Standard 4 4" xfId="90"/>
    <cellStyle name="Standard 4 4 2" xfId="91"/>
    <cellStyle name="Standard 4 5" xfId="92"/>
    <cellStyle name="Standard 4 6" xfId="93"/>
    <cellStyle name="Standard 4 7" xfId="94"/>
    <cellStyle name="Standard 5" xfId="95"/>
    <cellStyle name="Standard 5 2" xfId="96"/>
    <cellStyle name="Standard 5 2 2" xfId="97"/>
    <cellStyle name="Standard 5 3" xfId="98"/>
    <cellStyle name="Standard 5 4" xfId="99"/>
    <cellStyle name="Standard 5 5" xfId="100"/>
    <cellStyle name="Standard 5 5 2" xfId="165"/>
    <cellStyle name="Standard 5 6" xfId="101"/>
    <cellStyle name="Standard 5 7" xfId="133"/>
    <cellStyle name="Standard 6" xfId="102"/>
    <cellStyle name="Standard 7" xfId="132"/>
    <cellStyle name="Standard 8" xfId="134"/>
    <cellStyle name="Standard 8 2" xfId="172"/>
    <cellStyle name="Standard 9" xfId="139"/>
    <cellStyle name="Standard 9 2" xfId="174"/>
    <cellStyle name="Standard neu" xfId="103"/>
    <cellStyle name="Standard neu 2" xfId="104"/>
    <cellStyle name="Standard neu 2 2" xfId="166"/>
    <cellStyle name="Standard_db" xfId="105"/>
    <cellStyle name="Standard_PSM1" xfId="124"/>
    <cellStyle name="Standard_PSM1 2" xfId="106"/>
    <cellStyle name="Stil 1" xfId="107"/>
    <cellStyle name="Stil 1 2" xfId="128"/>
    <cellStyle name="Stil 2" xfId="125"/>
    <cellStyle name="Stil 3" xfId="126"/>
    <cellStyle name="Stil 3 2" xfId="127"/>
    <cellStyle name="Stil 3 2 2" xfId="138"/>
    <cellStyle name="Stil 3 3" xfId="137"/>
    <cellStyle name="Text" xfId="108"/>
    <cellStyle name="Text 2" xfId="109"/>
    <cellStyle name="Text 2 2" xfId="110"/>
    <cellStyle name="Text 2 2 2" xfId="169"/>
    <cellStyle name="Text 2 3" xfId="168"/>
    <cellStyle name="Text 3" xfId="111"/>
    <cellStyle name="Text 3 2" xfId="170"/>
    <cellStyle name="Text 4" xfId="167"/>
    <cellStyle name="Überschrift 1 2" xfId="112"/>
    <cellStyle name="Überschrift 2 2" xfId="113"/>
    <cellStyle name="Überschrift 3 2" xfId="114"/>
    <cellStyle name="Überschrift 4 2" xfId="115"/>
    <cellStyle name="Überschrift 5" xfId="116"/>
    <cellStyle name="Verknüpfte Zelle 2" xfId="117"/>
    <cellStyle name="Verknüpfte Zelle 3" xfId="129"/>
    <cellStyle name="Währung 2" xfId="118"/>
    <cellStyle name="Währung 2 2" xfId="171"/>
    <cellStyle name="Währung 2 2 2" xfId="175"/>
    <cellStyle name="Währung 2 2 3" xfId="177"/>
    <cellStyle name="Währung 2 3" xfId="173"/>
    <cellStyle name="Währung 2 4" xfId="176"/>
    <cellStyle name="Warnender Text 2" xfId="119"/>
    <cellStyle name="ZeileSpalterot" xfId="120"/>
    <cellStyle name="Zelle überprüfen 2" xfId="121"/>
  </cellStyles>
  <dxfs count="1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43"/>
      </font>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
      <fill>
        <patternFill>
          <bgColor indexed="9"/>
        </patternFill>
      </fill>
      <border>
        <left/>
        <right/>
        <top/>
      </border>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s>
  <tableStyles count="0" defaultTableStyle="TableStyleMedium2" defaultPivotStyle="PivotStyleLight16"/>
  <colors>
    <mruColors>
      <color rgb="FFFFFF99"/>
      <color rgb="FF33CC33"/>
      <color rgb="FF99FF99"/>
      <color rgb="FF99CCFF"/>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33CC33"/>
            </a:solidFill>
            <a:ln w="25400">
              <a:noFill/>
            </a:ln>
          </c:spPr>
          <c:invertIfNegative val="1"/>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687.63063785098007</c:v>
                </c:pt>
                <c:pt idx="1">
                  <c:v>324.94087024627447</c:v>
                </c:pt>
                <c:pt idx="2">
                  <c:v>181.83490143215704</c:v>
                </c:pt>
                <c:pt idx="3">
                  <c:v>391.77840019137273</c:v>
                </c:pt>
                <c:pt idx="4">
                  <c:v>811.28977287451016</c:v>
                </c:pt>
                <c:pt idx="5">
                  <c:v>115.25308294745082</c:v>
                </c:pt>
                <c:pt idx="6">
                  <c:v>316.19022156235269</c:v>
                </c:pt>
                <c:pt idx="7">
                  <c:v>670.5062959973111</c:v>
                </c:pt>
                <c:pt idx="8">
                  <c:v>899.65584121916004</c:v>
                </c:pt>
                <c:pt idx="9">
                  <c:v>894.59106349546232</c:v>
                </c:pt>
                <c:pt idx="10">
                  <c:v>1307.1291196301397</c:v>
                </c:pt>
              </c:numCache>
            </c:numRef>
          </c:val>
          <c:extLst>
            <c:ext xmlns:c14="http://schemas.microsoft.com/office/drawing/2007/8/2/chart" uri="{6F2FDCE9-48DA-4B69-8628-5D25D57E5C99}">
              <c14:invertSolidFillFmt>
                <c14:spPr xmlns:c14="http://schemas.microsoft.com/office/drawing/2007/8/2/chart">
                  <a:solidFill>
                    <a:srgbClr val="FF0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rgbClr val="99FF99"/>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'EK1'!$D$21:$J$21</c:f>
              <c:numCache>
                <c:formatCode>#,##0____</c:formatCode>
                <c:ptCount val="7"/>
                <c:pt idx="0">
                  <c:v>432.60479126745099</c:v>
                </c:pt>
                <c:pt idx="1">
                  <c:v>220.71631684862791</c:v>
                </c:pt>
                <c:pt idx="2">
                  <c:v>209.03696346980382</c:v>
                </c:pt>
                <c:pt idx="3">
                  <c:v>579.4450880203924</c:v>
                </c:pt>
                <c:pt idx="4">
                  <c:v>523.28536609803973</c:v>
                </c:pt>
                <c:pt idx="5">
                  <c:v>-186.72837006823531</c:v>
                </c:pt>
                <c:pt idx="6">
                  <c:v>330.03514683098075</c:v>
                </c:pt>
              </c:numCache>
            </c:numRef>
          </c:val>
          <c:extLst>
            <c:ext xmlns:c16="http://schemas.microsoft.com/office/drawing/2014/chart" uri="{C3380CC4-5D6E-409C-BE32-E72D297353CC}">
              <c16:uniqueId val="{00000000-56F1-4934-8FAB-652AC05A7A1E}"/>
            </c:ext>
          </c:extLst>
        </c:ser>
        <c:ser>
          <c:idx val="2"/>
          <c:order val="1"/>
          <c:tx>
            <c:v>mit Prämien</c:v>
          </c:tx>
          <c:spPr>
            <a:solidFill>
              <a:srgbClr val="33CC33"/>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'EK1'!$D$22:$J$22</c:f>
              <c:numCache>
                <c:formatCode>#,##0____</c:formatCode>
                <c:ptCount val="7"/>
                <c:pt idx="0">
                  <c:v>878.71758319104117</c:v>
                </c:pt>
                <c:pt idx="1">
                  <c:v>746.67258462105337</c:v>
                </c:pt>
                <c:pt idx="2">
                  <c:v>658.89344449149007</c:v>
                </c:pt>
                <c:pt idx="3">
                  <c:v>1104.1191492072373</c:v>
                </c:pt>
                <c:pt idx="4">
                  <c:v>969.89756630281909</c:v>
                </c:pt>
                <c:pt idx="5">
                  <c:v>267.5045776188382</c:v>
                </c:pt>
                <c:pt idx="6">
                  <c:v>907.31223695201163</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valAx>
      <c:spPr>
        <a:noFill/>
        <a:ln w="25400">
          <a:noFill/>
        </a:ln>
      </c:spPr>
    </c:plotArea>
    <c:legend>
      <c:legendPos val="r"/>
      <c:layout>
        <c:manualLayout>
          <c:xMode val="edge"/>
          <c:yMode val="edge"/>
          <c:x val="0.80000095635818791"/>
          <c:y val="5.5474452554744529E-2"/>
          <c:w val="0.12493299741573577"/>
          <c:h val="9.3129084198082468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53973668271E-2"/>
          <c:y val="0.12802274926748169"/>
          <c:w val="0.88039457459926018"/>
          <c:h val="0.68807339449541283"/>
        </c:manualLayout>
      </c:layout>
      <c:barChart>
        <c:barDir val="col"/>
        <c:grouping val="clustered"/>
        <c:varyColors val="0"/>
        <c:ser>
          <c:idx val="1"/>
          <c:order val="0"/>
          <c:tx>
            <c:v>ohne Prämien</c:v>
          </c:tx>
          <c:spPr>
            <a:solidFill>
              <a:srgbClr val="99FF99"/>
            </a:solidFill>
            <a:ln w="0">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'EK2'!$D$21:$J$21</c:f>
              <c:numCache>
                <c:formatCode>#,##0____</c:formatCode>
                <c:ptCount val="7"/>
                <c:pt idx="0">
                  <c:v>770.43895961882345</c:v>
                </c:pt>
                <c:pt idx="1">
                  <c:v>408.6329565145104</c:v>
                </c:pt>
                <c:pt idx="2">
                  <c:v>144.94044754039226</c:v>
                </c:pt>
                <c:pt idx="3">
                  <c:v>176.10768690352961</c:v>
                </c:pt>
                <c:pt idx="4">
                  <c:v>811.28977287451016</c:v>
                </c:pt>
                <c:pt idx="5">
                  <c:v>0</c:v>
                </c:pt>
                <c:pt idx="6">
                  <c:v>488.65121558776502</c:v>
                </c:pt>
              </c:numCache>
            </c:numRef>
          </c:val>
          <c:extLst>
            <c:ext xmlns:c16="http://schemas.microsoft.com/office/drawing/2014/chart" uri="{C3380CC4-5D6E-409C-BE32-E72D297353CC}">
              <c16:uniqueId val="{00000000-6497-4ACE-B1C3-F99A7A2FB09C}"/>
            </c:ext>
          </c:extLst>
        </c:ser>
        <c:ser>
          <c:idx val="2"/>
          <c:order val="1"/>
          <c:tx>
            <c:v>mit Prämien</c:v>
          </c:tx>
          <c:spPr>
            <a:solidFill>
              <a:srgbClr val="33CC33"/>
            </a:solidFill>
          </c:spPr>
          <c:invertIfNegative val="0"/>
          <c:dLbls>
            <c:spPr>
              <a:noFill/>
              <a:ln>
                <a:noFill/>
              </a:ln>
              <a:effectLst/>
            </c:spPr>
            <c:txPr>
              <a:bodyPr/>
              <a:lstStyle/>
              <a:p>
                <a:pPr algn="ctr">
                  <a:defRPr lang="de-DE" sz="1000" b="0" i="0" u="none" strike="noStrike" kern="1200"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'EK2'!$D$22:$J$22</c:f>
              <c:numCache>
                <c:formatCode>#,##0____</c:formatCode>
                <c:ptCount val="7"/>
                <c:pt idx="0">
                  <c:v>1215.1503005154882</c:v>
                </c:pt>
                <c:pt idx="1">
                  <c:v>933.38974488401232</c:v>
                </c:pt>
                <c:pt idx="2">
                  <c:v>695.76299200418634</c:v>
                </c:pt>
                <c:pt idx="3">
                  <c:v>621.61529583060212</c:v>
                </c:pt>
                <c:pt idx="4">
                  <c:v>1256.6874172883092</c:v>
                </c:pt>
                <c:pt idx="5">
                  <c:v>0</c:v>
                </c:pt>
                <c:pt idx="6">
                  <c:v>968.28382539250231</c:v>
                </c:pt>
              </c:numCache>
            </c:numRef>
          </c:val>
          <c:extLst>
            <c:ext xmlns:c16="http://schemas.microsoft.com/office/drawing/2014/chart" uri="{C3380CC4-5D6E-409C-BE32-E72D297353CC}">
              <c16:uniqueId val="{00000001-6497-4ACE-B1C3-F99A7A2FB09C}"/>
            </c:ext>
          </c:extLst>
        </c:ser>
        <c:dLbls>
          <c:showLegendKey val="0"/>
          <c:showVal val="0"/>
          <c:showCatName val="0"/>
          <c:showSerName val="0"/>
          <c:showPercent val="0"/>
          <c:showBubbleSize val="0"/>
        </c:dLbls>
        <c:gapWidth val="150"/>
        <c:axId val="104964864"/>
        <c:axId val="104966400"/>
      </c:barChart>
      <c:catAx>
        <c:axId val="104964864"/>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966400"/>
        <c:crosses val="autoZero"/>
        <c:auto val="0"/>
        <c:lblAlgn val="ctr"/>
        <c:lblOffset val="100"/>
        <c:noMultiLvlLbl val="0"/>
      </c:catAx>
      <c:valAx>
        <c:axId val="104966400"/>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3.7394561509770795E-2"/>
              <c:y val="4.226964244541624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964864"/>
        <c:crosses val="autoZero"/>
        <c:crossBetween val="between"/>
      </c:valAx>
      <c:spPr>
        <a:noFill/>
        <a:ln w="25400">
          <a:noFill/>
        </a:ln>
      </c:spPr>
    </c:plotArea>
    <c:legend>
      <c:legendPos val="r"/>
      <c:layout>
        <c:manualLayout>
          <c:xMode val="edge"/>
          <c:yMode val="edge"/>
          <c:x val="0.80000095635818791"/>
          <c:y val="5.5474452554744529E-2"/>
          <c:w val="0.11781921862972709"/>
          <c:h val="8.3699569952618874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65994631835E-2"/>
          <c:y val="0.15719257920259347"/>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EÖ1!$D$22:$S$22</c:f>
              <c:numCache>
                <c:formatCode>#,##0____</c:formatCode>
                <c:ptCount val="16"/>
                <c:pt idx="0">
                  <c:v>327.74832503372545</c:v>
                </c:pt>
                <c:pt idx="1">
                  <c:v>272.91499170039214</c:v>
                </c:pt>
                <c:pt idx="2">
                  <c:v>760.22757451193297</c:v>
                </c:pt>
                <c:pt idx="3">
                  <c:v>1050.117792522801</c:v>
                </c:pt>
                <c:pt idx="4">
                  <c:v>601.19873990095243</c:v>
                </c:pt>
                <c:pt idx="5">
                  <c:v>985.5880120936697</c:v>
                </c:pt>
                <c:pt idx="6">
                  <c:v>894.59106349546232</c:v>
                </c:pt>
                <c:pt idx="7">
                  <c:v>899.65584121916004</c:v>
                </c:pt>
                <c:pt idx="8">
                  <c:v>670.5062959973111</c:v>
                </c:pt>
                <c:pt idx="9">
                  <c:v>1092.6267303364712</c:v>
                </c:pt>
                <c:pt idx="10">
                  <c:v>886.71254591999946</c:v>
                </c:pt>
                <c:pt idx="11">
                  <c:v>1753.7835668541179</c:v>
                </c:pt>
                <c:pt idx="12">
                  <c:v>1307.1291196301397</c:v>
                </c:pt>
                <c:pt idx="13">
                  <c:v>996.40826699596641</c:v>
                </c:pt>
                <c:pt idx="14">
                  <c:v>7031.4615986387662</c:v>
                </c:pt>
                <c:pt idx="15">
                  <c:v>0</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33CC33"/>
            </a:solidFill>
            <a:ln>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EÖ1!$D$23:$S$23</c:f>
              <c:numCache>
                <c:formatCode>#,##0____</c:formatCode>
                <c:ptCount val="16"/>
                <c:pt idx="0">
                  <c:v>1026.0161228777706</c:v>
                </c:pt>
                <c:pt idx="1">
                  <c:v>970.70299787777049</c:v>
                </c:pt>
                <c:pt idx="2">
                  <c:v>1346.3603991222456</c:v>
                </c:pt>
                <c:pt idx="3">
                  <c:v>1735.3501565407087</c:v>
                </c:pt>
                <c:pt idx="4">
                  <c:v>1186.2585622084189</c:v>
                </c:pt>
                <c:pt idx="5">
                  <c:v>1572.3295051161558</c:v>
                </c:pt>
                <c:pt idx="6">
                  <c:v>1480.7434019677141</c:v>
                </c:pt>
                <c:pt idx="7">
                  <c:v>1485.0530381631609</c:v>
                </c:pt>
                <c:pt idx="8">
                  <c:v>1256.2542260872876</c:v>
                </c:pt>
                <c:pt idx="9">
                  <c:v>1681.4468183935821</c:v>
                </c:pt>
                <c:pt idx="10">
                  <c:v>1476.4382806967992</c:v>
                </c:pt>
                <c:pt idx="11">
                  <c:v>2340.9916730640916</c:v>
                </c:pt>
                <c:pt idx="12">
                  <c:v>1886.6781660935699</c:v>
                </c:pt>
                <c:pt idx="13">
                  <c:v>1578.593651832181</c:v>
                </c:pt>
                <c:pt idx="14">
                  <c:v>7591.8470438768554</c:v>
                </c:pt>
                <c:pt idx="15">
                  <c:v>0</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788736"/>
        <c:crosses val="autoZero"/>
        <c:auto val="0"/>
        <c:lblAlgn val="ctr"/>
        <c:lblOffset val="100"/>
        <c:noMultiLvlLbl val="0"/>
      </c:catAx>
      <c:valAx>
        <c:axId val="10478873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774656"/>
        <c:crosses val="autoZero"/>
        <c:crossBetween val="between"/>
      </c:valAx>
      <c:spPr>
        <a:noFill/>
        <a:ln w="25400">
          <a:noFill/>
        </a:ln>
      </c:spPr>
    </c:plotArea>
    <c:legend>
      <c:legendPos val="r"/>
      <c:layout>
        <c:manualLayout>
          <c:xMode val="edge"/>
          <c:yMode val="edge"/>
          <c:x val="0.80000095635818791"/>
          <c:y val="5.5474452554744529E-2"/>
          <c:w val="0.14979778337424421"/>
          <c:h val="0.17372281931911795"/>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2941-4055-9B3B-7FEECE22F199}"/>
              </c:ext>
            </c:extLst>
          </c:dPt>
          <c:dPt>
            <c:idx val="8"/>
            <c:invertIfNegative val="0"/>
            <c:bubble3D val="0"/>
            <c:extLst>
              <c:ext xmlns:c16="http://schemas.microsoft.com/office/drawing/2014/chart" uri="{C3380CC4-5D6E-409C-BE32-E72D297353CC}">
                <c16:uniqueId val="{00000001-2941-4055-9B3B-7FEECE22F199}"/>
              </c:ext>
            </c:extLst>
          </c:dPt>
          <c:dLbls>
            <c:dLbl>
              <c:idx val="0"/>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41-4055-9B3B-7FEECE22F199}"/>
                </c:ext>
              </c:extLst>
            </c:dLbl>
            <c:dLbl>
              <c:idx val="1"/>
              <c:layout>
                <c:manualLayout>
                  <c:x val="-1.1423644740839553E-2"/>
                  <c:y val="-2.25800939936416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41-4055-9B3B-7FEECE22F199}"/>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41-4055-9B3B-7FEECE22F199}"/>
                </c:ext>
              </c:extLst>
            </c:dLbl>
            <c:dLbl>
              <c:idx val="3"/>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41-4055-9B3B-7FEECE22F199}"/>
                </c:ext>
              </c:extLst>
            </c:dLbl>
            <c:dLbl>
              <c:idx val="4"/>
              <c:layout>
                <c:manualLayout>
                  <c:x val="-9.9956891482346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41-4055-9B3B-7FEECE22F199}"/>
                </c:ext>
              </c:extLst>
            </c:dLbl>
            <c:dLbl>
              <c:idx val="5"/>
              <c:layout>
                <c:manualLayout>
                  <c:x val="-1.1423644740839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41-4055-9B3B-7FEECE22F199}"/>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41-4055-9B3B-7FEECE22F199}"/>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a:noFill/>
              </a:ln>
            </c:spPr>
            <c:trendlineType val="log"/>
            <c:dispRSqr val="0"/>
            <c:dispEq val="0"/>
          </c:trendline>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EÖ2!$D$22:$L$22</c:f>
              <c:numCache>
                <c:formatCode>#,##0____</c:formatCode>
                <c:ptCount val="9"/>
                <c:pt idx="0">
                  <c:v>327.74832503372545</c:v>
                </c:pt>
                <c:pt idx="1">
                  <c:v>760.22757451193297</c:v>
                </c:pt>
                <c:pt idx="2">
                  <c:v>1092.6267303364712</c:v>
                </c:pt>
                <c:pt idx="3">
                  <c:v>670.5062959973111</c:v>
                </c:pt>
                <c:pt idx="4">
                  <c:v>0</c:v>
                </c:pt>
                <c:pt idx="5">
                  <c:v>0</c:v>
                </c:pt>
                <c:pt idx="6">
                  <c:v>0</c:v>
                </c:pt>
                <c:pt idx="7">
                  <c:v>0</c:v>
                </c:pt>
                <c:pt idx="8">
                  <c:v>65.549665006745087</c:v>
                </c:pt>
              </c:numCache>
            </c:numRef>
          </c:val>
          <c:extLst>
            <c:ext xmlns:c16="http://schemas.microsoft.com/office/drawing/2014/chart" uri="{C3380CC4-5D6E-409C-BE32-E72D297353CC}">
              <c16:uniqueId val="{00000008-2941-4055-9B3B-7FEECE22F199}"/>
            </c:ext>
          </c:extLst>
        </c:ser>
        <c:ser>
          <c:idx val="1"/>
          <c:order val="1"/>
          <c:tx>
            <c:v>mit Prämien</c:v>
          </c:tx>
          <c:spPr>
            <a:solidFill>
              <a:srgbClr val="33CC33"/>
            </a:solidFill>
            <a:ln>
              <a:noFill/>
            </a:ln>
          </c:spPr>
          <c:invertIfNegative val="0"/>
          <c:dLbls>
            <c:spPr>
              <a:solidFill>
                <a:sysClr val="window" lastClr="FFFFFF"/>
              </a:solidFill>
              <a:ln>
                <a:noFill/>
              </a:ln>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EÖ2!$D$23:$L$23</c:f>
              <c:numCache>
                <c:formatCode>#,##0____</c:formatCode>
                <c:ptCount val="9"/>
                <c:pt idx="0">
                  <c:v>1026.0161228777706</c:v>
                </c:pt>
                <c:pt idx="1">
                  <c:v>1346.3603991222456</c:v>
                </c:pt>
                <c:pt idx="2">
                  <c:v>1681.4468183935821</c:v>
                </c:pt>
                <c:pt idx="3">
                  <c:v>1256.2542260872876</c:v>
                </c:pt>
                <c:pt idx="4">
                  <c:v>0</c:v>
                </c:pt>
                <c:pt idx="5">
                  <c:v>0</c:v>
                </c:pt>
                <c:pt idx="6">
                  <c:v>0</c:v>
                </c:pt>
                <c:pt idx="7">
                  <c:v>0</c:v>
                </c:pt>
                <c:pt idx="8">
                  <c:v>205.20322457555412</c:v>
                </c:pt>
              </c:numCache>
            </c:numRef>
          </c:val>
          <c:extLst>
            <c:ext xmlns:c16="http://schemas.microsoft.com/office/drawing/2014/chart" uri="{C3380CC4-5D6E-409C-BE32-E72D297353CC}">
              <c16:uniqueId val="{00000009-2941-4055-9B3B-7FEECE22F199}"/>
            </c:ext>
          </c:extLst>
        </c:ser>
        <c:dLbls>
          <c:showLegendKey val="0"/>
          <c:showVal val="0"/>
          <c:showCatName val="0"/>
          <c:showSerName val="0"/>
          <c:showPercent val="0"/>
          <c:showBubbleSize val="0"/>
        </c:dLbls>
        <c:gapWidth val="150"/>
        <c:axId val="104872192"/>
        <c:axId val="104882176"/>
      </c:barChart>
      <c:catAx>
        <c:axId val="104872192"/>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882176"/>
        <c:crosses val="autoZero"/>
        <c:auto val="0"/>
        <c:lblAlgn val="ctr"/>
        <c:lblOffset val="100"/>
        <c:noMultiLvlLbl val="0"/>
      </c:catAx>
      <c:valAx>
        <c:axId val="1048821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081716249902E-2"/>
              <c:y val="6.654987757402808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872192"/>
        <c:crosses val="autoZero"/>
        <c:crossBetween val="between"/>
      </c:valAx>
      <c:spPr>
        <a:noFill/>
        <a:ln w="25400">
          <a:noFill/>
        </a:ln>
      </c:spPr>
    </c:plotArea>
    <c:legend>
      <c:legendPos val="r"/>
      <c:legendEntry>
        <c:idx val="2"/>
        <c:delete val="1"/>
      </c:legendEntry>
      <c:layout>
        <c:manualLayout>
          <c:xMode val="edge"/>
          <c:yMode val="edge"/>
          <c:x val="0.8000005490945431"/>
          <c:y val="5.2348993288590599E-2"/>
          <c:w val="0.14644362446326009"/>
          <c:h val="0.17315453856858495"/>
        </c:manualLayout>
      </c:layout>
      <c:overlay val="0"/>
      <c:txPr>
        <a:bodyPr/>
        <a:lstStyle/>
        <a:p>
          <a:pPr>
            <a:defRPr lang="de-DE" sz="1200" b="0" i="0" u="none" strike="noStrike" kern="1200"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Zuckerrüben </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750dt/ha</c:v>
                  </c:pt>
                  <c:pt idx="1">
                    <c:v>70dt/ha</c:v>
                  </c:pt>
                  <c:pt idx="2">
                    <c:v>100dt/ha</c:v>
                  </c:pt>
                  <c:pt idx="3">
                    <c:v>40dt/ha</c:v>
                  </c:pt>
                  <c:pt idx="4">
                    <c:v>100dt/ha</c:v>
                  </c:pt>
                  <c:pt idx="5">
                    <c:v>100dt/ha</c:v>
                  </c:pt>
                  <c:pt idx="6">
                    <c:v>35dt/ha</c:v>
                  </c:pt>
                </c:lvl>
              </c:multiLvlStrCache>
            </c:multiLvlStrRef>
          </c:cat>
          <c:val>
            <c:numRef>
              <c:f>Kostenrechnung!$R$176:$X$176</c:f>
              <c:numCache>
                <c:formatCode>0.00\ </c:formatCode>
                <c:ptCount val="7"/>
                <c:pt idx="0" formatCode="#,##0.00__">
                  <c:v>3.5936648660150547</c:v>
                </c:pt>
                <c:pt idx="1">
                  <c:v>27.795238630991399</c:v>
                </c:pt>
                <c:pt idx="2" formatCode="#,##0.00__">
                  <c:v>23.871125827116913</c:v>
                </c:pt>
                <c:pt idx="3">
                  <c:v>51.30022582044613</c:v>
                </c:pt>
                <c:pt idx="4" formatCode="#,##0.00__">
                  <c:v>23.871125827116913</c:v>
                </c:pt>
                <c:pt idx="5" formatCode="General">
                  <c:v>0</c:v>
                </c:pt>
                <c:pt idx="6" formatCode="#,##0.00__">
                  <c:v>43.120369335594674</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Zuckerrüben </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750dt/ha</c:v>
                  </c:pt>
                  <c:pt idx="1">
                    <c:v>70dt/ha</c:v>
                  </c:pt>
                  <c:pt idx="2">
                    <c:v>100dt/ha</c:v>
                  </c:pt>
                  <c:pt idx="3">
                    <c:v>40dt/ha</c:v>
                  </c:pt>
                  <c:pt idx="4">
                    <c:v>100dt/ha</c:v>
                  </c:pt>
                  <c:pt idx="5">
                    <c:v>100dt/ha</c:v>
                  </c:pt>
                  <c:pt idx="6">
                    <c:v>35dt/ha</c:v>
                  </c:pt>
                </c:lvl>
              </c:multiLvlStrCache>
            </c:multiLvlStrRef>
          </c:cat>
          <c:val>
            <c:numRef>
              <c:f>Kostenrechnung!$R$177:$X$177</c:f>
              <c:numCache>
                <c:formatCode>0.00\ </c:formatCode>
                <c:ptCount val="7"/>
                <c:pt idx="0" formatCode="#,##0.00__">
                  <c:v>3.1068155509465618</c:v>
                </c:pt>
                <c:pt idx="1">
                  <c:v>21.289524345277115</c:v>
                </c:pt>
                <c:pt idx="2" formatCode="#,##0.00__">
                  <c:v>19.317125827116914</c:v>
                </c:pt>
                <c:pt idx="3">
                  <c:v>39.915225820446132</c:v>
                </c:pt>
                <c:pt idx="4" formatCode="#,##0.00__">
                  <c:v>19.317125827116914</c:v>
                </c:pt>
                <c:pt idx="5" formatCode="General">
                  <c:v>0</c:v>
                </c:pt>
                <c:pt idx="6" formatCode="#,##0.00__">
                  <c:v>30.108940764166103</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Zuckerrüben </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750dt/ha</c:v>
                  </c:pt>
                  <c:pt idx="1">
                    <c:v>70dt/ha</c:v>
                  </c:pt>
                  <c:pt idx="2">
                    <c:v>100dt/ha</c:v>
                  </c:pt>
                  <c:pt idx="3">
                    <c:v>40dt/ha</c:v>
                  </c:pt>
                  <c:pt idx="4">
                    <c:v>100dt/ha</c:v>
                  </c:pt>
                  <c:pt idx="5">
                    <c:v>100dt/ha</c:v>
                  </c:pt>
                  <c:pt idx="6">
                    <c:v>35dt/ha</c:v>
                  </c:pt>
                </c:lvl>
              </c:multiLvlStrCache>
            </c:multiLvlStrRef>
          </c:cat>
          <c:val>
            <c:numRef>
              <c:f>Kostenrechnung!$R$145:$X$145</c:f>
              <c:numCache>
                <c:formatCode>#,##0__</c:formatCode>
                <c:ptCount val="7"/>
                <c:pt idx="0">
                  <c:v>270.48002266733897</c:v>
                </c:pt>
                <c:pt idx="1">
                  <c:v>176.10768690352961</c:v>
                </c:pt>
                <c:pt idx="2">
                  <c:v>811.28977287451016</c:v>
                </c:pt>
                <c:pt idx="3">
                  <c:v>770.43895961882345</c:v>
                </c:pt>
                <c:pt idx="4">
                  <c:v>811.28977287451016</c:v>
                </c:pt>
                <c:pt idx="5" formatCode="General">
                  <c:v>0</c:v>
                </c:pt>
                <c:pt idx="6">
                  <c:v>155.90011420705878</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Zuckerrüben </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750dt/ha</c:v>
                  </c:pt>
                  <c:pt idx="1">
                    <c:v>70dt/ha</c:v>
                  </c:pt>
                  <c:pt idx="2">
                    <c:v>100dt/ha</c:v>
                  </c:pt>
                  <c:pt idx="3">
                    <c:v>40dt/ha</c:v>
                  </c:pt>
                  <c:pt idx="4">
                    <c:v>100dt/ha</c:v>
                  </c:pt>
                  <c:pt idx="5">
                    <c:v>100dt/ha</c:v>
                  </c:pt>
                  <c:pt idx="6">
                    <c:v>35dt/ha</c:v>
                  </c:pt>
                </c:lvl>
              </c:multiLvlStrCache>
            </c:multiLvlStrRef>
          </c:cat>
          <c:val>
            <c:numRef>
              <c:f>Kostenrechnung!$R$146:$X$146</c:f>
              <c:numCache>
                <c:formatCode>#,##0__</c:formatCode>
                <c:ptCount val="7"/>
                <c:pt idx="0">
                  <c:v>614.45198114234313</c:v>
                </c:pt>
                <c:pt idx="1">
                  <c:v>621.61529583060212</c:v>
                </c:pt>
                <c:pt idx="2">
                  <c:v>1256.6874172883092</c:v>
                </c:pt>
                <c:pt idx="3">
                  <c:v>1215.1503005154882</c:v>
                </c:pt>
                <c:pt idx="4">
                  <c:v>1256.6874172883092</c:v>
                </c:pt>
                <c:pt idx="5" formatCode="General">
                  <c:v>0</c:v>
                </c:pt>
                <c:pt idx="6">
                  <c:v>606.68907325418616</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6854552576841005E-3"/>
              <c:y val="1.6195357720566742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48217869184915552"/>
          <c:y val="0.90001933884490415"/>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Drop" dropLines="3" dropStyle="combo" dx="18" fmlaLink="W7" fmlaRange="$U$8:$U$9" noThreeD="1" sel="2" val="0"/>
</file>

<file path=xl/ctrlProps/ctrlProp10.xml><?xml version="1.0" encoding="utf-8"?>
<formControlPr xmlns="http://schemas.microsoft.com/office/spreadsheetml/2009/9/main" objectType="Drop" dropStyle="combo" dx="18" fmlaLink="AB34" fmlaRange="'SDK3'!$C$24:$C$92" noThreeD="1" sel="17"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3" lockText="1" noThreeD="1"/>
</file>

<file path=xl/ctrlProps/ctrlProp102.xml><?xml version="1.0" encoding="utf-8"?>
<formControlPr xmlns="http://schemas.microsoft.com/office/spreadsheetml/2009/9/main" objectType="CheckBox" fmlaLink="$T$4" lockText="1" noThreeD="1"/>
</file>

<file path=xl/ctrlProps/ctrlProp103.xml><?xml version="1.0" encoding="utf-8"?>
<formControlPr xmlns="http://schemas.microsoft.com/office/spreadsheetml/2009/9/main" objectType="CheckBox" fmlaLink="$T$4" lockText="1" noThreeD="1"/>
</file>

<file path=xl/ctrlProps/ctrlProp104.xml><?xml version="1.0" encoding="utf-8"?>
<formControlPr xmlns="http://schemas.microsoft.com/office/spreadsheetml/2009/9/main" objectType="CheckBox" fmlaLink="$T$3" lockText="1" noThreeD="1"/>
</file>

<file path=xl/ctrlProps/ctrlProp105.xml><?xml version="1.0" encoding="utf-8"?>
<formControlPr xmlns="http://schemas.microsoft.com/office/spreadsheetml/2009/9/main" objectType="CheckBox" checked="Checked" fmlaLink="$S$14" lockText="1" noThreeD="1"/>
</file>

<file path=xl/ctrlProps/ctrlProp106.xml><?xml version="1.0" encoding="utf-8"?>
<formControlPr xmlns="http://schemas.microsoft.com/office/spreadsheetml/2009/9/main" objectType="CheckBox" fmlaLink="$S$15" lockText="1" noThreeD="1"/>
</file>

<file path=xl/ctrlProps/ctrlProp107.xml><?xml version="1.0" encoding="utf-8"?>
<formControlPr xmlns="http://schemas.microsoft.com/office/spreadsheetml/2009/9/main" objectType="CheckBox" fmlaLink="$S$16" lockText="1" noThreeD="1"/>
</file>

<file path=xl/ctrlProps/ctrlProp108.xml><?xml version="1.0" encoding="utf-8"?>
<formControlPr xmlns="http://schemas.microsoft.com/office/spreadsheetml/2009/9/main" objectType="CheckBox" fmlaLink="$S$17" lockText="1" noThreeD="1"/>
</file>

<file path=xl/ctrlProps/ctrlProp109.xml><?xml version="1.0" encoding="utf-8"?>
<formControlPr xmlns="http://schemas.microsoft.com/office/spreadsheetml/2009/9/main" objectType="CheckBox" checked="Checked" fmlaLink="$R$14" lockText="1" noThreeD="1"/>
</file>

<file path=xl/ctrlProps/ctrlProp11.xml><?xml version="1.0" encoding="utf-8"?>
<formControlPr xmlns="http://schemas.microsoft.com/office/spreadsheetml/2009/9/main" objectType="Drop" dropStyle="combo" dx="18" fmlaLink="AB35" fmlaRange="'SDK3'!$C$24:$C$92" noThreeD="1" sel="1" val="0"/>
</file>

<file path=xl/ctrlProps/ctrlProp110.xml><?xml version="1.0" encoding="utf-8"?>
<formControlPr xmlns="http://schemas.microsoft.com/office/spreadsheetml/2009/9/main" objectType="CheckBox" fmlaLink="$R$15" lockText="1" noThreeD="1"/>
</file>

<file path=xl/ctrlProps/ctrlProp111.xml><?xml version="1.0" encoding="utf-8"?>
<formControlPr xmlns="http://schemas.microsoft.com/office/spreadsheetml/2009/9/main" objectType="CheckBox" fmlaLink="$R$16" lockText="1" noThreeD="1"/>
</file>

<file path=xl/ctrlProps/ctrlProp112.xml><?xml version="1.0" encoding="utf-8"?>
<formControlPr xmlns="http://schemas.microsoft.com/office/spreadsheetml/2009/9/main" objectType="CheckBox" fmlaLink="$R$17" lockText="1" noThreeD="1"/>
</file>

<file path=xl/ctrlProps/ctrlProp113.xml><?xml version="1.0" encoding="utf-8"?>
<formControlPr xmlns="http://schemas.microsoft.com/office/spreadsheetml/2009/9/main" objectType="CheckBox" checked="Checked" fmlaLink="$T$14" lockText="1" noThreeD="1"/>
</file>

<file path=xl/ctrlProps/ctrlProp114.xml><?xml version="1.0" encoding="utf-8"?>
<formControlPr xmlns="http://schemas.microsoft.com/office/spreadsheetml/2009/9/main" objectType="CheckBox" fmlaLink="$T$15" lockText="1" noThreeD="1"/>
</file>

<file path=xl/ctrlProps/ctrlProp115.xml><?xml version="1.0" encoding="utf-8"?>
<formControlPr xmlns="http://schemas.microsoft.com/office/spreadsheetml/2009/9/main" objectType="CheckBox" fmlaLink="$T$16" lockText="1" noThreeD="1"/>
</file>

<file path=xl/ctrlProps/ctrlProp116.xml><?xml version="1.0" encoding="utf-8"?>
<formControlPr xmlns="http://schemas.microsoft.com/office/spreadsheetml/2009/9/main" objectType="CheckBox" fmlaLink="$T$17" lockText="1" noThreeD="1"/>
</file>

<file path=xl/ctrlProps/ctrlProp117.xml><?xml version="1.0" encoding="utf-8"?>
<formControlPr xmlns="http://schemas.microsoft.com/office/spreadsheetml/2009/9/main" objectType="CheckBox" fmlaLink="$T$3" lockText="1" noThreeD="1"/>
</file>

<file path=xl/ctrlProps/ctrlProp118.xml><?xml version="1.0" encoding="utf-8"?>
<formControlPr xmlns="http://schemas.microsoft.com/office/spreadsheetml/2009/9/main" objectType="CheckBox" fmlaLink="$T$4" lockText="1" noThreeD="1"/>
</file>

<file path=xl/ctrlProps/ctrlProp119.xml><?xml version="1.0" encoding="utf-8"?>
<formControlPr xmlns="http://schemas.microsoft.com/office/spreadsheetml/2009/9/main" objectType="CheckBox" fmlaLink="$T$4" lockText="1" noThreeD="1"/>
</file>

<file path=xl/ctrlProps/ctrlProp12.xml><?xml version="1.0" encoding="utf-8"?>
<formControlPr xmlns="http://schemas.microsoft.com/office/spreadsheetml/2009/9/main" objectType="Drop" dropStyle="combo" dx="18" fmlaLink="AB36" fmlaRange="'SDK3'!$C$24:$C$92" noThreeD="1" sel="1" val="0"/>
</file>

<file path=xl/ctrlProps/ctrlProp120.xml><?xml version="1.0" encoding="utf-8"?>
<formControlPr xmlns="http://schemas.microsoft.com/office/spreadsheetml/2009/9/main" objectType="CheckBox" fmlaLink="$T$3" lockText="1" noThreeD="1"/>
</file>

<file path=xl/ctrlProps/ctrlProp121.xml><?xml version="1.0" encoding="utf-8"?>
<formControlPr xmlns="http://schemas.microsoft.com/office/spreadsheetml/2009/9/main" objectType="CheckBox" checked="Checked" fmlaLink="$S$14" lockText="1" noThreeD="1"/>
</file>

<file path=xl/ctrlProps/ctrlProp122.xml><?xml version="1.0" encoding="utf-8"?>
<formControlPr xmlns="http://schemas.microsoft.com/office/spreadsheetml/2009/9/main" objectType="CheckBox" fmlaLink="$S$15" lockText="1" noThreeD="1"/>
</file>

<file path=xl/ctrlProps/ctrlProp123.xml><?xml version="1.0" encoding="utf-8"?>
<formControlPr xmlns="http://schemas.microsoft.com/office/spreadsheetml/2009/9/main" objectType="CheckBox" fmlaLink="$S$16" lockText="1" noThreeD="1"/>
</file>

<file path=xl/ctrlProps/ctrlProp124.xml><?xml version="1.0" encoding="utf-8"?>
<formControlPr xmlns="http://schemas.microsoft.com/office/spreadsheetml/2009/9/main" objectType="CheckBox" fmlaLink="$S$17" lockText="1" noThreeD="1"/>
</file>

<file path=xl/ctrlProps/ctrlProp125.xml><?xml version="1.0" encoding="utf-8"?>
<formControlPr xmlns="http://schemas.microsoft.com/office/spreadsheetml/2009/9/main" objectType="CheckBox" checked="Checked" fmlaLink="$R$14" lockText="1" noThreeD="1"/>
</file>

<file path=xl/ctrlProps/ctrlProp126.xml><?xml version="1.0" encoding="utf-8"?>
<formControlPr xmlns="http://schemas.microsoft.com/office/spreadsheetml/2009/9/main" objectType="CheckBox" fmlaLink="$R$15" lockText="1" noThreeD="1"/>
</file>

<file path=xl/ctrlProps/ctrlProp127.xml><?xml version="1.0" encoding="utf-8"?>
<formControlPr xmlns="http://schemas.microsoft.com/office/spreadsheetml/2009/9/main" objectType="CheckBox" fmlaLink="$R$16" lockText="1" noThreeD="1"/>
</file>

<file path=xl/ctrlProps/ctrlProp128.xml><?xml version="1.0" encoding="utf-8"?>
<formControlPr xmlns="http://schemas.microsoft.com/office/spreadsheetml/2009/9/main" objectType="CheckBox" fmlaLink="$R$17" lockText="1" noThreeD="1"/>
</file>

<file path=xl/ctrlProps/ctrlProp129.xml><?xml version="1.0" encoding="utf-8"?>
<formControlPr xmlns="http://schemas.microsoft.com/office/spreadsheetml/2009/9/main" objectType="CheckBox" checked="Checked" fmlaLink="$T$14" lockText="1" noThreeD="1"/>
</file>

<file path=xl/ctrlProps/ctrlProp13.xml><?xml version="1.0" encoding="utf-8"?>
<formControlPr xmlns="http://schemas.microsoft.com/office/spreadsheetml/2009/9/main" objectType="Drop" dropStyle="combo" dx="18" fmlaLink="AB39" fmlaRange="'SDK3'!$C$97:$C$118" noThreeD="1" sel="17" val="0"/>
</file>

<file path=xl/ctrlProps/ctrlProp130.xml><?xml version="1.0" encoding="utf-8"?>
<formControlPr xmlns="http://schemas.microsoft.com/office/spreadsheetml/2009/9/main" objectType="CheckBox" fmlaLink="$T$15" lockText="1" noThreeD="1"/>
</file>

<file path=xl/ctrlProps/ctrlProp131.xml><?xml version="1.0" encoding="utf-8"?>
<formControlPr xmlns="http://schemas.microsoft.com/office/spreadsheetml/2009/9/main" objectType="CheckBox" fmlaLink="$T$16" lockText="1" noThreeD="1"/>
</file>

<file path=xl/ctrlProps/ctrlProp132.xml><?xml version="1.0" encoding="utf-8"?>
<formControlPr xmlns="http://schemas.microsoft.com/office/spreadsheetml/2009/9/main" objectType="CheckBox" fmlaLink="$T$17" lockText="1" noThreeD="1"/>
</file>

<file path=xl/ctrlProps/ctrlProp133.xml><?xml version="1.0" encoding="utf-8"?>
<formControlPr xmlns="http://schemas.microsoft.com/office/spreadsheetml/2009/9/main" objectType="CheckBox" fmlaLink="$T$3" lockText="1" noThreeD="1"/>
</file>

<file path=xl/ctrlProps/ctrlProp134.xml><?xml version="1.0" encoding="utf-8"?>
<formControlPr xmlns="http://schemas.microsoft.com/office/spreadsheetml/2009/9/main" objectType="CheckBox" fmlaLink="$T$4" lockText="1" noThreeD="1"/>
</file>

<file path=xl/ctrlProps/ctrlProp135.xml><?xml version="1.0" encoding="utf-8"?>
<formControlPr xmlns="http://schemas.microsoft.com/office/spreadsheetml/2009/9/main" objectType="CheckBox" fmlaLink="$T$4" lockText="1" noThreeD="1"/>
</file>

<file path=xl/ctrlProps/ctrlProp136.xml><?xml version="1.0" encoding="utf-8"?>
<formControlPr xmlns="http://schemas.microsoft.com/office/spreadsheetml/2009/9/main" objectType="CheckBox" fmlaLink="$T$3" lockText="1" noThreeD="1"/>
</file>

<file path=xl/ctrlProps/ctrlProp137.xml><?xml version="1.0" encoding="utf-8"?>
<formControlPr xmlns="http://schemas.microsoft.com/office/spreadsheetml/2009/9/main" objectType="CheckBox" checked="Checked" fmlaLink="$S$14" lockText="1" noThreeD="1"/>
</file>

<file path=xl/ctrlProps/ctrlProp138.xml><?xml version="1.0" encoding="utf-8"?>
<formControlPr xmlns="http://schemas.microsoft.com/office/spreadsheetml/2009/9/main" objectType="CheckBox" fmlaLink="$S$15" lockText="1" noThreeD="1"/>
</file>

<file path=xl/ctrlProps/ctrlProp139.xml><?xml version="1.0" encoding="utf-8"?>
<formControlPr xmlns="http://schemas.microsoft.com/office/spreadsheetml/2009/9/main" objectType="CheckBox" fmlaLink="$S$16" lockText="1" noThreeD="1"/>
</file>

<file path=xl/ctrlProps/ctrlProp14.xml><?xml version="1.0" encoding="utf-8"?>
<formControlPr xmlns="http://schemas.microsoft.com/office/spreadsheetml/2009/9/main" objectType="Drop" dropStyle="combo" dx="18" fmlaLink="AB40" fmlaRange="'SDK3'!$C$97:$C$118" noThreeD="1" sel="1" val="0"/>
</file>

<file path=xl/ctrlProps/ctrlProp140.xml><?xml version="1.0" encoding="utf-8"?>
<formControlPr xmlns="http://schemas.microsoft.com/office/spreadsheetml/2009/9/main" objectType="CheckBox" fmlaLink="$S$17" lockText="1" noThreeD="1"/>
</file>

<file path=xl/ctrlProps/ctrlProp141.xml><?xml version="1.0" encoding="utf-8"?>
<formControlPr xmlns="http://schemas.microsoft.com/office/spreadsheetml/2009/9/main" objectType="CheckBox" checked="Checked" fmlaLink="$R$14" lockText="1" noThreeD="1"/>
</file>

<file path=xl/ctrlProps/ctrlProp142.xml><?xml version="1.0" encoding="utf-8"?>
<formControlPr xmlns="http://schemas.microsoft.com/office/spreadsheetml/2009/9/main" objectType="CheckBox" fmlaLink="$R$15" lockText="1" noThreeD="1"/>
</file>

<file path=xl/ctrlProps/ctrlProp143.xml><?xml version="1.0" encoding="utf-8"?>
<formControlPr xmlns="http://schemas.microsoft.com/office/spreadsheetml/2009/9/main" objectType="CheckBox" fmlaLink="$R$16" lockText="1" noThreeD="1"/>
</file>

<file path=xl/ctrlProps/ctrlProp144.xml><?xml version="1.0" encoding="utf-8"?>
<formControlPr xmlns="http://schemas.microsoft.com/office/spreadsheetml/2009/9/main" objectType="CheckBox" fmlaLink="$R$17" lockText="1" noThreeD="1"/>
</file>

<file path=xl/ctrlProps/ctrlProp145.xml><?xml version="1.0" encoding="utf-8"?>
<formControlPr xmlns="http://schemas.microsoft.com/office/spreadsheetml/2009/9/main" objectType="CheckBox" checked="Checked" fmlaLink="$T$14" lockText="1" noThreeD="1"/>
</file>

<file path=xl/ctrlProps/ctrlProp146.xml><?xml version="1.0" encoding="utf-8"?>
<formControlPr xmlns="http://schemas.microsoft.com/office/spreadsheetml/2009/9/main" objectType="CheckBox" fmlaLink="$T$15" lockText="1" noThreeD="1"/>
</file>

<file path=xl/ctrlProps/ctrlProp147.xml><?xml version="1.0" encoding="utf-8"?>
<formControlPr xmlns="http://schemas.microsoft.com/office/spreadsheetml/2009/9/main" objectType="CheckBox" fmlaLink="$T$16" lockText="1" noThreeD="1"/>
</file>

<file path=xl/ctrlProps/ctrlProp148.xml><?xml version="1.0" encoding="utf-8"?>
<formControlPr xmlns="http://schemas.microsoft.com/office/spreadsheetml/2009/9/main" objectType="CheckBox" fmlaLink="$T$17" lockText="1" noThreeD="1"/>
</file>

<file path=xl/ctrlProps/ctrlProp149.xml><?xml version="1.0" encoding="utf-8"?>
<formControlPr xmlns="http://schemas.microsoft.com/office/spreadsheetml/2009/9/main" objectType="CheckBox" fmlaLink="$T$3" lockText="1" noThreeD="1"/>
</file>

<file path=xl/ctrlProps/ctrlProp15.xml><?xml version="1.0" encoding="utf-8"?>
<formControlPr xmlns="http://schemas.microsoft.com/office/spreadsheetml/2009/9/main" objectType="Drop" dropStyle="combo" dx="18" fmlaLink="AB64" fmlaRange="'SDK3'!$C$24:$C$92" noThreeD="1" sel="40" val="0"/>
</file>

<file path=xl/ctrlProps/ctrlProp150.xml><?xml version="1.0" encoding="utf-8"?>
<formControlPr xmlns="http://schemas.microsoft.com/office/spreadsheetml/2009/9/main" objectType="CheckBox" fmlaLink="$T$4" lockText="1" noThreeD="1"/>
</file>

<file path=xl/ctrlProps/ctrlProp151.xml><?xml version="1.0" encoding="utf-8"?>
<formControlPr xmlns="http://schemas.microsoft.com/office/spreadsheetml/2009/9/main" objectType="CheckBox" fmlaLink="$T$4" lockText="1" noThreeD="1"/>
</file>

<file path=xl/ctrlProps/ctrlProp152.xml><?xml version="1.0" encoding="utf-8"?>
<formControlPr xmlns="http://schemas.microsoft.com/office/spreadsheetml/2009/9/main" objectType="CheckBox" fmlaLink="$T$3" lockText="1" noThreeD="1"/>
</file>

<file path=xl/ctrlProps/ctrlProp153.xml><?xml version="1.0" encoding="utf-8"?>
<formControlPr xmlns="http://schemas.microsoft.com/office/spreadsheetml/2009/9/main" objectType="CheckBox" checked="Checked" fmlaLink="$S$14" lockText="1" noThreeD="1"/>
</file>

<file path=xl/ctrlProps/ctrlProp154.xml><?xml version="1.0" encoding="utf-8"?>
<formControlPr xmlns="http://schemas.microsoft.com/office/spreadsheetml/2009/9/main" objectType="CheckBox" fmlaLink="$S$15" lockText="1" noThreeD="1"/>
</file>

<file path=xl/ctrlProps/ctrlProp155.xml><?xml version="1.0" encoding="utf-8"?>
<formControlPr xmlns="http://schemas.microsoft.com/office/spreadsheetml/2009/9/main" objectType="CheckBox" fmlaLink="$S$16" lockText="1" noThreeD="1"/>
</file>

<file path=xl/ctrlProps/ctrlProp156.xml><?xml version="1.0" encoding="utf-8"?>
<formControlPr xmlns="http://schemas.microsoft.com/office/spreadsheetml/2009/9/main" objectType="CheckBox" fmlaLink="$S$17" lockText="1" noThreeD="1"/>
</file>

<file path=xl/ctrlProps/ctrlProp157.xml><?xml version="1.0" encoding="utf-8"?>
<formControlPr xmlns="http://schemas.microsoft.com/office/spreadsheetml/2009/9/main" objectType="CheckBox" checked="Checked" fmlaLink="$R$14" lockText="1" noThreeD="1"/>
</file>

<file path=xl/ctrlProps/ctrlProp158.xml><?xml version="1.0" encoding="utf-8"?>
<formControlPr xmlns="http://schemas.microsoft.com/office/spreadsheetml/2009/9/main" objectType="CheckBox" fmlaLink="$R$15" lockText="1" noThreeD="1"/>
</file>

<file path=xl/ctrlProps/ctrlProp159.xml><?xml version="1.0" encoding="utf-8"?>
<formControlPr xmlns="http://schemas.microsoft.com/office/spreadsheetml/2009/9/main" objectType="CheckBox" fmlaLink="$R$16" lockText="1" noThreeD="1"/>
</file>

<file path=xl/ctrlProps/ctrlProp16.xml><?xml version="1.0" encoding="utf-8"?>
<formControlPr xmlns="http://schemas.microsoft.com/office/spreadsheetml/2009/9/main" objectType="Drop" dropStyle="combo" dx="18" fmlaLink="AB71" fmlaRange="'SDK3'!$C$97:$C$118" noThreeD="1" sel="18" val="0"/>
</file>

<file path=xl/ctrlProps/ctrlProp160.xml><?xml version="1.0" encoding="utf-8"?>
<formControlPr xmlns="http://schemas.microsoft.com/office/spreadsheetml/2009/9/main" objectType="CheckBox" fmlaLink="$R$17" lockText="1" noThreeD="1"/>
</file>

<file path=xl/ctrlProps/ctrlProp161.xml><?xml version="1.0" encoding="utf-8"?>
<formControlPr xmlns="http://schemas.microsoft.com/office/spreadsheetml/2009/9/main" objectType="CheckBox" checked="Checked" fmlaLink="$T$14" lockText="1" noThreeD="1"/>
</file>

<file path=xl/ctrlProps/ctrlProp162.xml><?xml version="1.0" encoding="utf-8"?>
<formControlPr xmlns="http://schemas.microsoft.com/office/spreadsheetml/2009/9/main" objectType="CheckBox" fmlaLink="$T$15" lockText="1" noThreeD="1"/>
</file>

<file path=xl/ctrlProps/ctrlProp163.xml><?xml version="1.0" encoding="utf-8"?>
<formControlPr xmlns="http://schemas.microsoft.com/office/spreadsheetml/2009/9/main" objectType="CheckBox" fmlaLink="$T$16" lockText="1" noThreeD="1"/>
</file>

<file path=xl/ctrlProps/ctrlProp164.xml><?xml version="1.0" encoding="utf-8"?>
<formControlPr xmlns="http://schemas.microsoft.com/office/spreadsheetml/2009/9/main" objectType="CheckBox" fmlaLink="$T$17" lockText="1" noThreeD="1"/>
</file>

<file path=xl/ctrlProps/ctrlProp165.xml><?xml version="1.0" encoding="utf-8"?>
<formControlPr xmlns="http://schemas.microsoft.com/office/spreadsheetml/2009/9/main" objectType="CheckBox" fmlaLink="$T$3" lockText="1" noThreeD="1"/>
</file>

<file path=xl/ctrlProps/ctrlProp166.xml><?xml version="1.0" encoding="utf-8"?>
<formControlPr xmlns="http://schemas.microsoft.com/office/spreadsheetml/2009/9/main" objectType="CheckBox" fmlaLink="$T$4" lockText="1" noThreeD="1"/>
</file>

<file path=xl/ctrlProps/ctrlProp167.xml><?xml version="1.0" encoding="utf-8"?>
<formControlPr xmlns="http://schemas.microsoft.com/office/spreadsheetml/2009/9/main" objectType="CheckBox" fmlaLink="$T$4" lockText="1" noThreeD="1"/>
</file>

<file path=xl/ctrlProps/ctrlProp168.xml><?xml version="1.0" encoding="utf-8"?>
<formControlPr xmlns="http://schemas.microsoft.com/office/spreadsheetml/2009/9/main" objectType="CheckBox" fmlaLink="$T$3" lockText="1" noThreeD="1"/>
</file>

<file path=xl/ctrlProps/ctrlProp169.xml><?xml version="1.0" encoding="utf-8"?>
<formControlPr xmlns="http://schemas.microsoft.com/office/spreadsheetml/2009/9/main" objectType="CheckBox" checked="Checked" fmlaLink="$S$14" lockText="1" noThreeD="1"/>
</file>

<file path=xl/ctrlProps/ctrlProp17.xml><?xml version="1.0" encoding="utf-8"?>
<formControlPr xmlns="http://schemas.microsoft.com/office/spreadsheetml/2009/9/main" objectType="Drop" dropStyle="combo" dx="18" fmlaLink="AB72" fmlaRange="'SDK3'!$C$97:$C$118" noThreeD="1" sel="1" val="0"/>
</file>

<file path=xl/ctrlProps/ctrlProp170.xml><?xml version="1.0" encoding="utf-8"?>
<formControlPr xmlns="http://schemas.microsoft.com/office/spreadsheetml/2009/9/main" objectType="CheckBox" fmlaLink="$S$15" lockText="1" noThreeD="1"/>
</file>

<file path=xl/ctrlProps/ctrlProp171.xml><?xml version="1.0" encoding="utf-8"?>
<formControlPr xmlns="http://schemas.microsoft.com/office/spreadsheetml/2009/9/main" objectType="CheckBox" fmlaLink="$S$16" lockText="1" noThreeD="1"/>
</file>

<file path=xl/ctrlProps/ctrlProp172.xml><?xml version="1.0" encoding="utf-8"?>
<formControlPr xmlns="http://schemas.microsoft.com/office/spreadsheetml/2009/9/main" objectType="CheckBox" fmlaLink="$S$17" lockText="1" noThreeD="1"/>
</file>

<file path=xl/ctrlProps/ctrlProp173.xml><?xml version="1.0" encoding="utf-8"?>
<formControlPr xmlns="http://schemas.microsoft.com/office/spreadsheetml/2009/9/main" objectType="CheckBox" checked="Checked" fmlaLink="$R$14" lockText="1" noThreeD="1"/>
</file>

<file path=xl/ctrlProps/ctrlProp174.xml><?xml version="1.0" encoding="utf-8"?>
<formControlPr xmlns="http://schemas.microsoft.com/office/spreadsheetml/2009/9/main" objectType="CheckBox" fmlaLink="$R$15" lockText="1" noThreeD="1"/>
</file>

<file path=xl/ctrlProps/ctrlProp175.xml><?xml version="1.0" encoding="utf-8"?>
<formControlPr xmlns="http://schemas.microsoft.com/office/spreadsheetml/2009/9/main" objectType="CheckBox" fmlaLink="$R$16" lockText="1" noThreeD="1"/>
</file>

<file path=xl/ctrlProps/ctrlProp176.xml><?xml version="1.0" encoding="utf-8"?>
<formControlPr xmlns="http://schemas.microsoft.com/office/spreadsheetml/2009/9/main" objectType="CheckBox" fmlaLink="$R$17" lockText="1" noThreeD="1"/>
</file>

<file path=xl/ctrlProps/ctrlProp177.xml><?xml version="1.0" encoding="utf-8"?>
<formControlPr xmlns="http://schemas.microsoft.com/office/spreadsheetml/2009/9/main" objectType="CheckBox" checked="Checked" fmlaLink="$T$14" lockText="1" noThreeD="1"/>
</file>

<file path=xl/ctrlProps/ctrlProp178.xml><?xml version="1.0" encoding="utf-8"?>
<formControlPr xmlns="http://schemas.microsoft.com/office/spreadsheetml/2009/9/main" objectType="CheckBox" fmlaLink="$T$15" lockText="1" noThreeD="1"/>
</file>

<file path=xl/ctrlProps/ctrlProp179.xml><?xml version="1.0" encoding="utf-8"?>
<formControlPr xmlns="http://schemas.microsoft.com/office/spreadsheetml/2009/9/main" objectType="CheckBox" fmlaLink="$T$16" lockText="1" noThreeD="1"/>
</file>

<file path=xl/ctrlProps/ctrlProp18.xml><?xml version="1.0" encoding="utf-8"?>
<formControlPr xmlns="http://schemas.microsoft.com/office/spreadsheetml/2009/9/main" objectType="Drop" dropStyle="combo" dx="18" fmlaLink="AB73" fmlaRange="'SDK3'!$C$97:$C$118" noThreeD="1" sel="1" val="0"/>
</file>

<file path=xl/ctrlProps/ctrlProp180.xml><?xml version="1.0" encoding="utf-8"?>
<formControlPr xmlns="http://schemas.microsoft.com/office/spreadsheetml/2009/9/main" objectType="CheckBox" fmlaLink="$T$17" lockText="1" noThreeD="1"/>
</file>

<file path=xl/ctrlProps/ctrlProp181.xml><?xml version="1.0" encoding="utf-8"?>
<formControlPr xmlns="http://schemas.microsoft.com/office/spreadsheetml/2009/9/main" objectType="CheckBox" fmlaLink="$T$3" lockText="1" noThreeD="1"/>
</file>

<file path=xl/ctrlProps/ctrlProp182.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18" fmlaLink="AB37" fmlaRange="'SDK3'!$C$24:$C$92" noThreeD="1" sel="1" val="0"/>
</file>

<file path=xl/ctrlProps/ctrlProp2.xml><?xml version="1.0" encoding="utf-8"?>
<formControlPr xmlns="http://schemas.microsoft.com/office/spreadsheetml/2009/9/main" objectType="Radio" firstButton="1" fmlaLink="$W$25" lockText="1" noThreeD="1"/>
</file>

<file path=xl/ctrlProps/ctrlProp20.xml><?xml version="1.0" encoding="utf-8"?>
<formControlPr xmlns="http://schemas.microsoft.com/office/spreadsheetml/2009/9/main" objectType="Drop" dropStyle="combo" dx="18" fmlaLink="AB36" fmlaRange="'SDK3'!$C$24:$C$92" noThreeD="1" sel="1" val="0"/>
</file>

<file path=xl/ctrlProps/ctrlProp21.xml><?xml version="1.0" encoding="utf-8"?>
<formControlPr xmlns="http://schemas.microsoft.com/office/spreadsheetml/2009/9/main" objectType="Drop" dropStyle="combo" dx="18" fmlaLink="AB37" fmlaRange="'SDK3'!$C$24:$C$92" noThreeD="1" sel="1" val="0"/>
</file>

<file path=xl/ctrlProps/ctrlProp22.xml><?xml version="1.0" encoding="utf-8"?>
<formControlPr xmlns="http://schemas.microsoft.com/office/spreadsheetml/2009/9/main" objectType="Drop" dropStyle="combo" dx="18" fmlaLink="AB65" fmlaRange="'SDK3'!$C$24:$C$92" noThreeD="1" sel="41" val="0"/>
</file>

<file path=xl/ctrlProps/ctrlProp23.xml><?xml version="1.0" encoding="utf-8"?>
<formControlPr xmlns="http://schemas.microsoft.com/office/spreadsheetml/2009/9/main" objectType="Drop" dropStyle="combo" dx="18" fmlaLink="AB66" fmlaRange="'SDK3'!$C$24:$C$92" noThreeD="1" sel="1" val="0"/>
</file>

<file path=xl/ctrlProps/ctrlProp24.xml><?xml version="1.0" encoding="utf-8"?>
<formControlPr xmlns="http://schemas.microsoft.com/office/spreadsheetml/2009/9/main" objectType="Drop" dropStyle="combo" dx="18" fmlaLink="AB67" fmlaRange="'SDK3'!$C$24:$C$92" noThreeD="1" sel="1" val="0"/>
</file>

<file path=xl/ctrlProps/ctrlProp25.xml><?xml version="1.0" encoding="utf-8"?>
<formControlPr xmlns="http://schemas.microsoft.com/office/spreadsheetml/2009/9/main" objectType="Drop" dropStyle="combo" dx="18" fmlaLink="AB68" fmlaRange="'SDK3'!$C$24:$C$92" noThreeD="1" sel="1" val="0"/>
</file>

<file path=xl/ctrlProps/ctrlProp26.xml><?xml version="1.0" encoding="utf-8"?>
<formControlPr xmlns="http://schemas.microsoft.com/office/spreadsheetml/2009/9/main" objectType="Drop" dropStyle="combo" dx="18" fmlaLink="AB69" fmlaRange="'SDK3'!$C$24:$C$92" noThreeD="1" sel="22" val="0"/>
</file>

<file path=xl/ctrlProps/ctrlProp27.xml><?xml version="1.0" encoding="utf-8"?>
<formControlPr xmlns="http://schemas.microsoft.com/office/spreadsheetml/2009/9/main" objectType="CheckBox" checked="Checked" fmlaLink="$U$17" lockText="1" noThreeD="1"/>
</file>

<file path=xl/ctrlProps/ctrlProp28.xml><?xml version="1.0" encoding="utf-8"?>
<formControlPr xmlns="http://schemas.microsoft.com/office/spreadsheetml/2009/9/main" objectType="CheckBox" fmlaLink="$U$19" lockText="1" noThreeD="1"/>
</file>

<file path=xl/ctrlProps/ctrlProp29.xml><?xml version="1.0" encoding="utf-8"?>
<formControlPr xmlns="http://schemas.microsoft.com/office/spreadsheetml/2009/9/main" objectType="Drop" dropLines="4" dropStyle="combo" dx="19" fmlaLink="AL5" fmlaRange="$AI$6:$AI$7" noThreeD="1" sel="2"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fmlaLink="$T$3" lockText="1" noThreeD="1"/>
</file>

<file path=xl/ctrlProps/ctrlProp4.xml><?xml version="1.0" encoding="utf-8"?>
<formControlPr xmlns="http://schemas.microsoft.com/office/spreadsheetml/2009/9/main" objectType="Radio" checked="Checked" firstButton="1" fmlaLink="$W$5"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fmlaLink="$T$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fmlaLink="$T$4" lockText="1" noThreeD="1"/>
</file>

<file path=xl/ctrlProps/ctrlProp57.xml><?xml version="1.0" encoding="utf-8"?>
<formControlPr xmlns="http://schemas.microsoft.com/office/spreadsheetml/2009/9/main" objectType="CheckBox"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T$4" lockText="1" noThreeD="1"/>
</file>

<file path=xl/ctrlProps/ctrlProp61.xml><?xml version="1.0" encoding="utf-8"?>
<formControlPr xmlns="http://schemas.microsoft.com/office/spreadsheetml/2009/9/main" objectType="CheckBox" checked="Checked"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18" fmlaLink="AB31" fmlaRange="'SDK3'!$C$24:$C$92" noThreeD="1" sel="2" val="0"/>
</file>

<file path=xl/ctrlProps/ctrlProp70.xml><?xml version="1.0" encoding="utf-8"?>
<formControlPr xmlns="http://schemas.microsoft.com/office/spreadsheetml/2009/9/main" objectType="CheckBox" fmlaLink="$T$4" lockText="1" noThreeD="1"/>
</file>

<file path=xl/ctrlProps/ctrlProp71.xml><?xml version="1.0" encoding="utf-8"?>
<formControlPr xmlns="http://schemas.microsoft.com/office/spreadsheetml/2009/9/main" objectType="CheckBox" checked="Checked" fmlaLink="$T$3"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18" fmlaLink="AB32" fmlaRange="'SDK3'!$C$24:$C$92" noThreeD="1" sel="4"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18" fmlaLink="AB33" fmlaRange="'SDK3'!$C$24:$C$92" noThreeD="1" sel="16"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A1:A8"/></Relationships>
</file>

<file path=xl/drawings/_rels/drawing14.xml.rels><?xml version="1.0" encoding="UTF-8" standalone="yes"?>
<Relationships xmlns="http://schemas.openxmlformats.org/package/2006/relationships"><Relationship Id="rId1" Type="http://schemas.openxmlformats.org/officeDocument/2006/relationships/hyperlink" Target="#Inhalt!B56"/></Relationships>
</file>

<file path=xl/drawings/_rels/drawing1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6.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8.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hyperlink" Target="#Kostenrechnung!A1"/></Relationships>
</file>

<file path=xl/drawings/_rels/drawing2.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7.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7.xml"/><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xml.rels><?xml version="1.0" encoding="UTF-8" standalone="yes"?>
<Relationships xmlns="http://schemas.openxmlformats.org/package/2006/relationships"><Relationship Id="rId1" Type="http://schemas.openxmlformats.org/officeDocument/2006/relationships/hyperlink" Target="#Inhalt!A1:A8"/></Relationships>
</file>

<file path=xl/drawings/_rels/drawing3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1.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6.png"/><Relationship Id="rId1" Type="http://schemas.openxmlformats.org/officeDocument/2006/relationships/hyperlink" Target="#Kostenrechnung!E2"/></Relationships>
</file>

<file path=xl/drawings/_rels/drawing4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6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hyperlink" Target="#Inhalt!B60"/></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7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7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3741420</xdr:colOff>
      <xdr:row>1</xdr:row>
      <xdr:rowOff>22860</xdr:rowOff>
    </xdr:from>
    <xdr:ext cx="1307686" cy="952866"/>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3100" y="198120"/>
          <a:ext cx="1307686" cy="95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98161</xdr:colOff>
      <xdr:row>3</xdr:row>
      <xdr:rowOff>64878</xdr:rowOff>
    </xdr:from>
    <xdr:ext cx="889795" cy="217560"/>
    <xdr:sp macro="" textlink="">
      <xdr:nvSpPr>
        <xdr:cNvPr id="6" name="Textfeld 5"/>
        <xdr:cNvSpPr txBox="1"/>
      </xdr:nvSpPr>
      <xdr:spPr>
        <a:xfrm>
          <a:off x="6156061" y="903078"/>
          <a:ext cx="8897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b="0"/>
            <a:t>K.Cypzirsch,2012</a:t>
          </a:r>
        </a:p>
      </xdr:txBody>
    </xdr:sp>
    <xdr:clientData/>
  </xdr:oneCellAnchor>
  <xdr:oneCellAnchor>
    <xdr:from>
      <xdr:col>1</xdr:col>
      <xdr:colOff>15240</xdr:colOff>
      <xdr:row>0</xdr:row>
      <xdr:rowOff>152400</xdr:rowOff>
    </xdr:from>
    <xdr:ext cx="1578534" cy="1066800"/>
    <xdr:pic>
      <xdr:nvPicPr>
        <xdr:cNvPr id="7"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52400"/>
          <a:ext cx="157853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318851</xdr:colOff>
      <xdr:row>4</xdr:row>
      <xdr:rowOff>114795</xdr:rowOff>
    </xdr:from>
    <xdr:to>
      <xdr:col>21</xdr:col>
      <xdr:colOff>702029</xdr:colOff>
      <xdr:row>26</xdr:row>
      <xdr:rowOff>113014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1543510</xdr:colOff>
      <xdr:row>2</xdr:row>
      <xdr:rowOff>185057</xdr:rowOff>
    </xdr:from>
    <xdr:to>
      <xdr:col>13</xdr:col>
      <xdr:colOff>0</xdr:colOff>
      <xdr:row>3</xdr:row>
      <xdr:rowOff>185057</xdr:rowOff>
    </xdr:to>
    <xdr:sp macro="" textlink="">
      <xdr:nvSpPr>
        <xdr:cNvPr id="5" name="Rectangle 40">
          <a:hlinkClick xmlns:r="http://schemas.openxmlformats.org/officeDocument/2006/relationships" r:id="rId2"/>
        </xdr:cNvPr>
        <xdr:cNvSpPr>
          <a:spLocks noChangeArrowheads="1"/>
        </xdr:cNvSpPr>
      </xdr:nvSpPr>
      <xdr:spPr bwMode="auto">
        <a:xfrm>
          <a:off x="10818139" y="185057"/>
          <a:ext cx="1624232" cy="272143"/>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0.68795</cdr:x>
      <cdr:y>0.0851</cdr:y>
    </cdr:from>
    <cdr:to>
      <cdr:x>0.93632</cdr:x>
      <cdr:y>0.33072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6</xdr:row>
          <xdr:rowOff>76200</xdr:rowOff>
        </xdr:from>
        <xdr:to>
          <xdr:col>13</xdr:col>
          <xdr:colOff>19050</xdr:colOff>
          <xdr:row>6</xdr:row>
          <xdr:rowOff>323850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16</xdr:col>
      <xdr:colOff>8626</xdr:colOff>
      <xdr:row>1</xdr:row>
      <xdr:rowOff>16329</xdr:rowOff>
    </xdr:from>
    <xdr:to>
      <xdr:col>17</xdr:col>
      <xdr:colOff>0</xdr:colOff>
      <xdr:row>2</xdr:row>
      <xdr:rowOff>0</xdr:rowOff>
    </xdr:to>
    <xdr:sp macro="" textlink="">
      <xdr:nvSpPr>
        <xdr:cNvPr id="3" name="Rectangle 40">
          <a:hlinkClick xmlns:r="http://schemas.openxmlformats.org/officeDocument/2006/relationships" r:id="rId1"/>
        </xdr:cNvPr>
        <xdr:cNvSpPr>
          <a:spLocks noChangeArrowheads="1"/>
        </xdr:cNvSpPr>
      </xdr:nvSpPr>
      <xdr:spPr bwMode="auto">
        <a:xfrm>
          <a:off x="9402997" y="190500"/>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587829</xdr:colOff>
      <xdr:row>6</xdr:row>
      <xdr:rowOff>343457</xdr:rowOff>
    </xdr:from>
    <xdr:ext cx="1774371" cy="298800"/>
    <xdr:sp macro="" textlink="">
      <xdr:nvSpPr>
        <xdr:cNvPr id="2" name="Textfeld 1">
          <a:hlinkClick xmlns:r="http://schemas.openxmlformats.org/officeDocument/2006/relationships" r:id="rId2"/>
        </xdr:cNvPr>
        <xdr:cNvSpPr txBox="1"/>
      </xdr:nvSpPr>
      <xdr:spPr>
        <a:xfrm>
          <a:off x="9252858" y="15191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47625</xdr:colOff>
          <xdr:row>24</xdr:row>
          <xdr:rowOff>0</xdr:rowOff>
        </xdr:from>
        <xdr:to>
          <xdr:col>11</xdr:col>
          <xdr:colOff>114300</xdr:colOff>
          <xdr:row>25</xdr:row>
          <xdr:rowOff>9525</xdr:rowOff>
        </xdr:to>
        <xdr:sp macro="" textlink="">
          <xdr:nvSpPr>
            <xdr:cNvPr id="98305" name="Option Button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23</xdr:row>
          <xdr:rowOff>209550</xdr:rowOff>
        </xdr:from>
        <xdr:to>
          <xdr:col>13</xdr:col>
          <xdr:colOff>76200</xdr:colOff>
          <xdr:row>24</xdr:row>
          <xdr:rowOff>209550</xdr:rowOff>
        </xdr:to>
        <xdr:sp macro="" textlink="">
          <xdr:nvSpPr>
            <xdr:cNvPr id="98306" name="Option Button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xdr:row>
          <xdr:rowOff>171450</xdr:rowOff>
        </xdr:from>
        <xdr:to>
          <xdr:col>2</xdr:col>
          <xdr:colOff>457200</xdr:colOff>
          <xdr:row>10</xdr:row>
          <xdr:rowOff>9525</xdr:rowOff>
        </xdr:to>
        <xdr:sp macro="" textlink="">
          <xdr:nvSpPr>
            <xdr:cNvPr id="98307" name="Option Button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9</xdr:row>
          <xdr:rowOff>180975</xdr:rowOff>
        </xdr:from>
        <xdr:to>
          <xdr:col>2</xdr:col>
          <xdr:colOff>457200</xdr:colOff>
          <xdr:row>11</xdr:row>
          <xdr:rowOff>19050</xdr:rowOff>
        </xdr:to>
        <xdr:sp macro="" textlink="">
          <xdr:nvSpPr>
            <xdr:cNvPr id="98308" name="Option Button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7</xdr:col>
          <xdr:colOff>0</xdr:colOff>
          <xdr:row>11</xdr:row>
          <xdr:rowOff>180975</xdr:rowOff>
        </xdr:to>
        <xdr:sp macro="" textlink="">
          <xdr:nvSpPr>
            <xdr:cNvPr id="98309" name="Group Box 5" hidden="1">
              <a:extLst>
                <a:ext uri="{63B3BB69-23CF-44E3-9099-C40C66FF867C}">
                  <a14:compatExt spid="_x0000_s983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19050</xdr:colOff>
          <xdr:row>31</xdr:row>
          <xdr:rowOff>19050</xdr:rowOff>
        </xdr:to>
        <xdr:sp macro="" textlink="">
          <xdr:nvSpPr>
            <xdr:cNvPr id="98310" name="Drop Down 6" hidden="1">
              <a:extLst>
                <a:ext uri="{63B3BB69-23CF-44E3-9099-C40C66FF867C}">
                  <a14:compatExt spid="_x0000_s9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19050</xdr:colOff>
          <xdr:row>32</xdr:row>
          <xdr:rowOff>19050</xdr:rowOff>
        </xdr:to>
        <xdr:sp macro="" textlink="">
          <xdr:nvSpPr>
            <xdr:cNvPr id="98311" name="Drop Down 7" hidden="1">
              <a:extLst>
                <a:ext uri="{63B3BB69-23CF-44E3-9099-C40C66FF867C}">
                  <a14:compatExt spid="_x0000_s9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19050</xdr:colOff>
          <xdr:row>33</xdr:row>
          <xdr:rowOff>19050</xdr:rowOff>
        </xdr:to>
        <xdr:sp macro="" textlink="">
          <xdr:nvSpPr>
            <xdr:cNvPr id="98312" name="Drop Down 8" hidden="1">
              <a:extLst>
                <a:ext uri="{63B3BB69-23CF-44E3-9099-C40C66FF867C}">
                  <a14:compatExt spid="_x0000_s9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19050</xdr:colOff>
          <xdr:row>34</xdr:row>
          <xdr:rowOff>19050</xdr:rowOff>
        </xdr:to>
        <xdr:sp macro="" textlink="">
          <xdr:nvSpPr>
            <xdr:cNvPr id="98313" name="Drop Down 9" hidden="1">
              <a:extLst>
                <a:ext uri="{63B3BB69-23CF-44E3-9099-C40C66FF867C}">
                  <a14:compatExt spid="_x0000_s9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19050</xdr:colOff>
          <xdr:row>35</xdr:row>
          <xdr:rowOff>19050</xdr:rowOff>
        </xdr:to>
        <xdr:sp macro="" textlink="">
          <xdr:nvSpPr>
            <xdr:cNvPr id="98314" name="Drop Down 10" hidden="1">
              <a:extLst>
                <a:ext uri="{63B3BB69-23CF-44E3-9099-C40C66FF867C}">
                  <a14:compatExt spid="_x0000_s9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15" name="Drop Down 11" hidden="1">
              <a:extLst>
                <a:ext uri="{63B3BB69-23CF-44E3-9099-C40C66FF867C}">
                  <a14:compatExt spid="_x0000_s9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19050</xdr:rowOff>
        </xdr:to>
        <xdr:sp macro="" textlink="">
          <xdr:nvSpPr>
            <xdr:cNvPr id="98317" name="Drop Down 13" hidden="1">
              <a:extLst>
                <a:ext uri="{63B3BB69-23CF-44E3-9099-C40C66FF867C}">
                  <a14:compatExt spid="_x0000_s9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19050</xdr:colOff>
          <xdr:row>64</xdr:row>
          <xdr:rowOff>19050</xdr:rowOff>
        </xdr:to>
        <xdr:sp macro="" textlink="">
          <xdr:nvSpPr>
            <xdr:cNvPr id="98318" name="Drop Down 14" hidden="1">
              <a:extLst>
                <a:ext uri="{63B3BB69-23CF-44E3-9099-C40C66FF867C}">
                  <a14:compatExt spid="_x0000_s9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19050</xdr:rowOff>
        </xdr:to>
        <xdr:sp macro="" textlink="">
          <xdr:nvSpPr>
            <xdr:cNvPr id="98319" name="Drop Down 15" hidden="1">
              <a:extLst>
                <a:ext uri="{63B3BB69-23CF-44E3-9099-C40C66FF867C}">
                  <a14:compatExt spid="_x0000_s9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19050</xdr:rowOff>
        </xdr:to>
        <xdr:sp macro="" textlink="">
          <xdr:nvSpPr>
            <xdr:cNvPr id="98320" name="Drop Down 16" hidden="1">
              <a:extLst>
                <a:ext uri="{63B3BB69-23CF-44E3-9099-C40C66FF867C}">
                  <a14:compatExt spid="_x0000_s9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19050</xdr:rowOff>
        </xdr:to>
        <xdr:sp macro="" textlink="">
          <xdr:nvSpPr>
            <xdr:cNvPr id="98321" name="Drop Down 17" hidden="1">
              <a:extLst>
                <a:ext uri="{63B3BB69-23CF-44E3-9099-C40C66FF867C}">
                  <a14:compatExt spid="_x0000_s9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2" name="Drop Down 18" hidden="1">
              <a:extLst>
                <a:ext uri="{63B3BB69-23CF-44E3-9099-C40C66FF867C}">
                  <a14:compatExt spid="_x0000_s9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23" name="Drop Down 19" hidden="1">
              <a:extLst>
                <a:ext uri="{63B3BB69-23CF-44E3-9099-C40C66FF867C}">
                  <a14:compatExt spid="_x0000_s9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4" name="Drop Down 20" hidden="1">
              <a:extLst>
                <a:ext uri="{63B3BB69-23CF-44E3-9099-C40C66FF867C}">
                  <a14:compatExt spid="_x0000_s9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19050</xdr:colOff>
          <xdr:row>65</xdr:row>
          <xdr:rowOff>19050</xdr:rowOff>
        </xdr:to>
        <xdr:sp macro="" textlink="">
          <xdr:nvSpPr>
            <xdr:cNvPr id="98325" name="Drop Down 21" hidden="1">
              <a:extLst>
                <a:ext uri="{63B3BB69-23CF-44E3-9099-C40C66FF867C}">
                  <a14:compatExt spid="_x0000_s9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19050</xdr:colOff>
          <xdr:row>66</xdr:row>
          <xdr:rowOff>19050</xdr:rowOff>
        </xdr:to>
        <xdr:sp macro="" textlink="">
          <xdr:nvSpPr>
            <xdr:cNvPr id="98326" name="Drop Down 22" hidden="1">
              <a:extLst>
                <a:ext uri="{63B3BB69-23CF-44E3-9099-C40C66FF867C}">
                  <a14:compatExt spid="_x0000_s9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19050</xdr:colOff>
          <xdr:row>67</xdr:row>
          <xdr:rowOff>19050</xdr:rowOff>
        </xdr:to>
        <xdr:sp macro="" textlink="">
          <xdr:nvSpPr>
            <xdr:cNvPr id="98327" name="Drop Down 23" hidden="1">
              <a:extLst>
                <a:ext uri="{63B3BB69-23CF-44E3-9099-C40C66FF867C}">
                  <a14:compatExt spid="_x0000_s9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19050</xdr:colOff>
          <xdr:row>68</xdr:row>
          <xdr:rowOff>19050</xdr:rowOff>
        </xdr:to>
        <xdr:sp macro="" textlink="">
          <xdr:nvSpPr>
            <xdr:cNvPr id="98328" name="Drop Down 24" hidden="1">
              <a:extLst>
                <a:ext uri="{63B3BB69-23CF-44E3-9099-C40C66FF867C}">
                  <a14:compatExt spid="_x0000_s9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19050</xdr:colOff>
          <xdr:row>69</xdr:row>
          <xdr:rowOff>57150</xdr:rowOff>
        </xdr:to>
        <xdr:sp macro="" textlink="">
          <xdr:nvSpPr>
            <xdr:cNvPr id="98329" name="Drop Down 25" hidden="1">
              <a:extLst>
                <a:ext uri="{63B3BB69-23CF-44E3-9099-C40C66FF867C}">
                  <a14:compatExt spid="_x0000_s9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15</xdr:col>
      <xdr:colOff>595746</xdr:colOff>
      <xdr:row>1</xdr:row>
      <xdr:rowOff>0</xdr:rowOff>
    </xdr:from>
    <xdr:to>
      <xdr:col>19</xdr:col>
      <xdr:colOff>41564</xdr:colOff>
      <xdr:row>1</xdr:row>
      <xdr:rowOff>235528</xdr:rowOff>
    </xdr:to>
    <xdr:sp macro="" textlink="">
      <xdr:nvSpPr>
        <xdr:cNvPr id="2" name="Rectangle 45">
          <a:hlinkClick xmlns:r="http://schemas.openxmlformats.org/officeDocument/2006/relationships" r:id="rId1"/>
        </xdr:cNvPr>
        <xdr:cNvSpPr>
          <a:spLocks noChangeArrowheads="1"/>
        </xdr:cNvSpPr>
      </xdr:nvSpPr>
      <xdr:spPr bwMode="auto">
        <a:xfrm>
          <a:off x="9642764" y="263236"/>
          <a:ext cx="1759527"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161925</xdr:colOff>
          <xdr:row>60</xdr:row>
          <xdr:rowOff>104775</xdr:rowOff>
        </xdr:from>
        <xdr:to>
          <xdr:col>10</xdr:col>
          <xdr:colOff>361950</xdr:colOff>
          <xdr:row>61</xdr:row>
          <xdr:rowOff>152400</xdr:rowOff>
        </xdr:to>
        <xdr:sp macro="" textlink="">
          <xdr:nvSpPr>
            <xdr:cNvPr id="56321" name="Check Box 1" hidden="1">
              <a:extLst>
                <a:ext uri="{63B3BB69-23CF-44E3-9099-C40C66FF867C}">
                  <a14:compatExt spid="_x0000_s56321"/>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63</xdr:row>
          <xdr:rowOff>114300</xdr:rowOff>
        </xdr:from>
        <xdr:to>
          <xdr:col>10</xdr:col>
          <xdr:colOff>381000</xdr:colOff>
          <xdr:row>64</xdr:row>
          <xdr:rowOff>152400</xdr:rowOff>
        </xdr:to>
        <xdr:sp macro="" textlink="">
          <xdr:nvSpPr>
            <xdr:cNvPr id="56322" name="Check Box 2" hidden="1">
              <a:extLst>
                <a:ext uri="{63B3BB69-23CF-44E3-9099-C40C66FF867C}">
                  <a14:compatExt spid="_x0000_s56322"/>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xdr:row>
          <xdr:rowOff>57150</xdr:rowOff>
        </xdr:from>
        <xdr:to>
          <xdr:col>11</xdr:col>
          <xdr:colOff>704850</xdr:colOff>
          <xdr:row>6</xdr:row>
          <xdr:rowOff>352425</xdr:rowOff>
        </xdr:to>
        <xdr:sp macro="" textlink="">
          <xdr:nvSpPr>
            <xdr:cNvPr id="56323" name="Drop Down 3" hidden="1">
              <a:extLst>
                <a:ext uri="{63B3BB69-23CF-44E3-9099-C40C66FF867C}">
                  <a14:compatExt spid="_x0000_s5632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oneCellAnchor>
    <xdr:from>
      <xdr:col>15</xdr:col>
      <xdr:colOff>468086</xdr:colOff>
      <xdr:row>7</xdr:row>
      <xdr:rowOff>0</xdr:rowOff>
    </xdr:from>
    <xdr:ext cx="1845623" cy="298800"/>
    <xdr:sp macro="" textlink="">
      <xdr:nvSpPr>
        <xdr:cNvPr id="9" name="Textfeld 8">
          <a:hlinkClick xmlns:r="http://schemas.openxmlformats.org/officeDocument/2006/relationships" r:id="rId2"/>
        </xdr:cNvPr>
        <xdr:cNvSpPr txBox="1"/>
      </xdr:nvSpPr>
      <xdr:spPr>
        <a:xfrm>
          <a:off x="9515104" y="1565564"/>
          <a:ext cx="1845623"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86264</xdr:colOff>
      <xdr:row>136</xdr:row>
      <xdr:rowOff>0</xdr:rowOff>
    </xdr:from>
    <xdr:ext cx="6660455" cy="4075118"/>
    <xdr:pic>
      <xdr:nvPicPr>
        <xdr:cNvPr id="2" name="Grafik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9</xdr:row>
      <xdr:rowOff>0</xdr:rowOff>
    </xdr:from>
    <xdr:ext cx="1817915" cy="298800"/>
    <xdr:sp macro="" textlink="">
      <xdr:nvSpPr>
        <xdr:cNvPr id="4" name="Textfeld 3">
          <a:hlinkClick xmlns:r="http://schemas.openxmlformats.org/officeDocument/2006/relationships" r:id="rId2"/>
        </xdr:cNvPr>
        <xdr:cNvSpPr txBox="1"/>
      </xdr:nvSpPr>
      <xdr:spPr>
        <a:xfrm>
          <a:off x="9971314" y="2090057"/>
          <a:ext cx="181791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0</xdr:colOff>
      <xdr:row>1</xdr:row>
      <xdr:rowOff>91044</xdr:rowOff>
    </xdr:from>
    <xdr:to>
      <xdr:col>17</xdr:col>
      <xdr:colOff>240475</xdr:colOff>
      <xdr:row>2</xdr:row>
      <xdr:rowOff>21772</xdr:rowOff>
    </xdr:to>
    <xdr:sp macro="" textlink="">
      <xdr:nvSpPr>
        <xdr:cNvPr id="5" name="Rectangle 45">
          <a:hlinkClick xmlns:r="http://schemas.openxmlformats.org/officeDocument/2006/relationships" r:id="rId3"/>
        </xdr:cNvPr>
        <xdr:cNvSpPr>
          <a:spLocks noChangeArrowheads="1"/>
        </xdr:cNvSpPr>
      </xdr:nvSpPr>
      <xdr:spPr bwMode="auto">
        <a:xfrm>
          <a:off x="9971314" y="210787"/>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Bodenbearb.</a:t>
          </a:r>
        </a:p>
      </xdr:txBody>
    </xdr:sp>
    <xdr:clientData/>
  </xdr:twoCellAnchor>
  <xdr:twoCellAnchor>
    <xdr:from>
      <xdr:col>1</xdr:col>
      <xdr:colOff>2</xdr:colOff>
      <xdr:row>31</xdr:row>
      <xdr:rowOff>0</xdr:rowOff>
    </xdr:from>
    <xdr:to>
      <xdr:col>2</xdr:col>
      <xdr:colOff>3</xdr:colOff>
      <xdr:row>39</xdr:row>
      <xdr:rowOff>2</xdr:rowOff>
    </xdr:to>
    <xdr:sp macro="" textlink="">
      <xdr:nvSpPr>
        <xdr:cNvPr id="4" name="Textfeld 3"/>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Bestellung</a:t>
          </a:r>
        </a:p>
      </xdr:txBody>
    </xdr:sp>
    <xdr:clientData/>
  </xdr:twoCellAnchor>
  <xdr:twoCellAnchor>
    <xdr:from>
      <xdr:col>1</xdr:col>
      <xdr:colOff>5</xdr:colOff>
      <xdr:row>44</xdr:row>
      <xdr:rowOff>45720</xdr:rowOff>
    </xdr:from>
    <xdr:to>
      <xdr:col>2</xdr:col>
      <xdr:colOff>5</xdr:colOff>
      <xdr:row>51</xdr:row>
      <xdr:rowOff>68586</xdr:rowOff>
    </xdr:to>
    <xdr:sp macro="" textlink="">
      <xdr:nvSpPr>
        <xdr:cNvPr id="5" name="Textfeld 4"/>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Pflege</a:t>
          </a:r>
        </a:p>
      </xdr:txBody>
    </xdr:sp>
    <xdr:clientData/>
  </xdr:twoCellAnchor>
  <xdr:twoCellAnchor>
    <xdr:from>
      <xdr:col>1</xdr:col>
      <xdr:colOff>1</xdr:colOff>
      <xdr:row>39</xdr:row>
      <xdr:rowOff>0</xdr:rowOff>
    </xdr:from>
    <xdr:to>
      <xdr:col>2</xdr:col>
      <xdr:colOff>0</xdr:colOff>
      <xdr:row>44</xdr:row>
      <xdr:rowOff>53339</xdr:rowOff>
    </xdr:to>
    <xdr:sp macro="" textlink="">
      <xdr:nvSpPr>
        <xdr:cNvPr id="6" name="Textfeld 5"/>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Düngung </a:t>
          </a:r>
        </a:p>
      </xdr:txBody>
    </xdr:sp>
    <xdr:clientData/>
  </xdr:twoCellAnchor>
  <xdr:twoCellAnchor>
    <xdr:from>
      <xdr:col>0</xdr:col>
      <xdr:colOff>196391</xdr:colOff>
      <xdr:row>68</xdr:row>
      <xdr:rowOff>78555</xdr:rowOff>
    </xdr:from>
    <xdr:to>
      <xdr:col>2</xdr:col>
      <xdr:colOff>0</xdr:colOff>
      <xdr:row>86</xdr:row>
      <xdr:rowOff>78556</xdr:rowOff>
    </xdr:to>
    <xdr:sp macro="" textlink="">
      <xdr:nvSpPr>
        <xdr:cNvPr id="7" name="Textfeld 6"/>
        <xdr:cNvSpPr txBox="1"/>
      </xdr:nvSpPr>
      <xdr:spPr>
        <a:xfrm rot="16200000">
          <a:off x="-610465" y="12284931"/>
          <a:ext cx="3017521" cy="1403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Kartoffeln</a:t>
          </a:r>
        </a:p>
      </xdr:txBody>
    </xdr:sp>
    <xdr:clientData/>
  </xdr:twoCellAnchor>
  <xdr:twoCellAnchor>
    <xdr:from>
      <xdr:col>1</xdr:col>
      <xdr:colOff>1</xdr:colOff>
      <xdr:row>52</xdr:row>
      <xdr:rowOff>0</xdr:rowOff>
    </xdr:from>
    <xdr:to>
      <xdr:col>2</xdr:col>
      <xdr:colOff>2</xdr:colOff>
      <xdr:row>55</xdr:row>
      <xdr:rowOff>2</xdr:rowOff>
    </xdr:to>
    <xdr:sp macro="" textlink="">
      <xdr:nvSpPr>
        <xdr:cNvPr id="8" name="Textfeld 7"/>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1</xdr:colOff>
      <xdr:row>55</xdr:row>
      <xdr:rowOff>0</xdr:rowOff>
    </xdr:from>
    <xdr:to>
      <xdr:col>2</xdr:col>
      <xdr:colOff>2</xdr:colOff>
      <xdr:row>60</xdr:row>
      <xdr:rowOff>2</xdr:rowOff>
    </xdr:to>
    <xdr:sp macro="" textlink="">
      <xdr:nvSpPr>
        <xdr:cNvPr id="9" name="Textfeld 8"/>
        <xdr:cNvSpPr txBox="1"/>
      </xdr:nvSpPr>
      <xdr:spPr>
        <a:xfrm rot="16200000">
          <a:off x="781051" y="923925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1000"/>
            <a:t>Transport</a:t>
          </a:r>
          <a:endParaRPr lang="de-DE" sz="1050"/>
        </a:p>
      </xdr:txBody>
    </xdr:sp>
    <xdr:clientData/>
  </xdr:twoCellAnchor>
  <xdr:twoCellAnchor>
    <xdr:from>
      <xdr:col>0</xdr:col>
      <xdr:colOff>196391</xdr:colOff>
      <xdr:row>60</xdr:row>
      <xdr:rowOff>0</xdr:rowOff>
    </xdr:from>
    <xdr:to>
      <xdr:col>1</xdr:col>
      <xdr:colOff>265128</xdr:colOff>
      <xdr:row>69</xdr:row>
      <xdr:rowOff>0</xdr:rowOff>
    </xdr:to>
    <xdr:sp macro="" textlink="">
      <xdr:nvSpPr>
        <xdr:cNvPr id="10" name="Textfeld 9"/>
        <xdr:cNvSpPr txBox="1"/>
      </xdr:nvSpPr>
      <xdr:spPr>
        <a:xfrm rot="16200000">
          <a:off x="-123570" y="1037836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t>Grünland</a:t>
          </a:r>
        </a:p>
      </xdr:txBody>
    </xdr:sp>
    <xdr:clientData/>
  </xdr:twoCellAnchor>
  <xdr:oneCellAnchor>
    <xdr:from>
      <xdr:col>15</xdr:col>
      <xdr:colOff>653144</xdr:colOff>
      <xdr:row>11</xdr:row>
      <xdr:rowOff>0</xdr:rowOff>
    </xdr:from>
    <xdr:ext cx="1839685" cy="298800"/>
    <xdr:sp macro="" textlink="">
      <xdr:nvSpPr>
        <xdr:cNvPr id="16" name="Textfeld 15">
          <a:hlinkClick xmlns:r="http://schemas.openxmlformats.org/officeDocument/2006/relationships" r:id="rId2"/>
        </xdr:cNvPr>
        <xdr:cNvSpPr txBox="1"/>
      </xdr:nvSpPr>
      <xdr:spPr>
        <a:xfrm>
          <a:off x="9339944" y="1861457"/>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750125</xdr:colOff>
      <xdr:row>1</xdr:row>
      <xdr:rowOff>0</xdr:rowOff>
    </xdr:from>
    <xdr:to>
      <xdr:col>16</xdr:col>
      <xdr:colOff>0</xdr:colOff>
      <xdr:row>2</xdr:row>
      <xdr:rowOff>17814</xdr:rowOff>
    </xdr:to>
    <xdr:sp macro="" textlink="">
      <xdr:nvSpPr>
        <xdr:cNvPr id="17" name="Rectangle 45">
          <a:hlinkClick xmlns:r="http://schemas.openxmlformats.org/officeDocument/2006/relationships" r:id="rId3"/>
        </xdr:cNvPr>
        <xdr:cNvSpPr>
          <a:spLocks noChangeArrowheads="1"/>
        </xdr:cNvSpPr>
      </xdr:nvSpPr>
      <xdr:spPr bwMode="auto">
        <a:xfrm>
          <a:off x="9436925" y="130629"/>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22</xdr:row>
      <xdr:rowOff>157112</xdr:rowOff>
    </xdr:from>
    <xdr:to>
      <xdr:col>2</xdr:col>
      <xdr:colOff>2</xdr:colOff>
      <xdr:row>30</xdr:row>
      <xdr:rowOff>0</xdr:rowOff>
    </xdr:to>
    <xdr:sp macro="" textlink="">
      <xdr:nvSpPr>
        <xdr:cNvPr id="4" name="Textfeld 3"/>
        <xdr:cNvSpPr txBox="1"/>
      </xdr:nvSpPr>
      <xdr:spPr>
        <a:xfrm rot="16200000">
          <a:off x="608148" y="4037145"/>
          <a:ext cx="1184008"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Bodenbearb.</a:t>
          </a:r>
        </a:p>
      </xdr:txBody>
    </xdr:sp>
    <xdr:clientData/>
  </xdr:twoCellAnchor>
  <xdr:twoCellAnchor>
    <xdr:from>
      <xdr:col>1</xdr:col>
      <xdr:colOff>2</xdr:colOff>
      <xdr:row>30</xdr:row>
      <xdr:rowOff>0</xdr:rowOff>
    </xdr:from>
    <xdr:to>
      <xdr:col>2</xdr:col>
      <xdr:colOff>3</xdr:colOff>
      <xdr:row>39</xdr:row>
      <xdr:rowOff>2</xdr:rowOff>
    </xdr:to>
    <xdr:sp macro="" textlink="">
      <xdr:nvSpPr>
        <xdr:cNvPr id="5" name="Textfeld 4"/>
        <xdr:cNvSpPr txBox="1"/>
      </xdr:nvSpPr>
      <xdr:spPr>
        <a:xfrm rot="16200000">
          <a:off x="529592" y="529971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Bestellung</a:t>
          </a:r>
        </a:p>
      </xdr:txBody>
    </xdr:sp>
    <xdr:clientData/>
  </xdr:twoCellAnchor>
  <xdr:twoCellAnchor>
    <xdr:from>
      <xdr:col>1</xdr:col>
      <xdr:colOff>3</xdr:colOff>
      <xdr:row>38</xdr:row>
      <xdr:rowOff>78555</xdr:rowOff>
    </xdr:from>
    <xdr:to>
      <xdr:col>2</xdr:col>
      <xdr:colOff>3</xdr:colOff>
      <xdr:row>45</xdr:row>
      <xdr:rowOff>2</xdr:rowOff>
    </xdr:to>
    <xdr:sp macro="" textlink="">
      <xdr:nvSpPr>
        <xdr:cNvPr id="6" name="Textfeld 5"/>
        <xdr:cNvSpPr txBox="1"/>
      </xdr:nvSpPr>
      <xdr:spPr>
        <a:xfrm rot="16200000">
          <a:off x="736509" y="6344829"/>
          <a:ext cx="927287"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Pflege</a:t>
          </a:r>
        </a:p>
      </xdr:txBody>
    </xdr:sp>
    <xdr:clientData/>
  </xdr:twoCellAnchor>
  <xdr:twoCellAnchor>
    <xdr:from>
      <xdr:col>1</xdr:col>
      <xdr:colOff>1</xdr:colOff>
      <xdr:row>45</xdr:row>
      <xdr:rowOff>1</xdr:rowOff>
    </xdr:from>
    <xdr:to>
      <xdr:col>2</xdr:col>
      <xdr:colOff>0</xdr:colOff>
      <xdr:row>52</xdr:row>
      <xdr:rowOff>0</xdr:rowOff>
    </xdr:to>
    <xdr:sp macro="" textlink="">
      <xdr:nvSpPr>
        <xdr:cNvPr id="7" name="Textfeld 6"/>
        <xdr:cNvSpPr txBox="1"/>
      </xdr:nvSpPr>
      <xdr:spPr>
        <a:xfrm rot="16200000">
          <a:off x="697231" y="7311391"/>
          <a:ext cx="10058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Düngung </a:t>
          </a:r>
        </a:p>
      </xdr:txBody>
    </xdr:sp>
    <xdr:clientData/>
  </xdr:twoCellAnchor>
  <xdr:twoCellAnchor>
    <xdr:from>
      <xdr:col>0</xdr:col>
      <xdr:colOff>204011</xdr:colOff>
      <xdr:row>69</xdr:row>
      <xdr:rowOff>78555</xdr:rowOff>
    </xdr:from>
    <xdr:to>
      <xdr:col>1</xdr:col>
      <xdr:colOff>274926</xdr:colOff>
      <xdr:row>87</xdr:row>
      <xdr:rowOff>78556</xdr:rowOff>
    </xdr:to>
    <xdr:sp macro="" textlink="">
      <xdr:nvSpPr>
        <xdr:cNvPr id="8" name="Textfeld 7"/>
        <xdr:cNvSpPr txBox="1"/>
      </xdr:nvSpPr>
      <xdr:spPr>
        <a:xfrm rot="16200000">
          <a:off x="-869242" y="12048408"/>
          <a:ext cx="3017521" cy="871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Kartoffeln</a:t>
          </a:r>
        </a:p>
        <a:p>
          <a:endParaRPr lang="de-DE" sz="1100"/>
        </a:p>
      </xdr:txBody>
    </xdr:sp>
    <xdr:clientData/>
  </xdr:twoCellAnchor>
  <xdr:twoCellAnchor>
    <xdr:from>
      <xdr:col>1</xdr:col>
      <xdr:colOff>1</xdr:colOff>
      <xdr:row>52</xdr:row>
      <xdr:rowOff>0</xdr:rowOff>
    </xdr:from>
    <xdr:to>
      <xdr:col>2</xdr:col>
      <xdr:colOff>2</xdr:colOff>
      <xdr:row>55</xdr:row>
      <xdr:rowOff>2</xdr:rowOff>
    </xdr:to>
    <xdr:sp macro="" textlink="">
      <xdr:nvSpPr>
        <xdr:cNvPr id="9" name="Textfeld 8"/>
        <xdr:cNvSpPr txBox="1"/>
      </xdr:nvSpPr>
      <xdr:spPr>
        <a:xfrm rot="16200000">
          <a:off x="948691" y="806577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a:t>Ernte</a:t>
          </a:r>
        </a:p>
        <a:p>
          <a:endParaRPr lang="de-DE" sz="1100"/>
        </a:p>
      </xdr:txBody>
    </xdr:sp>
    <xdr:clientData/>
  </xdr:twoCellAnchor>
  <xdr:twoCellAnchor>
    <xdr:from>
      <xdr:col>1</xdr:col>
      <xdr:colOff>1</xdr:colOff>
      <xdr:row>55</xdr:row>
      <xdr:rowOff>0</xdr:rowOff>
    </xdr:from>
    <xdr:to>
      <xdr:col>2</xdr:col>
      <xdr:colOff>2</xdr:colOff>
      <xdr:row>60</xdr:row>
      <xdr:rowOff>2</xdr:rowOff>
    </xdr:to>
    <xdr:sp macro="" textlink="">
      <xdr:nvSpPr>
        <xdr:cNvPr id="10" name="Textfeld 9"/>
        <xdr:cNvSpPr txBox="1"/>
      </xdr:nvSpPr>
      <xdr:spPr>
        <a:xfrm rot="16200000">
          <a:off x="781051" y="873633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700"/>
            </a:lnSpc>
          </a:pPr>
          <a:r>
            <a:rPr lang="de-DE" sz="1000"/>
            <a:t>Transport</a:t>
          </a:r>
          <a:endParaRPr lang="de-DE" sz="1050"/>
        </a:p>
        <a:p>
          <a:pPr>
            <a:lnSpc>
              <a:spcPts val="800"/>
            </a:lnSpc>
          </a:pPr>
          <a:endParaRPr lang="de-DE" sz="1050"/>
        </a:p>
      </xdr:txBody>
    </xdr:sp>
    <xdr:clientData/>
  </xdr:twoCellAnchor>
  <xdr:twoCellAnchor>
    <xdr:from>
      <xdr:col>1</xdr:col>
      <xdr:colOff>1</xdr:colOff>
      <xdr:row>88</xdr:row>
      <xdr:rowOff>0</xdr:rowOff>
    </xdr:from>
    <xdr:to>
      <xdr:col>2</xdr:col>
      <xdr:colOff>0</xdr:colOff>
      <xdr:row>93</xdr:row>
      <xdr:rowOff>0</xdr:rowOff>
    </xdr:to>
    <xdr:sp macro="" textlink="">
      <xdr:nvSpPr>
        <xdr:cNvPr id="11" name="Textfeld 10"/>
        <xdr:cNvSpPr txBox="1"/>
      </xdr:nvSpPr>
      <xdr:spPr>
        <a:xfrm rot="16200000">
          <a:off x="781051" y="14100810"/>
          <a:ext cx="838200"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Hanf</a:t>
          </a:r>
        </a:p>
      </xdr:txBody>
    </xdr:sp>
    <xdr:clientData/>
  </xdr:twoCellAnchor>
  <xdr:twoCellAnchor>
    <xdr:from>
      <xdr:col>7</xdr:col>
      <xdr:colOff>342493</xdr:colOff>
      <xdr:row>104</xdr:row>
      <xdr:rowOff>32722</xdr:rowOff>
    </xdr:from>
    <xdr:to>
      <xdr:col>11</xdr:col>
      <xdr:colOff>74</xdr:colOff>
      <xdr:row>130</xdr:row>
      <xdr:rowOff>125682</xdr:rowOff>
    </xdr:to>
    <xdr:sp macro="" textlink="">
      <xdr:nvSpPr>
        <xdr:cNvPr id="12" name="Textfeld 11"/>
        <xdr:cNvSpPr txBox="1"/>
      </xdr:nvSpPr>
      <xdr:spPr>
        <a:xfrm>
          <a:off x="5943193" y="16796722"/>
          <a:ext cx="2857981" cy="4451600"/>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Tabellen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werden dann </a:t>
          </a:r>
          <a:r>
            <a:rPr lang="de-DE" sz="1200" b="1" baseline="0">
              <a:solidFill>
                <a:schemeClr val="dk1"/>
              </a:solidFill>
              <a:effectLst/>
              <a:latin typeface="+mn-lt"/>
              <a:ea typeface="+mn-ea"/>
              <a:cs typeface="+mn-cs"/>
            </a:rPr>
            <a:t>automatisch als ein Gesamtwert in die Tabelle Arbeitgänge übermittelt </a:t>
          </a:r>
          <a:r>
            <a:rPr lang="de-DE" sz="1200" b="0" baseline="0">
              <a:solidFill>
                <a:schemeClr val="dk1"/>
              </a:solidFill>
              <a:effectLst/>
              <a:latin typeface="+mn-lt"/>
              <a:ea typeface="+mn-ea"/>
              <a:cs typeface="+mn-cs"/>
            </a:rPr>
            <a:t>und können von dort für die Berechnungsblätter ausgewählt werden.</a:t>
          </a:r>
          <a:endParaRPr lang="de-DE" sz="1200" b="0">
            <a:effectLst/>
          </a:endParaRPr>
        </a:p>
        <a:p>
          <a:pPr>
            <a:lnSpc>
              <a:spcPts val="1100"/>
            </a:lnSpc>
          </a:pPr>
          <a:endParaRPr lang="de-DE" sz="1200" b="1">
            <a:solidFill>
              <a:srgbClr val="FF0000"/>
            </a:solidFill>
          </a:endParaRPr>
        </a:p>
      </xdr:txBody>
    </xdr:sp>
    <xdr:clientData/>
  </xdr:twoCellAnchor>
  <xdr:twoCellAnchor>
    <xdr:from>
      <xdr:col>0</xdr:col>
      <xdr:colOff>204011</xdr:colOff>
      <xdr:row>60</xdr:row>
      <xdr:rowOff>0</xdr:rowOff>
    </xdr:from>
    <xdr:to>
      <xdr:col>1</xdr:col>
      <xdr:colOff>272748</xdr:colOff>
      <xdr:row>70</xdr:row>
      <xdr:rowOff>0</xdr:rowOff>
    </xdr:to>
    <xdr:sp macro="" textlink="">
      <xdr:nvSpPr>
        <xdr:cNvPr id="13" name="Textfeld 12"/>
        <xdr:cNvSpPr txBox="1"/>
      </xdr:nvSpPr>
      <xdr:spPr>
        <a:xfrm rot="16200000">
          <a:off x="-115950" y="987544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Grünland</a:t>
          </a:r>
        </a:p>
        <a:p>
          <a:endParaRPr lang="de-DE" sz="1100"/>
        </a:p>
      </xdr:txBody>
    </xdr:sp>
    <xdr:clientData/>
  </xdr:twoCellAnchor>
  <xdr:twoCellAnchor>
    <xdr:from>
      <xdr:col>0</xdr:col>
      <xdr:colOff>204010</xdr:colOff>
      <xdr:row>93</xdr:row>
      <xdr:rowOff>1</xdr:rowOff>
    </xdr:from>
    <xdr:to>
      <xdr:col>1</xdr:col>
      <xdr:colOff>274926</xdr:colOff>
      <xdr:row>100</xdr:row>
      <xdr:rowOff>0</xdr:rowOff>
    </xdr:to>
    <xdr:sp macro="" textlink="">
      <xdr:nvSpPr>
        <xdr:cNvPr id="14" name="Textfeld 13"/>
        <xdr:cNvSpPr txBox="1"/>
      </xdr:nvSpPr>
      <xdr:spPr>
        <a:xfrm rot="16200000">
          <a:off x="52778" y="15071193"/>
          <a:ext cx="1173479" cy="871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00"/>
            <a:t>Hand</a:t>
          </a:r>
          <a:r>
            <a:rPr lang="de-DE" sz="1000" baseline="0"/>
            <a:t> Akh</a:t>
          </a:r>
          <a:endParaRPr lang="de-DE" sz="1000"/>
        </a:p>
      </xdr:txBody>
    </xdr:sp>
    <xdr:clientData/>
  </xdr:twoCellAnchor>
  <xdr:twoCellAnchor>
    <xdr:from>
      <xdr:col>15</xdr:col>
      <xdr:colOff>162296</xdr:colOff>
      <xdr:row>1</xdr:row>
      <xdr:rowOff>0</xdr:rowOff>
    </xdr:from>
    <xdr:to>
      <xdr:col>22</xdr:col>
      <xdr:colOff>0</xdr:colOff>
      <xdr:row>2</xdr:row>
      <xdr:rowOff>17813</xdr:rowOff>
    </xdr:to>
    <xdr:sp macro="" textlink="">
      <xdr:nvSpPr>
        <xdr:cNvPr id="16" name="Rectangle 45">
          <a:hlinkClick xmlns:r="http://schemas.openxmlformats.org/officeDocument/2006/relationships" r:id="rId1"/>
        </xdr:cNvPr>
        <xdr:cNvSpPr>
          <a:spLocks noChangeArrowheads="1"/>
        </xdr:cNvSpPr>
      </xdr:nvSpPr>
      <xdr:spPr bwMode="auto">
        <a:xfrm>
          <a:off x="8315696" y="29391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217714</xdr:colOff>
      <xdr:row>8</xdr:row>
      <xdr:rowOff>15075</xdr:rowOff>
    </xdr:from>
    <xdr:ext cx="1839686" cy="298800"/>
    <xdr:sp macro="" textlink="">
      <xdr:nvSpPr>
        <xdr:cNvPr id="17" name="Textfeld 16">
          <a:hlinkClick xmlns:r="http://schemas.openxmlformats.org/officeDocument/2006/relationships" r:id="rId2"/>
        </xdr:cNvPr>
        <xdr:cNvSpPr txBox="1"/>
      </xdr:nvSpPr>
      <xdr:spPr>
        <a:xfrm>
          <a:off x="8371114" y="1767675"/>
          <a:ext cx="1839686"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16</xdr:col>
      <xdr:colOff>0</xdr:colOff>
      <xdr:row>4</xdr:row>
      <xdr:rowOff>158400</xdr:rowOff>
    </xdr:from>
    <xdr:ext cx="1817914" cy="298800"/>
    <xdr:sp macro="" textlink="">
      <xdr:nvSpPr>
        <xdr:cNvPr id="3" name="Textfeld 2">
          <a:hlinkClick xmlns:r="http://schemas.openxmlformats.org/officeDocument/2006/relationships" r:id="rId1"/>
        </xdr:cNvPr>
        <xdr:cNvSpPr txBox="1"/>
      </xdr:nvSpPr>
      <xdr:spPr>
        <a:xfrm>
          <a:off x="7903029" y="1018371"/>
          <a:ext cx="1817914"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16</xdr:col>
      <xdr:colOff>0</xdr:colOff>
      <xdr:row>1</xdr:row>
      <xdr:rowOff>27708</xdr:rowOff>
    </xdr:from>
    <xdr:to>
      <xdr:col>24</xdr:col>
      <xdr:colOff>135577</xdr:colOff>
      <xdr:row>2</xdr:row>
      <xdr:rowOff>0</xdr:rowOff>
    </xdr:to>
    <xdr:sp macro="" textlink="">
      <xdr:nvSpPr>
        <xdr:cNvPr id="4" name="Rectangle 45">
          <a:hlinkClick xmlns:r="http://schemas.openxmlformats.org/officeDocument/2006/relationships" r:id="rId2"/>
        </xdr:cNvPr>
        <xdr:cNvSpPr>
          <a:spLocks noChangeArrowheads="1"/>
        </xdr:cNvSpPr>
      </xdr:nvSpPr>
      <xdr:spPr bwMode="auto">
        <a:xfrm>
          <a:off x="7924800" y="193963"/>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14</xdr:row>
      <xdr:rowOff>0</xdr:rowOff>
    </xdr:from>
    <xdr:to>
      <xdr:col>15</xdr:col>
      <xdr:colOff>362309</xdr:colOff>
      <xdr:row>14</xdr:row>
      <xdr:rowOff>0</xdr:rowOff>
    </xdr:to>
    <xdr:sp macro="" textlink="">
      <xdr:nvSpPr>
        <xdr:cNvPr id="10" name="Line 9"/>
        <xdr:cNvSpPr>
          <a:spLocks noChangeShapeType="1"/>
        </xdr:cNvSpPr>
      </xdr:nvSpPr>
      <xdr:spPr bwMode="auto">
        <a:xfrm>
          <a:off x="2753983" y="2346960"/>
          <a:ext cx="96098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69011</xdr:rowOff>
    </xdr:from>
    <xdr:to>
      <xdr:col>9</xdr:col>
      <xdr:colOff>345057</xdr:colOff>
      <xdr:row>24</xdr:row>
      <xdr:rowOff>69011</xdr:rowOff>
    </xdr:to>
    <xdr:sp macro="" textlink="">
      <xdr:nvSpPr>
        <xdr:cNvPr id="24" name="Line 23"/>
        <xdr:cNvSpPr>
          <a:spLocks noChangeShapeType="1"/>
        </xdr:cNvSpPr>
      </xdr:nvSpPr>
      <xdr:spPr bwMode="auto">
        <a:xfrm>
          <a:off x="821769" y="7558382"/>
          <a:ext cx="30284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24</xdr:row>
      <xdr:rowOff>69011</xdr:rowOff>
    </xdr:from>
    <xdr:to>
      <xdr:col>9</xdr:col>
      <xdr:colOff>345057</xdr:colOff>
      <xdr:row>25</xdr:row>
      <xdr:rowOff>0</xdr:rowOff>
    </xdr:to>
    <xdr:sp macro="" textlink="">
      <xdr:nvSpPr>
        <xdr:cNvPr id="36" name="Line 30"/>
        <xdr:cNvSpPr>
          <a:spLocks noChangeShapeType="1"/>
        </xdr:cNvSpPr>
      </xdr:nvSpPr>
      <xdr:spPr bwMode="auto">
        <a:xfrm>
          <a:off x="75459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16577</xdr:colOff>
      <xdr:row>32</xdr:row>
      <xdr:rowOff>920827</xdr:rowOff>
    </xdr:from>
    <xdr:ext cx="1518249" cy="276045"/>
    <xdr:pic>
      <xdr:nvPicPr>
        <xdr:cNvPr id="37"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942" y="11445392"/>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25879</xdr:colOff>
      <xdr:row>43</xdr:row>
      <xdr:rowOff>103517</xdr:rowOff>
    </xdr:from>
    <xdr:ext cx="5748068" cy="1052423"/>
    <xdr:pic>
      <xdr:nvPicPr>
        <xdr:cNvPr id="38"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6079" y="8820797"/>
          <a:ext cx="5748068" cy="105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759740</xdr:colOff>
      <xdr:row>1</xdr:row>
      <xdr:rowOff>70757</xdr:rowOff>
    </xdr:from>
    <xdr:to>
      <xdr:col>19</xdr:col>
      <xdr:colOff>0</xdr:colOff>
      <xdr:row>2</xdr:row>
      <xdr:rowOff>0</xdr:rowOff>
    </xdr:to>
    <xdr:sp macro="" textlink="">
      <xdr:nvSpPr>
        <xdr:cNvPr id="34" name="Rectangle 40">
          <a:hlinkClick xmlns:r="http://schemas.openxmlformats.org/officeDocument/2006/relationships" r:id="rId3"/>
        </xdr:cNvPr>
        <xdr:cNvSpPr>
          <a:spLocks noChangeArrowheads="1"/>
        </xdr:cNvSpPr>
      </xdr:nvSpPr>
      <xdr:spPr bwMode="auto">
        <a:xfrm>
          <a:off x="7868111" y="1578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21</xdr:col>
      <xdr:colOff>778824</xdr:colOff>
      <xdr:row>1</xdr:row>
      <xdr:rowOff>0</xdr:rowOff>
    </xdr:from>
    <xdr:to>
      <xdr:col>29</xdr:col>
      <xdr:colOff>0</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8024751" y="290945"/>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21</xdr:col>
      <xdr:colOff>747157</xdr:colOff>
      <xdr:row>4</xdr:row>
      <xdr:rowOff>158400</xdr:rowOff>
    </xdr:from>
    <xdr:ext cx="1778329" cy="298800"/>
    <xdr:sp macro="" textlink="">
      <xdr:nvSpPr>
        <xdr:cNvPr id="5" name="Textfeld 4">
          <a:hlinkClick xmlns:r="http://schemas.openxmlformats.org/officeDocument/2006/relationships" r:id="rId2"/>
        </xdr:cNvPr>
        <xdr:cNvSpPr txBox="1"/>
      </xdr:nvSpPr>
      <xdr:spPr>
        <a:xfrm>
          <a:off x="7975271" y="1040143"/>
          <a:ext cx="1778329"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274122</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3934691" y="19396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4" name="Textfeld 3">
          <a:hlinkClick xmlns:r="http://schemas.openxmlformats.org/officeDocument/2006/relationships" r:id="rId2"/>
        </xdr:cNvPr>
        <xdr:cNvSpPr txBox="1"/>
      </xdr:nvSpPr>
      <xdr:spPr>
        <a:xfrm>
          <a:off x="6137564" y="19396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5" name="Rectangle 45">
          <a:hlinkClick xmlns:r="http://schemas.openxmlformats.org/officeDocument/2006/relationships" r:id="rId1"/>
        </xdr:cNvPr>
        <xdr:cNvSpPr>
          <a:spLocks noChangeArrowheads="1"/>
        </xdr:cNvSpPr>
      </xdr:nvSpPr>
      <xdr:spPr bwMode="auto">
        <a:xfrm>
          <a:off x="3829050" y="196850"/>
          <a:ext cx="17219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6" name="Textfeld 5">
          <a:hlinkClick xmlns:r="http://schemas.openxmlformats.org/officeDocument/2006/relationships" r:id="rId2"/>
        </xdr:cNvPr>
        <xdr:cNvSpPr txBox="1"/>
      </xdr:nvSpPr>
      <xdr:spPr>
        <a:xfrm>
          <a:off x="600075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16</xdr:col>
      <xdr:colOff>486146</xdr:colOff>
      <xdr:row>3</xdr:row>
      <xdr:rowOff>50222</xdr:rowOff>
    </xdr:from>
    <xdr:to>
      <xdr:col>19</xdr:col>
      <xdr:colOff>0</xdr:colOff>
      <xdr:row>4</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1649446" y="1040822"/>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16</xdr:col>
      <xdr:colOff>454479</xdr:colOff>
      <xdr:row>4</xdr:row>
      <xdr:rowOff>329850</xdr:rowOff>
    </xdr:from>
    <xdr:ext cx="1774371" cy="298800"/>
    <xdr:sp macro="" textlink="">
      <xdr:nvSpPr>
        <xdr:cNvPr id="4" name="Textfeld 3">
          <a:hlinkClick xmlns:r="http://schemas.openxmlformats.org/officeDocument/2006/relationships" r:id="rId2"/>
        </xdr:cNvPr>
        <xdr:cNvSpPr txBox="1"/>
      </xdr:nvSpPr>
      <xdr:spPr>
        <a:xfrm>
          <a:off x="11617779" y="160620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17</xdr:col>
      <xdr:colOff>830531</xdr:colOff>
      <xdr:row>1</xdr:row>
      <xdr:rowOff>31419</xdr:rowOff>
    </xdr:from>
    <xdr:to>
      <xdr:col>20</xdr:col>
      <xdr:colOff>0</xdr:colOff>
      <xdr:row>2</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0682102" y="227362"/>
          <a:ext cx="1716727" cy="24072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17</xdr:col>
      <xdr:colOff>772887</xdr:colOff>
      <xdr:row>3</xdr:row>
      <xdr:rowOff>0</xdr:rowOff>
    </xdr:from>
    <xdr:ext cx="1774371" cy="298800"/>
    <xdr:sp macro="" textlink="">
      <xdr:nvSpPr>
        <xdr:cNvPr id="5" name="Textfeld 4">
          <a:hlinkClick xmlns:r="http://schemas.openxmlformats.org/officeDocument/2006/relationships" r:id="rId2"/>
        </xdr:cNvPr>
        <xdr:cNvSpPr txBox="1"/>
      </xdr:nvSpPr>
      <xdr:spPr>
        <a:xfrm>
          <a:off x="10624458" y="631371"/>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9</xdr:col>
      <xdr:colOff>142293</xdr:colOff>
      <xdr:row>38</xdr:row>
      <xdr:rowOff>9044</xdr:rowOff>
    </xdr:from>
    <xdr:to>
      <xdr:col>14</xdr:col>
      <xdr:colOff>501226</xdr:colOff>
      <xdr:row>56</xdr:row>
      <xdr:rowOff>17788</xdr:rowOff>
    </xdr:to>
    <xdr:sp macro="" textlink="">
      <xdr:nvSpPr>
        <xdr:cNvPr id="3" name="Rectangle 15"/>
        <xdr:cNvSpPr>
          <a:spLocks noChangeArrowheads="1"/>
        </xdr:cNvSpPr>
      </xdr:nvSpPr>
      <xdr:spPr bwMode="auto">
        <a:xfrm>
          <a:off x="4609518" y="7600469"/>
          <a:ext cx="3549808" cy="3085319"/>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00"/>
              </a:solidFill>
              <a:latin typeface="Arial"/>
              <a:cs typeface="Arial"/>
            </a:rPr>
            <a:t>Nachbaugebühr = generell 50 % der Züchterlizenzgebühr</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Für die einzelnen Fruchtarten gelten folgende Kriterien</a:t>
          </a:r>
        </a:p>
        <a:p>
          <a:pPr algn="l" rtl="0">
            <a:defRPr sz="1000"/>
          </a:pPr>
          <a:r>
            <a:rPr lang="de-DE" sz="1000" b="1" i="0" u="none" strike="noStrike" baseline="0">
              <a:solidFill>
                <a:srgbClr val="000000"/>
              </a:solidFill>
              <a:latin typeface="Arial"/>
              <a:cs typeface="Arial"/>
            </a:rPr>
            <a:t>- Kartoffeln: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bis</a:t>
          </a:r>
          <a:r>
            <a:rPr lang="de-DE" sz="1000" b="1" i="0" u="none" strike="noStrike" baseline="0">
              <a:solidFill>
                <a:srgbClr val="000000"/>
              </a:solidFill>
              <a:latin typeface="Arial"/>
              <a:cs typeface="Arial"/>
            </a:rPr>
            <a:t> 5 ha Kartoffelanbau</a:t>
          </a:r>
          <a:endParaRPr lang="de-DE" sz="1000" b="0"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Getreide und Grobleguminosen: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gesamtbetriebliche Ackerfläche kleiner als der für das</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jeweilige Bundesland bzw. die jeweilige Erzeugungsregion     im Rahmen der GAP-Reform festgelegte Schwellenwert</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Quelle:</a:t>
          </a:r>
        </a:p>
        <a:p>
          <a:pPr algn="l" rtl="0">
            <a:defRPr sz="1000"/>
          </a:pPr>
          <a:r>
            <a:rPr lang="de-DE" sz="1000" b="0" i="0" u="none" strike="noStrike" baseline="0">
              <a:solidFill>
                <a:srgbClr val="000000"/>
              </a:solidFill>
              <a:latin typeface="Arial"/>
              <a:cs typeface="Arial"/>
            </a:rPr>
            <a:t>Saatgut-Treuhandverwaltungs GmbH</a:t>
          </a:r>
        </a:p>
        <a:p>
          <a:pPr algn="l" rtl="0">
            <a:defRPr sz="1000"/>
          </a:pPr>
          <a:r>
            <a:rPr lang="de-DE" sz="1000" b="0" i="0" u="none" strike="noStrike" baseline="0">
              <a:solidFill>
                <a:srgbClr val="000000"/>
              </a:solidFill>
              <a:latin typeface="Arial"/>
              <a:cs typeface="Arial"/>
            </a:rPr>
            <a:t>www.stv-bonn.de/                         Stand 11/2017</a:t>
          </a:r>
        </a:p>
      </xdr:txBody>
    </xdr:sp>
    <xdr:clientData/>
  </xdr:twoCellAnchor>
  <xdr:twoCellAnchor>
    <xdr:from>
      <xdr:col>15</xdr:col>
      <xdr:colOff>0</xdr:colOff>
      <xdr:row>1</xdr:row>
      <xdr:rowOff>58633</xdr:rowOff>
    </xdr:from>
    <xdr:to>
      <xdr:col>17</xdr:col>
      <xdr:colOff>29825</xdr:colOff>
      <xdr:row>3</xdr:row>
      <xdr:rowOff>0</xdr:rowOff>
    </xdr:to>
    <xdr:sp macro="" textlink="">
      <xdr:nvSpPr>
        <xdr:cNvPr id="5" name="Rectangle 45">
          <a:hlinkClick xmlns:r="http://schemas.openxmlformats.org/officeDocument/2006/relationships" r:id="rId1"/>
        </xdr:cNvPr>
        <xdr:cNvSpPr>
          <a:spLocks noChangeArrowheads="1"/>
        </xdr:cNvSpPr>
      </xdr:nvSpPr>
      <xdr:spPr bwMode="auto">
        <a:xfrm>
          <a:off x="8120743" y="265462"/>
          <a:ext cx="1727996"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5</xdr:row>
      <xdr:rowOff>0</xdr:rowOff>
    </xdr:from>
    <xdr:ext cx="1774371" cy="298800"/>
    <xdr:sp macro="" textlink="">
      <xdr:nvSpPr>
        <xdr:cNvPr id="6" name="Textfeld 5">
          <a:hlinkClick xmlns:r="http://schemas.openxmlformats.org/officeDocument/2006/relationships" r:id="rId2"/>
        </xdr:cNvPr>
        <xdr:cNvSpPr txBox="1"/>
      </xdr:nvSpPr>
      <xdr:spPr>
        <a:xfrm>
          <a:off x="8120743" y="642257"/>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9</xdr:col>
      <xdr:colOff>552104</xdr:colOff>
      <xdr:row>11</xdr:row>
      <xdr:rowOff>92382</xdr:rowOff>
    </xdr:from>
    <xdr:to>
      <xdr:col>14</xdr:col>
      <xdr:colOff>327835</xdr:colOff>
      <xdr:row>32</xdr:row>
      <xdr:rowOff>94899</xdr:rowOff>
    </xdr:to>
    <xdr:sp macro="" textlink="">
      <xdr:nvSpPr>
        <xdr:cNvPr id="2" name="Rectangle 15"/>
        <xdr:cNvSpPr>
          <a:spLocks noChangeArrowheads="1"/>
        </xdr:cNvSpPr>
      </xdr:nvSpPr>
      <xdr:spPr bwMode="auto">
        <a:xfrm>
          <a:off x="7753004" y="1936422"/>
          <a:ext cx="3776231" cy="3522957"/>
        </a:xfrm>
        <a:prstGeom prst="rect">
          <a:avLst/>
        </a:prstGeom>
        <a:solidFill>
          <a:schemeClr val="bg1">
            <a:lumMod val="95000"/>
          </a:schemeClr>
        </a:solidFill>
        <a:ln w="9525">
          <a:noFill/>
          <a:miter lim="800000"/>
          <a:headEnd/>
          <a:tailEnd/>
        </a:ln>
      </xdr:spPr>
      <xdr:txBody>
        <a:bodyPr vertOverflow="clip" wrap="square" lIns="27432" tIns="22860" rIns="0" bIns="0" anchor="t" upright="1"/>
        <a:lstStyle/>
        <a:p>
          <a:pPr algn="ctr" rtl="0">
            <a:lnSpc>
              <a:spcPts val="1100"/>
            </a:lnSpc>
            <a:defRPr sz="1000"/>
          </a:pPr>
          <a:r>
            <a:rPr lang="de-DE" sz="1000" b="1" i="0" u="none" strike="noStrike" baseline="0">
              <a:solidFill>
                <a:srgbClr val="000000"/>
              </a:solidFill>
              <a:latin typeface="Arial"/>
              <a:cs typeface="Arial"/>
            </a:rPr>
            <a:t>Nachbaugebühr: </a:t>
          </a:r>
        </a:p>
        <a:p>
          <a:pPr algn="ctr" rtl="0">
            <a:lnSpc>
              <a:spcPts val="1000"/>
            </a:lnSpc>
            <a:defRPr sz="1000"/>
          </a:pPr>
          <a:r>
            <a:rPr lang="de-DE" sz="1000" b="1" i="0" u="none" strike="noStrike" baseline="0">
              <a:solidFill>
                <a:srgbClr val="000000"/>
              </a:solidFill>
              <a:latin typeface="Arial"/>
              <a:cs typeface="Arial"/>
            </a:rPr>
            <a:t>generell 50 % der Züchterlizenzgebühr</a:t>
          </a:r>
        </a:p>
        <a:p>
          <a:pPr algn="ctr" rtl="0">
            <a:lnSpc>
              <a:spcPts val="1100"/>
            </a:lnSpc>
            <a:defRPr sz="1000"/>
          </a:pPr>
          <a:r>
            <a:rPr lang="de-DE" sz="1000" b="1" i="0" u="none" strike="noStrike" baseline="0">
              <a:solidFill>
                <a:srgbClr val="000000"/>
              </a:solidFill>
              <a:latin typeface="Arial"/>
              <a:cs typeface="Arial"/>
            </a:rPr>
            <a:t>(</a:t>
          </a:r>
          <a:r>
            <a:rPr lang="de-DE" sz="1000" b="0" i="0" u="none" strike="noStrike" baseline="0">
              <a:solidFill>
                <a:srgbClr val="000000"/>
              </a:solidFill>
              <a:latin typeface="Arial"/>
              <a:cs typeface="Arial"/>
            </a:rPr>
            <a:t>siehe untenstehende Tabelle)</a:t>
          </a: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a:t>
          </a:r>
        </a:p>
        <a:p>
          <a:pPr algn="ctr" rtl="0">
            <a:lnSpc>
              <a:spcPts val="1000"/>
            </a:lnSpc>
            <a:defRPr sz="1000"/>
          </a:pPr>
          <a:r>
            <a:rPr lang="de-DE" sz="1000" b="0" i="0" u="none" strike="noStrike" baseline="0">
              <a:solidFill>
                <a:srgbClr val="000000"/>
              </a:solidFill>
              <a:latin typeface="Arial"/>
              <a:cs typeface="Arial"/>
            </a:rPr>
            <a:t>Für die einzelnen Fruchtarten gelten folgende Kriterien:</a:t>
          </a:r>
        </a:p>
        <a:p>
          <a:pPr algn="ctr" rtl="0">
            <a:lnSpc>
              <a:spcPts val="1000"/>
            </a:lnSpc>
            <a:defRPr sz="1000"/>
          </a:pPr>
          <a:r>
            <a:rPr lang="de-DE" sz="1000" b="1" i="0" u="none" strike="noStrike" baseline="0">
              <a:solidFill>
                <a:srgbClr val="000000"/>
              </a:solidFill>
              <a:latin typeface="Arial"/>
              <a:cs typeface="Arial"/>
            </a:rPr>
            <a:t>Kartoffeln </a:t>
          </a:r>
          <a:endParaRPr lang="de-DE" sz="1000" b="0" i="0" u="none" strike="noStrike" baseline="0">
            <a:solidFill>
              <a:srgbClr val="000000"/>
            </a:solidFill>
            <a:latin typeface="Arial"/>
            <a:cs typeface="Arial"/>
          </a:endParaRPr>
        </a:p>
        <a:p>
          <a:pPr algn="ctr" rtl="0">
            <a:lnSpc>
              <a:spcPts val="1000"/>
            </a:lnSpc>
            <a:defRPr sz="1000"/>
          </a:pPr>
          <a:r>
            <a:rPr lang="de-DE" sz="1000" b="0" i="0" u="none" strike="noStrike" baseline="0">
              <a:solidFill>
                <a:srgbClr val="000000"/>
              </a:solidFill>
              <a:latin typeface="Arial"/>
              <a:cs typeface="Arial"/>
            </a:rPr>
            <a:t>Als Kleinlandwirt gilt der Landwirt, der bis</a:t>
          </a:r>
          <a:r>
            <a:rPr lang="de-DE" sz="1000" b="1" i="0" u="none" strike="noStrike" baseline="0">
              <a:solidFill>
                <a:srgbClr val="000000"/>
              </a:solidFill>
              <a:latin typeface="Arial"/>
              <a:cs typeface="Arial"/>
            </a:rPr>
            <a:t> 5 ha Kartoffeln</a:t>
          </a:r>
          <a:r>
            <a:rPr lang="de-DE" sz="1000" b="0" i="0" u="none" strike="noStrike" baseline="0">
              <a:solidFill>
                <a:srgbClr val="000000"/>
              </a:solidFill>
              <a:latin typeface="Arial"/>
              <a:cs typeface="Arial"/>
            </a:rPr>
            <a:t> anbaut.</a:t>
          </a:r>
        </a:p>
        <a:p>
          <a:pPr algn="ctr" rtl="0">
            <a:lnSpc>
              <a:spcPts val="1100"/>
            </a:lnSpc>
            <a:defRPr sz="1000"/>
          </a:pPr>
          <a:endParaRPr lang="de-DE" sz="1000" b="0" i="0" u="none" strike="noStrike" baseline="0">
            <a:solidFill>
              <a:srgbClr val="000000"/>
            </a:solidFill>
            <a:latin typeface="Arial"/>
            <a:cs typeface="Arial"/>
          </a:endParaRPr>
        </a:p>
        <a:p>
          <a:pPr algn="ctr" rtl="0">
            <a:lnSpc>
              <a:spcPts val="1000"/>
            </a:lnSpc>
            <a:defRPr sz="1000"/>
          </a:pPr>
          <a:r>
            <a:rPr lang="de-DE" sz="1000" b="1" i="0" u="none" strike="noStrike" baseline="0">
              <a:solidFill>
                <a:srgbClr val="000000"/>
              </a:solidFill>
              <a:latin typeface="Arial"/>
              <a:cs typeface="Arial"/>
            </a:rPr>
            <a:t>Getreide und Grobleguminosen </a:t>
          </a: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Als Kleinlandwirt gilt der Landwirt, der eine gesamtbetriebliche Ackerfläche bewirtschaftet, die kleiner ist als der für das jeweilige Bundesland bzw. die jeweilige Erzeugungsregion im Rahmen der GAP-Reform festgelegte Schwellenwert</a:t>
          </a:r>
        </a:p>
        <a:p>
          <a:pPr algn="ctr" rtl="0">
            <a:lnSpc>
              <a:spcPts val="1000"/>
            </a:lnSpc>
            <a:defRPr sz="1000"/>
          </a:pPr>
          <a:r>
            <a:rPr lang="de-DE" sz="1000" b="0" i="0" u="none" strike="noStrike" baseline="0">
              <a:solidFill>
                <a:srgbClr val="000000"/>
              </a:solidFill>
              <a:latin typeface="Arial"/>
              <a:cs typeface="Arial"/>
            </a:rPr>
            <a:t>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700"/>
            </a:lnSpc>
            <a:defRPr sz="1000"/>
          </a:pPr>
          <a:r>
            <a:rPr lang="de-DE" sz="800" b="0" i="0" u="none" strike="noStrike" baseline="0">
              <a:solidFill>
                <a:srgbClr val="000000"/>
              </a:solidFill>
              <a:latin typeface="Arial"/>
              <a:cs typeface="Arial"/>
            </a:rPr>
            <a:t>Quelle: Saatgut-Treuhandverwaltungs GmbH</a:t>
          </a:r>
        </a:p>
        <a:p>
          <a:pPr algn="ctr" rtl="0">
            <a:lnSpc>
              <a:spcPts val="700"/>
            </a:lnSpc>
            <a:defRPr sz="1000"/>
          </a:pPr>
          <a:r>
            <a:rPr lang="de-DE" sz="800" b="0" i="0" u="none" strike="noStrike" baseline="0">
              <a:solidFill>
                <a:srgbClr val="000000"/>
              </a:solidFill>
              <a:latin typeface="Arial"/>
              <a:cs typeface="Arial"/>
            </a:rPr>
            <a:t> www.stv-bonn.de/ (Stand: 03/2015).</a:t>
          </a:r>
        </a:p>
      </xdr:txBody>
    </xdr:sp>
    <xdr:clientData/>
  </xdr:twoCellAnchor>
  <xdr:twoCellAnchor>
    <xdr:from>
      <xdr:col>15</xdr:col>
      <xdr:colOff>0</xdr:colOff>
      <xdr:row>1</xdr:row>
      <xdr:rowOff>0</xdr:rowOff>
    </xdr:from>
    <xdr:to>
      <xdr:col>16</xdr:col>
      <xdr:colOff>571549</xdr:colOff>
      <xdr:row>1</xdr:row>
      <xdr:rowOff>235281</xdr:rowOff>
    </xdr:to>
    <xdr:sp macro="" textlink="">
      <xdr:nvSpPr>
        <xdr:cNvPr id="4" name="Rectangle 45">
          <a:hlinkClick xmlns:r="http://schemas.openxmlformats.org/officeDocument/2006/relationships" r:id="rId1"/>
        </xdr:cNvPr>
        <xdr:cNvSpPr>
          <a:spLocks noChangeArrowheads="1"/>
        </xdr:cNvSpPr>
      </xdr:nvSpPr>
      <xdr:spPr bwMode="auto">
        <a:xfrm>
          <a:off x="8298180" y="106680"/>
          <a:ext cx="1729789"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3</xdr:row>
      <xdr:rowOff>66960</xdr:rowOff>
    </xdr:from>
    <xdr:ext cx="1774371" cy="298800"/>
    <xdr:sp macro="" textlink="">
      <xdr:nvSpPr>
        <xdr:cNvPr id="6" name="Textfeld 5">
          <a:hlinkClick xmlns:r="http://schemas.openxmlformats.org/officeDocument/2006/relationships" r:id="rId2"/>
        </xdr:cNvPr>
        <xdr:cNvSpPr txBox="1"/>
      </xdr:nvSpPr>
      <xdr:spPr>
        <a:xfrm>
          <a:off x="8298180" y="55464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5</xdr:col>
      <xdr:colOff>208351</xdr:colOff>
      <xdr:row>1</xdr:row>
      <xdr:rowOff>230927</xdr:rowOff>
    </xdr:to>
    <xdr:sp macro="" textlink="">
      <xdr:nvSpPr>
        <xdr:cNvPr id="3" name="Rectangle 45">
          <a:hlinkClick xmlns:r="http://schemas.openxmlformats.org/officeDocument/2006/relationships" r:id="rId1"/>
        </xdr:cNvPr>
        <xdr:cNvSpPr>
          <a:spLocks noChangeArrowheads="1"/>
        </xdr:cNvSpPr>
      </xdr:nvSpPr>
      <xdr:spPr bwMode="auto">
        <a:xfrm>
          <a:off x="3124200" y="163286"/>
          <a:ext cx="1721465" cy="23092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xdr:col>
      <xdr:colOff>0</xdr:colOff>
      <xdr:row>2</xdr:row>
      <xdr:rowOff>0</xdr:rowOff>
    </xdr:from>
    <xdr:ext cx="1774371" cy="298800"/>
    <xdr:sp macro="" textlink="">
      <xdr:nvSpPr>
        <xdr:cNvPr id="4" name="Textfeld 3">
          <a:hlinkClick xmlns:r="http://schemas.openxmlformats.org/officeDocument/2006/relationships" r:id="rId2"/>
        </xdr:cNvPr>
        <xdr:cNvSpPr txBox="1"/>
      </xdr:nvSpPr>
      <xdr:spPr>
        <a:xfrm>
          <a:off x="3124200" y="4463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914400</xdr:colOff>
      <xdr:row>223</xdr:row>
      <xdr:rowOff>93519</xdr:rowOff>
    </xdr:to>
    <xdr:graphicFrame macro="">
      <xdr:nvGraphicFramePr>
        <xdr:cNvPr id="2"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41564</xdr:colOff>
      <xdr:row>146</xdr:row>
      <xdr:rowOff>76929</xdr:rowOff>
    </xdr:from>
    <xdr:to>
      <xdr:col>17</xdr:col>
      <xdr:colOff>609599</xdr:colOff>
      <xdr:row>169</xdr:row>
      <xdr:rowOff>103910</xdr:rowOff>
    </xdr:to>
    <xdr:graphicFrame macro="">
      <xdr:nvGraphicFramePr>
        <xdr:cNvPr id="3"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250165</xdr:colOff>
      <xdr:row>0</xdr:row>
      <xdr:rowOff>0</xdr:rowOff>
    </xdr:from>
    <xdr:to>
      <xdr:col>5</xdr:col>
      <xdr:colOff>1449237</xdr:colOff>
      <xdr:row>0</xdr:row>
      <xdr:rowOff>215660</xdr:rowOff>
    </xdr:to>
    <xdr:sp macro="" textlink="">
      <xdr:nvSpPr>
        <xdr:cNvPr id="4" name="Rectangle 40">
          <a:hlinkClick xmlns:r="http://schemas.openxmlformats.org/officeDocument/2006/relationships" r:id="rId3"/>
        </xdr:cNvPr>
        <xdr:cNvSpPr>
          <a:spLocks noChangeArrowheads="1"/>
        </xdr:cNvSpPr>
      </xdr:nvSpPr>
      <xdr:spPr bwMode="auto">
        <a:xfrm>
          <a:off x="2650465" y="0"/>
          <a:ext cx="2151572" cy="1699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25</xdr:col>
      <xdr:colOff>36394</xdr:colOff>
      <xdr:row>0</xdr:row>
      <xdr:rowOff>51913</xdr:rowOff>
    </xdr:from>
    <xdr:to>
      <xdr:col>28</xdr:col>
      <xdr:colOff>689512</xdr:colOff>
      <xdr:row>4</xdr:row>
      <xdr:rowOff>41564</xdr:rowOff>
    </xdr:to>
    <xdr:sp macro="" textlink="">
      <xdr:nvSpPr>
        <xdr:cNvPr id="5" name="Textfeld 4"/>
        <xdr:cNvSpPr txBox="1"/>
      </xdr:nvSpPr>
      <xdr:spPr>
        <a:xfrm>
          <a:off x="21386249" y="51913"/>
          <a:ext cx="3063808" cy="71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de-DE" sz="1100" b="1">
              <a:solidFill>
                <a:srgbClr val="FF0000"/>
              </a:solidFill>
              <a:latin typeface="Arial" panose="020B0604020202020204" pitchFamily="34" charset="0"/>
              <a:cs typeface="Arial" panose="020B0604020202020204" pitchFamily="34" charset="0"/>
            </a:rPr>
            <a:t>Gelbe Felder anklicken und Kultur bzw. Bewirtschaftungsintensität über Schaltfläche wählen!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7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7410" name="Check Box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7411" name="Check Box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B6DC5FB-BE8E-4E91-804C-D94A72A2863B}" type="TxLink">
            <a:rPr lang="de-DE" sz="1100"/>
            <a:pPr algn="l"/>
            <a:t>1.536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45A9AC-1D17-470B-94C7-7E0C7B5241E1}" type="TxLink">
            <a:rPr lang="de-DE" sz="1100"/>
            <a:pPr algn="l"/>
            <a:t>1.741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3E9E8F3-3B4D-4696-A3BA-A2D1C70FD7F8}" type="TxLink">
            <a:rPr lang="de-DE" sz="1100"/>
            <a:pPr algn="l"/>
            <a:t>2.088 </a:t>
          </a:fld>
          <a:endParaRPr lang="de-DE" sz="1100"/>
        </a:p>
      </xdr:txBody>
    </xdr:sp>
    <xdr:clientData/>
  </xdr:twoCellAnchor>
  <xdr:twoCellAnchor>
    <xdr:from>
      <xdr:col>1</xdr:col>
      <xdr:colOff>51758</xdr:colOff>
      <xdr:row>0</xdr:row>
      <xdr:rowOff>0</xdr:rowOff>
    </xdr:from>
    <xdr:to>
      <xdr:col>3</xdr:col>
      <xdr:colOff>396839</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51858"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xdr:row>
      <xdr:rowOff>114300</xdr:rowOff>
    </xdr:from>
    <xdr:to>
      <xdr:col>14</xdr:col>
      <xdr:colOff>13146</xdr:colOff>
      <xdr:row>2</xdr:row>
      <xdr:rowOff>0</xdr:rowOff>
    </xdr:to>
    <xdr:sp macro="" textlink="">
      <xdr:nvSpPr>
        <xdr:cNvPr id="4" name="Rectangle 40">
          <a:hlinkClick xmlns:r="http://schemas.openxmlformats.org/officeDocument/2006/relationships" r:id="rId1"/>
        </xdr:cNvPr>
        <xdr:cNvSpPr>
          <a:spLocks noChangeArrowheads="1"/>
        </xdr:cNvSpPr>
      </xdr:nvSpPr>
      <xdr:spPr bwMode="auto">
        <a:xfrm>
          <a:off x="8832850" y="203200"/>
          <a:ext cx="1048196"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xdr:col>
      <xdr:colOff>482600</xdr:colOff>
      <xdr:row>2</xdr:row>
      <xdr:rowOff>31750</xdr:rowOff>
    </xdr:from>
    <xdr:ext cx="4122219" cy="280205"/>
    <xdr:sp macro="" textlink="">
      <xdr:nvSpPr>
        <xdr:cNvPr id="2" name="Textfeld 1"/>
        <xdr:cNvSpPr txBox="1"/>
      </xdr:nvSpPr>
      <xdr:spPr>
        <a:xfrm>
          <a:off x="596900" y="501650"/>
          <a:ext cx="412221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solidFill>
                <a:srgbClr val="FF0000"/>
              </a:solidFill>
            </a:rPr>
            <a:t>Die Kulturen sind über das x und Dropdownmenü auswählbar</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123825</xdr:colOff>
          <xdr:row>3</xdr:row>
          <xdr:rowOff>9525</xdr:rowOff>
        </xdr:from>
        <xdr:to>
          <xdr:col>12</xdr:col>
          <xdr:colOff>381000</xdr:colOff>
          <xdr:row>3</xdr:row>
          <xdr:rowOff>238125</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38100</xdr:rowOff>
        </xdr:from>
        <xdr:to>
          <xdr:col>12</xdr:col>
          <xdr:colOff>390525</xdr:colOff>
          <xdr:row>3</xdr:row>
          <xdr:rowOff>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9525</xdr:rowOff>
    </xdr:from>
    <xdr:to>
      <xdr:col>9</xdr:col>
      <xdr:colOff>532448</xdr:colOff>
      <xdr:row>0</xdr:row>
      <xdr:rowOff>200024</xdr:rowOff>
    </xdr:to>
    <xdr:sp macro="" textlink="$J$1">
      <xdr:nvSpPr>
        <xdr:cNvPr id="5" name="Rechteck 4"/>
        <xdr:cNvSpPr/>
      </xdr:nvSpPr>
      <xdr:spPr bwMode="auto">
        <a:xfrm>
          <a:off x="7296150" y="9525"/>
          <a:ext cx="437198"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2CD942A-C2DD-4682-B609-4280C24FA565}" type="TxLink">
            <a:rPr lang="de-DE" sz="1100"/>
            <a:pPr algn="l"/>
            <a:t>747 </a:t>
          </a:fld>
          <a:endParaRPr lang="de-DE" sz="1100"/>
        </a:p>
      </xdr:txBody>
    </xdr:sp>
    <xdr:clientData/>
  </xdr:twoCellAnchor>
  <xdr:twoCellAnchor>
    <xdr:from>
      <xdr:col>12</xdr:col>
      <xdr:colOff>66675</xdr:colOff>
      <xdr:row>0</xdr:row>
      <xdr:rowOff>19050</xdr:rowOff>
    </xdr:from>
    <xdr:to>
      <xdr:col>12</xdr:col>
      <xdr:colOff>512795</xdr:colOff>
      <xdr:row>0</xdr:row>
      <xdr:rowOff>209549</xdr:rowOff>
    </xdr:to>
    <xdr:sp macro="" textlink="$M$1">
      <xdr:nvSpPr>
        <xdr:cNvPr id="6" name="Rechteck 5"/>
        <xdr:cNvSpPr/>
      </xdr:nvSpPr>
      <xdr:spPr bwMode="auto">
        <a:xfrm>
          <a:off x="9667875" y="19050"/>
          <a:ext cx="446120" cy="1523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A0CC4B-EC41-4B8D-8B92-34E681A3A8E9}" type="TxLink">
            <a:rPr lang="de-DE" sz="1100"/>
            <a:pPr algn="l"/>
            <a:t>933 </a:t>
          </a:fld>
          <a:endParaRPr lang="de-DE" sz="1100"/>
        </a:p>
      </xdr:txBody>
    </xdr:sp>
    <xdr:clientData/>
  </xdr:twoCellAnchor>
  <xdr:twoCellAnchor>
    <xdr:from>
      <xdr:col>15</xdr:col>
      <xdr:colOff>95250</xdr:colOff>
      <xdr:row>0</xdr:row>
      <xdr:rowOff>28575</xdr:rowOff>
    </xdr:from>
    <xdr:to>
      <xdr:col>15</xdr:col>
      <xdr:colOff>532448</xdr:colOff>
      <xdr:row>0</xdr:row>
      <xdr:rowOff>219074</xdr:rowOff>
    </xdr:to>
    <xdr:sp macro="" textlink="$P$1">
      <xdr:nvSpPr>
        <xdr:cNvPr id="7" name="Rechteck 6"/>
        <xdr:cNvSpPr/>
      </xdr:nvSpPr>
      <xdr:spPr bwMode="auto">
        <a:xfrm>
          <a:off x="12096750"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38D8F0D-94BE-4E79-B0D0-A2B570C0253E}" type="TxLink">
            <a:rPr lang="de-DE" sz="1100"/>
            <a:pPr algn="l"/>
            <a:t>1.141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12</xdr:col>
          <xdr:colOff>533400</xdr:colOff>
          <xdr:row>3</xdr:row>
          <xdr:rowOff>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5C8EB5-2074-48D9-9CEA-E39B22D9C1A4}" type="TxLink">
            <a:rPr lang="de-DE" sz="1100"/>
            <a:pPr algn="l"/>
            <a:t>721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F3EFDEC-A8B0-44FF-8341-92DA0D637E7C}" type="TxLink">
            <a:rPr lang="de-DE" sz="1100"/>
            <a:pPr algn="l"/>
            <a:t>852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981DABD-7809-438B-B941-F33C88E579CC}" type="TxLink">
            <a:rPr lang="de-DE" sz="1100"/>
            <a:pPr algn="l"/>
            <a:t>976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A998C1C-3AD4-4B25-880C-9F9C7E31A285}" type="TxLink">
            <a:rPr lang="de-DE" sz="1100"/>
            <a:pPr algn="l"/>
            <a:t>713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6EC12F-18AC-4DAE-A59A-212C83256C7B}" type="TxLink">
            <a:rPr lang="de-DE" sz="1100"/>
            <a:pPr algn="l"/>
            <a:t>904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C6D02E1-2BE2-4F84-B5B0-124997783942}" type="TxLink">
            <a:rPr lang="de-DE" sz="1100"/>
            <a:pPr algn="l"/>
            <a:t>1.091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3">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CF4ECC-D4A6-45DA-904E-F284EB464984}" type="TxLink">
            <a:rPr lang="de-DE" sz="1100"/>
            <a:pPr algn="l"/>
            <a:t>443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0AA2D-81FF-4722-9D3D-7271E51F416E}" type="TxLink">
            <a:rPr lang="de-DE" sz="1100"/>
            <a:pPr algn="l"/>
            <a:t>622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209BE61-56A5-42D8-A99F-DA354F78462F}" type="TxLink">
            <a:rPr lang="de-DE" sz="1100"/>
            <a:pPr algn="l"/>
            <a:t>779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DD2390-1BD8-4579-82C5-C250D400F66A}" type="TxLink">
            <a:rPr lang="de-DE" sz="1100"/>
            <a:pPr algn="l"/>
            <a:t>401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34422-DC64-493C-9E46-3C13F30E4AEA}" type="TxLink">
            <a:rPr lang="de-DE" sz="1100"/>
            <a:pPr algn="l"/>
            <a:t>527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FDCDD42-D388-48F7-8374-2C16E078A058}" type="TxLink">
            <a:rPr lang="de-DE" sz="1100"/>
            <a:pPr algn="l"/>
            <a:t>677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FE8A2-F80C-48D1-AA18-1C3ECF924E1E}" type="TxLink">
            <a:rPr lang="de-DE" sz="1100"/>
            <a:pPr algn="l"/>
            <a:t>774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F46F05-CD8C-477B-A484-08876FA31E6A}" type="TxLink">
            <a:rPr lang="de-DE" sz="1100"/>
            <a:pPr algn="l"/>
            <a:t>819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C71A580-DC96-4805-B067-ADF9C7D16A47}" type="TxLink">
            <a:rPr lang="de-DE" sz="1100"/>
            <a:pPr algn="l"/>
            <a:t>1.099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6EB1F9B-F98B-4BC8-8D85-443351A0C548}" type="TxLink">
            <a:rPr lang="de-DE" sz="1100"/>
            <a:pPr algn="l"/>
            <a:t>451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77473BC-0291-4870-BC33-B523552F9E53}" type="TxLink">
            <a:rPr lang="de-DE" sz="1100"/>
            <a:pPr algn="l"/>
            <a:t>570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74A8758-AB0C-422D-BC72-2CC6EAB6AFD6}" type="TxLink">
            <a:rPr lang="de-DE" sz="1100"/>
            <a:pPr algn="l"/>
            <a:t>689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ACECE7A-31E4-4DD6-9333-4D713C90B407}" type="TxLink">
            <a:rPr lang="de-DE" sz="1100"/>
            <a:pPr algn="l"/>
            <a:t>659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65520B4-7888-4112-9179-799F3BD9D224}" type="TxLink">
            <a:rPr lang="de-DE" sz="1100"/>
            <a:pPr algn="l"/>
            <a:t>841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084D6A-D274-4031-9746-73129768C0B9}" type="TxLink">
            <a:rPr lang="de-DE" sz="1100"/>
            <a:pPr algn="l"/>
            <a:t>1.024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650572-05EB-40ED-9CB7-206705300A30}" type="TxLink">
            <a:rPr lang="de-DE" sz="1100"/>
            <a:pPr algn="l"/>
            <a:t>575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55A008-529F-4DDA-A12B-D477CAE6374D}" type="TxLink">
            <a:rPr lang="de-DE" sz="1100"/>
            <a:pPr algn="l"/>
            <a:t>689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9BA46F6-76D5-4F26-98D3-1CBAD5FFAE18}" type="TxLink">
            <a:rPr lang="de-DE" sz="1100"/>
            <a:pPr algn="l"/>
            <a:t>818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66463E-99B4-49BC-9CA8-9B243E23DDA3}" type="TxLink">
            <a:rPr lang="de-DE" sz="1100"/>
            <a:pPr algn="l"/>
            <a:t>970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E3E9714-6ACD-4CE5-87E0-4DBC9C232BA1}" type="TxLink">
            <a:rPr lang="de-DE" sz="1100"/>
            <a:pPr algn="l"/>
            <a:t>1.257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ACF9B1-9E2C-4149-8A6F-2575C46A6C65}" type="TxLink">
            <a:rPr lang="de-DE" sz="1100"/>
            <a:pPr algn="l"/>
            <a:t>1.543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8626</xdr:colOff>
      <xdr:row>5</xdr:row>
      <xdr:rowOff>86264</xdr:rowOff>
    </xdr:from>
    <xdr:to>
      <xdr:col>11</xdr:col>
      <xdr:colOff>733245</xdr:colOff>
      <xdr:row>40</xdr:row>
      <xdr:rowOff>112143</xdr:rowOff>
    </xdr:to>
    <xdr:graphicFrame macro="">
      <xdr:nvGraphicFramePr>
        <xdr:cNvPr id="2"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18</xdr:col>
      <xdr:colOff>0</xdr:colOff>
      <xdr:row>2</xdr:row>
      <xdr:rowOff>0</xdr:rowOff>
    </xdr:to>
    <xdr:sp macro="" textlink="">
      <xdr:nvSpPr>
        <xdr:cNvPr id="4" name="Rectangle 40">
          <a:hlinkClick xmlns:r="http://schemas.openxmlformats.org/officeDocument/2006/relationships" r:id="rId2"/>
        </xdr:cNvPr>
        <xdr:cNvSpPr>
          <a:spLocks noChangeArrowheads="1"/>
        </xdr:cNvSpPr>
      </xdr:nvSpPr>
      <xdr:spPr bwMode="auto">
        <a:xfrm>
          <a:off x="10317397" y="2449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11E4C88-CD4D-4620-859D-DF86171F1938}" type="TxLink">
            <a:rPr lang="de-DE" sz="1100"/>
            <a:pPr algn="l"/>
            <a:t>673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E0C38D-77E8-42BE-80E5-494A42083403}" type="TxLink">
            <a:rPr lang="de-DE" sz="1100"/>
            <a:pPr algn="l"/>
            <a:t>1.024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670DE4-99AE-48F1-956E-E259473048B9}" type="TxLink">
            <a:rPr lang="de-DE" sz="1100"/>
            <a:pPr algn="l"/>
            <a:t>1.142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B4D85B4-ABD4-46F6-A0D1-184C16D0E4E5}" type="TxLink">
            <a:rPr lang="de-DE" sz="1100"/>
            <a:pPr algn="l"/>
            <a:t>259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39AD07C-A24C-424D-ABBA-4B84F6A1E356}" type="TxLink">
            <a:rPr lang="de-DE" sz="1100"/>
            <a:pPr algn="l"/>
            <a:t>294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5BAF5E-DD7F-42C5-903B-4FDD9C31FA80}" type="TxLink">
            <a:rPr lang="de-DE" sz="1100"/>
            <a:pPr algn="l"/>
            <a:t>328 </a:t>
          </a:fld>
          <a:endParaRPr lang="de-DE" sz="1100"/>
        </a:p>
      </xdr:txBody>
    </xdr:sp>
    <xdr:clientData/>
  </xdr:twoCellAnchor>
  <xdr:oneCellAnchor>
    <xdr:from>
      <xdr:col>32</xdr:col>
      <xdr:colOff>609600</xdr:colOff>
      <xdr:row>15</xdr:row>
      <xdr:rowOff>161925</xdr:rowOff>
    </xdr:from>
    <xdr:ext cx="5738723" cy="3560769"/>
    <xdr:pic>
      <xdr:nvPicPr>
        <xdr:cNvPr id="6" name="Grafik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345081</xdr:colOff>
      <xdr:row>0</xdr:row>
      <xdr:rowOff>266700</xdr:rowOff>
    </xdr:to>
    <xdr:sp macro="" textlink="">
      <xdr:nvSpPr>
        <xdr:cNvPr id="7" name="Rectangle 40">
          <a:hlinkClick xmlns:r="http://schemas.openxmlformats.org/officeDocument/2006/relationships" r:id="rId3"/>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4EC69AA-B4B9-4EEE-8E2A-540536C3E0C0}" type="TxLink">
            <a:rPr lang="de-DE" sz="1100"/>
            <a:pPr algn="l"/>
            <a:t>879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7B0CA88-9974-4844-B0BB-BEB2B5CF02FE}" type="TxLink">
            <a:rPr lang="de-DE" sz="1100"/>
            <a:pPr algn="l"/>
            <a:t>1.215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DF025B-C2AB-4F14-8C6A-59F09EBECAAE}" type="TxLink">
            <a:rPr lang="de-DE" sz="1100"/>
            <a:pPr algn="l"/>
            <a:t>1.576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138367C-4FEA-47D2-AC80-84BA1C70FB8B}" type="TxLink">
            <a:rPr lang="de-DE" sz="1100"/>
            <a:pPr algn="l"/>
            <a:t>414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BBDAB21-FBA3-46B2-A278-229A6164CE72}" type="TxLink">
            <a:rPr lang="de-DE" sz="1100"/>
            <a:pPr algn="l"/>
            <a:t>564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9A456DB-D07A-41C5-AB80-AE0F3CD04CA8}" type="TxLink">
            <a:rPr lang="de-DE" sz="1100"/>
            <a:pPr algn="l"/>
            <a:t>738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965469-86B4-4589-84C9-C01CBB8916E8}" type="TxLink">
            <a:rPr lang="de-DE" sz="1100"/>
            <a:pPr algn="l"/>
            <a:t>561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23DACC-FADE-4122-8AE7-3FC0BE4C0FFB}" type="TxLink">
            <a:rPr lang="de-DE" sz="1100"/>
            <a:pPr algn="l"/>
            <a:t>860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BC55A5-2639-444A-8F8F-9C0E4C1620D6}" type="TxLink">
            <a:rPr lang="de-DE" sz="1100"/>
            <a:pPr algn="l"/>
            <a:t>1.159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7494DF-9E29-4719-884E-268162F1FFD7}" type="TxLink">
            <a:rPr lang="de-DE" sz="1100"/>
            <a:pPr algn="l"/>
            <a:t>40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5F8D660-1663-4CFB-9777-9046E39645EC}" type="TxLink">
            <a:rPr lang="de-DE" sz="1100"/>
            <a:pPr algn="l"/>
            <a:t>119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BF5C7D-86BA-4FBE-89C4-D5F171F25477}" type="TxLink">
            <a:rPr lang="de-DE" sz="1100"/>
            <a:pPr algn="l"/>
            <a:t>198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FA9427A-B657-4C9E-9F42-BCBBB114EECD}" type="TxLink">
            <a:rPr lang="de-DE" sz="1100"/>
            <a:pPr algn="l"/>
            <a:t>413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C063F1-7DD5-4C4E-BB62-A465DE3CE65F}" type="TxLink">
            <a:rPr lang="de-DE" sz="1100"/>
            <a:pPr algn="l"/>
            <a:t>696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62B10D-4490-4EC4-8AF1-16AFB8A0B78F}" type="TxLink">
            <a:rPr lang="de-DE" sz="1100"/>
            <a:pPr algn="l"/>
            <a:t>978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9B5747E-D4B3-43AB-BB5A-72A70686FCC8}" type="TxLink">
            <a:rPr lang="de-DE" sz="1100"/>
            <a:pPr algn="l"/>
            <a:t>327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61FCE4-D23C-46DC-8C98-25C8C6201FFC}" type="TxLink">
            <a:rPr lang="de-DE" sz="1100"/>
            <a:pPr algn="l"/>
            <a:t>607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1D1D298-9F20-4991-A84E-740E44A68124}" type="TxLink">
            <a:rPr lang="de-DE" sz="1100"/>
            <a:pPr algn="l"/>
            <a:t>886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469757-9973-48AB-A76C-892732736B70}" type="TxLink">
            <a:rPr lang="de-DE" sz="1100"/>
            <a:pPr algn="l"/>
            <a:t>54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F0E464-5CBF-4B4D-A410-2FD671303E06}" type="TxLink">
            <a:rPr lang="de-DE" sz="1100"/>
            <a:pPr algn="l"/>
            <a:t>360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A5432-97C3-457E-AF62-33A8404477FA}" type="TxLink">
            <a:rPr lang="de-DE" sz="1100"/>
            <a:pPr algn="l"/>
            <a:t>666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3070C33-9CB1-49C8-A34F-D8666328513B}" type="TxLink">
            <a:rPr lang="de-DE" sz="1100"/>
            <a:pPr algn="l"/>
            <a:t>196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B44D53F-8913-47B7-9783-443A108DDAD0}" type="TxLink">
            <a:rPr lang="de-DE" sz="1100"/>
            <a:pPr algn="l"/>
            <a:t>614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0B9D8F9-05BC-4FAC-A618-9685999EA84E}" type="TxLink">
            <a:rPr lang="de-DE" sz="1100"/>
            <a:pPr algn="l"/>
            <a:t>883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55417</xdr:colOff>
      <xdr:row>4</xdr:row>
      <xdr:rowOff>221673</xdr:rowOff>
    </xdr:from>
    <xdr:to>
      <xdr:col>23</xdr:col>
      <xdr:colOff>626918</xdr:colOff>
      <xdr:row>24</xdr:row>
      <xdr:rowOff>90550</xdr:rowOff>
    </xdr:to>
    <xdr:graphicFrame macro="">
      <xdr:nvGraphicFramePr>
        <xdr:cNvPr id="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0</xdr:colOff>
      <xdr:row>3</xdr:row>
      <xdr:rowOff>70757</xdr:rowOff>
    </xdr:to>
    <xdr:sp macro="" textlink="">
      <xdr:nvSpPr>
        <xdr:cNvPr id="4" name="Rectangle 40">
          <a:hlinkClick xmlns:r="http://schemas.openxmlformats.org/officeDocument/2006/relationships" r:id="rId2"/>
        </xdr:cNvPr>
        <xdr:cNvSpPr>
          <a:spLocks noChangeArrowheads="1"/>
        </xdr:cNvSpPr>
      </xdr:nvSpPr>
      <xdr:spPr bwMode="auto">
        <a:xfrm>
          <a:off x="8651882"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C46BAD4-1D7F-4CBA-AE0A-96A914FB065D}" type="TxLink">
            <a:rPr lang="de-DE" sz="1100"/>
            <a:pPr algn="l"/>
            <a:t>1.868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4F0D2F-61DE-45C2-94BF-901DEF5417D1}" type="TxLink">
            <a:rPr lang="de-DE" sz="1100"/>
            <a:pPr algn="l"/>
            <a:t>3.441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1718E9D-3A8C-4972-A322-1E19DF49C62A}" type="TxLink">
            <a:rPr lang="de-DE" sz="1100"/>
            <a:pPr algn="l"/>
            <a:t>5.015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Lst>
        </xdr:cNvPr>
        <xdr:cNvSpPr/>
      </xdr:nvSpPr>
      <xdr:spPr>
        <a:xfrm>
          <a:off x="10774680" y="2232660"/>
          <a:ext cx="144780" cy="121920"/>
        </a:xfrm>
        <a:prstGeom prst="rect">
          <a:avLst/>
        </a:prstGeom>
      </xdr:spPr>
    </xdr:sp>
    <xdr:clientData fPrintsWithSheet="0"/>
  </xdr:oneCellAnchor>
</xdr:wsDr>
</file>

<file path=xl/drawings/drawing5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3" name="Rechteck 2"/>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0F1E7D-7945-4C4F-894F-2C0867A946B1}" type="TxLink">
            <a:rPr lang="de-DE" sz="1100"/>
            <a:pPr algn="l"/>
            <a:t>1.726 </a:t>
          </a:fld>
          <a:endParaRPr lang="de-DE" sz="1100"/>
        </a:p>
      </xdr:txBody>
    </xdr:sp>
    <xdr:clientData/>
  </xdr:twoCellAnchor>
  <xdr:twoCellAnchor>
    <xdr:from>
      <xdr:col>12</xdr:col>
      <xdr:colOff>66675</xdr:colOff>
      <xdr:row>0</xdr:row>
      <xdr:rowOff>9525</xdr:rowOff>
    </xdr:from>
    <xdr:to>
      <xdr:col>12</xdr:col>
      <xdr:colOff>521542</xdr:colOff>
      <xdr:row>0</xdr:row>
      <xdr:rowOff>200024</xdr:rowOff>
    </xdr:to>
    <xdr:sp macro="" textlink="$M$1">
      <xdr:nvSpPr>
        <xdr:cNvPr id="4" name="Rechteck 3"/>
        <xdr:cNvSpPr/>
      </xdr:nvSpPr>
      <xdr:spPr bwMode="auto">
        <a:xfrm>
          <a:off x="9667875" y="9525"/>
          <a:ext cx="45486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978DC1F-C102-43DF-ABE4-F21979C0D8E7}" type="TxLink">
            <a:rPr lang="de-DE" sz="1100"/>
            <a:pPr algn="l"/>
            <a:t>3.305 </a:t>
          </a:fld>
          <a:endParaRPr lang="de-DE" sz="1100"/>
        </a:p>
      </xdr:txBody>
    </xdr:sp>
    <xdr:clientData/>
  </xdr:twoCellAnchor>
  <xdr:twoCellAnchor>
    <xdr:from>
      <xdr:col>15</xdr:col>
      <xdr:colOff>85725</xdr:colOff>
      <xdr:row>0</xdr:row>
      <xdr:rowOff>0</xdr:rowOff>
    </xdr:from>
    <xdr:to>
      <xdr:col>15</xdr:col>
      <xdr:colOff>531495</xdr:colOff>
      <xdr:row>0</xdr:row>
      <xdr:rowOff>190499</xdr:rowOff>
    </xdr:to>
    <xdr:sp macro="" textlink="$P$1">
      <xdr:nvSpPr>
        <xdr:cNvPr id="5" name="Rechteck 4"/>
        <xdr:cNvSpPr/>
      </xdr:nvSpPr>
      <xdr:spPr bwMode="auto">
        <a:xfrm>
          <a:off x="12087225" y="0"/>
          <a:ext cx="44577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6FB2E4-063C-4F46-9074-FB2343375EF4}" type="TxLink">
            <a:rPr lang="de-DE" sz="1100"/>
            <a:pPr algn="l"/>
            <a:t>4.873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C3F7571-27CA-466D-A76F-23290295E13D}" type="TxLink">
            <a:rPr lang="de-DE" sz="1100"/>
            <a:pPr algn="l"/>
            <a:t>640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650353-7041-49F0-A2EC-B947385358FD}" type="TxLink">
            <a:rPr lang="de-DE" sz="1100"/>
            <a:pPr algn="l"/>
            <a:t>623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D0A1E5B-8BA3-43AE-9D12-823D3944639D}" type="TxLink">
            <a:rPr lang="de-DE" sz="1100"/>
            <a:pPr algn="l"/>
            <a:t>1.191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4">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C77EE0-ED41-4671-97E6-1B609D433B0F}" type="TxLink">
            <a:rPr lang="de-DE" sz="1100"/>
            <a:pPr algn="l"/>
            <a:t>442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936BE-06C7-4717-970B-528832A47747}" type="TxLink">
            <a:rPr lang="de-DE" sz="1100"/>
            <a:pPr algn="l"/>
            <a:t>1.154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0E1F2-C89E-4A07-A3D4-0A7717257CC4}" type="TxLink">
            <a:rPr lang="de-DE" sz="1100"/>
            <a:pPr algn="l"/>
            <a:t>1.849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9525</xdr:colOff>
          <xdr:row>4</xdr:row>
          <xdr:rowOff>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9525</xdr:colOff>
          <xdr:row>3</xdr:row>
          <xdr:rowOff>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38100</xdr:rowOff>
    </xdr:from>
    <xdr:to>
      <xdr:col>9</xdr:col>
      <xdr:colOff>532448</xdr:colOff>
      <xdr:row>0</xdr:row>
      <xdr:rowOff>220316</xdr:rowOff>
    </xdr:to>
    <xdr:sp macro="" textlink="$J$1">
      <xdr:nvSpPr>
        <xdr:cNvPr id="5" name="Rechteck 4"/>
        <xdr:cNvSpPr/>
      </xdr:nvSpPr>
      <xdr:spPr bwMode="auto">
        <a:xfrm>
          <a:off x="729615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4D34810-6BE8-4944-AA47-A9008B4DF225}" type="TxLink">
            <a:rPr lang="de-DE" sz="1100"/>
            <a:pPr algn="l"/>
            <a:t>610 </a:t>
          </a:fld>
          <a:endParaRPr lang="de-DE" sz="1100"/>
        </a:p>
      </xdr:txBody>
    </xdr:sp>
    <xdr:clientData/>
  </xdr:twoCellAnchor>
  <xdr:twoCellAnchor>
    <xdr:from>
      <xdr:col>12</xdr:col>
      <xdr:colOff>122926</xdr:colOff>
      <xdr:row>0</xdr:row>
      <xdr:rowOff>47625</xdr:rowOff>
    </xdr:from>
    <xdr:to>
      <xdr:col>13</xdr:col>
      <xdr:colOff>9549</xdr:colOff>
      <xdr:row>0</xdr:row>
      <xdr:rowOff>238124</xdr:rowOff>
    </xdr:to>
    <xdr:sp macro="" textlink="$M$1">
      <xdr:nvSpPr>
        <xdr:cNvPr id="6" name="Rechteck 5"/>
        <xdr:cNvSpPr/>
      </xdr:nvSpPr>
      <xdr:spPr bwMode="auto">
        <a:xfrm>
          <a:off x="9724126" y="47625"/>
          <a:ext cx="686723" cy="1219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4D939E0-D93A-4BCA-A7AE-6043F9698F79}" type="TxLink">
            <a:rPr lang="de-DE" sz="1100"/>
            <a:pPr algn="l"/>
            <a:t>832 </a:t>
          </a:fld>
          <a:endParaRPr lang="de-DE" sz="1100"/>
        </a:p>
      </xdr:txBody>
    </xdr:sp>
    <xdr:clientData/>
  </xdr:twoCellAnchor>
  <xdr:twoCellAnchor>
    <xdr:from>
      <xdr:col>15</xdr:col>
      <xdr:colOff>85725</xdr:colOff>
      <xdr:row>0</xdr:row>
      <xdr:rowOff>28575</xdr:rowOff>
    </xdr:from>
    <xdr:to>
      <xdr:col>15</xdr:col>
      <xdr:colOff>522923</xdr:colOff>
      <xdr:row>0</xdr:row>
      <xdr:rowOff>219074</xdr:rowOff>
    </xdr:to>
    <xdr:sp macro="" textlink="$P$1">
      <xdr:nvSpPr>
        <xdr:cNvPr id="7" name="Rechteck 6"/>
        <xdr:cNvSpPr/>
      </xdr:nvSpPr>
      <xdr:spPr bwMode="auto">
        <a:xfrm>
          <a:off x="120872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875F1D-7968-46F5-B5F4-884BA64C4F8F}" type="TxLink">
            <a:rPr lang="de-DE" sz="1100"/>
            <a:pPr algn="l"/>
            <a:t>1.059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0</xdr:colOff>
          <xdr:row>4</xdr:row>
          <xdr:rowOff>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28575</xdr:rowOff>
    </xdr:from>
    <xdr:to>
      <xdr:col>10</xdr:col>
      <xdr:colOff>24</xdr:colOff>
      <xdr:row>0</xdr:row>
      <xdr:rowOff>219074</xdr:rowOff>
    </xdr:to>
    <xdr:sp macro="" textlink="$J$1">
      <xdr:nvSpPr>
        <xdr:cNvPr id="5" name="Rechteck 4"/>
        <xdr:cNvSpPr/>
      </xdr:nvSpPr>
      <xdr:spPr bwMode="auto">
        <a:xfrm>
          <a:off x="7314301" y="28575"/>
          <a:ext cx="68672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17865C4-0540-4E35-90FE-A0716531103E}" type="TxLink">
            <a:rPr lang="de-DE" sz="1100"/>
            <a:pPr algn="l"/>
            <a:t>644 </a:t>
          </a:fld>
          <a:endParaRPr lang="de-DE" sz="1100"/>
        </a:p>
      </xdr:txBody>
    </xdr:sp>
    <xdr:clientData/>
  </xdr:twoCellAnchor>
  <xdr:twoCellAnchor>
    <xdr:from>
      <xdr:col>12</xdr:col>
      <xdr:colOff>85725</xdr:colOff>
      <xdr:row>0</xdr:row>
      <xdr:rowOff>28575</xdr:rowOff>
    </xdr:from>
    <xdr:to>
      <xdr:col>12</xdr:col>
      <xdr:colOff>522923</xdr:colOff>
      <xdr:row>0</xdr:row>
      <xdr:rowOff>219074</xdr:rowOff>
    </xdr:to>
    <xdr:sp macro="" textlink="$M$1">
      <xdr:nvSpPr>
        <xdr:cNvPr id="6" name="Rechteck 5"/>
        <xdr:cNvSpPr/>
      </xdr:nvSpPr>
      <xdr:spPr bwMode="auto">
        <a:xfrm>
          <a:off x="96869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6274531-B2A8-4812-B314-E1247F1C76A1}" type="TxLink">
            <a:rPr lang="de-DE" sz="1100"/>
            <a:pPr algn="l"/>
            <a:t>804 </a:t>
          </a:fld>
          <a:endParaRPr lang="de-DE" sz="1100"/>
        </a:p>
      </xdr:txBody>
    </xdr:sp>
    <xdr:clientData/>
  </xdr:twoCellAnchor>
  <xdr:twoCellAnchor>
    <xdr:from>
      <xdr:col>15</xdr:col>
      <xdr:colOff>76200</xdr:colOff>
      <xdr:row>0</xdr:row>
      <xdr:rowOff>38100</xdr:rowOff>
    </xdr:from>
    <xdr:to>
      <xdr:col>15</xdr:col>
      <xdr:colOff>513398</xdr:colOff>
      <xdr:row>0</xdr:row>
      <xdr:rowOff>220316</xdr:rowOff>
    </xdr:to>
    <xdr:sp macro="" textlink="$P$1">
      <xdr:nvSpPr>
        <xdr:cNvPr id="7" name="Rechteck 6"/>
        <xdr:cNvSpPr/>
      </xdr:nvSpPr>
      <xdr:spPr bwMode="auto">
        <a:xfrm>
          <a:off x="1207770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1197029-D7EF-4325-90FF-13FD2EA06502}" type="TxLink">
            <a:rPr lang="de-DE" sz="1100"/>
            <a:pPr algn="l"/>
            <a:t>964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00AC25-4842-4083-9510-E02B468153AE}" type="TxLink">
            <a:rPr lang="de-DE" sz="1100"/>
            <a:pPr algn="l"/>
            <a:t>621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798115-7329-47A3-949B-E2C3BE1AF56A}" type="TxLink">
            <a:rPr lang="de-DE" sz="1100"/>
            <a:pPr algn="l"/>
            <a:t>765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98EBFC4-0DEC-4719-91D7-8842FD9E870B}" type="TxLink">
            <a:rPr lang="de-DE" sz="1100"/>
            <a:pPr algn="l"/>
            <a:t>908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54A77F6-FCCF-416F-8001-AA7C1C688F5B}" type="TxLink">
            <a:rPr lang="de-DE" sz="1100"/>
            <a:pPr algn="l"/>
            <a:t>902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A259E80-A7F9-47E4-A1B2-E95C6F3CB853}" type="TxLink">
            <a:rPr lang="de-DE" sz="1100"/>
            <a:pPr algn="l"/>
            <a:t>902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2B69FE-F1C4-4834-B73C-3FFDB67030E7}" type="TxLink">
            <a:rPr lang="de-DE" sz="1100"/>
            <a:pPr algn="l"/>
            <a:t>902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DC6D685-8D8D-4140-B2AF-15198878C16A}" type="TxLink">
            <a:rPr lang="de-DE" sz="1100" b="0" i="0" u="none" strike="noStrike">
              <a:solidFill>
                <a:srgbClr val="000000"/>
              </a:solidFill>
              <a:latin typeface="Arial"/>
              <a:cs typeface="Arial"/>
            </a:rPr>
            <a:pPr algn="l"/>
            <a:t>268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DB0259A-F851-493D-A6AC-5F93CB0AC772}" type="TxLink">
            <a:rPr lang="de-DE" sz="1100" b="0" i="0" u="none" strike="noStrike">
              <a:solidFill>
                <a:srgbClr val="000000"/>
              </a:solidFill>
              <a:latin typeface="Arial"/>
              <a:cs typeface="Arial"/>
            </a:rPr>
            <a:pPr algn="l"/>
            <a:t>268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9DDA3A1-8F59-4B11-A4EF-31CA6CA966FF}" type="TxLink">
            <a:rPr lang="de-DE" sz="1100" b="0" i="0" u="none" strike="noStrike">
              <a:solidFill>
                <a:srgbClr val="000000"/>
              </a:solidFill>
              <a:latin typeface="Arial"/>
              <a:cs typeface="Arial"/>
            </a:rPr>
            <a:pPr algn="l"/>
            <a:t>268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2146935" y="9525"/>
          <a:ext cx="146875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91489" name="Check Box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91490" name="Check Box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030E34-C928-4F16-96BA-CE0FC3715C5C}" type="TxLink">
            <a:rPr lang="de-DE" sz="1100" b="0" i="0" u="none" strike="noStrike">
              <a:solidFill>
                <a:srgbClr val="000000"/>
              </a:solidFill>
              <a:latin typeface="Arial"/>
              <a:cs typeface="Arial"/>
            </a:rPr>
            <a:pPr algn="l"/>
            <a:t>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7168515" y="9525"/>
          <a:ext cx="4461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8F635ED-755D-4430-8ADA-2D4F6A69C9F3}" type="TxLink">
            <a:rPr lang="de-DE" sz="1100" b="0" i="0" u="none" strike="noStrike">
              <a:solidFill>
                <a:srgbClr val="000000"/>
              </a:solidFill>
              <a:latin typeface="Arial"/>
              <a:cs typeface="Arial"/>
            </a:rPr>
            <a:pPr algn="l"/>
            <a:t>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8894445" y="0"/>
          <a:ext cx="437198"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BDA16C-2216-4F65-9CCB-C8DA313FDFC6}" type="TxLink">
            <a:rPr lang="de-DE" sz="1100" b="0" i="0" u="none" strike="noStrike">
              <a:solidFill>
                <a:srgbClr val="000000"/>
              </a:solidFill>
              <a:latin typeface="Arial"/>
              <a:cs typeface="Arial"/>
            </a:rPr>
            <a:pPr algn="l"/>
            <a:t>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114300" y="0"/>
          <a:ext cx="1602381" cy="26670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B7FFA65-D425-4488-A4CF-9BE7DFAB421A}" type="TxLink">
            <a:rPr lang="de-DE" sz="1100"/>
            <a:pPr algn="l"/>
            <a:t>537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4" name="Rechteck 3"/>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29444F6-955B-4A94-A0CA-16E46F09B18B}" type="TxLink">
            <a:rPr lang="de-DE" sz="1100"/>
            <a:pPr algn="l"/>
            <a:t>720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5" name="Rechteck 4"/>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845966D-85A1-4473-AE49-3FA9C922BF86}" type="TxLink">
            <a:rPr lang="de-DE" sz="1100"/>
            <a:pPr algn="l"/>
            <a:t>903 </a:t>
          </a:fld>
          <a:endParaRPr lang="de-DE" sz="1100"/>
        </a:p>
      </xdr:txBody>
    </xdr:sp>
    <xdr:clientData/>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16</xdr:col>
      <xdr:colOff>1677953</xdr:colOff>
      <xdr:row>52</xdr:row>
      <xdr:rowOff>114300</xdr:rowOff>
    </xdr:to>
    <xdr:sp macro="" textlink="">
      <xdr:nvSpPr>
        <xdr:cNvPr id="7" name="Textfeld 6"/>
        <xdr:cNvSpPr txBox="1"/>
      </xdr:nvSpPr>
      <xdr:spPr>
        <a:xfrm>
          <a:off x="12858750" y="7376160"/>
          <a:ext cx="74450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16</xdr:col>
      <xdr:colOff>1702798</xdr:colOff>
      <xdr:row>66</xdr:row>
      <xdr:rowOff>247650</xdr:rowOff>
    </xdr:to>
    <xdr:sp macro="" textlink="">
      <xdr:nvSpPr>
        <xdr:cNvPr id="8" name="Textfeld 7"/>
        <xdr:cNvSpPr txBox="1"/>
      </xdr:nvSpPr>
      <xdr:spPr>
        <a:xfrm>
          <a:off x="12868275" y="9900285"/>
          <a:ext cx="736963" cy="132778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91081</xdr:colOff>
      <xdr:row>24</xdr:row>
      <xdr:rowOff>25879</xdr:rowOff>
    </xdr:from>
    <xdr:to>
      <xdr:col>16</xdr:col>
      <xdr:colOff>1739656</xdr:colOff>
      <xdr:row>32</xdr:row>
      <xdr:rowOff>71168</xdr:rowOff>
    </xdr:to>
    <xdr:sp macro="" textlink="">
      <xdr:nvSpPr>
        <xdr:cNvPr id="9" name="Textfeld 8"/>
        <xdr:cNvSpPr txBox="1"/>
      </xdr:nvSpPr>
      <xdr:spPr>
        <a:xfrm>
          <a:off x="12892681" y="4049239"/>
          <a:ext cx="711315" cy="138640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D6CEEC-FF40-49FB-8381-E174CBA413C7}" type="TxLink">
            <a:rPr lang="de-DE" sz="1100"/>
            <a:pPr algn="l"/>
            <a:t>900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1ECB5FD-C7D5-4C37-8218-138F121660D5}" type="TxLink">
            <a:rPr lang="de-DE" sz="1100"/>
            <a:pPr algn="l"/>
            <a:t>1.026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811F73E-7A0E-489C-872D-17ED2690B09D}" type="TxLink">
            <a:rPr lang="de-DE" sz="1100"/>
            <a:pPr algn="l"/>
            <a:t>1.152 </a:t>
          </a:fld>
          <a:endParaRPr lang="de-DE" sz="1100"/>
        </a:p>
      </xdr:txBody>
    </xdr:sp>
    <xdr:clientData/>
  </xdr:twoCellAnchor>
  <xdr:twoCellAnchor>
    <xdr:from>
      <xdr:col>16</xdr:col>
      <xdr:colOff>113401</xdr:colOff>
      <xdr:row>44</xdr:row>
      <xdr:rowOff>0</xdr:rowOff>
    </xdr:from>
    <xdr:to>
      <xdr:col>16</xdr:col>
      <xdr:colOff>1716134</xdr:colOff>
      <xdr:row>52</xdr:row>
      <xdr:rowOff>114300</xdr:rowOff>
    </xdr:to>
    <xdr:sp macro="" textlink="">
      <xdr:nvSpPr>
        <xdr:cNvPr id="7" name="Textfeld 6"/>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2468D4-24B5-489E-BF5B-3C2E4D6A64D4}" type="TxLink">
            <a:rPr lang="de-DE" sz="1100"/>
            <a:pPr algn="l"/>
            <a:t>813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EBABA8F-3B60-4ABD-BE71-3B17541682DD}" type="TxLink">
            <a:rPr lang="de-DE" sz="1100"/>
            <a:pPr algn="l"/>
            <a:t>996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5A751A3-F747-407D-8C7F-7B0AC75DCC9F}" type="TxLink">
            <a:rPr lang="de-DE" sz="1100"/>
            <a:pPr algn="l"/>
            <a:t>1.179 </a:t>
          </a:fld>
          <a:endParaRPr lang="de-DE" sz="1100"/>
        </a:p>
      </xdr:txBody>
    </xdr:sp>
    <xdr:clientData/>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128641</xdr:colOff>
      <xdr:row>0</xdr:row>
      <xdr:rowOff>30480</xdr:rowOff>
    </xdr:from>
    <xdr:to>
      <xdr:col>10</xdr:col>
      <xdr:colOff>15264</xdr:colOff>
      <xdr:row>0</xdr:row>
      <xdr:rowOff>220979</xdr:rowOff>
    </xdr:to>
    <xdr:sp macro="" textlink="$J$1">
      <xdr:nvSpPr>
        <xdr:cNvPr id="4" name="Rechteck 3"/>
        <xdr:cNvSpPr/>
      </xdr:nvSpPr>
      <xdr:spPr bwMode="auto">
        <a:xfrm>
          <a:off x="5432161" y="3048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3FD1453-EF47-4B17-85DD-AC824B4BA7DE}" type="TxLink">
            <a:rPr lang="de-DE" sz="1100"/>
            <a:pPr algn="l"/>
            <a:t>845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DCF6DF9-D82B-448B-9EC0-641DB0C15B05}" type="TxLink">
            <a:rPr lang="de-DE" sz="1100"/>
            <a:pPr algn="l"/>
            <a:t>971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7D386BF-C6EE-45A4-9D56-B660B733F007}" type="TxLink">
            <a:rPr lang="de-DE" sz="1100"/>
            <a:pPr algn="l"/>
            <a:t>1.096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95250</xdr:colOff>
      <xdr:row>0</xdr:row>
      <xdr:rowOff>9525</xdr:rowOff>
    </xdr:from>
    <xdr:to>
      <xdr:col>9</xdr:col>
      <xdr:colOff>526853</xdr:colOff>
      <xdr:row>0</xdr:row>
      <xdr:rowOff>200024</xdr:rowOff>
    </xdr:to>
    <xdr:sp macro="" textlink="$J$1">
      <xdr:nvSpPr>
        <xdr:cNvPr id="4" name="Rechteck 3"/>
        <xdr:cNvSpPr/>
      </xdr:nvSpPr>
      <xdr:spPr bwMode="auto">
        <a:xfrm>
          <a:off x="7296150" y="9525"/>
          <a:ext cx="43160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54870D9-642F-48CA-912F-D09F6E80205D}" type="TxLink">
            <a:rPr lang="de-DE" sz="1100"/>
            <a:pPr algn="l"/>
            <a:t>1.349 </a:t>
          </a:fld>
          <a:endParaRPr lang="de-DE" sz="1100"/>
        </a:p>
      </xdr:txBody>
    </xdr:sp>
    <xdr:clientData/>
  </xdr:twoCellAnchor>
  <xdr:twoCellAnchor>
    <xdr:from>
      <xdr:col>12</xdr:col>
      <xdr:colOff>66675</xdr:colOff>
      <xdr:row>0</xdr:row>
      <xdr:rowOff>19050</xdr:rowOff>
    </xdr:from>
    <xdr:to>
      <xdr:col>12</xdr:col>
      <xdr:colOff>497512</xdr:colOff>
      <xdr:row>0</xdr:row>
      <xdr:rowOff>206250</xdr:rowOff>
    </xdr:to>
    <xdr:sp macro="" textlink="$M$1">
      <xdr:nvSpPr>
        <xdr:cNvPr id="5" name="Rechteck 4"/>
        <xdr:cNvSpPr/>
      </xdr:nvSpPr>
      <xdr:spPr bwMode="auto">
        <a:xfrm>
          <a:off x="9667875" y="19050"/>
          <a:ext cx="430837" cy="149100"/>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B6034D-C4F4-4DBF-950A-E06EDC46405F}" type="TxLink">
            <a:rPr lang="de-DE" sz="1100"/>
            <a:pPr algn="l"/>
            <a:t>1.735 </a:t>
          </a:fld>
          <a:endParaRPr lang="de-DE" sz="1100"/>
        </a:p>
      </xdr:txBody>
    </xdr:sp>
    <xdr:clientData/>
  </xdr:twoCellAnchor>
  <xdr:twoCellAnchor>
    <xdr:from>
      <xdr:col>15</xdr:col>
      <xdr:colOff>95250</xdr:colOff>
      <xdr:row>0</xdr:row>
      <xdr:rowOff>28575</xdr:rowOff>
    </xdr:from>
    <xdr:to>
      <xdr:col>15</xdr:col>
      <xdr:colOff>526853</xdr:colOff>
      <xdr:row>0</xdr:row>
      <xdr:rowOff>219074</xdr:rowOff>
    </xdr:to>
    <xdr:sp macro="" textlink="$P$1">
      <xdr:nvSpPr>
        <xdr:cNvPr id="6" name="Rechteck 5"/>
        <xdr:cNvSpPr/>
      </xdr:nvSpPr>
      <xdr:spPr bwMode="auto">
        <a:xfrm>
          <a:off x="12096750" y="28575"/>
          <a:ext cx="43160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7E94E8A-CB8D-40C8-AC2A-DB5081274EC6}" type="TxLink">
            <a:rPr lang="de-DE" sz="1100"/>
            <a:pPr algn="l"/>
            <a:t>2.508 </a:t>
          </a:fld>
          <a:endParaRPr lang="de-DE" sz="1100"/>
        </a:p>
      </xdr:txBody>
    </xdr:sp>
    <xdr:clientData/>
  </xdr:twoCellAnchor>
  <xdr:twoCellAnchor>
    <xdr:from>
      <xdr:col>16</xdr:col>
      <xdr:colOff>160020</xdr:colOff>
      <xdr:row>45</xdr:row>
      <xdr:rowOff>0</xdr:rowOff>
    </xdr:from>
    <xdr:to>
      <xdr:col>16</xdr:col>
      <xdr:colOff>1797425</xdr:colOff>
      <xdr:row>53</xdr:row>
      <xdr:rowOff>114300</xdr:rowOff>
    </xdr:to>
    <xdr:sp macro="" textlink="">
      <xdr:nvSpPr>
        <xdr:cNvPr id="7" name="Textfeld 6"/>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3</xdr:row>
          <xdr:rowOff>9525</xdr:rowOff>
        </xdr:from>
        <xdr:to>
          <xdr:col>12</xdr:col>
          <xdr:colOff>400050</xdr:colOff>
          <xdr:row>3</xdr:row>
          <xdr:rowOff>238125</xdr:rowOff>
        </xdr:to>
        <xdr:sp macro="" textlink="">
          <xdr:nvSpPr>
            <xdr:cNvPr id="70671" name="Check Box 15" hidden="1">
              <a:extLst>
                <a:ext uri="{63B3BB69-23CF-44E3-9099-C40C66FF867C}">
                  <a14:compatExt spid="_x0000_s70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xdr:row>
          <xdr:rowOff>47625</xdr:rowOff>
        </xdr:from>
        <xdr:to>
          <xdr:col>12</xdr:col>
          <xdr:colOff>428625</xdr:colOff>
          <xdr:row>3</xdr:row>
          <xdr:rowOff>9525</xdr:rowOff>
        </xdr:to>
        <xdr:sp macro="" textlink="">
          <xdr:nvSpPr>
            <xdr:cNvPr id="70672" name="Check Box 16" hidden="1">
              <a:extLst>
                <a:ext uri="{63B3BB69-23CF-44E3-9099-C40C66FF867C}">
                  <a14:compatExt spid="_x0000_s70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3392CE58-6E41-4EE6-B750-03C74169A29D}" type="TxLink">
            <a:rPr lang="de-DE" sz="1100">
              <a:solidFill>
                <a:schemeClr val="dk1"/>
              </a:solidFill>
              <a:latin typeface="+mn-lt"/>
              <a:ea typeface="+mn-ea"/>
              <a:cs typeface="+mn-cs"/>
            </a:rPr>
            <a:pPr marL="0" indent="0" algn="l"/>
            <a:t>1.231 </a:t>
          </a:fld>
          <a:endParaRPr lang="de-DE" sz="1100">
            <a:solidFill>
              <a:schemeClr val="dk1"/>
            </a:solidFill>
            <a:latin typeface="+mn-lt"/>
            <a:ea typeface="+mn-ea"/>
            <a:cs typeface="+mn-cs"/>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541F33-8A21-4DA4-BC43-4DF6F263C60E}" type="TxLink">
            <a:rPr lang="de-DE" sz="1100"/>
            <a:pPr algn="l"/>
            <a:t>1.619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C82BDE-97AA-4A08-BF1B-BB18D27A07D6}" type="TxLink">
            <a:rPr lang="de-DE" sz="1100"/>
            <a:pPr algn="l"/>
            <a:t>2.745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371475</xdr:colOff>
          <xdr:row>3</xdr:row>
          <xdr:rowOff>209550</xdr:rowOff>
        </xdr:to>
        <xdr:sp macro="" textlink="">
          <xdr:nvSpPr>
            <xdr:cNvPr id="69648" name="Check Box 16" hidden="1">
              <a:extLst>
                <a:ext uri="{63B3BB69-23CF-44E3-9099-C40C66FF867C}">
                  <a14:compatExt spid="_x0000_s69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9525</xdr:rowOff>
        </xdr:from>
        <xdr:to>
          <xdr:col>12</xdr:col>
          <xdr:colOff>381000</xdr:colOff>
          <xdr:row>2</xdr:row>
          <xdr:rowOff>247650</xdr:rowOff>
        </xdr:to>
        <xdr:sp macro="" textlink="">
          <xdr:nvSpPr>
            <xdr:cNvPr id="69649" name="Check Box 17" hidden="1">
              <a:extLst>
                <a:ext uri="{63B3BB69-23CF-44E3-9099-C40C66FF867C}">
                  <a14:compatExt spid="_x0000_s69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1" name="Rechteck 10"/>
        <xdr:cNvSpPr/>
      </xdr:nvSpPr>
      <xdr:spPr bwMode="auto">
        <a:xfrm>
          <a:off x="729043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29444F6-955B-4A94-A0CA-16E46F09B18B}" type="TxLink">
            <a:rPr lang="de-DE" sz="1100">
              <a:solidFill>
                <a:schemeClr val="dk1"/>
              </a:solidFill>
              <a:latin typeface="+mn-lt"/>
              <a:ea typeface="+mn-ea"/>
              <a:cs typeface="+mn-cs"/>
            </a:rPr>
            <a:pPr marL="0" indent="0" algn="l"/>
            <a:t>1.619 </a:t>
          </a:fld>
          <a:endParaRPr lang="de-DE" sz="1100">
            <a:solidFill>
              <a:schemeClr val="dk1"/>
            </a:solidFill>
            <a:latin typeface="+mn-lt"/>
            <a:ea typeface="+mn-ea"/>
            <a:cs typeface="+mn-cs"/>
          </a:endParaRPr>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2" name="Rechteck 11"/>
        <xdr:cNvSpPr/>
      </xdr:nvSpPr>
      <xdr:spPr bwMode="auto">
        <a:xfrm>
          <a:off x="896112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845966D-85A1-4473-AE49-3FA9C922BF86}" type="TxLink">
            <a:rPr lang="de-DE" sz="1100">
              <a:solidFill>
                <a:schemeClr val="dk1"/>
              </a:solidFill>
              <a:latin typeface="+mn-lt"/>
              <a:ea typeface="+mn-ea"/>
              <a:cs typeface="+mn-cs"/>
            </a:rPr>
            <a:pPr marL="0" indent="0" algn="l"/>
            <a:t>2.745 </a:t>
          </a:fld>
          <a:endParaRPr lang="de-DE" sz="1100">
            <a:solidFill>
              <a:schemeClr val="dk1"/>
            </a:solidFill>
            <a:latin typeface="+mn-lt"/>
            <a:ea typeface="+mn-ea"/>
            <a:cs typeface="+mn-cs"/>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772A9A-9DD7-4B81-808C-3B799CAC1CC1}" type="TxLink">
            <a:rPr lang="de-DE" sz="1100"/>
            <a:pPr algn="l"/>
            <a:t>1.102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0A904B5-F21D-401C-A68E-36F4445BE98A}" type="TxLink">
            <a:rPr lang="de-DE" sz="1100"/>
            <a:pPr algn="l"/>
            <a:t>1.485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FDA42B-B96E-425E-9220-35B072BF6C76}" type="TxLink">
            <a:rPr lang="de-DE" sz="1100"/>
            <a:pPr algn="l"/>
            <a:t>1.923 </a:t>
          </a:fld>
          <a:endParaRPr lang="de-DE" sz="1100"/>
        </a:p>
      </xdr:txBody>
    </xdr:sp>
    <xdr:clientData/>
  </xdr:twoCellAnchor>
  <xdr:twoCellAnchor>
    <xdr:from>
      <xdr:col>16</xdr:col>
      <xdr:colOff>141976</xdr:colOff>
      <xdr:row>45</xdr:row>
      <xdr:rowOff>0</xdr:rowOff>
    </xdr:from>
    <xdr:to>
      <xdr:col>16</xdr:col>
      <xdr:colOff>1744175</xdr:colOff>
      <xdr:row>53</xdr:row>
      <xdr:rowOff>114300</xdr:rowOff>
    </xdr:to>
    <xdr:sp macro="" textlink="">
      <xdr:nvSpPr>
        <xdr:cNvPr id="7" name="Textfeld 6"/>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381000</xdr:colOff>
          <xdr:row>3</xdr:row>
          <xdr:rowOff>209550</xdr:rowOff>
        </xdr:to>
        <xdr:sp macro="" textlink="">
          <xdr:nvSpPr>
            <xdr:cNvPr id="71695" name="Check Box 15" hidden="1">
              <a:extLst>
                <a:ext uri="{63B3BB69-23CF-44E3-9099-C40C66FF867C}">
                  <a14:compatExt spid="_x0000_s716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38100</xdr:rowOff>
        </xdr:from>
        <xdr:to>
          <xdr:col>12</xdr:col>
          <xdr:colOff>419100</xdr:colOff>
          <xdr:row>3</xdr:row>
          <xdr:rowOff>9525</xdr:rowOff>
        </xdr:to>
        <xdr:sp macro="" textlink="">
          <xdr:nvSpPr>
            <xdr:cNvPr id="71696" name="Check Box 16" hidden="1">
              <a:extLst>
                <a:ext uri="{63B3BB69-23CF-44E3-9099-C40C66FF867C}">
                  <a14:compatExt spid="_x0000_s716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1.268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1.706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2.145 </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247650</xdr:rowOff>
        </xdr:from>
        <xdr:to>
          <xdr:col>12</xdr:col>
          <xdr:colOff>371475</xdr:colOff>
          <xdr:row>3</xdr:row>
          <xdr:rowOff>200025</xdr:rowOff>
        </xdr:to>
        <xdr:sp macro="" textlink="">
          <xdr:nvSpPr>
            <xdr:cNvPr id="72719" name="Check Box 15" hidden="1">
              <a:extLst>
                <a:ext uri="{63B3BB69-23CF-44E3-9099-C40C66FF867C}">
                  <a14:compatExt spid="_x0000_s72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38100</xdr:rowOff>
        </xdr:from>
        <xdr:to>
          <xdr:col>12</xdr:col>
          <xdr:colOff>381000</xdr:colOff>
          <xdr:row>3</xdr:row>
          <xdr:rowOff>9525</xdr:rowOff>
        </xdr:to>
        <xdr:sp macro="" textlink="">
          <xdr:nvSpPr>
            <xdr:cNvPr id="72720" name="Check Box 16" hidden="1">
              <a:extLst>
                <a:ext uri="{63B3BB69-23CF-44E3-9099-C40C66FF867C}">
                  <a14:compatExt spid="_x0000_s727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60387</xdr:colOff>
      <xdr:row>24</xdr:row>
      <xdr:rowOff>25876</xdr:rowOff>
    </xdr:from>
    <xdr:to>
      <xdr:col>10</xdr:col>
      <xdr:colOff>0</xdr:colOff>
      <xdr:row>24</xdr:row>
      <xdr:rowOff>2044461</xdr:rowOff>
    </xdr:to>
    <xdr:sp macro="" textlink="">
      <xdr:nvSpPr>
        <xdr:cNvPr id="2" name="Textfeld 1"/>
        <xdr:cNvSpPr txBox="1"/>
      </xdr:nvSpPr>
      <xdr:spPr>
        <a:xfrm>
          <a:off x="60387" y="4049236"/>
          <a:ext cx="7940613" cy="144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0" fontAlgn="base" hangingPunct="0"/>
          <a:r>
            <a:rPr lang="de-DE" sz="1100" baseline="0">
              <a:solidFill>
                <a:schemeClr val="dk1"/>
              </a:solidFill>
              <a:effectLst/>
              <a:latin typeface="+mn-lt"/>
              <a:ea typeface="+mn-ea"/>
              <a:cs typeface="+mn-cs"/>
            </a:rPr>
            <a:t>GLÖZ-Standsards ab neuer GAP-Förderperiode 2023 bis 2027</a:t>
          </a:r>
        </a:p>
        <a:p>
          <a:pPr rtl="0" eaLnBrk="0" fontAlgn="base" hangingPunct="0"/>
          <a:endParaRPr lang="de-DE">
            <a:effectLst/>
          </a:endParaRPr>
        </a:p>
        <a:p>
          <a:pPr rtl="0" eaLnBrk="0" fontAlgn="base" latinLnBrk="0" hangingPunct="0"/>
          <a:r>
            <a:rPr lang="de-DE" sz="1100" b="1">
              <a:solidFill>
                <a:schemeClr val="dk1"/>
              </a:solidFill>
              <a:effectLst/>
              <a:latin typeface="+mn-lt"/>
              <a:ea typeface="+mn-ea"/>
              <a:cs typeface="+mn-cs"/>
            </a:rPr>
            <a:t>GLÖZ 1: Erhaltung von Dauergrünland</a:t>
          </a:r>
          <a:endParaRPr lang="de-DE">
            <a:effectLst/>
          </a:endParaRPr>
        </a:p>
        <a:p>
          <a:pPr rtl="0" eaLnBrk="0" fontAlgn="base" latinLnBrk="0" hangingPunct="0"/>
          <a:r>
            <a:rPr lang="de-DE" sz="1100" b="1">
              <a:solidFill>
                <a:schemeClr val="dk1"/>
              </a:solidFill>
              <a:effectLst/>
              <a:latin typeface="+mn-lt"/>
              <a:ea typeface="+mn-ea"/>
              <a:cs typeface="+mn-cs"/>
            </a:rPr>
            <a:t>GLÖZ 2: Schutz von Mooren und Feuchtgebieten</a:t>
          </a:r>
          <a:endParaRPr lang="de-DE">
            <a:effectLst/>
          </a:endParaRPr>
        </a:p>
        <a:p>
          <a:pPr rtl="0" eaLnBrk="0" fontAlgn="base" latinLnBrk="0" hangingPunct="0"/>
          <a:r>
            <a:rPr lang="de-DE" sz="1100" b="1">
              <a:solidFill>
                <a:schemeClr val="dk1"/>
              </a:solidFill>
              <a:effectLst/>
              <a:latin typeface="+mn-lt"/>
              <a:ea typeface="+mn-ea"/>
              <a:cs typeface="+mn-cs"/>
            </a:rPr>
            <a:t>GLÖZ 3: Verbot des Abbrennens von Stoppelfeldern</a:t>
          </a:r>
          <a:endParaRPr lang="de-DE">
            <a:effectLst/>
          </a:endParaRPr>
        </a:p>
        <a:p>
          <a:pPr rtl="0" eaLnBrk="0" fontAlgn="base" latinLnBrk="0" hangingPunct="0"/>
          <a:r>
            <a:rPr lang="de-DE" sz="1100" b="1">
              <a:solidFill>
                <a:schemeClr val="dk1"/>
              </a:solidFill>
              <a:effectLst/>
              <a:latin typeface="+mn-lt"/>
              <a:ea typeface="+mn-ea"/>
              <a:cs typeface="+mn-cs"/>
            </a:rPr>
            <a:t>GLÖZ 4: Pufferstreifen entlang von Wasserläufen</a:t>
          </a:r>
          <a:endParaRPr lang="de-DE">
            <a:effectLst/>
          </a:endParaRPr>
        </a:p>
        <a:p>
          <a:pPr rtl="0" eaLnBrk="0" fontAlgn="base" latinLnBrk="0" hangingPunct="0"/>
          <a:r>
            <a:rPr lang="de-DE" sz="1100" b="1">
              <a:solidFill>
                <a:schemeClr val="dk1"/>
              </a:solidFill>
              <a:effectLst/>
              <a:latin typeface="+mn-lt"/>
              <a:ea typeface="+mn-ea"/>
              <a:cs typeface="+mn-cs"/>
            </a:rPr>
            <a:t>GLÖZ 5: Begrenzung von Erosion</a:t>
          </a:r>
          <a:endParaRPr lang="de-DE">
            <a:effectLst/>
          </a:endParaRPr>
        </a:p>
        <a:p>
          <a:pPr rtl="0" eaLnBrk="0" fontAlgn="base" latinLnBrk="0" hangingPunct="0"/>
          <a:r>
            <a:rPr lang="de-DE" sz="1100" b="1">
              <a:solidFill>
                <a:schemeClr val="dk1"/>
              </a:solidFill>
              <a:effectLst/>
              <a:latin typeface="+mn-lt"/>
              <a:ea typeface="+mn-ea"/>
              <a:cs typeface="+mn-cs"/>
            </a:rPr>
            <a:t>GLÖZ 6: Mindestbodenbedeckung in sensibelsten Zeiten</a:t>
          </a:r>
          <a:endParaRPr lang="de-DE">
            <a:effectLst/>
          </a:endParaRPr>
        </a:p>
        <a:p>
          <a:pPr rtl="0" eaLnBrk="0" fontAlgn="base" latinLnBrk="0" hangingPunct="0"/>
          <a:r>
            <a:rPr lang="de-DE" sz="1100" b="1">
              <a:solidFill>
                <a:schemeClr val="dk1"/>
              </a:solidFill>
              <a:effectLst/>
              <a:latin typeface="+mn-lt"/>
              <a:ea typeface="+mn-ea"/>
              <a:cs typeface="+mn-cs"/>
            </a:rPr>
            <a:t>GLÖZ 7: Fruchtwechsel auf Ackerland</a:t>
          </a:r>
          <a:endParaRPr lang="de-DE">
            <a:effectLst/>
          </a:endParaRPr>
        </a:p>
        <a:p>
          <a:pPr rtl="0" eaLnBrk="0" fontAlgn="base" latinLnBrk="0" hangingPunct="0"/>
          <a:r>
            <a:rPr lang="de-DE" sz="1100" b="1">
              <a:solidFill>
                <a:schemeClr val="dk1"/>
              </a:solidFill>
              <a:effectLst/>
              <a:latin typeface="+mn-lt"/>
              <a:ea typeface="+mn-ea"/>
              <a:cs typeface="+mn-cs"/>
            </a:rPr>
            <a:t>GLÖZ 8: Mindestanteil nichtproduktiver Flächen sowie Beseitigungsverbot von Landschaftselementen</a:t>
          </a:r>
          <a:endParaRPr lang="de-DE">
            <a:effectLst/>
          </a:endParaRPr>
        </a:p>
        <a:p>
          <a:pPr rtl="0" eaLnBrk="0" fontAlgn="base" latinLnBrk="0" hangingPunct="0"/>
          <a:r>
            <a:rPr lang="de-DE" sz="1100" b="1">
              <a:solidFill>
                <a:schemeClr val="dk1"/>
              </a:solidFill>
              <a:effectLst/>
              <a:latin typeface="+mn-lt"/>
              <a:ea typeface="+mn-ea"/>
              <a:cs typeface="+mn-cs"/>
            </a:rPr>
            <a:t>GLÖZ 9: Erhaltung von umweltsensiblem Dauergrünland</a:t>
          </a:r>
          <a:endParaRPr lang="de-DE">
            <a:effectLst/>
          </a:endParaRPr>
        </a:p>
        <a:p>
          <a:pPr marL="0" marR="0" indent="0" defTabSz="914400" rtl="0" eaLnBrk="1" fontAlgn="auto" latinLnBrk="0" hangingPunct="1">
            <a:lnSpc>
              <a:spcPct val="100000"/>
            </a:lnSpc>
            <a:spcBef>
              <a:spcPts val="0"/>
            </a:spcBef>
            <a:spcAft>
              <a:spcPts val="0"/>
            </a:spcAft>
            <a:buClrTx/>
            <a:buSzTx/>
            <a:buFontTx/>
            <a:buNone/>
            <a:tabLst/>
            <a:defRPr/>
          </a:pPr>
          <a:endParaRPr lang="de-DE" sz="800" b="1">
            <a:solidFill>
              <a:schemeClr val="dk1"/>
            </a:solidFill>
            <a:effectLst/>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de-DE" sz="800" b="1">
              <a:solidFill>
                <a:schemeClr val="dk1"/>
              </a:solidFill>
              <a:effectLst/>
              <a:latin typeface="Arial" panose="020B0604020202020204" pitchFamily="34" charset="0"/>
              <a:ea typeface="+mn-ea"/>
              <a:cs typeface="Arial" panose="020B0604020202020204" pitchFamily="34" charset="0"/>
            </a:rPr>
            <a:t>      </a:t>
          </a:r>
          <a:endParaRPr lang="de-DE" sz="1100">
            <a:latin typeface="Arial" panose="020B0604020202020204" pitchFamily="34" charset="0"/>
            <a:cs typeface="Arial" panose="020B0604020202020204" pitchFamily="34" charset="0"/>
          </a:endParaRPr>
        </a:p>
      </xdr:txBody>
    </xdr:sp>
    <xdr:clientData/>
  </xdr:twoCellAnchor>
  <xdr:twoCellAnchor>
    <xdr:from>
      <xdr:col>10</xdr:col>
      <xdr:colOff>387926</xdr:colOff>
      <xdr:row>4</xdr:row>
      <xdr:rowOff>207818</xdr:rowOff>
    </xdr:from>
    <xdr:to>
      <xdr:col>24</xdr:col>
      <xdr:colOff>124691</xdr:colOff>
      <xdr:row>24</xdr:row>
      <xdr:rowOff>734291</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14</xdr:col>
      <xdr:colOff>13146</xdr:colOff>
      <xdr:row>2</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0"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endParaRPr lang="de-DE" sz="1400" b="1" i="0" u="sng" strike="noStrike" baseline="0">
            <a:solidFill>
              <a:srgbClr val="000000"/>
            </a:solidFill>
            <a:latin typeface="Arial"/>
            <a:cs typeface="Arial"/>
          </a:endParaRPr>
        </a:p>
      </xdr:txBody>
    </xdr:sp>
    <xdr:clientData fPrintsWithSheet="0"/>
  </xdr:twoCellAnchor>
  <xdr:oneCellAnchor>
    <xdr:from>
      <xdr:col>12</xdr:col>
      <xdr:colOff>787400</xdr:colOff>
      <xdr:row>24</xdr:row>
      <xdr:rowOff>1435100</xdr:rowOff>
    </xdr:from>
    <xdr:ext cx="184731" cy="264560"/>
    <xdr:sp macro="" textlink="">
      <xdr:nvSpPr>
        <xdr:cNvPr id="3" name="Textfeld 2"/>
        <xdr:cNvSpPr txBox="1"/>
      </xdr:nvSpPr>
      <xdr:spPr>
        <a:xfrm>
          <a:off x="8801100" y="775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a:pPr algn="l"/>
            <a:t>1.034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a:pPr algn="l"/>
            <a:t>1.346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a:pPr algn="l"/>
            <a:t>1.697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285750</xdr:colOff>
          <xdr:row>3</xdr:row>
          <xdr:rowOff>209550</xdr:rowOff>
        </xdr:to>
        <xdr:sp macro="" textlink="">
          <xdr:nvSpPr>
            <xdr:cNvPr id="73743" name="Check Box 15" hidden="1">
              <a:extLst>
                <a:ext uri="{63B3BB69-23CF-44E3-9099-C40C66FF867C}">
                  <a14:compatExt spid="_x0000_s737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19050</xdr:rowOff>
        </xdr:to>
        <xdr:sp macro="" textlink="">
          <xdr:nvSpPr>
            <xdr:cNvPr id="73744" name="Check Box 16" hidden="1">
              <a:extLst>
                <a:ext uri="{63B3BB69-23CF-44E3-9099-C40C66FF867C}">
                  <a14:compatExt spid="_x0000_s737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DD3FDA-EEBC-4215-BD48-AA0285CB9304}" type="TxLink">
            <a:rPr lang="de-DE" sz="1100"/>
            <a:pPr algn="l"/>
            <a:t>1.136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AB32FF9-4928-4608-B788-6890BEA30F05}" type="TxLink">
            <a:rPr lang="de-DE" sz="1100"/>
            <a:pPr algn="l"/>
            <a:t>1.481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5FC7A-CFD8-46D7-9623-324A478B8CCD}" type="TxLink">
            <a:rPr lang="de-DE" sz="1100"/>
            <a:pPr algn="l"/>
            <a:t>1.820 </a:t>
          </a:fld>
          <a:endParaRPr lang="de-DE" sz="1100"/>
        </a:p>
      </xdr:txBody>
    </xdr:sp>
    <xdr:clientData/>
  </xdr:twoCellAnchor>
  <xdr:twoCellAnchor>
    <xdr:from>
      <xdr:col>16</xdr:col>
      <xdr:colOff>128641</xdr:colOff>
      <xdr:row>45</xdr:row>
      <xdr:rowOff>0</xdr:rowOff>
    </xdr:from>
    <xdr:to>
      <xdr:col>16</xdr:col>
      <xdr:colOff>1743750</xdr:colOff>
      <xdr:row>53</xdr:row>
      <xdr:rowOff>114300</xdr:rowOff>
    </xdr:to>
    <xdr:sp macro="" textlink="">
      <xdr:nvSpPr>
        <xdr:cNvPr id="7" name="Textfeld 6"/>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19050</xdr:rowOff>
        </xdr:from>
        <xdr:to>
          <xdr:col>12</xdr:col>
          <xdr:colOff>266700</xdr:colOff>
          <xdr:row>4</xdr:row>
          <xdr:rowOff>0</xdr:rowOff>
        </xdr:to>
        <xdr:sp macro="" textlink="">
          <xdr:nvSpPr>
            <xdr:cNvPr id="74767" name="Check Box 15" hidden="1">
              <a:extLst>
                <a:ext uri="{63B3BB69-23CF-44E3-9099-C40C66FF867C}">
                  <a14:compatExt spid="_x0000_s747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xdr:row>
          <xdr:rowOff>38100</xdr:rowOff>
        </xdr:from>
        <xdr:to>
          <xdr:col>12</xdr:col>
          <xdr:colOff>285750</xdr:colOff>
          <xdr:row>3</xdr:row>
          <xdr:rowOff>0</xdr:rowOff>
        </xdr:to>
        <xdr:sp macro="" textlink="">
          <xdr:nvSpPr>
            <xdr:cNvPr id="74768" name="Check Box 16" hidden="1">
              <a:extLst>
                <a:ext uri="{63B3BB69-23CF-44E3-9099-C40C66FF867C}">
                  <a14:compatExt spid="_x0000_s747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5561701" y="0"/>
          <a:ext cx="43907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b="0" i="0" u="none" strike="noStrike">
              <a:solidFill>
                <a:srgbClr val="000000"/>
              </a:solidFill>
              <a:latin typeface="Arial"/>
              <a:cs typeface="Arial"/>
            </a:rPr>
            <a:pPr algn="l"/>
            <a:t>974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717232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b="0" i="0" u="none" strike="noStrike">
              <a:solidFill>
                <a:srgbClr val="000000"/>
              </a:solidFill>
              <a:latin typeface="Arial"/>
              <a:cs typeface="Arial"/>
            </a:rPr>
            <a:pPr algn="l"/>
            <a:t>1.186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885444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b="0" i="0" u="none" strike="noStrike">
              <a:solidFill>
                <a:srgbClr val="000000"/>
              </a:solidFill>
              <a:latin typeface="Arial"/>
              <a:cs typeface="Arial"/>
            </a:rPr>
            <a:pPr algn="l"/>
            <a:t>1.504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295275</xdr:colOff>
          <xdr:row>3</xdr:row>
          <xdr:rowOff>219075</xdr:rowOff>
        </xdr:to>
        <xdr:sp macro="" textlink="">
          <xdr:nvSpPr>
            <xdr:cNvPr id="228353" name="Check Box 1" hidden="1">
              <a:extLst>
                <a:ext uri="{63B3BB69-23CF-44E3-9099-C40C66FF867C}">
                  <a14:compatExt spid="_x0000_s228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28575</xdr:rowOff>
        </xdr:to>
        <xdr:sp macro="" textlink="">
          <xdr:nvSpPr>
            <xdr:cNvPr id="228354" name="Check Box 2" hidden="1">
              <a:extLst>
                <a:ext uri="{63B3BB69-23CF-44E3-9099-C40C66FF867C}">
                  <a14:compatExt spid="_x0000_s228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2252480-00F9-4F2A-8C71-0BAF9A281C0A}" type="TxLink">
            <a:rPr lang="de-DE" sz="1100"/>
            <a:pPr algn="l"/>
            <a:t>1.199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273386-A5B6-4795-A526-2D46110DF394}" type="TxLink">
            <a:rPr lang="de-DE" sz="1100"/>
            <a:pPr algn="l"/>
            <a:t>1.572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629730-3D8B-40E3-8B74-A92BC915F0A2}" type="TxLink">
            <a:rPr lang="de-DE" sz="1100"/>
            <a:pPr algn="l"/>
            <a:t>1.906 </a:t>
          </a:fld>
          <a:endParaRPr lang="de-DE" sz="1100"/>
        </a:p>
      </xdr:txBody>
    </xdr:sp>
    <xdr:clientData/>
  </xdr:twoCellAnchor>
  <xdr:twoCellAnchor>
    <xdr:from>
      <xdr:col>16</xdr:col>
      <xdr:colOff>76200</xdr:colOff>
      <xdr:row>45</xdr:row>
      <xdr:rowOff>0</xdr:rowOff>
    </xdr:from>
    <xdr:to>
      <xdr:col>16</xdr:col>
      <xdr:colOff>1704138</xdr:colOff>
      <xdr:row>53</xdr:row>
      <xdr:rowOff>114300</xdr:rowOff>
    </xdr:to>
    <xdr:sp macro="" textlink="">
      <xdr:nvSpPr>
        <xdr:cNvPr id="7" name="Textfeld 6"/>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28575</xdr:rowOff>
        </xdr:from>
        <xdr:to>
          <xdr:col>12</xdr:col>
          <xdr:colOff>266700</xdr:colOff>
          <xdr:row>4</xdr:row>
          <xdr:rowOff>9525</xdr:rowOff>
        </xdr:to>
        <xdr:sp macro="" textlink="">
          <xdr:nvSpPr>
            <xdr:cNvPr id="75791" name="Check Box 15" hidden="1">
              <a:extLst>
                <a:ext uri="{63B3BB69-23CF-44E3-9099-C40C66FF867C}">
                  <a14:compatExt spid="_x0000_s757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xdr:row>
          <xdr:rowOff>38100</xdr:rowOff>
        </xdr:from>
        <xdr:to>
          <xdr:col>12</xdr:col>
          <xdr:colOff>295275</xdr:colOff>
          <xdr:row>3</xdr:row>
          <xdr:rowOff>0</xdr:rowOff>
        </xdr:to>
        <xdr:sp macro="" textlink="">
          <xdr:nvSpPr>
            <xdr:cNvPr id="75792" name="Check Box 16" hidden="1">
              <a:extLst>
                <a:ext uri="{63B3BB69-23CF-44E3-9099-C40C66FF867C}">
                  <a14:compatExt spid="_x0000_s757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a:pPr algn="l"/>
            <a:t>1.398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a:pPr algn="l"/>
            <a:t>1.887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a:pPr algn="l"/>
            <a:t>2.315 </a:t>
          </a:fld>
          <a:endParaRPr lang="de-DE" sz="1100"/>
        </a:p>
      </xdr:txBody>
    </xdr:sp>
    <xdr:clientData/>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45</xdr:row>
      <xdr:rowOff>0</xdr:rowOff>
    </xdr:from>
    <xdr:to>
      <xdr:col>16</xdr:col>
      <xdr:colOff>1705943</xdr:colOff>
      <xdr:row>53</xdr:row>
      <xdr:rowOff>114300</xdr:rowOff>
    </xdr:to>
    <xdr:sp macro="" textlink="">
      <xdr:nvSpPr>
        <xdr:cNvPr id="8" name="Textfeld 7"/>
        <xdr:cNvSpPr txBox="1"/>
      </xdr:nvSpPr>
      <xdr:spPr>
        <a:xfrm>
          <a:off x="12877800" y="754380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96149</xdr:colOff>
      <xdr:row>0</xdr:row>
      <xdr:rowOff>0</xdr:rowOff>
    </xdr:from>
    <xdr:to>
      <xdr:col>9</xdr:col>
      <xdr:colOff>529247</xdr:colOff>
      <xdr:row>0</xdr:row>
      <xdr:rowOff>190499</xdr:rowOff>
    </xdr:to>
    <xdr:sp macro="" textlink="$J$1">
      <xdr:nvSpPr>
        <xdr:cNvPr id="4" name="Rechteck 3"/>
        <xdr:cNvSpPr/>
      </xdr:nvSpPr>
      <xdr:spPr bwMode="auto">
        <a:xfrm>
          <a:off x="7297049" y="0"/>
          <a:ext cx="4330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FDEF62-540C-4B7B-AAB9-DC2AEE27BDFC}" type="TxLink">
            <a:rPr lang="de-DE" sz="1100"/>
            <a:pPr algn="l"/>
            <a:t>1.323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C8BF282-3E5F-40B5-9178-59037FD03C0F}" type="TxLink">
            <a:rPr lang="de-DE" sz="1100"/>
            <a:pPr algn="l"/>
            <a:t>1.681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D983B85-6655-4F71-AF4F-6A501F89B056}" type="TxLink">
            <a:rPr lang="de-DE" sz="1100"/>
            <a:pPr algn="l"/>
            <a:t>2.195 </a:t>
          </a:fld>
          <a:endParaRPr lang="de-DE" sz="1100"/>
        </a:p>
      </xdr:txBody>
    </xdr:sp>
    <xdr:clientData/>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1.323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1.681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2.195 </a:t>
          </a:fld>
          <a:endParaRPr lang="de-DE"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a:pPr algn="l"/>
            <a:t>1.117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641B01F-322B-4FE1-A7A3-8D8F2128754E}" type="TxLink">
            <a:rPr lang="de-DE" sz="1100"/>
            <a:pPr algn="l"/>
            <a:t>1.476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323B29-357B-4E0D-B010-CDB006050567}" type="TxLink">
            <a:rPr lang="de-DE" sz="1100"/>
            <a:pPr algn="l"/>
            <a:t>1.819 </a:t>
          </a:fld>
          <a:endParaRPr lang="de-DE" sz="1100"/>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7" name="Textfeld 6"/>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1.117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1.476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1.819 </a:t>
          </a:fld>
          <a:endParaRPr lang="de-DE"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a:pPr algn="l"/>
            <a:t>1.985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a:pPr algn="l"/>
            <a:t>2.341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80294-AD3C-4B24-B0E6-B78CEFBEA484}" type="TxLink">
            <a:rPr lang="de-DE" sz="1100"/>
            <a:pPr algn="l"/>
            <a:t>2.636 </a:t>
          </a:fld>
          <a:endParaRPr lang="de-DE" sz="1100"/>
        </a:p>
      </xdr:txBody>
    </xdr:sp>
    <xdr:clientData/>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1.985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1.985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2.341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3" name="Rechteck 1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2.636 </a:t>
          </a:fld>
          <a:endParaRPr lang="de-DE"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1.107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1.579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2.014 </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xdr:cNvSpPr/>
      </xdr:nvSpPr>
      <xdr:spPr bwMode="auto">
        <a:xfrm>
          <a:off x="561805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1.107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1.107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1.107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1.107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1.579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1.579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2.014 </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a:pPr algn="l"/>
            <a:t>5.558 </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7CEE86-0D9F-4FB9-B1FA-FA48BA506D6D}" type="TxLink">
            <a:rPr lang="de-DE" sz="1100"/>
            <a:pPr algn="l"/>
            <a:t>7.592 </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71DCB8-22F7-48AB-B816-E4AEADA2C759}" type="TxLink">
            <a:rPr lang="de-DE" sz="1100"/>
            <a:pPr algn="l"/>
            <a:t>9.625 </a:t>
          </a:fld>
          <a:endParaRPr lang="de-DE" sz="1100"/>
        </a:p>
      </xdr:txBody>
    </xdr:sp>
    <xdr:clientData/>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1" name="Rechteck 10"/>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5.558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5" name="Rechteck 14"/>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7.592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6" name="Rechteck 15"/>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7.592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8" name="Rechteck 17"/>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9.625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9" name="Rechteck 18"/>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9.625 </a:t>
          </a:fld>
          <a:endParaRPr lang="de-DE"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#NV</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0" name="Check Box 16" hidden="1">
              <a:extLst>
                <a:ext uri="{63B3BB69-23CF-44E3-9099-C40C66FF867C}">
                  <a14:compatExt spid="_x0000_s103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41" name="Check Box 17" hidden="1">
              <a:extLst>
                <a:ext uri="{63B3BB69-23CF-44E3-9099-C40C66FF867C}">
                  <a14:compatExt spid="_x0000_s103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42" name="Check Box 18" hidden="1">
              <a:extLst>
                <a:ext uri="{63B3BB69-23CF-44E3-9099-C40C66FF867C}">
                  <a14:compatExt spid="_x0000_s103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43" name="Check Box 19" hidden="1">
              <a:extLst>
                <a:ext uri="{63B3BB69-23CF-44E3-9099-C40C66FF867C}">
                  <a14:compatExt spid="_x0000_s103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44" name="Check Box 20" hidden="1">
              <a:extLst>
                <a:ext uri="{63B3BB69-23CF-44E3-9099-C40C66FF867C}">
                  <a14:compatExt spid="_x0000_s103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45" name="Check Box 21" hidden="1">
              <a:extLst>
                <a:ext uri="{63B3BB69-23CF-44E3-9099-C40C66FF867C}">
                  <a14:compatExt spid="_x0000_s103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46" name="Check Box 22" hidden="1">
              <a:extLst>
                <a:ext uri="{63B3BB69-23CF-44E3-9099-C40C66FF867C}">
                  <a14:compatExt spid="_x0000_s103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47" name="Check Box 23" hidden="1">
              <a:extLst>
                <a:ext uri="{63B3BB69-23CF-44E3-9099-C40C66FF867C}">
                  <a14:compatExt spid="_x0000_s103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48" name="Check Box 24" hidden="1">
              <a:extLst>
                <a:ext uri="{63B3BB69-23CF-44E3-9099-C40C66FF867C}">
                  <a14:compatExt spid="_x0000_s103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9" name="Check Box 25" hidden="1">
              <a:extLst>
                <a:ext uri="{63B3BB69-23CF-44E3-9099-C40C66FF867C}">
                  <a14:compatExt spid="_x0000_s103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0" name="Check Box 26" hidden="1">
              <a:extLst>
                <a:ext uri="{63B3BB69-23CF-44E3-9099-C40C66FF867C}">
                  <a14:compatExt spid="_x0000_s103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51" name="Check Box 27" hidden="1">
              <a:extLst>
                <a:ext uri="{63B3BB69-23CF-44E3-9099-C40C66FF867C}">
                  <a14:compatExt spid="_x0000_s103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52" name="Check Box 28" hidden="1">
              <a:extLst>
                <a:ext uri="{63B3BB69-23CF-44E3-9099-C40C66FF867C}">
                  <a14:compatExt spid="_x0000_s103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53" name="Check Box 29" hidden="1">
              <a:extLst>
                <a:ext uri="{63B3BB69-23CF-44E3-9099-C40C66FF867C}">
                  <a14:compatExt spid="_x0000_s103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54" name="Check Box 30" hidden="1">
              <a:extLst>
                <a:ext uri="{63B3BB69-23CF-44E3-9099-C40C66FF867C}">
                  <a14:compatExt spid="_x0000_s103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55" name="Check Box 31" hidden="1">
              <a:extLst>
                <a:ext uri="{63B3BB69-23CF-44E3-9099-C40C66FF867C}">
                  <a14:compatExt spid="_x0000_s103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56" name="Check Box 32" hidden="1">
              <a:extLst>
                <a:ext uri="{63B3BB69-23CF-44E3-9099-C40C66FF867C}">
                  <a14:compatExt spid="_x0000_s103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57" name="Check Box 33" hidden="1">
              <a:extLst>
                <a:ext uri="{63B3BB69-23CF-44E3-9099-C40C66FF867C}">
                  <a14:compatExt spid="_x0000_s103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58" name="Check Box 34" hidden="1">
              <a:extLst>
                <a:ext uri="{63B3BB69-23CF-44E3-9099-C40C66FF867C}">
                  <a14:compatExt spid="_x0000_s103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9" name="Check Box 35" hidden="1">
              <a:extLst>
                <a:ext uri="{63B3BB69-23CF-44E3-9099-C40C66FF867C}">
                  <a14:compatExt spid="_x0000_s103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60" name="Check Box 36" hidden="1">
              <a:extLst>
                <a:ext uri="{63B3BB69-23CF-44E3-9099-C40C66FF867C}">
                  <a14:compatExt spid="_x0000_s103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61" name="Check Box 37" hidden="1">
              <a:extLst>
                <a:ext uri="{63B3BB69-23CF-44E3-9099-C40C66FF867C}">
                  <a14:compatExt spid="_x0000_s103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62" name="Check Box 38" hidden="1">
              <a:extLst>
                <a:ext uri="{63B3BB69-23CF-44E3-9099-C40C66FF867C}">
                  <a14:compatExt spid="_x0000_s103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63" name="Check Box 39" hidden="1">
              <a:extLst>
                <a:ext uri="{63B3BB69-23CF-44E3-9099-C40C66FF867C}">
                  <a14:compatExt spid="_x0000_s103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64" name="Check Box 40" hidden="1">
              <a:extLst>
                <a:ext uri="{63B3BB69-23CF-44E3-9099-C40C66FF867C}">
                  <a14:compatExt spid="_x0000_s103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65" name="Check Box 41" hidden="1">
              <a:extLst>
                <a:ext uri="{63B3BB69-23CF-44E3-9099-C40C66FF867C}">
                  <a14:compatExt spid="_x0000_s103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66" name="Check Box 42" hidden="1">
              <a:extLst>
                <a:ext uri="{63B3BB69-23CF-44E3-9099-C40C66FF867C}">
                  <a14:compatExt spid="_x0000_s103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139279</xdr:colOff>
      <xdr:row>0</xdr:row>
      <xdr:rowOff>8626</xdr:rowOff>
    </xdr:from>
    <xdr:to>
      <xdr:col>10</xdr:col>
      <xdr:colOff>25902</xdr:colOff>
      <xdr:row>0</xdr:row>
      <xdr:rowOff>199125</xdr:rowOff>
    </xdr:to>
    <xdr:sp macro="" textlink="$J$1">
      <xdr:nvSpPr>
        <xdr:cNvPr id="4" name="Rechteck 3"/>
        <xdr:cNvSpPr/>
      </xdr:nvSpPr>
      <xdr:spPr bwMode="auto">
        <a:xfrm>
          <a:off x="7340179" y="8626"/>
          <a:ext cx="68672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a:pPr algn="l"/>
            <a:t>802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27CD1D-EBB0-4AEB-9CC3-2033649C5F70}" type="TxLink">
            <a:rPr lang="de-DE" sz="1100"/>
            <a:pPr algn="l"/>
            <a:t>1.426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FE0CC6-924F-4C2E-9406-8B876B193678}" type="TxLink">
            <a:rPr lang="de-DE" sz="1100"/>
            <a:pPr algn="l"/>
            <a:t>1.892 </a:t>
          </a:fld>
          <a:endParaRPr lang="de-DE" sz="1100"/>
        </a:p>
      </xdr:txBody>
    </xdr:sp>
    <xdr:clientData/>
  </xdr:twoCellAnchor>
  <xdr:twoCellAnchor>
    <xdr:from>
      <xdr:col>16</xdr:col>
      <xdr:colOff>0</xdr:colOff>
      <xdr:row>44</xdr:row>
      <xdr:rowOff>0</xdr:rowOff>
    </xdr:from>
    <xdr:to>
      <xdr:col>16</xdr:col>
      <xdr:colOff>1604388</xdr:colOff>
      <xdr:row>52</xdr:row>
      <xdr:rowOff>114300</xdr:rowOff>
    </xdr:to>
    <xdr:sp macro="" textlink="">
      <xdr:nvSpPr>
        <xdr:cNvPr id="7" name="Textfeld 6"/>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802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802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802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1.426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1.426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4" name="Rechteck 1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1.892 </a:t>
          </a:fld>
          <a:endParaRPr lang="de-DE"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A247C1-F68D-4DC9-BDE1-B7C588DF108D}" type="TxLink">
            <a:rPr lang="de-DE" sz="1100"/>
            <a:pPr algn="l"/>
            <a:t>431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209C0E0-9E24-496B-9570-A186B92D2930}" type="TxLink">
            <a:rPr lang="de-DE" sz="1100"/>
            <a:pPr algn="l"/>
            <a:t>471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5D55EB-1559-41DE-AB6A-05A6711BF3DD}" type="TxLink">
            <a:rPr lang="de-DE" sz="1100"/>
            <a:pPr algn="l"/>
            <a:t>511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161925</xdr:colOff>
          <xdr:row>2</xdr:row>
          <xdr:rowOff>76200</xdr:rowOff>
        </xdr:from>
        <xdr:to>
          <xdr:col>12</xdr:col>
          <xdr:colOff>285750</xdr:colOff>
          <xdr:row>2</xdr:row>
          <xdr:rowOff>190500</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xdr:row>
          <xdr:rowOff>76200</xdr:rowOff>
        </xdr:from>
        <xdr:to>
          <xdr:col>12</xdr:col>
          <xdr:colOff>295275</xdr:colOff>
          <xdr:row>3</xdr:row>
          <xdr:rowOff>171450</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3" name="Rechteck 12"/>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4" name="Rechteck 13"/>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7" name="Rechteck 16"/>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431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20" name="Rechteck 1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431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471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2" name="Rechteck 2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471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511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4" name="Rechteck 2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511 </a:t>
          </a:fld>
          <a:endParaRPr lang="de-DE"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a:pPr algn="l"/>
            <a:t>-121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E14F3F-DDF8-4F83-A947-7C7D10971889}" type="TxLink">
            <a:rPr lang="de-DE" sz="1100"/>
            <a:pPr algn="l"/>
            <a:t>-121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9457A45-16EB-4FC7-8464-C8D984E130BF}" type="TxLink">
            <a:rPr lang="de-DE" sz="1100"/>
            <a:pPr algn="l"/>
            <a:t>-121 </a:t>
          </a:fld>
          <a:endParaRPr lang="de-DE" sz="1100"/>
        </a:p>
      </xdr:txBody>
    </xdr:sp>
    <xdr:clientData/>
  </xdr:twoCellAnchor>
  <xdr:twoCellAnchor>
    <xdr:from>
      <xdr:col>16</xdr:col>
      <xdr:colOff>0</xdr:colOff>
      <xdr:row>45</xdr:row>
      <xdr:rowOff>0</xdr:rowOff>
    </xdr:from>
    <xdr:to>
      <xdr:col>16</xdr:col>
      <xdr:colOff>1604388</xdr:colOff>
      <xdr:row>53</xdr:row>
      <xdr:rowOff>114300</xdr:rowOff>
    </xdr:to>
    <xdr:sp macro="" textlink="">
      <xdr:nvSpPr>
        <xdr:cNvPr id="7" name="Textfeld 6"/>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xdr:cNvSpPr txBox="1"/>
      </xdr:nvSpPr>
      <xdr:spPr>
        <a:xfrm>
          <a:off x="208865" y="3490595"/>
          <a:ext cx="3991660" cy="2260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 auf der selben Fläche mgl.!</a:t>
          </a:r>
          <a:endParaRPr lang="de-DE" sz="1100" b="1">
            <a:solidFill>
              <a:srgbClr val="FF0000"/>
            </a:solidFill>
            <a:latin typeface="Arial Narrow" panose="020B0606020202030204" pitchFamily="34" charset="0"/>
          </a:endParaRPr>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0" name="Rechteck 9"/>
        <xdr:cNvSpPr/>
      </xdr:nvSpPr>
      <xdr:spPr bwMode="auto">
        <a:xfrm>
          <a:off x="5592181" y="0"/>
          <a:ext cx="4962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1" name="Rechteck 10"/>
        <xdr:cNvSpPr/>
      </xdr:nvSpPr>
      <xdr:spPr bwMode="auto">
        <a:xfrm>
          <a:off x="5592181" y="0"/>
          <a:ext cx="49622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4" name="Rechteck 13"/>
        <xdr:cNvSpPr/>
      </xdr:nvSpPr>
      <xdr:spPr bwMode="auto">
        <a:xfrm>
          <a:off x="5618059" y="8626"/>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8" name="Rechteck 17"/>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9" name="Rechteck 18"/>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0" name="Rechteck 19"/>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-121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1" name="Rechteck 2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-121 </a:t>
          </a:fld>
          <a:endParaRPr lang="de-DE"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a:pPr algn="l"/>
            <a:t>-321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806CC5-035B-46EB-90BB-89C255712499}" type="TxLink">
            <a:rPr lang="de-DE" sz="1100"/>
            <a:pPr algn="l"/>
            <a:t>-321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37CC1D-1BF8-4221-9390-A63F2B965360}" type="TxLink">
            <a:rPr lang="de-DE" sz="1100"/>
            <a:pPr algn="l"/>
            <a:t>-321 </a:t>
          </a:fld>
          <a:endParaRPr lang="de-DE" sz="1100"/>
        </a:p>
      </xdr:txBody>
    </xdr:sp>
    <xdr:clientData/>
  </xdr:twoCellAnchor>
  <xdr:twoCellAnchor>
    <xdr:from>
      <xdr:col>16</xdr:col>
      <xdr:colOff>52815</xdr:colOff>
      <xdr:row>45</xdr:row>
      <xdr:rowOff>0</xdr:rowOff>
    </xdr:from>
    <xdr:to>
      <xdr:col>16</xdr:col>
      <xdr:colOff>1665809</xdr:colOff>
      <xdr:row>53</xdr:row>
      <xdr:rowOff>114300</xdr:rowOff>
    </xdr:to>
    <xdr:sp macro="" textlink="">
      <xdr:nvSpPr>
        <xdr:cNvPr id="7" name="Textfeld 6"/>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2" name="Rechteck 11"/>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3" name="Rechteck 12"/>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6" name="Rechteck 15"/>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-321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-321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0" name="Rechteck 1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-321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-321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2" name="Rechteck 21"/>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-321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-321 </a:t>
          </a:fld>
          <a:endParaRPr lang="de-DE"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xdr:cNvSpPr/>
      </xdr:nvSpPr>
      <xdr:spPr bwMode="auto">
        <a:xfrm>
          <a:off x="12092940" y="0"/>
          <a:ext cx="43519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752475</xdr:colOff>
          <xdr:row>1</xdr:row>
          <xdr:rowOff>247650</xdr:rowOff>
        </xdr:from>
        <xdr:to>
          <xdr:col>30</xdr:col>
          <xdr:colOff>257175</xdr:colOff>
          <xdr:row>2</xdr:row>
          <xdr:rowOff>171450</xdr:rowOff>
        </xdr:to>
        <xdr:sp macro="" textlink="">
          <xdr:nvSpPr>
            <xdr:cNvPr id="104464" name="Check Box 16" hidden="1">
              <a:extLst>
                <a:ext uri="{63B3BB69-23CF-44E3-9099-C40C66FF867C}">
                  <a14:compatExt spid="_x0000_s104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57150</xdr:rowOff>
        </xdr:from>
        <xdr:to>
          <xdr:col>30</xdr:col>
          <xdr:colOff>257175</xdr:colOff>
          <xdr:row>1</xdr:row>
          <xdr:rowOff>285750</xdr:rowOff>
        </xdr:to>
        <xdr:sp macro="" textlink="">
          <xdr:nvSpPr>
            <xdr:cNvPr id="104465" name="Check Box 17" hidden="1">
              <a:extLst>
                <a:ext uri="{63B3BB69-23CF-44E3-9099-C40C66FF867C}">
                  <a14:compatExt spid="_x0000_s104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4466" name="Check Box 18" hidden="1">
              <a:extLst>
                <a:ext uri="{63B3BB69-23CF-44E3-9099-C40C66FF867C}">
                  <a14:compatExt spid="_x0000_s104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4467" name="Check Box 19" hidden="1">
              <a:extLst>
                <a:ext uri="{63B3BB69-23CF-44E3-9099-C40C66FF867C}">
                  <a14:compatExt spid="_x0000_s104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4468" name="Check Box 20" hidden="1">
              <a:extLst>
                <a:ext uri="{63B3BB69-23CF-44E3-9099-C40C66FF867C}">
                  <a14:compatExt spid="_x0000_s104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4470" name="Check Box 22" hidden="1">
              <a:extLst>
                <a:ext uri="{63B3BB69-23CF-44E3-9099-C40C66FF867C}">
                  <a14:compatExt spid="_x0000_s104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4471" name="Check Box 23" hidden="1">
              <a:extLst>
                <a:ext uri="{63B3BB69-23CF-44E3-9099-C40C66FF867C}">
                  <a14:compatExt spid="_x0000_s104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4472" name="Check Box 24" hidden="1">
              <a:extLst>
                <a:ext uri="{63B3BB69-23CF-44E3-9099-C40C66FF867C}">
                  <a14:compatExt spid="_x0000_s104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4473" name="Check Box 25" hidden="1">
              <a:extLst>
                <a:ext uri="{63B3BB69-23CF-44E3-9099-C40C66FF867C}">
                  <a14:compatExt spid="_x0000_s104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4474" name="Check Box 26" hidden="1">
              <a:extLst>
                <a:ext uri="{63B3BB69-23CF-44E3-9099-C40C66FF867C}">
                  <a14:compatExt spid="_x0000_s104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4475" name="Check Box 27" hidden="1">
              <a:extLst>
                <a:ext uri="{63B3BB69-23CF-44E3-9099-C40C66FF867C}">
                  <a14:compatExt spid="_x0000_s104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4476" name="Check Box 28" hidden="1">
              <a:extLst>
                <a:ext uri="{63B3BB69-23CF-44E3-9099-C40C66FF867C}">
                  <a14:compatExt spid="_x0000_s104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4477" name="Check Box 29" hidden="1">
              <a:extLst>
                <a:ext uri="{63B3BB69-23CF-44E3-9099-C40C66FF867C}">
                  <a14:compatExt spid="_x0000_s104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4478" name="Check Box 30" hidden="1">
              <a:extLst>
                <a:ext uri="{63B3BB69-23CF-44E3-9099-C40C66FF867C}">
                  <a14:compatExt spid="_x0000_s104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4479" name="Check Box 31" hidden="1">
              <a:extLst>
                <a:ext uri="{63B3BB69-23CF-44E3-9099-C40C66FF867C}">
                  <a14:compatExt spid="_x0000_s104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257175</xdr:rowOff>
        </xdr:from>
        <xdr:to>
          <xdr:col>18</xdr:col>
          <xdr:colOff>523875</xdr:colOff>
          <xdr:row>2</xdr:row>
          <xdr:rowOff>180975</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1</xdr:row>
          <xdr:rowOff>57150</xdr:rowOff>
        </xdr:from>
        <xdr:to>
          <xdr:col>18</xdr:col>
          <xdr:colOff>514350</xdr:colOff>
          <xdr:row>1</xdr:row>
          <xdr:rowOff>295275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5498" name="Check Box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5499" name="Check Box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5500" name="Check Box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5501" name="Check Box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6522" name="Check Box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6523" name="Check Box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6524" name="Check Box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6525" name="Check Box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7546" name="Check Box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7547" name="Check Box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7548" name="Check Box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7549" name="Check Box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476250</xdr:colOff>
          <xdr:row>2</xdr:row>
          <xdr:rowOff>180975</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xdr:row>
          <xdr:rowOff>57150</xdr:rowOff>
        </xdr:from>
        <xdr:to>
          <xdr:col>18</xdr:col>
          <xdr:colOff>476250</xdr:colOff>
          <xdr:row>1</xdr:row>
          <xdr:rowOff>295275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8570" name="Check Box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8571" name="Check Box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8572" name="Check Box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8573" name="Check Box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26324</xdr:colOff>
      <xdr:row>24</xdr:row>
      <xdr:rowOff>495301</xdr:rowOff>
    </xdr:from>
    <xdr:to>
      <xdr:col>19</xdr:col>
      <xdr:colOff>95250</xdr:colOff>
      <xdr:row>39</xdr:row>
      <xdr:rowOff>9525</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835939</xdr:colOff>
      <xdr:row>3</xdr:row>
      <xdr:rowOff>0</xdr:rowOff>
    </xdr:from>
    <xdr:to>
      <xdr:col>22</xdr:col>
      <xdr:colOff>0</xdr:colOff>
      <xdr:row>4</xdr:row>
      <xdr:rowOff>48986</xdr:rowOff>
    </xdr:to>
    <xdr:sp macro="" textlink="">
      <xdr:nvSpPr>
        <xdr:cNvPr id="5" name="Rectangle 40">
          <a:hlinkClick xmlns:r="http://schemas.openxmlformats.org/officeDocument/2006/relationships" r:id="rId2"/>
        </xdr:cNvPr>
        <xdr:cNvSpPr>
          <a:spLocks noChangeArrowheads="1"/>
        </xdr:cNvSpPr>
      </xdr:nvSpPr>
      <xdr:spPr bwMode="auto">
        <a:xfrm>
          <a:off x="10339168" y="2830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14.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14.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omments" Target="../comments7.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landwirtschaft-bw.info/pb/MLR.LEL-SG,Lde/Startseite/Unsere+Themen/Pflanze" TargetMode="External"/><Relationship Id="rId1" Type="http://schemas.openxmlformats.org/officeDocument/2006/relationships/hyperlink" Target="https://www.landwirtschaft-bw.info/pb/MLR.LEL-SG,Lde/Startseite/Unsere+Themen/Pflanzenbau"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mments" Target="../comments18.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24.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2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2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3.xml"/><Relationship Id="rId1" Type="http://schemas.openxmlformats.org/officeDocument/2006/relationships/printerSettings" Target="../printerSettings/printerSettings62.bin"/><Relationship Id="rId4" Type="http://schemas.openxmlformats.org/officeDocument/2006/relationships/comments" Target="../comments3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4.xml"/><Relationship Id="rId1" Type="http://schemas.openxmlformats.org/officeDocument/2006/relationships/printerSettings" Target="../printerSettings/printerSettings63.bin"/><Relationship Id="rId4" Type="http://schemas.openxmlformats.org/officeDocument/2006/relationships/comments" Target="../comments3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5.xml"/><Relationship Id="rId1" Type="http://schemas.openxmlformats.org/officeDocument/2006/relationships/printerSettings" Target="../printerSettings/printerSettings64.bin"/><Relationship Id="rId4" Type="http://schemas.openxmlformats.org/officeDocument/2006/relationships/comments" Target="../comments3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 Type="http://schemas.openxmlformats.org/officeDocument/2006/relationships/vmlDrawing" Target="../drawings/vmlDrawing56.vml"/><Relationship Id="rId21" Type="http://schemas.openxmlformats.org/officeDocument/2006/relationships/ctrlProp" Target="../ctrlProps/ctrlProp91.xml"/><Relationship Id="rId7" Type="http://schemas.openxmlformats.org/officeDocument/2006/relationships/ctrlProp" Target="../ctrlProps/ctrlProp77.xm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2" Type="http://schemas.openxmlformats.org/officeDocument/2006/relationships/drawing" Target="../drawings/drawing80.xm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1" Type="http://schemas.openxmlformats.org/officeDocument/2006/relationships/printerSettings" Target="../printerSettings/printerSettings79.bin"/><Relationship Id="rId6" Type="http://schemas.openxmlformats.org/officeDocument/2006/relationships/ctrlProp" Target="../ctrlProps/ctrlProp76.xml"/><Relationship Id="rId11" Type="http://schemas.openxmlformats.org/officeDocument/2006/relationships/ctrlProp" Target="../ctrlProps/ctrlProp81.xml"/><Relationship Id="rId24" Type="http://schemas.openxmlformats.org/officeDocument/2006/relationships/ctrlProp" Target="../ctrlProps/ctrlProp94.xml"/><Relationship Id="rId5" Type="http://schemas.openxmlformats.org/officeDocument/2006/relationships/ctrlProp" Target="../ctrlProps/ctrlProp75.xm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omments" Target="../comments34.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58.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85.xml"/><Relationship Id="rId16" Type="http://schemas.openxmlformats.org/officeDocument/2006/relationships/ctrlProp" Target="../ctrlProps/ctrlProp115.xml"/><Relationship Id="rId20" Type="http://schemas.openxmlformats.org/officeDocument/2006/relationships/comments" Target="../comments35.xml"/><Relationship Id="rId1" Type="http://schemas.openxmlformats.org/officeDocument/2006/relationships/printerSettings" Target="../printerSettings/printerSettings84.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3" Type="http://schemas.openxmlformats.org/officeDocument/2006/relationships/vmlDrawing" Target="../drawings/vmlDrawing59.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86.xml"/><Relationship Id="rId16" Type="http://schemas.openxmlformats.org/officeDocument/2006/relationships/ctrlProp" Target="../ctrlProps/ctrlProp131.xml"/><Relationship Id="rId20" Type="http://schemas.openxmlformats.org/officeDocument/2006/relationships/comments" Target="../comments36.xml"/><Relationship Id="rId1" Type="http://schemas.openxmlformats.org/officeDocument/2006/relationships/printerSettings" Target="../printerSettings/printerSettings85.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60.v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87.xml"/><Relationship Id="rId16" Type="http://schemas.openxmlformats.org/officeDocument/2006/relationships/ctrlProp" Target="../ctrlProps/ctrlProp147.xml"/><Relationship Id="rId20" Type="http://schemas.openxmlformats.org/officeDocument/2006/relationships/comments" Target="../comments37.xml"/><Relationship Id="rId1" Type="http://schemas.openxmlformats.org/officeDocument/2006/relationships/printerSettings" Target="../printerSettings/printerSettings86.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3" Type="http://schemas.openxmlformats.org/officeDocument/2006/relationships/vmlDrawing" Target="../drawings/vmlDrawing61.v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 Type="http://schemas.openxmlformats.org/officeDocument/2006/relationships/drawing" Target="../drawings/drawing88.xml"/><Relationship Id="rId16" Type="http://schemas.openxmlformats.org/officeDocument/2006/relationships/ctrlProp" Target="../ctrlProps/ctrlProp163.xml"/><Relationship Id="rId20" Type="http://schemas.openxmlformats.org/officeDocument/2006/relationships/comments" Target="../comments38.xml"/><Relationship Id="rId1" Type="http://schemas.openxmlformats.org/officeDocument/2006/relationships/printerSettings" Target="../printerSettings/printerSettings87.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3" Type="http://schemas.openxmlformats.org/officeDocument/2006/relationships/vmlDrawing" Target="../drawings/vmlDrawing62.v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 Type="http://schemas.openxmlformats.org/officeDocument/2006/relationships/drawing" Target="../drawings/drawing89.xml"/><Relationship Id="rId16" Type="http://schemas.openxmlformats.org/officeDocument/2006/relationships/ctrlProp" Target="../ctrlProps/ctrlProp179.xml"/><Relationship Id="rId20" Type="http://schemas.openxmlformats.org/officeDocument/2006/relationships/comments" Target="../comments39.xml"/><Relationship Id="rId1" Type="http://schemas.openxmlformats.org/officeDocument/2006/relationships/printerSettings" Target="../printerSettings/printerSettings88.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I299"/>
  <sheetViews>
    <sheetView showZeros="0" tabSelected="1" zoomScaleNormal="100" workbookViewId="0"/>
  </sheetViews>
  <sheetFormatPr baseColWidth="10" defaultColWidth="10.5" defaultRowHeight="12.75"/>
  <cols>
    <col min="1" max="1" width="2.375" style="1" customWidth="1"/>
    <col min="2" max="2" width="24" style="1" customWidth="1"/>
    <col min="3" max="3" width="53.125" style="1" customWidth="1"/>
    <col min="4" max="4" width="13.375" style="3" customWidth="1"/>
    <col min="5" max="5" width="2.375" style="1" customWidth="1"/>
    <col min="6" max="6" width="6" style="1" customWidth="1"/>
    <col min="7" max="7" width="10.5" style="1" customWidth="1"/>
    <col min="8" max="8" width="10.5" style="2" hidden="1" customWidth="1"/>
    <col min="9" max="9" width="0" style="1" hidden="1" customWidth="1"/>
    <col min="10" max="16384" width="10.5" style="1"/>
  </cols>
  <sheetData>
    <row r="1" spans="2:9" ht="13.5" thickBot="1">
      <c r="D1" s="1"/>
    </row>
    <row r="2" spans="2:9" ht="28.15" customHeight="1">
      <c r="B2" s="3113"/>
      <c r="C2" s="3121"/>
      <c r="D2" s="3122"/>
    </row>
    <row r="3" spans="2:9" ht="24.6" customHeight="1">
      <c r="B3" s="4120" t="s">
        <v>1333</v>
      </c>
      <c r="C3" s="4121"/>
      <c r="D3" s="4122"/>
    </row>
    <row r="4" spans="2:9" ht="23.45" customHeight="1">
      <c r="B4" s="4117" t="s">
        <v>184</v>
      </c>
      <c r="C4" s="4118"/>
      <c r="D4" s="4119"/>
      <c r="H4" s="1"/>
      <c r="I4" s="2"/>
    </row>
    <row r="5" spans="2:9" ht="23.45" customHeight="1">
      <c r="B5" s="4114" t="s">
        <v>1966</v>
      </c>
      <c r="C5" s="4115"/>
      <c r="D5" s="4116"/>
      <c r="H5" s="1"/>
      <c r="I5" s="2"/>
    </row>
    <row r="6" spans="2:9" ht="22.9" customHeight="1">
      <c r="B6" s="4111">
        <f>SDÖ1!O3</f>
        <v>0</v>
      </c>
      <c r="C6" s="4112"/>
      <c r="D6" s="4113"/>
      <c r="H6" s="1"/>
    </row>
    <row r="7" spans="2:9">
      <c r="B7" s="3114"/>
      <c r="C7" s="3115"/>
      <c r="D7" s="3120"/>
      <c r="H7" s="28" t="s">
        <v>114</v>
      </c>
      <c r="I7" s="28" t="s">
        <v>113</v>
      </c>
    </row>
    <row r="8" spans="2:9">
      <c r="B8" s="3114" t="s">
        <v>1332</v>
      </c>
      <c r="C8" s="3115"/>
      <c r="D8" s="3116"/>
    </row>
    <row r="9" spans="2:9">
      <c r="B9" s="3117" t="s">
        <v>1331</v>
      </c>
      <c r="C9" s="3118"/>
      <c r="D9" s="3116"/>
    </row>
    <row r="10" spans="2:9" ht="13.5" thickBot="1">
      <c r="B10" s="4109" t="s">
        <v>1330</v>
      </c>
      <c r="C10" s="4110"/>
      <c r="D10" s="3119" t="s">
        <v>2184</v>
      </c>
    </row>
    <row r="11" spans="2:9" ht="16.5" thickBot="1">
      <c r="B11" s="23" t="s">
        <v>115</v>
      </c>
      <c r="C11" s="4"/>
      <c r="D11" s="19"/>
      <c r="E11" s="5"/>
      <c r="F11" s="9"/>
    </row>
    <row r="12" spans="2:9" ht="7.9" customHeight="1">
      <c r="B12" s="3351"/>
      <c r="C12" s="3351"/>
      <c r="D12" s="3352"/>
      <c r="E12" s="5"/>
      <c r="F12" s="9"/>
    </row>
    <row r="13" spans="2:9" ht="16.149999999999999" customHeight="1">
      <c r="B13" s="3267" t="s">
        <v>112</v>
      </c>
      <c r="C13" s="3267"/>
      <c r="D13" s="3267"/>
      <c r="E13" s="10"/>
      <c r="F13" s="9"/>
    </row>
    <row r="14" spans="2:9" ht="14.25" customHeight="1">
      <c r="B14" s="3353" t="s">
        <v>1329</v>
      </c>
      <c r="C14" s="3281"/>
      <c r="D14" s="16" t="s">
        <v>167</v>
      </c>
      <c r="E14" s="5"/>
      <c r="F14" s="9"/>
    </row>
    <row r="15" spans="2:9" ht="14.25" customHeight="1">
      <c r="D15" s="1"/>
      <c r="E15" s="5"/>
      <c r="F15" s="9"/>
    </row>
    <row r="16" spans="2:9" ht="14.25" customHeight="1">
      <c r="B16" s="23" t="s">
        <v>111</v>
      </c>
      <c r="C16" s="4"/>
      <c r="D16" s="19"/>
      <c r="E16" s="5"/>
      <c r="F16" s="9"/>
    </row>
    <row r="17" spans="2:8" ht="14.25" customHeight="1">
      <c r="B17" s="17"/>
      <c r="C17" s="3346" t="s">
        <v>2016</v>
      </c>
      <c r="D17" s="16" t="s">
        <v>110</v>
      </c>
      <c r="E17" s="5"/>
      <c r="F17" s="9"/>
    </row>
    <row r="18" spans="2:8" ht="14.25" customHeight="1">
      <c r="B18" s="10"/>
      <c r="C18" s="25" t="s">
        <v>109</v>
      </c>
      <c r="D18" s="16" t="s">
        <v>108</v>
      </c>
      <c r="E18" s="5"/>
      <c r="F18" s="9"/>
    </row>
    <row r="19" spans="2:8" ht="14.25" customHeight="1">
      <c r="B19" s="10"/>
      <c r="C19" s="25" t="s">
        <v>2185</v>
      </c>
      <c r="D19" s="16" t="s">
        <v>2017</v>
      </c>
      <c r="E19" s="5"/>
      <c r="F19" s="9"/>
    </row>
    <row r="20" spans="2:8" ht="27" customHeight="1">
      <c r="B20" s="10"/>
      <c r="C20" s="3347" t="s">
        <v>1998</v>
      </c>
      <c r="D20" s="16" t="s">
        <v>2018</v>
      </c>
      <c r="E20" s="5"/>
      <c r="F20" s="9"/>
    </row>
    <row r="21" spans="2:8" ht="14.25">
      <c r="B21" s="10"/>
      <c r="C21" s="25" t="s">
        <v>2186</v>
      </c>
      <c r="D21" s="16" t="s">
        <v>2019</v>
      </c>
      <c r="E21" s="5"/>
      <c r="F21" s="9"/>
    </row>
    <row r="22" spans="2:8" ht="14.25">
      <c r="B22" s="10"/>
      <c r="C22" s="25" t="s">
        <v>2186</v>
      </c>
      <c r="D22" s="16" t="s">
        <v>2018</v>
      </c>
      <c r="E22" s="5"/>
      <c r="F22" s="9"/>
    </row>
    <row r="23" spans="2:8" ht="14.25" customHeight="1">
      <c r="B23" s="10"/>
      <c r="C23" s="17"/>
      <c r="D23" s="24"/>
      <c r="E23" s="5"/>
      <c r="F23" s="9"/>
    </row>
    <row r="24" spans="2:8" ht="14.25" customHeight="1">
      <c r="B24" s="26" t="s">
        <v>2003</v>
      </c>
      <c r="C24" s="4"/>
      <c r="D24" s="16" t="s">
        <v>2038</v>
      </c>
      <c r="E24" s="5"/>
      <c r="F24" s="9"/>
      <c r="H24" s="1"/>
    </row>
    <row r="25" spans="2:8" ht="14.25" customHeight="1">
      <c r="B25" s="26" t="s">
        <v>2004</v>
      </c>
      <c r="C25" s="4"/>
      <c r="D25" s="16" t="s">
        <v>1999</v>
      </c>
      <c r="E25" s="5"/>
      <c r="F25" s="9"/>
      <c r="H25" s="1"/>
    </row>
    <row r="26" spans="2:8" ht="14.25" customHeight="1">
      <c r="B26" s="26" t="s">
        <v>107</v>
      </c>
      <c r="C26" s="4"/>
      <c r="D26" s="16" t="s">
        <v>106</v>
      </c>
      <c r="E26" s="5"/>
      <c r="F26" s="9"/>
      <c r="H26" s="1"/>
    </row>
    <row r="27" spans="2:8" ht="14.25" customHeight="1">
      <c r="B27" s="26" t="s">
        <v>2005</v>
      </c>
      <c r="C27" s="4"/>
      <c r="D27" s="16" t="s">
        <v>2039</v>
      </c>
      <c r="E27" s="5"/>
      <c r="F27" s="9"/>
      <c r="H27" s="1"/>
    </row>
    <row r="28" spans="2:8" ht="14.25" customHeight="1">
      <c r="B28" s="26" t="s">
        <v>2006</v>
      </c>
      <c r="C28" s="4"/>
      <c r="D28" s="16" t="s">
        <v>2000</v>
      </c>
      <c r="E28" s="5"/>
      <c r="F28" s="9"/>
      <c r="H28" s="1"/>
    </row>
    <row r="29" spans="2:8" ht="13.15" customHeight="1">
      <c r="B29" s="3346" t="s">
        <v>2007</v>
      </c>
      <c r="C29" s="4"/>
      <c r="D29" s="16" t="s">
        <v>2040</v>
      </c>
      <c r="E29" s="5"/>
      <c r="F29" s="9"/>
    </row>
    <row r="30" spans="2:8" ht="13.15" customHeight="1">
      <c r="B30" s="3346" t="s">
        <v>2008</v>
      </c>
      <c r="C30" s="4"/>
      <c r="D30" s="16" t="s">
        <v>2001</v>
      </c>
      <c r="E30" s="5"/>
      <c r="F30" s="9"/>
    </row>
    <row r="31" spans="2:8" ht="13.9" customHeight="1">
      <c r="B31" s="26" t="s">
        <v>2009</v>
      </c>
      <c r="C31" s="4"/>
      <c r="D31" s="16" t="s">
        <v>2041</v>
      </c>
      <c r="E31" s="5"/>
      <c r="F31" s="9"/>
    </row>
    <row r="32" spans="2:8" ht="14.45" customHeight="1">
      <c r="B32" s="26" t="s">
        <v>2010</v>
      </c>
      <c r="C32" s="4"/>
      <c r="D32" s="16" t="s">
        <v>2002</v>
      </c>
      <c r="E32" s="5"/>
      <c r="F32" s="9"/>
    </row>
    <row r="33" spans="2:9" ht="14.45" customHeight="1">
      <c r="B33" s="26" t="s">
        <v>105</v>
      </c>
      <c r="C33" s="4"/>
      <c r="D33" s="16" t="s">
        <v>104</v>
      </c>
      <c r="E33" s="5"/>
      <c r="F33" s="9"/>
    </row>
    <row r="34" spans="2:9" ht="14.45" customHeight="1">
      <c r="B34" s="3346" t="s">
        <v>2011</v>
      </c>
      <c r="C34" s="4"/>
      <c r="D34" s="16" t="s">
        <v>2042</v>
      </c>
      <c r="E34" s="5"/>
      <c r="F34" s="9"/>
    </row>
    <row r="35" spans="2:9" ht="14.45" customHeight="1">
      <c r="B35" s="3346" t="s">
        <v>2012</v>
      </c>
      <c r="C35" s="4"/>
      <c r="D35" s="16" t="s">
        <v>2013</v>
      </c>
      <c r="E35" s="5"/>
      <c r="F35" s="9"/>
    </row>
    <row r="36" spans="2:9" ht="16.149999999999999" customHeight="1">
      <c r="B36" s="17" t="s">
        <v>103</v>
      </c>
      <c r="C36" s="4"/>
      <c r="D36" s="16" t="s">
        <v>102</v>
      </c>
      <c r="E36" s="18"/>
      <c r="F36" s="22"/>
      <c r="H36" s="1"/>
    </row>
    <row r="37" spans="2:9" ht="14.25" customHeight="1">
      <c r="B37" s="10"/>
      <c r="C37" s="4"/>
      <c r="D37" s="19"/>
      <c r="E37" s="5"/>
      <c r="F37" s="9"/>
      <c r="I37" s="13"/>
    </row>
    <row r="38" spans="2:9" ht="14.25" customHeight="1">
      <c r="B38" s="23" t="s">
        <v>101</v>
      </c>
      <c r="C38" s="4"/>
      <c r="D38" s="16" t="s">
        <v>100</v>
      </c>
      <c r="E38" s="5"/>
      <c r="F38" s="9"/>
      <c r="I38" s="13"/>
    </row>
    <row r="39" spans="2:9" ht="14.25" customHeight="1">
      <c r="C39" s="10"/>
      <c r="D39" s="24"/>
      <c r="E39" s="5"/>
      <c r="F39" s="9"/>
      <c r="I39" s="13"/>
    </row>
    <row r="40" spans="2:9" ht="14.25" customHeight="1">
      <c r="B40" s="23" t="s">
        <v>2014</v>
      </c>
      <c r="C40" s="4"/>
      <c r="D40" s="19"/>
      <c r="E40" s="5"/>
      <c r="F40" s="9"/>
      <c r="I40" s="13"/>
    </row>
    <row r="41" spans="2:9" ht="14.25" customHeight="1">
      <c r="B41" s="10" t="s">
        <v>99</v>
      </c>
      <c r="C41" s="4" t="s">
        <v>98</v>
      </c>
      <c r="D41" s="16" t="s">
        <v>97</v>
      </c>
      <c r="E41" s="5"/>
      <c r="F41" s="9"/>
      <c r="I41" s="13"/>
    </row>
    <row r="42" spans="2:9" ht="14.25" customHeight="1">
      <c r="B42" s="4"/>
      <c r="C42" s="4" t="s">
        <v>96</v>
      </c>
      <c r="D42" s="16" t="s">
        <v>95</v>
      </c>
      <c r="E42" s="5"/>
      <c r="F42" s="9"/>
      <c r="I42" s="13"/>
    </row>
    <row r="43" spans="2:9" ht="14.25" customHeight="1">
      <c r="B43" s="4"/>
      <c r="C43" s="4" t="s">
        <v>94</v>
      </c>
      <c r="D43" s="16" t="s">
        <v>93</v>
      </c>
      <c r="E43" s="5"/>
      <c r="F43" s="9"/>
      <c r="I43" s="13"/>
    </row>
    <row r="44" spans="2:9" ht="14.25" customHeight="1">
      <c r="B44" s="4"/>
      <c r="C44" s="4" t="s">
        <v>92</v>
      </c>
      <c r="D44" s="16" t="s">
        <v>91</v>
      </c>
      <c r="E44" s="5"/>
      <c r="F44" s="9"/>
      <c r="I44" s="13"/>
    </row>
    <row r="45" spans="2:9" ht="14.25" customHeight="1">
      <c r="B45" s="4"/>
      <c r="C45" s="4" t="s">
        <v>90</v>
      </c>
      <c r="D45" s="16" t="s">
        <v>89</v>
      </c>
      <c r="E45" s="5"/>
      <c r="F45" s="9"/>
      <c r="I45" s="13"/>
    </row>
    <row r="46" spans="2:9" ht="14.25" customHeight="1">
      <c r="B46" s="4"/>
      <c r="C46" s="4" t="s">
        <v>88</v>
      </c>
      <c r="D46" s="16" t="s">
        <v>87</v>
      </c>
      <c r="E46" s="5"/>
      <c r="F46" s="9"/>
      <c r="I46" s="13"/>
    </row>
    <row r="47" spans="2:9" ht="14.25" customHeight="1">
      <c r="B47" s="4"/>
      <c r="C47" s="4" t="s">
        <v>86</v>
      </c>
      <c r="D47" s="16" t="s">
        <v>85</v>
      </c>
      <c r="E47" s="5"/>
      <c r="F47" s="9"/>
      <c r="I47" s="13"/>
    </row>
    <row r="48" spans="2:9" ht="14.25" customHeight="1">
      <c r="B48" s="4"/>
      <c r="C48" s="4" t="s">
        <v>84</v>
      </c>
      <c r="D48" s="16" t="s">
        <v>83</v>
      </c>
      <c r="E48" s="5"/>
      <c r="F48" s="9"/>
      <c r="I48" s="13"/>
    </row>
    <row r="49" spans="2:9" ht="14.25" customHeight="1">
      <c r="B49" s="10" t="s">
        <v>82</v>
      </c>
      <c r="C49" s="4" t="s">
        <v>81</v>
      </c>
      <c r="D49" s="16" t="s">
        <v>80</v>
      </c>
      <c r="E49" s="5"/>
      <c r="F49" s="9"/>
      <c r="I49" s="13"/>
    </row>
    <row r="50" spans="2:9" ht="14.25" customHeight="1">
      <c r="C50" s="4" t="s">
        <v>79</v>
      </c>
      <c r="D50" s="16" t="s">
        <v>78</v>
      </c>
      <c r="E50" s="5"/>
      <c r="F50" s="9"/>
      <c r="I50" s="13"/>
    </row>
    <row r="51" spans="2:9" ht="14.25" customHeight="1">
      <c r="C51" s="4" t="s">
        <v>77</v>
      </c>
      <c r="D51" s="16" t="s">
        <v>76</v>
      </c>
      <c r="E51" s="5"/>
      <c r="F51" s="9"/>
      <c r="I51" s="13"/>
    </row>
    <row r="52" spans="2:9" ht="14.25" customHeight="1">
      <c r="B52" s="4"/>
      <c r="C52" s="4" t="s">
        <v>75</v>
      </c>
      <c r="D52" s="16" t="s">
        <v>74</v>
      </c>
      <c r="E52" s="5"/>
      <c r="F52" s="9"/>
      <c r="I52" s="13"/>
    </row>
    <row r="53" spans="2:9" ht="14.25" customHeight="1">
      <c r="B53" s="10"/>
      <c r="C53" s="4" t="s">
        <v>73</v>
      </c>
      <c r="D53" s="16" t="s">
        <v>72</v>
      </c>
      <c r="E53" s="5"/>
      <c r="F53" s="9"/>
      <c r="I53" s="13"/>
    </row>
    <row r="54" spans="2:9" ht="14.25" customHeight="1">
      <c r="B54" s="10"/>
      <c r="C54" s="4"/>
      <c r="D54" s="16"/>
      <c r="E54" s="5"/>
      <c r="F54" s="9"/>
      <c r="I54" s="13"/>
    </row>
    <row r="55" spans="2:9" ht="14.25" customHeight="1">
      <c r="B55" s="10" t="s">
        <v>71</v>
      </c>
      <c r="C55" s="4" t="s">
        <v>70</v>
      </c>
      <c r="D55" s="16" t="s">
        <v>69</v>
      </c>
      <c r="E55" s="5"/>
      <c r="F55" s="9"/>
      <c r="I55" s="13"/>
    </row>
    <row r="56" spans="2:9" ht="14.25" customHeight="1">
      <c r="B56" s="10" t="s">
        <v>68</v>
      </c>
      <c r="C56" s="4" t="s">
        <v>67</v>
      </c>
      <c r="D56" s="16" t="s">
        <v>66</v>
      </c>
      <c r="E56" s="5"/>
      <c r="F56" s="9"/>
      <c r="I56" s="13"/>
    </row>
    <row r="57" spans="2:9" ht="14.25" customHeight="1">
      <c r="B57" s="10" t="s">
        <v>65</v>
      </c>
      <c r="C57" s="4" t="s">
        <v>64</v>
      </c>
      <c r="D57" s="16" t="s">
        <v>63</v>
      </c>
      <c r="E57" s="5"/>
      <c r="F57" s="9"/>
      <c r="I57" s="13"/>
    </row>
    <row r="58" spans="2:9" ht="14.25" customHeight="1">
      <c r="B58" s="17"/>
      <c r="C58" s="4" t="s">
        <v>62</v>
      </c>
      <c r="D58" s="16" t="s">
        <v>61</v>
      </c>
      <c r="E58" s="5"/>
      <c r="F58" s="9"/>
      <c r="I58" s="13"/>
    </row>
    <row r="59" spans="2:9" ht="14.25" customHeight="1">
      <c r="B59" s="17"/>
      <c r="C59" s="4" t="s">
        <v>60</v>
      </c>
      <c r="D59" s="16" t="s">
        <v>59</v>
      </c>
      <c r="E59" s="5"/>
      <c r="F59" s="9"/>
      <c r="I59" s="13"/>
    </row>
    <row r="60" spans="2:9" ht="14.25" hidden="1" customHeight="1">
      <c r="B60" s="17"/>
      <c r="C60" s="4" t="s">
        <v>58</v>
      </c>
      <c r="D60" s="16" t="s">
        <v>58</v>
      </c>
      <c r="E60" s="5"/>
      <c r="F60" s="20"/>
      <c r="G60" s="20"/>
      <c r="I60" s="13"/>
    </row>
    <row r="61" spans="2:9" ht="14.25" customHeight="1">
      <c r="B61" s="17"/>
      <c r="C61" s="4" t="s">
        <v>57</v>
      </c>
      <c r="D61" s="16" t="s">
        <v>56</v>
      </c>
      <c r="E61" s="5"/>
      <c r="F61" s="9"/>
      <c r="I61" s="13"/>
    </row>
    <row r="62" spans="2:9" ht="14.25" customHeight="1">
      <c r="B62" s="10" t="s">
        <v>55</v>
      </c>
      <c r="C62" s="4" t="s">
        <v>54</v>
      </c>
      <c r="D62" s="16" t="s">
        <v>53</v>
      </c>
      <c r="E62" s="5"/>
      <c r="F62" s="9"/>
      <c r="I62" s="13"/>
    </row>
    <row r="63" spans="2:9" ht="14.25" customHeight="1">
      <c r="B63" s="17"/>
      <c r="C63" s="4" t="s">
        <v>52</v>
      </c>
      <c r="D63" s="16" t="s">
        <v>51</v>
      </c>
      <c r="E63" s="5"/>
      <c r="F63" s="9"/>
      <c r="I63" s="13"/>
    </row>
    <row r="64" spans="2:9" ht="14.25" customHeight="1">
      <c r="B64" s="17"/>
      <c r="C64" s="4" t="s">
        <v>50</v>
      </c>
      <c r="D64" s="16" t="s">
        <v>49</v>
      </c>
      <c r="E64" s="5"/>
      <c r="F64" s="9"/>
      <c r="I64" s="13"/>
    </row>
    <row r="65" spans="2:9" ht="14.25" hidden="1" customHeight="1">
      <c r="B65" s="17"/>
      <c r="C65" s="21" t="s">
        <v>48</v>
      </c>
      <c r="D65" s="16" t="s">
        <v>47</v>
      </c>
      <c r="E65" s="5"/>
      <c r="F65" s="9"/>
      <c r="I65" s="13"/>
    </row>
    <row r="66" spans="2:9" ht="14.25" hidden="1" customHeight="1">
      <c r="B66" s="10" t="s">
        <v>46</v>
      </c>
      <c r="C66" s="4" t="s">
        <v>45</v>
      </c>
      <c r="D66" s="16" t="s">
        <v>44</v>
      </c>
      <c r="E66" s="5"/>
      <c r="F66" s="9"/>
      <c r="I66" s="13"/>
    </row>
    <row r="67" spans="2:9" ht="14.25" hidden="1" customHeight="1">
      <c r="B67" s="17"/>
      <c r="C67" s="4" t="s">
        <v>43</v>
      </c>
      <c r="D67" s="16" t="s">
        <v>42</v>
      </c>
      <c r="E67" s="5"/>
      <c r="F67" s="9"/>
      <c r="I67" s="13"/>
    </row>
    <row r="68" spans="2:9" ht="14.25" customHeight="1">
      <c r="B68" s="10" t="s">
        <v>46</v>
      </c>
      <c r="C68" s="4" t="s">
        <v>45</v>
      </c>
      <c r="D68" s="16" t="s">
        <v>44</v>
      </c>
      <c r="E68" s="5"/>
      <c r="F68" s="9"/>
      <c r="I68" s="13"/>
    </row>
    <row r="69" spans="2:9" ht="14.25" customHeight="1">
      <c r="B69" s="17"/>
      <c r="C69" s="4" t="s">
        <v>41</v>
      </c>
      <c r="D69" s="16" t="s">
        <v>40</v>
      </c>
      <c r="E69" s="5"/>
      <c r="F69" s="9"/>
      <c r="I69" s="13"/>
    </row>
    <row r="70" spans="2:9" ht="14.25" customHeight="1">
      <c r="B70" s="17"/>
      <c r="C70" s="4" t="s">
        <v>39</v>
      </c>
      <c r="D70" s="16" t="s">
        <v>38</v>
      </c>
      <c r="E70" s="5"/>
      <c r="F70" s="9"/>
      <c r="I70" s="13"/>
    </row>
    <row r="71" spans="2:9" ht="14.25" customHeight="1">
      <c r="C71" s="4" t="s">
        <v>37</v>
      </c>
      <c r="D71" s="16" t="s">
        <v>36</v>
      </c>
      <c r="E71" s="5"/>
      <c r="F71" s="9"/>
      <c r="I71" s="13"/>
    </row>
    <row r="72" spans="2:9" ht="14.25" hidden="1" customHeight="1">
      <c r="B72" s="10" t="s">
        <v>35</v>
      </c>
      <c r="C72" s="4" t="s">
        <v>34</v>
      </c>
      <c r="D72" s="14" t="s">
        <v>33</v>
      </c>
      <c r="E72" s="5"/>
      <c r="F72" s="9"/>
      <c r="I72" s="13"/>
    </row>
    <row r="73" spans="2:9" ht="14.25" hidden="1" customHeight="1">
      <c r="B73" s="10"/>
      <c r="C73" s="4" t="s">
        <v>32</v>
      </c>
      <c r="D73" s="14" t="s">
        <v>31</v>
      </c>
      <c r="E73" s="5"/>
      <c r="F73" s="9">
        <f t="shared" ref="F73:F81" si="0">F72+2</f>
        <v>2</v>
      </c>
      <c r="I73" s="13"/>
    </row>
    <row r="74" spans="2:9" ht="14.25" customHeight="1">
      <c r="B74" s="10" t="s">
        <v>30</v>
      </c>
      <c r="C74" s="17" t="s">
        <v>29</v>
      </c>
      <c r="D74" s="16" t="s">
        <v>28</v>
      </c>
      <c r="E74" s="5"/>
      <c r="F74" s="9"/>
      <c r="I74" s="13"/>
    </row>
    <row r="75" spans="2:9" ht="14.25" customHeight="1">
      <c r="B75" s="18" t="s">
        <v>27</v>
      </c>
      <c r="C75" s="17"/>
      <c r="D75" s="16" t="s">
        <v>26</v>
      </c>
      <c r="E75" s="5"/>
      <c r="F75" s="9"/>
      <c r="I75" s="13"/>
    </row>
    <row r="76" spans="2:9" ht="14.25" customHeight="1">
      <c r="B76" s="10" t="s">
        <v>25</v>
      </c>
      <c r="C76" s="4" t="s">
        <v>24</v>
      </c>
      <c r="D76" s="16" t="s">
        <v>23</v>
      </c>
      <c r="E76" s="5"/>
      <c r="F76" s="9"/>
      <c r="I76" s="13"/>
    </row>
    <row r="77" spans="2:9" ht="14.25" customHeight="1">
      <c r="D77" s="1"/>
      <c r="E77" s="5"/>
      <c r="F77" s="9"/>
      <c r="I77" s="13"/>
    </row>
    <row r="78" spans="2:9" ht="14.25" hidden="1" customHeight="1">
      <c r="B78" s="10" t="s">
        <v>22</v>
      </c>
      <c r="C78" s="4" t="s">
        <v>21</v>
      </c>
      <c r="D78" s="14" t="s">
        <v>20</v>
      </c>
      <c r="E78" s="5"/>
      <c r="F78" s="9">
        <f t="shared" si="0"/>
        <v>2</v>
      </c>
      <c r="I78" s="13"/>
    </row>
    <row r="79" spans="2:9" ht="14.25" hidden="1" customHeight="1">
      <c r="C79" s="4" t="s">
        <v>19</v>
      </c>
      <c r="D79" s="14" t="s">
        <v>18</v>
      </c>
      <c r="E79" s="5"/>
      <c r="F79" s="9">
        <f t="shared" si="0"/>
        <v>4</v>
      </c>
      <c r="I79" s="13"/>
    </row>
    <row r="80" spans="2:9" ht="14.25" hidden="1" customHeight="1">
      <c r="C80" s="4" t="s">
        <v>17</v>
      </c>
      <c r="D80" s="14" t="s">
        <v>16</v>
      </c>
      <c r="E80" s="5"/>
      <c r="F80" s="9">
        <f t="shared" si="0"/>
        <v>6</v>
      </c>
      <c r="I80" s="13"/>
    </row>
    <row r="81" spans="2:9" ht="14.25" hidden="1" customHeight="1">
      <c r="C81" s="4" t="s">
        <v>15</v>
      </c>
      <c r="D81" s="14" t="s">
        <v>14</v>
      </c>
      <c r="E81" s="5"/>
      <c r="F81" s="9">
        <f t="shared" si="0"/>
        <v>8</v>
      </c>
      <c r="I81" s="13"/>
    </row>
    <row r="82" spans="2:9" ht="14.25" hidden="1" customHeight="1">
      <c r="C82" s="4" t="s">
        <v>13</v>
      </c>
      <c r="D82" s="14" t="s">
        <v>12</v>
      </c>
      <c r="E82" s="5"/>
      <c r="F82" s="9"/>
      <c r="I82" s="13"/>
    </row>
    <row r="83" spans="2:9" ht="14.45" hidden="1" customHeight="1">
      <c r="C83" s="4" t="s">
        <v>11</v>
      </c>
      <c r="D83" s="14" t="s">
        <v>10</v>
      </c>
      <c r="E83" s="5"/>
      <c r="F83" s="9"/>
      <c r="I83" s="13"/>
    </row>
    <row r="84" spans="2:9" hidden="1">
      <c r="C84" s="4" t="s">
        <v>9</v>
      </c>
      <c r="D84" s="14" t="s">
        <v>8</v>
      </c>
    </row>
    <row r="85" spans="2:9" hidden="1">
      <c r="C85" s="4" t="s">
        <v>7</v>
      </c>
      <c r="D85" s="14" t="s">
        <v>6</v>
      </c>
    </row>
    <row r="86" spans="2:9" hidden="1">
      <c r="C86" s="4" t="s">
        <v>5</v>
      </c>
      <c r="D86" s="14" t="s">
        <v>4</v>
      </c>
    </row>
    <row r="87" spans="2:9" ht="14.45" hidden="1" customHeight="1">
      <c r="D87" s="15"/>
      <c r="E87" s="5"/>
      <c r="F87" s="9" t="s">
        <v>1</v>
      </c>
    </row>
    <row r="88" spans="2:9" ht="7.9" hidden="1" customHeight="1">
      <c r="C88" s="4" t="s">
        <v>3</v>
      </c>
      <c r="D88" s="14" t="s">
        <v>2</v>
      </c>
      <c r="E88" s="5"/>
      <c r="F88" s="9"/>
    </row>
    <row r="89" spans="2:9" ht="9" hidden="1" customHeight="1">
      <c r="D89" s="1"/>
      <c r="E89" s="7"/>
      <c r="F89" s="6"/>
    </row>
    <row r="90" spans="2:9" ht="7.15" hidden="1" customHeight="1">
      <c r="D90" s="12"/>
      <c r="E90" s="4"/>
      <c r="F90" s="4"/>
    </row>
    <row r="91" spans="2:9" ht="15" hidden="1" customHeight="1">
      <c r="D91" s="12"/>
      <c r="H91" s="2" t="s">
        <v>0</v>
      </c>
    </row>
    <row r="92" spans="2:9" ht="15" hidden="1" customHeight="1">
      <c r="D92" s="12"/>
    </row>
    <row r="93" spans="2:9" ht="15" hidden="1" customHeight="1">
      <c r="B93" s="10"/>
      <c r="C93" s="10"/>
      <c r="D93" s="11"/>
    </row>
    <row r="94" spans="2:9" ht="15" customHeight="1">
      <c r="B94" s="23" t="s">
        <v>2015</v>
      </c>
      <c r="C94" s="4"/>
      <c r="D94" s="5"/>
    </row>
    <row r="95" spans="2:9" ht="15" customHeight="1">
      <c r="B95" s="10" t="s">
        <v>1328</v>
      </c>
      <c r="C95" s="4" t="s">
        <v>1327</v>
      </c>
      <c r="D95" s="16" t="s">
        <v>1326</v>
      </c>
    </row>
    <row r="96" spans="2:9" ht="15" customHeight="1">
      <c r="B96" s="4"/>
      <c r="C96" s="4" t="s">
        <v>1325</v>
      </c>
      <c r="D96" s="16" t="s">
        <v>1324</v>
      </c>
    </row>
    <row r="97" spans="2:4" ht="15" customHeight="1">
      <c r="B97" s="4"/>
      <c r="C97" s="4" t="s">
        <v>1323</v>
      </c>
      <c r="D97" s="16" t="s">
        <v>1322</v>
      </c>
    </row>
    <row r="98" spans="2:4" ht="15" customHeight="1">
      <c r="B98" s="4"/>
      <c r="C98" s="4" t="s">
        <v>1321</v>
      </c>
      <c r="D98" s="16" t="s">
        <v>1320</v>
      </c>
    </row>
    <row r="99" spans="2:4" ht="15" customHeight="1">
      <c r="B99" s="4"/>
      <c r="C99" s="4"/>
      <c r="D99" s="16"/>
    </row>
    <row r="100" spans="2:4" ht="15" customHeight="1">
      <c r="B100" s="10" t="s">
        <v>99</v>
      </c>
      <c r="C100" s="4" t="s">
        <v>1319</v>
      </c>
      <c r="D100" s="16" t="s">
        <v>1318</v>
      </c>
    </row>
    <row r="101" spans="2:4" ht="15" customHeight="1">
      <c r="B101" s="4"/>
      <c r="C101" s="4" t="s">
        <v>1317</v>
      </c>
      <c r="D101" s="16" t="s">
        <v>1316</v>
      </c>
    </row>
    <row r="102" spans="2:4" ht="15" customHeight="1">
      <c r="B102" s="4"/>
      <c r="C102" s="4" t="s">
        <v>84</v>
      </c>
      <c r="D102" s="16" t="s">
        <v>84</v>
      </c>
    </row>
    <row r="103" spans="2:4" ht="15" customHeight="1">
      <c r="B103" s="10"/>
      <c r="C103" s="4" t="s">
        <v>1315</v>
      </c>
      <c r="D103" s="16" t="s">
        <v>1314</v>
      </c>
    </row>
    <row r="104" spans="2:4" ht="15" customHeight="1">
      <c r="C104" s="4" t="s">
        <v>90</v>
      </c>
      <c r="D104" s="16" t="s">
        <v>1313</v>
      </c>
    </row>
    <row r="105" spans="2:4" ht="15" customHeight="1">
      <c r="C105" s="4"/>
      <c r="D105" s="16"/>
    </row>
    <row r="106" spans="2:4" ht="15" customHeight="1">
      <c r="B106" s="10" t="s">
        <v>82</v>
      </c>
      <c r="C106" s="4" t="s">
        <v>75</v>
      </c>
      <c r="D106" s="16" t="s">
        <v>75</v>
      </c>
    </row>
    <row r="107" spans="2:4" ht="15" customHeight="1">
      <c r="B107" s="10"/>
      <c r="C107" s="4" t="s">
        <v>77</v>
      </c>
      <c r="D107" s="16" t="s">
        <v>77</v>
      </c>
    </row>
    <row r="108" spans="2:4" ht="15" customHeight="1">
      <c r="B108" s="10"/>
      <c r="C108" s="4" t="s">
        <v>70</v>
      </c>
      <c r="D108" s="16" t="s">
        <v>70</v>
      </c>
    </row>
    <row r="109" spans="2:4" ht="15" customHeight="1">
      <c r="B109" s="10"/>
      <c r="C109" s="17"/>
      <c r="D109" s="16"/>
    </row>
    <row r="110" spans="2:4" ht="15" customHeight="1">
      <c r="B110" s="10" t="s">
        <v>55</v>
      </c>
      <c r="C110" s="4" t="s">
        <v>52</v>
      </c>
      <c r="D110" s="16" t="s">
        <v>52</v>
      </c>
    </row>
    <row r="111" spans="2:4" ht="15" customHeight="1">
      <c r="B111" s="10"/>
      <c r="C111" s="4" t="s">
        <v>54</v>
      </c>
      <c r="D111" s="16" t="s">
        <v>1013</v>
      </c>
    </row>
    <row r="112" spans="2:4" ht="15" customHeight="1">
      <c r="B112" s="17"/>
      <c r="C112" s="4" t="s">
        <v>263</v>
      </c>
      <c r="D112" s="16" t="s">
        <v>1312</v>
      </c>
    </row>
    <row r="113" spans="2:4" ht="15" hidden="1" customHeight="1">
      <c r="B113" s="17"/>
      <c r="C113" s="4" t="s">
        <v>1311</v>
      </c>
      <c r="D113" s="16"/>
    </row>
    <row r="114" spans="2:4" ht="15" customHeight="1">
      <c r="B114" s="17"/>
      <c r="C114" s="4"/>
      <c r="D114" s="16"/>
    </row>
    <row r="115" spans="2:4" ht="15" customHeight="1">
      <c r="B115" s="10" t="s">
        <v>65</v>
      </c>
      <c r="C115" s="4" t="s">
        <v>64</v>
      </c>
      <c r="D115" s="16" t="s">
        <v>265</v>
      </c>
    </row>
    <row r="116" spans="2:4" ht="15" customHeight="1">
      <c r="B116" s="10"/>
      <c r="C116" s="4" t="s">
        <v>60</v>
      </c>
      <c r="D116" s="16" t="s">
        <v>1310</v>
      </c>
    </row>
    <row r="117" spans="2:4" ht="15" customHeight="1">
      <c r="B117" s="17"/>
      <c r="C117" s="4"/>
      <c r="D117" s="16"/>
    </row>
    <row r="118" spans="2:4" ht="15" customHeight="1">
      <c r="B118" s="10" t="s">
        <v>46</v>
      </c>
      <c r="C118" s="3354" t="s">
        <v>39</v>
      </c>
      <c r="D118" s="16" t="s">
        <v>1010</v>
      </c>
    </row>
    <row r="119" spans="2:4" ht="15" customHeight="1">
      <c r="B119" s="10"/>
      <c r="C119" s="4"/>
      <c r="D119" s="16"/>
    </row>
    <row r="120" spans="2:4" ht="15" customHeight="1">
      <c r="B120" s="10" t="s">
        <v>1309</v>
      </c>
      <c r="C120" s="17" t="s">
        <v>1308</v>
      </c>
      <c r="D120" s="16" t="s">
        <v>1307</v>
      </c>
    </row>
    <row r="121" spans="2:4" ht="15" customHeight="1">
      <c r="B121" s="18"/>
      <c r="C121" s="17" t="s">
        <v>1306</v>
      </c>
      <c r="D121" s="16" t="s">
        <v>191</v>
      </c>
    </row>
    <row r="122" spans="2:4" ht="15" customHeight="1">
      <c r="B122" s="10"/>
      <c r="C122" s="4"/>
      <c r="D122" s="16"/>
    </row>
    <row r="123" spans="2:4" ht="15" customHeight="1">
      <c r="B123" s="10" t="s">
        <v>25</v>
      </c>
      <c r="C123" s="4" t="s">
        <v>24</v>
      </c>
      <c r="D123" s="16" t="s">
        <v>1305</v>
      </c>
    </row>
    <row r="124" spans="2:4" ht="15" hidden="1" customHeight="1">
      <c r="B124" s="4" t="s">
        <v>22</v>
      </c>
      <c r="C124" s="4" t="s">
        <v>21</v>
      </c>
      <c r="D124" s="16" t="s">
        <v>20</v>
      </c>
    </row>
    <row r="125" spans="2:4" ht="15" hidden="1" customHeight="1">
      <c r="B125" s="4"/>
      <c r="C125" s="4" t="s">
        <v>19</v>
      </c>
      <c r="D125" s="16" t="s">
        <v>18</v>
      </c>
    </row>
    <row r="126" spans="2:4" ht="15" hidden="1" customHeight="1">
      <c r="B126" s="4"/>
      <c r="C126" s="4" t="s">
        <v>17</v>
      </c>
      <c r="D126" s="16" t="s">
        <v>16</v>
      </c>
    </row>
    <row r="127" spans="2:4" ht="15" hidden="1" customHeight="1">
      <c r="B127" s="4"/>
      <c r="C127" s="4" t="s">
        <v>15</v>
      </c>
      <c r="D127" s="16" t="s">
        <v>14</v>
      </c>
    </row>
    <row r="128" spans="2:4" ht="15" hidden="1" customHeight="1">
      <c r="B128" s="4"/>
      <c r="C128" s="4" t="s">
        <v>13</v>
      </c>
      <c r="D128" s="16" t="s">
        <v>12</v>
      </c>
    </row>
    <row r="129" spans="2:4" ht="15" hidden="1" customHeight="1">
      <c r="B129" s="4"/>
      <c r="C129" s="4" t="s">
        <v>11</v>
      </c>
      <c r="D129" s="16" t="s">
        <v>10</v>
      </c>
    </row>
    <row r="130" spans="2:4" ht="15" hidden="1" customHeight="1">
      <c r="B130" s="4"/>
      <c r="C130" s="4" t="s">
        <v>9</v>
      </c>
      <c r="D130" s="16" t="s">
        <v>8</v>
      </c>
    </row>
    <row r="131" spans="2:4" ht="15" hidden="1" customHeight="1">
      <c r="B131" s="10"/>
      <c r="C131" s="4" t="s">
        <v>7</v>
      </c>
      <c r="D131" s="16" t="s">
        <v>6</v>
      </c>
    </row>
    <row r="132" spans="2:4" ht="15" hidden="1" customHeight="1">
      <c r="C132" s="4" t="s">
        <v>5</v>
      </c>
      <c r="D132" s="16" t="s">
        <v>4</v>
      </c>
    </row>
    <row r="133" spans="2:4" ht="15" hidden="1" customHeight="1">
      <c r="C133" s="4" t="s">
        <v>3</v>
      </c>
      <c r="D133" s="16" t="s">
        <v>2</v>
      </c>
    </row>
    <row r="134" spans="2:4" ht="15" hidden="1" customHeight="1">
      <c r="B134" s="4"/>
      <c r="C134" s="4"/>
      <c r="D134" s="16"/>
    </row>
    <row r="135" spans="2:4" ht="15" customHeight="1"/>
    <row r="136" spans="2:4" ht="15" customHeight="1"/>
    <row r="137" spans="2:4" ht="15" customHeight="1"/>
    <row r="138" spans="2:4" ht="15" customHeight="1"/>
    <row r="139" spans="2:4" ht="15" customHeight="1"/>
    <row r="140" spans="2:4" ht="15" customHeight="1"/>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sheetData>
  <sheetProtection sheet="1" objects="1" scenarios="1"/>
  <mergeCells count="5">
    <mergeCell ref="B10:C10"/>
    <mergeCell ref="B6:D6"/>
    <mergeCell ref="B5:D5"/>
    <mergeCell ref="B4:D4"/>
    <mergeCell ref="B3:D3"/>
  </mergeCells>
  <hyperlinks>
    <hyperlink ref="D24:D34" location="Hinweise!A1" display="Hinweise"/>
    <hyperlink ref="D24" location="'SDK1'!A1" display="SDK1"/>
    <hyperlink ref="D26" location="SD2!A1" display=" Prämien"/>
    <hyperlink ref="D27" location="'SDK3'!A1" display="SDK3"/>
    <hyperlink ref="D29" location="'SDK4'!A1" display="SDK4"/>
    <hyperlink ref="D31" location="'SDK5'!A1" display="SDK5"/>
    <hyperlink ref="D33" location="SD6!A1" display=" Trocknung"/>
    <hyperlink ref="D34" location="'SDK7'!A1" display="SDK7"/>
    <hyperlink ref="D41:D48" location="Preise!A1" display="Preise"/>
    <hyperlink ref="D41" location="WW1!A1" display=" WW-Futter"/>
    <hyperlink ref="D42" location="WW2!A1" display=" WW-Brot"/>
    <hyperlink ref="D43" location="WW3!A1" display=" WW-Aufmisch"/>
    <hyperlink ref="D44" location="WW4!A1" display=" WW-Qualität"/>
    <hyperlink ref="D45" location="WRo!A1" display=" Roggen"/>
    <hyperlink ref="D46" location="Tr!A1" display=" Triticale"/>
    <hyperlink ref="D47" location="WG!A1" display=" W-Gerste"/>
    <hyperlink ref="D48" location="Di!A1" display=" Dinkel"/>
    <hyperlink ref="D49" location="SW!A1" display=" So-Weizen"/>
    <hyperlink ref="D50" location="'SG-Fu'!A1" display=" So-FuGerste"/>
    <hyperlink ref="D51" location="BG!A1" display=" Braugerste"/>
    <hyperlink ref="D52" location="Ha!A1" display=" Hafer"/>
    <hyperlink ref="D53" location="Du!A1" display=" Durum"/>
    <hyperlink ref="D55" location="KöM!A1" display=" Körnermais"/>
    <hyperlink ref="D57:D64" location="Körnermais!A1" display="Dinkel"/>
    <hyperlink ref="D57" location="WR!A1" display=" W-Raps"/>
    <hyperlink ref="D58" location="SR!A1" display=" So-Raps"/>
    <hyperlink ref="D59" location="SoBl!A1" display=" Sonnenblumen"/>
    <hyperlink ref="D60" location="Soja!A1" display=" Sojabohne"/>
    <hyperlink ref="D61" location="Öl!A1" display=" Öllein"/>
    <hyperlink ref="D62" location="FE!A1" display=" Erbsen"/>
    <hyperlink ref="D63" location="AB!A1" display=" Ackerbohnen"/>
    <hyperlink ref="D64" location="Lu!A1" display=" Lupinen"/>
    <hyperlink ref="D66" location="ZR!A1" display=" Zuckerrüben"/>
    <hyperlink ref="D67" location="FrühKa!A1" display=" Früh-Kartoffeln"/>
    <hyperlink ref="D69" location="FrühKaFolieBer!A1" display=" Früh-Kart-FolieBer"/>
    <hyperlink ref="D70" location="SpKa!A1" display=" Speise-Kartoffeln"/>
    <hyperlink ref="D71" location="SpKaBer!A1" display=" Speise-Kart-Ber"/>
    <hyperlink ref="D73" location="'Hanf-komb. Nutzung'!A1:A7" display=" Hanf-komb. Nutzung"/>
    <hyperlink ref="D86" location="Getreide_BG_mGR!A1:A7" display="Getreide_BG_mGR"/>
    <hyperlink ref="D38" location="Kostenrechnung!A1:A10" display=" Kostenrechnung"/>
    <hyperlink ref="D72" location="'Hanf-nur Strohnutzung'!A1:A7" display=" Hanf-nur Strohnutzung"/>
    <hyperlink ref="D78" location="Silomais_BG_aF_oGR!A1:A7" display="Silomais_BG_aF_oGR"/>
    <hyperlink ref="D88" location="Leer_Biomasse!A1:A7" display="leer1"/>
    <hyperlink ref="D79" location="Silomais_BG_aF_mGR!A1:A7" display="Silomais_BG_aF_mGR"/>
    <hyperlink ref="D80" location="Silomais_BG_fS_oGR!A1:A7" display="Silomais_BG_fS_oGR"/>
    <hyperlink ref="D81" location="Silomais_BG_fS_mGR!A1:A7" display="Silomais_BG_fS_mGR"/>
    <hyperlink ref="D82" location="GPS_BG_fS_mGR!A1:A7" display="GPS_BG_fS_mGR"/>
    <hyperlink ref="D83" location="GS_3Nu_fS_mGR!A1:A7" display="GS_3Nu_fS_mGR"/>
    <hyperlink ref="D84" location="GS_5Nu_fS_mGR!A1:A7" display="GS_5Nu_fS_mGR"/>
    <hyperlink ref="D56" location="KH!A1" display=" Körnerhirse"/>
    <hyperlink ref="D85" location="KleeGS_2j_fS_mGR!A1:A7" display="KleeGS_2j_fS_mGR"/>
    <hyperlink ref="D21" location="EÖ1!A1" display="EÖ1"/>
    <hyperlink ref="D75" location="Begr!A1" display=" Begrünung"/>
    <hyperlink ref="D65" location="'Wi-triticale-Wi-erbsengemenge'!A1" display="W-itriticale-Wi-erbsengemenge"/>
    <hyperlink ref="D76" location="'Kultur A'!A1" display="Kultur A"/>
    <hyperlink ref="D19" location="'EK1'!A1" display="EK1"/>
    <hyperlink ref="D20" location="'EK2'!A1" display="EK2"/>
    <hyperlink ref="D18" location="'E2'!A1" display=" Grafik DB"/>
    <hyperlink ref="D17" location="'E1'!A1" display=" Übersicht"/>
    <hyperlink ref="D14" location="Hinw!A1" display="Hinweise"/>
    <hyperlink ref="D25" location="SDÖ1!A1" display="SDÖ1"/>
    <hyperlink ref="D28" location="SDÖ3!A1" display="SDÖ3"/>
    <hyperlink ref="D30" location="SDÖ4!A1" display="SDÖ4"/>
    <hyperlink ref="D32" location="SDÖ5!A1" display="SDÖ5"/>
    <hyperlink ref="D35" location="SDÖ7!A1" display="SDÖ7"/>
    <hyperlink ref="D68" location="ZR!A1" display="ZR"/>
    <hyperlink ref="D100:D102" location="Preise!A1" display="Preise"/>
    <hyperlink ref="D100" location="'Öko-WW-Futter'!A1" display="Ww-Futter"/>
    <hyperlink ref="D101" location="'Öko-WW-Brot'!A1" display="Ww-Brot"/>
    <hyperlink ref="D102" location="'Öko-Dinkel'!A1" display="Dinkel"/>
    <hyperlink ref="D106" location="'Öko-Hafer'!A1" display="Hafer"/>
    <hyperlink ref="D108" location="'Öko-Körnermais'!A1" display="Körnermais"/>
    <hyperlink ref="D116" location="'Öko-Soblu'!A1" display="Sonnenblume"/>
    <hyperlink ref="D111" location="'Öko-Erbsen'!A1" display="Erbsen"/>
    <hyperlink ref="D110" location="'Öko-Ackerbohnen'!A1" display="Ackerbohnen"/>
    <hyperlink ref="D118" location="'Öko-Kartoffel'!A1" display="Kartoffeln"/>
    <hyperlink ref="D132" location="Getreide_BG_mGR!A1:A7" display="Getreide_BG_mGR"/>
    <hyperlink ref="D124" location="Silomais_BG_aF_oGR!A1:A7" display="Silomais_BG_aF_oGR"/>
    <hyperlink ref="D133" location="Leer_Biomasse!A1:A7" display="leer1"/>
    <hyperlink ref="D125" location="Silomais_BG_aF_mGR!A1:A7" display="Silomais_BG_aF_mGR"/>
    <hyperlink ref="D126" location="Silomais_BG_fS_oGR!A1:A7" display="Silomais_BG_fS_oGR"/>
    <hyperlink ref="D127" location="Silomais_BG_fS_mGR!A1:A7" display="Silomais_BG_fS_mGR"/>
    <hyperlink ref="D128" location="GPS_BG_fS_mGR!A1:A7" display="GPS_BG_fS_mGR"/>
    <hyperlink ref="D129" location="GS_3Nu_fS_mGR!A1:A7" display="GS_3Nu_fS_mGR"/>
    <hyperlink ref="D130" location="GS_5Nu_fS_mGR!A1:A7" display="GS_5Nu_fS_mGR"/>
    <hyperlink ref="D131" location="KleeGS_2j_fS_mGR!A1:A7" display="KleeGS_2j_fS_mGR"/>
    <hyperlink ref="D123" location="'TE1'!A1" display="Testfrucht1"/>
    <hyperlink ref="D107" location="'Öko-Braugerste'!Druckbereich" display="Braugerste"/>
    <hyperlink ref="D103" location="'Öko-Dinkel,gegerbt'!A1" display="Dinkel-entspelzt"/>
    <hyperlink ref="D95" location="'Öko-KG1'!A1" display="Kleegras1"/>
    <hyperlink ref="D96" location="'Öko-KG2'!A1" display="Kleegras2"/>
    <hyperlink ref="D97" location="'Öko-LU1'!A1" display="Luzernegras1"/>
    <hyperlink ref="D98" location="'Öko-LU2'!A1" display="Luzernegras2"/>
    <hyperlink ref="D104" location="'Öko-Roggen'!A1" display="Roggen"/>
    <hyperlink ref="D120" location="Blühm.!A1" display="Blühmischung"/>
    <hyperlink ref="D121" location="Begrün.!A1" display="Begrünung"/>
    <hyperlink ref="D112" location="'Öko-Sojabohnen'!A1" display="Sojabohne"/>
    <hyperlink ref="D115" location="'Öko-Raps'!A1" display="Raps"/>
    <hyperlink ref="D22" location="'EK2'!A1" display="EK2"/>
    <hyperlink ref="D36" location="'SD8'!A1" display="SD8"/>
    <hyperlink ref="D74" location="'FAKT-Brachebegrünung'!A1" display="FAKT-Brache"/>
  </hyperlinks>
  <printOptions horizontalCentered="1"/>
  <pageMargins left="0.59055118110236227" right="0.59055118110236227" top="0.59055118110236227" bottom="0.59055118110236227" header="0.39370078740157483" footer="0.39370078740157483"/>
  <pageSetup paperSize="9" scale="79" orientation="portrait" r:id="rId1"/>
  <headerFooter alignWithMargins="0">
    <oddFooter>&amp;L&amp;11LEL Schwäbisch Gmünd&amp;C&amp;11&amp;P&amp;R&amp;11 &amp;F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T114"/>
  <sheetViews>
    <sheetView topLeftCell="A87" workbookViewId="0"/>
  </sheetViews>
  <sheetFormatPr baseColWidth="10" defaultColWidth="10.25" defaultRowHeight="12"/>
  <cols>
    <col min="1" max="1" width="1.25" style="2539" customWidth="1"/>
    <col min="2" max="2" width="38.75" style="2539" customWidth="1"/>
    <col min="3" max="4" width="10.25" style="2539"/>
    <col min="5" max="5" width="7.75" style="2539" customWidth="1"/>
    <col min="6" max="6" width="7.5" style="2539" bestFit="1" customWidth="1"/>
    <col min="7" max="7" width="5.75" style="2539" customWidth="1"/>
    <col min="8" max="8" width="6.875" style="2539" bestFit="1" customWidth="1"/>
    <col min="9" max="9" width="10.375" style="2539" bestFit="1" customWidth="1"/>
    <col min="10" max="10" width="7.5" style="2539" bestFit="1" customWidth="1"/>
    <col min="11" max="11" width="7.5" style="2539" customWidth="1"/>
    <col min="12" max="12" width="6" style="2539" bestFit="1" customWidth="1"/>
    <col min="13" max="13" width="7.75" style="2539" bestFit="1" customWidth="1"/>
    <col min="14" max="14" width="5.75" style="2539" customWidth="1"/>
    <col min="15" max="15" width="6.625" style="2539" customWidth="1"/>
    <col min="16" max="17" width="7.75" style="2539" bestFit="1" customWidth="1"/>
    <col min="18" max="18" width="5.75" style="2539" customWidth="1"/>
    <col min="19" max="19" width="5.75" style="2539" bestFit="1" customWidth="1"/>
    <col min="20" max="16384" width="10.25" style="2539"/>
  </cols>
  <sheetData>
    <row r="1" spans="1:20" ht="39.4" customHeight="1" thickBot="1">
      <c r="A1" s="2632"/>
      <c r="B1" s="2631" t="s">
        <v>1785</v>
      </c>
      <c r="C1" s="2629"/>
      <c r="D1" s="2630"/>
      <c r="E1" s="2629"/>
      <c r="F1" s="2627"/>
      <c r="G1" s="2628"/>
      <c r="H1" s="2627"/>
      <c r="I1" s="2627"/>
      <c r="J1" s="2627"/>
      <c r="K1" s="2627"/>
      <c r="L1" s="2627"/>
      <c r="M1" s="2627"/>
      <c r="N1" s="2627"/>
      <c r="O1" s="2627"/>
      <c r="P1" s="2627"/>
      <c r="Q1" s="2626"/>
      <c r="R1" s="2626"/>
      <c r="S1" s="2626"/>
      <c r="T1" s="2600"/>
    </row>
    <row r="2" spans="1:20" ht="13.5" thickTop="1" thickBot="1">
      <c r="A2" s="2625"/>
      <c r="B2" s="2624" t="s">
        <v>1784</v>
      </c>
      <c r="C2" s="2623"/>
      <c r="D2" s="2621" t="s">
        <v>1783</v>
      </c>
      <c r="E2" s="2621"/>
      <c r="F2" s="2619"/>
      <c r="G2" s="2622"/>
      <c r="H2" s="2621" t="s">
        <v>1782</v>
      </c>
      <c r="I2" s="2621"/>
      <c r="J2" s="2620"/>
      <c r="K2" s="2619"/>
      <c r="L2" s="2600"/>
      <c r="M2" s="2600"/>
      <c r="N2" s="2600"/>
      <c r="O2" s="2600"/>
    </row>
    <row r="3" spans="1:20" ht="13.5" thickTop="1" thickBot="1">
      <c r="A3" s="2618"/>
      <c r="B3" s="2617" t="s">
        <v>1781</v>
      </c>
      <c r="C3" s="2616"/>
      <c r="D3" s="2612">
        <v>2016</v>
      </c>
      <c r="E3" s="2615">
        <v>2017</v>
      </c>
      <c r="F3" s="2614" t="s">
        <v>1750</v>
      </c>
      <c r="G3" s="2613"/>
      <c r="H3" s="2612">
        <v>2016</v>
      </c>
      <c r="I3" s="2611">
        <v>2017</v>
      </c>
      <c r="J3" s="2610" t="s">
        <v>1750</v>
      </c>
      <c r="K3" s="2600"/>
      <c r="L3" s="2600"/>
      <c r="M3" s="2600"/>
      <c r="N3" s="2600"/>
    </row>
    <row r="4" spans="1:20" ht="13.5" thickTop="1" thickBot="1">
      <c r="A4" s="2609"/>
      <c r="B4" s="2608" t="s">
        <v>990</v>
      </c>
      <c r="C4" s="2604" t="s">
        <v>586</v>
      </c>
      <c r="D4" s="2607">
        <v>1</v>
      </c>
      <c r="E4" s="2606">
        <v>1</v>
      </c>
      <c r="F4" s="2605"/>
      <c r="G4" s="2604" t="s">
        <v>586</v>
      </c>
      <c r="H4" s="2603"/>
      <c r="I4" s="2602"/>
      <c r="J4" s="2601"/>
      <c r="K4" s="2600"/>
      <c r="L4" s="2600"/>
      <c r="M4" s="2600"/>
      <c r="N4" s="2600"/>
    </row>
    <row r="5" spans="1:20" ht="13.5" thickTop="1">
      <c r="B5" s="2568" t="s">
        <v>1780</v>
      </c>
      <c r="C5" s="2565" t="s">
        <v>228</v>
      </c>
      <c r="D5" s="2570">
        <v>25</v>
      </c>
      <c r="E5" s="2570">
        <v>23.75</v>
      </c>
      <c r="F5" s="2575">
        <f t="shared" ref="F5:F37" si="0">(D5*$D$4+E5*$E$4)/($D$4+$E$4)</f>
        <v>24.375</v>
      </c>
      <c r="G5" s="2599" t="s">
        <v>172</v>
      </c>
      <c r="H5" s="2570">
        <v>42</v>
      </c>
      <c r="I5" s="2598">
        <v>75.400000000000006</v>
      </c>
      <c r="J5" s="2567">
        <f t="shared" ref="J5:J39" si="1">(H5*$D$4+I5*$E$4)/($D$4+$E$4)</f>
        <v>58.7</v>
      </c>
    </row>
    <row r="6" spans="1:20" ht="12.75">
      <c r="B6" s="2568" t="s">
        <v>84</v>
      </c>
      <c r="C6" s="2565" t="s">
        <v>228</v>
      </c>
      <c r="D6" s="2561">
        <v>16</v>
      </c>
      <c r="E6" s="2561">
        <v>17</v>
      </c>
      <c r="F6" s="2575">
        <f t="shared" si="0"/>
        <v>16.5</v>
      </c>
      <c r="G6" s="2584" t="s">
        <v>172</v>
      </c>
      <c r="H6" s="2581">
        <v>50</v>
      </c>
      <c r="I6" s="2561">
        <v>65.5</v>
      </c>
      <c r="J6" s="2567">
        <f t="shared" si="1"/>
        <v>57.75</v>
      </c>
    </row>
    <row r="7" spans="1:20" ht="12.75">
      <c r="B7" s="2591" t="s">
        <v>269</v>
      </c>
      <c r="C7" s="2590" t="s">
        <v>228</v>
      </c>
      <c r="D7" s="2589">
        <v>13.6</v>
      </c>
      <c r="E7" s="2589">
        <v>14.4</v>
      </c>
      <c r="F7" s="2575">
        <f t="shared" si="0"/>
        <v>14</v>
      </c>
      <c r="G7" s="2597" t="s">
        <v>172</v>
      </c>
      <c r="H7" s="2596">
        <v>66.099999999999994</v>
      </c>
      <c r="I7" s="2595">
        <f>$I$97</f>
        <v>73.600000000000009</v>
      </c>
      <c r="J7" s="2567">
        <f t="shared" si="1"/>
        <v>69.849999999999994</v>
      </c>
    </row>
    <row r="8" spans="1:20" ht="12.75">
      <c r="B8" s="2568" t="s">
        <v>81</v>
      </c>
      <c r="C8" s="2565" t="s">
        <v>228</v>
      </c>
      <c r="D8" s="2561">
        <v>13.6</v>
      </c>
      <c r="E8" s="2561">
        <v>14.4</v>
      </c>
      <c r="F8" s="2575">
        <f t="shared" si="0"/>
        <v>14</v>
      </c>
      <c r="G8" s="2584" t="s">
        <v>172</v>
      </c>
      <c r="H8" s="2570">
        <v>51.5</v>
      </c>
      <c r="I8" s="2561">
        <v>65.5</v>
      </c>
      <c r="J8" s="2567">
        <f t="shared" si="1"/>
        <v>58.5</v>
      </c>
    </row>
    <row r="9" spans="1:20" ht="12.75">
      <c r="B9" s="2568" t="s">
        <v>90</v>
      </c>
      <c r="C9" s="2565" t="s">
        <v>228</v>
      </c>
      <c r="D9" s="2561">
        <v>12.3</v>
      </c>
      <c r="E9" s="2561">
        <v>13.9</v>
      </c>
      <c r="F9" s="2575">
        <f t="shared" si="0"/>
        <v>13.100000000000001</v>
      </c>
      <c r="G9" s="2584" t="s">
        <v>172</v>
      </c>
      <c r="H9" s="2561">
        <v>54.2</v>
      </c>
      <c r="I9" s="2561">
        <v>55.6</v>
      </c>
      <c r="J9" s="2567">
        <f t="shared" si="1"/>
        <v>54.900000000000006</v>
      </c>
    </row>
    <row r="10" spans="1:20" ht="12.75">
      <c r="B10" s="2568" t="s">
        <v>1779</v>
      </c>
      <c r="C10" s="2565" t="s">
        <v>228</v>
      </c>
      <c r="D10" s="2561">
        <v>12.3</v>
      </c>
      <c r="E10" s="2561">
        <v>13.9</v>
      </c>
      <c r="F10" s="2575">
        <f t="shared" si="0"/>
        <v>13.100000000000001</v>
      </c>
      <c r="G10" s="2584" t="s">
        <v>172</v>
      </c>
      <c r="H10" s="2561">
        <v>54.2</v>
      </c>
      <c r="I10" s="2561">
        <v>55.6</v>
      </c>
      <c r="J10" s="2567">
        <f t="shared" si="1"/>
        <v>54.900000000000006</v>
      </c>
    </row>
    <row r="11" spans="1:20" ht="12.75" hidden="1">
      <c r="B11" s="2568" t="s">
        <v>1778</v>
      </c>
      <c r="C11" s="2565" t="s">
        <v>228</v>
      </c>
      <c r="D11" s="2561">
        <v>11.5</v>
      </c>
      <c r="E11" s="2561"/>
      <c r="F11" s="2575">
        <f t="shared" si="0"/>
        <v>5.75</v>
      </c>
      <c r="G11" s="2584" t="s">
        <v>172</v>
      </c>
      <c r="H11" s="2561">
        <v>54.2</v>
      </c>
      <c r="I11" s="2561"/>
      <c r="J11" s="2567">
        <f t="shared" si="1"/>
        <v>27.1</v>
      </c>
    </row>
    <row r="12" spans="1:20" ht="12.75" hidden="1">
      <c r="B12" s="2568" t="s">
        <v>1777</v>
      </c>
      <c r="C12" s="2565" t="s">
        <v>228</v>
      </c>
      <c r="D12" s="2561">
        <v>11.5</v>
      </c>
      <c r="E12" s="2561"/>
      <c r="F12" s="2575">
        <f t="shared" si="0"/>
        <v>5.75</v>
      </c>
      <c r="G12" s="2584" t="s">
        <v>172</v>
      </c>
      <c r="H12" s="2561">
        <v>54.2</v>
      </c>
      <c r="I12" s="2561"/>
      <c r="J12" s="2567">
        <f t="shared" si="1"/>
        <v>27.1</v>
      </c>
    </row>
    <row r="13" spans="1:20" ht="12.75">
      <c r="B13" s="2591" t="s">
        <v>86</v>
      </c>
      <c r="C13" s="2590" t="s">
        <v>228</v>
      </c>
      <c r="D13" s="2589">
        <v>11.5</v>
      </c>
      <c r="E13" s="2589">
        <v>12.6</v>
      </c>
      <c r="F13" s="2575">
        <f t="shared" si="0"/>
        <v>12.05</v>
      </c>
      <c r="G13" s="2588" t="s">
        <v>172</v>
      </c>
      <c r="H13" s="2587">
        <v>67.400000000000006</v>
      </c>
      <c r="I13" s="2587">
        <f>$I$101</f>
        <v>73.63333333333334</v>
      </c>
      <c r="J13" s="2567">
        <f t="shared" si="1"/>
        <v>70.51666666666668</v>
      </c>
    </row>
    <row r="14" spans="1:20" ht="12.75">
      <c r="B14" s="2568" t="s">
        <v>267</v>
      </c>
      <c r="C14" s="2565" t="s">
        <v>228</v>
      </c>
      <c r="D14" s="2561">
        <v>11.5</v>
      </c>
      <c r="E14" s="2561">
        <v>12.6</v>
      </c>
      <c r="F14" s="2575">
        <f t="shared" si="0"/>
        <v>12.05</v>
      </c>
      <c r="G14" s="2584" t="s">
        <v>172</v>
      </c>
      <c r="H14" s="2594">
        <v>49.6</v>
      </c>
      <c r="I14" s="2561">
        <v>58.2</v>
      </c>
      <c r="J14" s="2567">
        <f t="shared" si="1"/>
        <v>53.900000000000006</v>
      </c>
    </row>
    <row r="15" spans="1:20" ht="12.75">
      <c r="B15" s="2568" t="s">
        <v>77</v>
      </c>
      <c r="C15" s="2565" t="s">
        <v>228</v>
      </c>
      <c r="D15" s="2561">
        <v>16.8</v>
      </c>
      <c r="E15" s="2561">
        <v>17.899999999999999</v>
      </c>
      <c r="F15" s="2575">
        <f t="shared" si="0"/>
        <v>17.350000000000001</v>
      </c>
      <c r="G15" s="2584" t="s">
        <v>172</v>
      </c>
      <c r="H15" s="2561">
        <v>50.1</v>
      </c>
      <c r="I15" s="2561">
        <v>58.2</v>
      </c>
      <c r="J15" s="2567">
        <f t="shared" si="1"/>
        <v>54.150000000000006</v>
      </c>
    </row>
    <row r="16" spans="1:20" ht="12.75">
      <c r="B16" s="2568" t="s">
        <v>1776</v>
      </c>
      <c r="C16" s="2565" t="s">
        <v>228</v>
      </c>
      <c r="D16" s="2561">
        <v>14.25</v>
      </c>
      <c r="E16" s="2561">
        <v>14</v>
      </c>
      <c r="F16" s="2575">
        <f t="shared" si="0"/>
        <v>14.125</v>
      </c>
      <c r="G16" s="2584" t="s">
        <v>172</v>
      </c>
      <c r="H16" s="2594">
        <v>45.6</v>
      </c>
      <c r="I16" s="2561">
        <v>46.1</v>
      </c>
      <c r="J16" s="2567">
        <f t="shared" si="1"/>
        <v>45.85</v>
      </c>
    </row>
    <row r="17" spans="2:10" ht="12.75">
      <c r="B17" s="2568" t="s">
        <v>1775</v>
      </c>
      <c r="C17" s="2565" t="s">
        <v>228</v>
      </c>
      <c r="D17" s="2561">
        <v>14.25</v>
      </c>
      <c r="E17" s="2561">
        <v>14</v>
      </c>
      <c r="F17" s="2575">
        <f t="shared" si="0"/>
        <v>14.125</v>
      </c>
      <c r="G17" s="2584" t="s">
        <v>172</v>
      </c>
      <c r="H17" s="2561">
        <v>44.9</v>
      </c>
      <c r="I17" s="2561">
        <v>46.1</v>
      </c>
      <c r="J17" s="2567">
        <f t="shared" si="1"/>
        <v>45.5</v>
      </c>
    </row>
    <row r="18" spans="2:10" ht="12.75" hidden="1">
      <c r="B18" s="2568" t="s">
        <v>1774</v>
      </c>
      <c r="C18" s="2565" t="s">
        <v>228</v>
      </c>
      <c r="D18" s="2561">
        <v>11.5</v>
      </c>
      <c r="E18" s="2561"/>
      <c r="F18" s="2575">
        <f t="shared" si="0"/>
        <v>5.75</v>
      </c>
      <c r="G18" s="2584" t="s">
        <v>172</v>
      </c>
      <c r="H18" s="2561">
        <v>46.3</v>
      </c>
      <c r="I18" s="2561"/>
      <c r="J18" s="2567">
        <f t="shared" si="1"/>
        <v>23.15</v>
      </c>
    </row>
    <row r="19" spans="2:10" ht="12.75" hidden="1">
      <c r="B19" s="2568" t="s">
        <v>1773</v>
      </c>
      <c r="C19" s="2565" t="s">
        <v>228</v>
      </c>
      <c r="D19" s="2561">
        <v>11.5</v>
      </c>
      <c r="E19" s="2561"/>
      <c r="F19" s="2575">
        <f t="shared" si="0"/>
        <v>5.75</v>
      </c>
      <c r="G19" s="2584" t="s">
        <v>172</v>
      </c>
      <c r="H19" s="2561">
        <v>46.3</v>
      </c>
      <c r="I19" s="2561"/>
      <c r="J19" s="2567">
        <f t="shared" si="1"/>
        <v>23.15</v>
      </c>
    </row>
    <row r="20" spans="2:10" ht="12.75">
      <c r="B20" s="2568" t="s">
        <v>1772</v>
      </c>
      <c r="C20" s="2565" t="s">
        <v>228</v>
      </c>
      <c r="D20" s="2561">
        <v>12</v>
      </c>
      <c r="E20" s="2561">
        <v>13</v>
      </c>
      <c r="F20" s="2575">
        <f t="shared" si="0"/>
        <v>12.5</v>
      </c>
      <c r="G20" s="2584" t="s">
        <v>172</v>
      </c>
      <c r="H20" s="2594">
        <v>53.1</v>
      </c>
      <c r="I20" s="2561">
        <v>67.8</v>
      </c>
      <c r="J20" s="2567">
        <f t="shared" si="1"/>
        <v>60.45</v>
      </c>
    </row>
    <row r="21" spans="2:10" ht="12.75">
      <c r="B21" s="2568" t="s">
        <v>1771</v>
      </c>
      <c r="C21" s="2565" t="s">
        <v>228</v>
      </c>
      <c r="D21" s="2561">
        <v>12</v>
      </c>
      <c r="E21" s="2561">
        <v>13</v>
      </c>
      <c r="F21" s="2575">
        <f t="shared" si="0"/>
        <v>12.5</v>
      </c>
      <c r="G21" s="2584" t="s">
        <v>172</v>
      </c>
      <c r="H21" s="2561">
        <v>58.5</v>
      </c>
      <c r="I21" s="2561">
        <v>67.8</v>
      </c>
      <c r="J21" s="2567">
        <f t="shared" si="1"/>
        <v>63.15</v>
      </c>
    </row>
    <row r="22" spans="2:10" ht="12.75">
      <c r="B22" s="2568" t="s">
        <v>1770</v>
      </c>
      <c r="C22" s="2565" t="s">
        <v>228</v>
      </c>
      <c r="D22" s="2561">
        <v>22.5</v>
      </c>
      <c r="E22" s="2561">
        <v>22.3</v>
      </c>
      <c r="F22" s="2575">
        <f t="shared" si="0"/>
        <v>22.4</v>
      </c>
      <c r="G22" s="2584" t="s">
        <v>172</v>
      </c>
      <c r="H22" s="2561">
        <v>55</v>
      </c>
      <c r="I22" s="2561">
        <v>60</v>
      </c>
      <c r="J22" s="2567">
        <f t="shared" si="1"/>
        <v>57.5</v>
      </c>
    </row>
    <row r="23" spans="2:10" ht="12.75">
      <c r="B23" s="2568" t="s">
        <v>1769</v>
      </c>
      <c r="C23" s="2565" t="s">
        <v>228</v>
      </c>
      <c r="D23" s="2561">
        <v>24.7</v>
      </c>
      <c r="E23" s="2561"/>
      <c r="F23" s="2575">
        <f t="shared" si="0"/>
        <v>12.35</v>
      </c>
      <c r="G23" s="2584" t="s">
        <v>172</v>
      </c>
      <c r="H23" s="2561">
        <v>45</v>
      </c>
      <c r="I23" s="2561"/>
      <c r="J23" s="2567">
        <f t="shared" si="1"/>
        <v>22.5</v>
      </c>
    </row>
    <row r="24" spans="2:10" ht="12.75">
      <c r="B24" s="2591" t="s">
        <v>70</v>
      </c>
      <c r="C24" s="2590" t="s">
        <v>228</v>
      </c>
      <c r="D24" s="2589">
        <v>15</v>
      </c>
      <c r="E24" s="2589">
        <v>14.2</v>
      </c>
      <c r="F24" s="2575">
        <f t="shared" si="0"/>
        <v>14.6</v>
      </c>
      <c r="G24" s="2588" t="s">
        <v>172</v>
      </c>
      <c r="H24" s="2587">
        <v>96.1</v>
      </c>
      <c r="I24" s="2593">
        <v>106.5</v>
      </c>
      <c r="J24" s="2567">
        <f t="shared" si="1"/>
        <v>101.3</v>
      </c>
    </row>
    <row r="25" spans="2:10" ht="12.75" hidden="1">
      <c r="B25" s="2568" t="s">
        <v>1768</v>
      </c>
      <c r="C25" s="2565" t="s">
        <v>228</v>
      </c>
      <c r="D25" s="2561">
        <v>13.8</v>
      </c>
      <c r="E25" s="2561"/>
      <c r="F25" s="2575">
        <f t="shared" si="0"/>
        <v>6.9</v>
      </c>
      <c r="G25" s="2584" t="s">
        <v>172</v>
      </c>
      <c r="H25" s="2561">
        <v>130</v>
      </c>
      <c r="I25" s="2561"/>
      <c r="J25" s="2567">
        <f t="shared" si="1"/>
        <v>65</v>
      </c>
    </row>
    <row r="26" spans="2:10" ht="12.6" hidden="1" customHeight="1">
      <c r="B26" s="2568" t="s">
        <v>1767</v>
      </c>
      <c r="C26" s="2565" t="s">
        <v>228</v>
      </c>
      <c r="D26" s="2561">
        <v>15</v>
      </c>
      <c r="E26" s="2561"/>
      <c r="F26" s="2575">
        <f t="shared" si="0"/>
        <v>7.5</v>
      </c>
      <c r="G26" s="2584" t="s">
        <v>172</v>
      </c>
      <c r="H26" s="2561">
        <v>58.5</v>
      </c>
      <c r="I26" s="2561"/>
      <c r="J26" s="2567">
        <f t="shared" si="1"/>
        <v>29.25</v>
      </c>
    </row>
    <row r="27" spans="2:10" ht="12.75" hidden="1">
      <c r="B27" s="2568" t="s">
        <v>1766</v>
      </c>
      <c r="C27" s="2565" t="s">
        <v>228</v>
      </c>
      <c r="D27" s="2592"/>
      <c r="E27" s="2592"/>
      <c r="F27" s="2575">
        <f t="shared" si="0"/>
        <v>0</v>
      </c>
      <c r="G27" s="2584" t="s">
        <v>1765</v>
      </c>
      <c r="H27" s="2586"/>
      <c r="I27" s="2586"/>
      <c r="J27" s="2567">
        <f t="shared" si="1"/>
        <v>0</v>
      </c>
    </row>
    <row r="28" spans="2:10" ht="12.75" hidden="1">
      <c r="B28" s="2568" t="s">
        <v>1721</v>
      </c>
      <c r="C28" s="2565" t="s">
        <v>1764</v>
      </c>
      <c r="D28" s="2561">
        <v>2.1000000000000001E-2</v>
      </c>
      <c r="E28" s="2561"/>
      <c r="F28" s="2575">
        <f t="shared" si="0"/>
        <v>1.0500000000000001E-2</v>
      </c>
      <c r="G28" s="2584" t="s">
        <v>172</v>
      </c>
      <c r="H28" s="2586">
        <v>89000</v>
      </c>
      <c r="I28" s="2586"/>
      <c r="J28" s="2567">
        <f t="shared" si="1"/>
        <v>44500</v>
      </c>
    </row>
    <row r="29" spans="2:10" ht="12.6" customHeight="1">
      <c r="B29" s="2568" t="s">
        <v>1763</v>
      </c>
      <c r="C29" s="2565" t="s">
        <v>228</v>
      </c>
      <c r="D29" s="2561">
        <v>100.86</v>
      </c>
      <c r="E29" s="2561">
        <v>93.7</v>
      </c>
      <c r="F29" s="2575">
        <f t="shared" si="0"/>
        <v>97.28</v>
      </c>
      <c r="G29" s="2584" t="s">
        <v>172</v>
      </c>
      <c r="H29" s="2561">
        <v>41</v>
      </c>
      <c r="I29" s="2561">
        <v>44.3</v>
      </c>
      <c r="J29" s="2567">
        <f t="shared" si="1"/>
        <v>42.65</v>
      </c>
    </row>
    <row r="30" spans="2:10" ht="12.75">
      <c r="B30" s="2591" t="s">
        <v>1762</v>
      </c>
      <c r="C30" s="2590" t="s">
        <v>228</v>
      </c>
      <c r="D30" s="2589">
        <v>33.700000000000003</v>
      </c>
      <c r="E30" s="2589">
        <v>34.1</v>
      </c>
      <c r="F30" s="2575">
        <f t="shared" si="0"/>
        <v>33.900000000000006</v>
      </c>
      <c r="G30" s="2588" t="s">
        <v>172</v>
      </c>
      <c r="H30" s="2587">
        <v>38.799999999999997</v>
      </c>
      <c r="I30" s="2587">
        <f>$I$109</f>
        <v>37.700000000000003</v>
      </c>
      <c r="J30" s="2567">
        <f t="shared" si="1"/>
        <v>38.25</v>
      </c>
    </row>
    <row r="31" spans="2:10" ht="12.75">
      <c r="B31" s="2568" t="s">
        <v>1761</v>
      </c>
      <c r="C31" s="2565" t="s">
        <v>228</v>
      </c>
      <c r="D31" s="2561">
        <v>33.700000000000003</v>
      </c>
      <c r="E31" s="2561">
        <v>34.1</v>
      </c>
      <c r="F31" s="2575">
        <f t="shared" si="0"/>
        <v>33.900000000000006</v>
      </c>
      <c r="G31" s="2584" t="s">
        <v>172</v>
      </c>
      <c r="H31" s="2561">
        <v>22</v>
      </c>
      <c r="I31" s="2561">
        <v>24</v>
      </c>
      <c r="J31" s="2567">
        <f t="shared" si="1"/>
        <v>23</v>
      </c>
    </row>
    <row r="32" spans="2:10" ht="12.75">
      <c r="B32" s="2568" t="s">
        <v>60</v>
      </c>
      <c r="C32" s="2565" t="s">
        <v>228</v>
      </c>
      <c r="D32" s="2561">
        <v>35.700000000000003</v>
      </c>
      <c r="E32" s="2561">
        <v>37</v>
      </c>
      <c r="F32" s="2575">
        <f t="shared" si="0"/>
        <v>36.35</v>
      </c>
      <c r="G32" s="2584" t="s">
        <v>1760</v>
      </c>
      <c r="H32" s="2586">
        <v>22</v>
      </c>
      <c r="I32" s="2585">
        <v>24</v>
      </c>
      <c r="J32" s="2567">
        <f t="shared" si="1"/>
        <v>23</v>
      </c>
    </row>
    <row r="33" spans="1:16" ht="12.75" hidden="1">
      <c r="B33" s="2568" t="s">
        <v>1759</v>
      </c>
      <c r="C33" s="2565" t="s">
        <v>1758</v>
      </c>
      <c r="D33" s="2561">
        <v>0.31</v>
      </c>
      <c r="E33" s="2561"/>
      <c r="F33" s="2575">
        <f t="shared" si="0"/>
        <v>0.155</v>
      </c>
      <c r="G33" s="2584" t="s">
        <v>172</v>
      </c>
      <c r="H33" s="2561">
        <v>7400</v>
      </c>
      <c r="I33" s="2561"/>
      <c r="J33" s="2567">
        <f t="shared" si="1"/>
        <v>3700</v>
      </c>
    </row>
    <row r="34" spans="1:16" ht="12.75">
      <c r="B34" s="2568" t="s">
        <v>195</v>
      </c>
      <c r="C34" s="2565" t="s">
        <v>228</v>
      </c>
      <c r="D34" s="2561">
        <v>42</v>
      </c>
      <c r="E34" s="2561">
        <v>31</v>
      </c>
      <c r="F34" s="2575">
        <f t="shared" si="0"/>
        <v>36.5</v>
      </c>
      <c r="G34" s="2584" t="s">
        <v>172</v>
      </c>
      <c r="H34" s="2561">
        <v>240</v>
      </c>
      <c r="I34" s="2561">
        <v>260</v>
      </c>
      <c r="J34" s="2567">
        <f t="shared" si="1"/>
        <v>250</v>
      </c>
    </row>
    <row r="35" spans="1:16" ht="12.75">
      <c r="B35" s="2568" t="s">
        <v>929</v>
      </c>
      <c r="C35" s="2565" t="s">
        <v>228</v>
      </c>
      <c r="D35" s="2581">
        <v>18</v>
      </c>
      <c r="E35" s="2581">
        <v>13.5</v>
      </c>
      <c r="F35" s="2575">
        <f t="shared" si="0"/>
        <v>15.75</v>
      </c>
      <c r="G35" s="2583" t="s">
        <v>172</v>
      </c>
      <c r="H35" s="2582">
        <v>365.6</v>
      </c>
      <c r="I35" s="2581">
        <v>480</v>
      </c>
      <c r="J35" s="2567">
        <f t="shared" si="1"/>
        <v>422.8</v>
      </c>
    </row>
    <row r="36" spans="1:16" ht="12.75">
      <c r="B36" s="2568" t="s">
        <v>1757</v>
      </c>
      <c r="C36" s="2388" t="s">
        <v>228</v>
      </c>
      <c r="D36" s="2579">
        <v>28</v>
      </c>
      <c r="E36" s="2579">
        <v>25</v>
      </c>
      <c r="F36" s="2575">
        <f t="shared" si="0"/>
        <v>26.5</v>
      </c>
      <c r="G36" s="2580" t="s">
        <v>172</v>
      </c>
      <c r="H36" s="2579">
        <v>170</v>
      </c>
      <c r="I36" s="2579">
        <v>250</v>
      </c>
      <c r="J36" s="2567">
        <f t="shared" si="1"/>
        <v>210</v>
      </c>
    </row>
    <row r="37" spans="1:16" ht="13.5" thickBot="1">
      <c r="A37" s="2578"/>
      <c r="B37" s="2577" t="s">
        <v>45</v>
      </c>
      <c r="C37" s="2576" t="s">
        <v>228</v>
      </c>
      <c r="D37" s="2572">
        <v>3.53</v>
      </c>
      <c r="E37" s="2572">
        <v>3</v>
      </c>
      <c r="F37" s="2575">
        <f t="shared" si="0"/>
        <v>3.2649999999999997</v>
      </c>
      <c r="G37" s="2574" t="s">
        <v>172</v>
      </c>
      <c r="H37" s="2573">
        <v>775.2</v>
      </c>
      <c r="I37" s="2572">
        <v>910</v>
      </c>
      <c r="J37" s="2567">
        <f t="shared" si="1"/>
        <v>842.6</v>
      </c>
    </row>
    <row r="38" spans="1:16" ht="14.25" hidden="1" thickTop="1" thickBot="1">
      <c r="B38" s="2568" t="s">
        <v>1756</v>
      </c>
      <c r="C38" s="2565" t="s">
        <v>228</v>
      </c>
      <c r="D38" s="2571"/>
      <c r="E38" s="2571"/>
      <c r="F38" s="2571"/>
      <c r="G38" s="2571"/>
      <c r="H38" s="2571"/>
      <c r="I38" s="2569" t="e">
        <f>(D38*$D$4+E38*$E$4+F38*#REF!+G38*#REF!+H38*#REF!)/($D$4+$E$4+#REF!+#REF!+#REF!)</f>
        <v>#REF!</v>
      </c>
      <c r="J38" s="2567" t="e">
        <f t="shared" si="1"/>
        <v>#REF!</v>
      </c>
      <c r="K38" s="2571"/>
      <c r="L38" s="2570"/>
      <c r="M38" s="2570"/>
      <c r="N38" s="2570"/>
      <c r="O38" s="2570"/>
      <c r="P38" s="2569" t="e">
        <f>(K38*$D$4+L38*$E$4+M38*#REF!+N38*#REF!+O38*#REF!)/($D$4+$E$4+#REF!+#REF!+#REF!)</f>
        <v>#REF!</v>
      </c>
    </row>
    <row r="39" spans="1:16" ht="14.25" hidden="1" thickTop="1" thickBot="1">
      <c r="B39" s="2568" t="s">
        <v>1755</v>
      </c>
      <c r="C39" s="2565" t="s">
        <v>228</v>
      </c>
      <c r="D39" s="2562"/>
      <c r="E39" s="2562"/>
      <c r="F39" s="2562"/>
      <c r="G39" s="2562"/>
      <c r="H39" s="2562"/>
      <c r="I39" s="2560" t="e">
        <f>(D39*$D$4+E39*$E$4+F39*#REF!+G39*#REF!+H39*#REF!)/($D$4+$E$4+#REF!+#REF!+#REF!)</f>
        <v>#REF!</v>
      </c>
      <c r="J39" s="2567" t="e">
        <f t="shared" si="1"/>
        <v>#REF!</v>
      </c>
      <c r="K39" s="2562"/>
      <c r="L39" s="2561"/>
      <c r="M39" s="2561"/>
      <c r="N39" s="2561"/>
      <c r="O39" s="2561"/>
      <c r="P39" s="2560" t="e">
        <f>(K39*$D$4+L39*$E$4+M39*#REF!+N39*#REF!+O39*#REF!)/($D$4+$E$4+#REF!+#REF!+#REF!)</f>
        <v>#REF!</v>
      </c>
    </row>
    <row r="40" spans="1:16" ht="14.25" hidden="1" thickTop="1" thickBot="1">
      <c r="B40" s="2566" t="s">
        <v>1754</v>
      </c>
      <c r="C40" s="2565" t="s">
        <v>228</v>
      </c>
      <c r="D40" s="2564"/>
      <c r="E40" s="2564"/>
      <c r="F40" s="2564"/>
      <c r="G40" s="2564"/>
      <c r="H40" s="2564"/>
      <c r="I40" s="2560"/>
      <c r="J40" s="2563"/>
      <c r="K40" s="2562"/>
      <c r="L40" s="2561"/>
      <c r="M40" s="2561"/>
      <c r="N40" s="2561"/>
      <c r="O40" s="2561"/>
      <c r="P40" s="2560"/>
    </row>
    <row r="41" spans="1:16" ht="12.75" thickTop="1">
      <c r="A41" s="2559"/>
      <c r="B41" s="2558"/>
    </row>
    <row r="44" spans="1:16" ht="12.75">
      <c r="B44" s="2016" t="s">
        <v>1753</v>
      </c>
    </row>
    <row r="45" spans="1:16" ht="15.75" hidden="1">
      <c r="B45" s="2557" t="s">
        <v>1752</v>
      </c>
    </row>
    <row r="46" spans="1:16" ht="12.75" hidden="1">
      <c r="B46" s="2556" t="s">
        <v>1751</v>
      </c>
      <c r="C46" s="2547"/>
      <c r="D46" s="2547"/>
      <c r="E46" s="2547"/>
      <c r="F46" s="2555">
        <v>2011</v>
      </c>
      <c r="G46" s="2555">
        <v>2010</v>
      </c>
      <c r="H46" s="2555">
        <v>2009</v>
      </c>
      <c r="I46" s="2554">
        <v>2008</v>
      </c>
      <c r="J46" s="2554">
        <v>2007</v>
      </c>
      <c r="K46" s="2554"/>
      <c r="L46" s="2553" t="s">
        <v>1750</v>
      </c>
    </row>
    <row r="47" spans="1:16" ht="12.75" hidden="1">
      <c r="B47" s="2547"/>
      <c r="C47" s="2547"/>
      <c r="D47" s="2547"/>
      <c r="E47" s="2547"/>
      <c r="F47" s="2547"/>
      <c r="G47" s="2552"/>
      <c r="H47" s="2552"/>
      <c r="I47" s="2551"/>
      <c r="J47" s="2551"/>
      <c r="K47" s="2551"/>
      <c r="L47" s="2550"/>
    </row>
    <row r="48" spans="1:16" ht="12.75" hidden="1">
      <c r="B48" s="2549" t="s">
        <v>269</v>
      </c>
      <c r="C48" s="2547"/>
      <c r="D48" s="2547"/>
      <c r="E48" s="2547"/>
      <c r="F48" s="2548">
        <v>69.8</v>
      </c>
      <c r="G48" s="2547">
        <v>69</v>
      </c>
      <c r="H48" s="2547">
        <v>73.5</v>
      </c>
      <c r="I48" s="2546">
        <v>74.400000000000006</v>
      </c>
      <c r="J48" s="2546">
        <v>72.3</v>
      </c>
      <c r="K48" s="2546"/>
      <c r="L48" s="2546">
        <v>71.800000000000011</v>
      </c>
    </row>
    <row r="49" spans="2:12" ht="12.75" hidden="1">
      <c r="B49" s="2549" t="s">
        <v>81</v>
      </c>
      <c r="C49" s="2547"/>
      <c r="D49" s="2547"/>
      <c r="E49" s="2547"/>
      <c r="F49" s="2548"/>
      <c r="G49" s="2547">
        <v>56.1</v>
      </c>
      <c r="H49" s="2547">
        <v>60.1</v>
      </c>
      <c r="I49" s="2546">
        <v>59.1</v>
      </c>
      <c r="J49" s="2546">
        <v>54.8</v>
      </c>
      <c r="K49" s="2546"/>
      <c r="L49" s="2546">
        <v>57.525000000000006</v>
      </c>
    </row>
    <row r="50" spans="2:12" ht="12.75" hidden="1">
      <c r="B50" s="2549" t="s">
        <v>73</v>
      </c>
      <c r="C50" s="2547"/>
      <c r="D50" s="2547"/>
      <c r="E50" s="2547"/>
      <c r="F50" s="2548"/>
      <c r="G50" s="2547">
        <v>53.4</v>
      </c>
      <c r="H50" s="2547">
        <v>55.2</v>
      </c>
      <c r="I50" s="2546">
        <v>60.4</v>
      </c>
      <c r="J50" s="2546">
        <v>48.8</v>
      </c>
      <c r="K50" s="2546"/>
      <c r="L50" s="2546">
        <v>54.45</v>
      </c>
    </row>
    <row r="51" spans="2:12" ht="12.75" hidden="1">
      <c r="B51" s="2549" t="s">
        <v>1313</v>
      </c>
      <c r="C51" s="2547"/>
      <c r="D51" s="2547"/>
      <c r="E51" s="2547"/>
      <c r="F51" s="2548"/>
      <c r="G51" s="2547">
        <v>55.7</v>
      </c>
      <c r="H51" s="2547">
        <v>60.2</v>
      </c>
      <c r="I51" s="2546">
        <v>58.8</v>
      </c>
      <c r="J51" s="2546">
        <v>53.1</v>
      </c>
      <c r="K51" s="2546"/>
      <c r="L51" s="2546">
        <v>56.949999999999996</v>
      </c>
    </row>
    <row r="52" spans="2:12" ht="12.75" hidden="1">
      <c r="B52" s="2549" t="s">
        <v>88</v>
      </c>
      <c r="C52" s="2547"/>
      <c r="D52" s="2547"/>
      <c r="E52" s="2547"/>
      <c r="F52" s="2548">
        <v>67.5</v>
      </c>
      <c r="G52" s="2547">
        <v>65.900000000000006</v>
      </c>
      <c r="H52" s="2547">
        <v>69</v>
      </c>
      <c r="I52" s="2546">
        <v>68.099999999999994</v>
      </c>
      <c r="J52" s="2546">
        <v>67.400000000000006</v>
      </c>
      <c r="K52" s="2546"/>
      <c r="L52" s="2546">
        <v>67.58</v>
      </c>
    </row>
    <row r="53" spans="2:12" ht="12.75" hidden="1">
      <c r="B53" s="2549" t="s">
        <v>86</v>
      </c>
      <c r="C53" s="2547"/>
      <c r="D53" s="2547"/>
      <c r="E53" s="2547"/>
      <c r="F53" s="2548">
        <v>61.7</v>
      </c>
      <c r="G53" s="2547">
        <v>62.1</v>
      </c>
      <c r="H53" s="2547">
        <v>65.599999999999994</v>
      </c>
      <c r="I53" s="2546">
        <v>58.4</v>
      </c>
      <c r="J53" s="2546">
        <v>60.2</v>
      </c>
      <c r="K53" s="2546"/>
      <c r="L53" s="2546">
        <v>61.6</v>
      </c>
    </row>
    <row r="54" spans="2:12" ht="12.75" hidden="1">
      <c r="B54" s="2549" t="s">
        <v>267</v>
      </c>
      <c r="C54" s="2547"/>
      <c r="D54" s="2547"/>
      <c r="E54" s="2547"/>
      <c r="F54" s="2548">
        <v>50.4</v>
      </c>
      <c r="G54" s="2547">
        <v>55</v>
      </c>
      <c r="H54" s="2547">
        <v>55.3</v>
      </c>
      <c r="I54" s="2546">
        <v>53.2</v>
      </c>
      <c r="J54" s="2546">
        <v>44.3</v>
      </c>
      <c r="K54" s="2546"/>
      <c r="L54" s="2546">
        <v>51.64</v>
      </c>
    </row>
    <row r="55" spans="2:12" ht="12.75" hidden="1">
      <c r="B55" s="2549" t="s">
        <v>75</v>
      </c>
      <c r="C55" s="2547"/>
      <c r="D55" s="2547"/>
      <c r="E55" s="2547"/>
      <c r="F55" s="2548">
        <v>47.8</v>
      </c>
      <c r="G55" s="2547">
        <v>49.5</v>
      </c>
      <c r="H55" s="2547">
        <v>59</v>
      </c>
      <c r="I55" s="2546">
        <v>55.5</v>
      </c>
      <c r="J55" s="2546">
        <v>44.7</v>
      </c>
      <c r="K55" s="2546"/>
      <c r="L55" s="2546">
        <v>51.3</v>
      </c>
    </row>
    <row r="56" spans="2:12" ht="12.75" hidden="1">
      <c r="B56" s="2549" t="s">
        <v>1749</v>
      </c>
      <c r="C56" s="2547"/>
      <c r="D56" s="2547"/>
      <c r="E56" s="2547"/>
      <c r="F56" s="2548">
        <v>121.2</v>
      </c>
      <c r="G56" s="2547">
        <v>98.5</v>
      </c>
      <c r="H56" s="2547">
        <v>109.2</v>
      </c>
      <c r="I56" s="2546">
        <v>105.4</v>
      </c>
      <c r="J56" s="2546">
        <v>97.9</v>
      </c>
      <c r="K56" s="2546"/>
      <c r="L56" s="2546">
        <v>106.43999999999998</v>
      </c>
    </row>
    <row r="57" spans="2:12" ht="12.75" hidden="1">
      <c r="B57" s="2549" t="s">
        <v>45</v>
      </c>
      <c r="C57" s="2547"/>
      <c r="D57" s="2547"/>
      <c r="E57" s="2547"/>
      <c r="F57" s="2548">
        <v>802.5</v>
      </c>
      <c r="G57" s="2547">
        <v>689.9</v>
      </c>
      <c r="H57" s="2547">
        <v>727.2</v>
      </c>
      <c r="I57" s="2546">
        <v>667.8</v>
      </c>
      <c r="J57" s="2546">
        <v>644.20000000000005</v>
      </c>
      <c r="K57" s="2546"/>
      <c r="L57" s="2546">
        <v>706.32</v>
      </c>
    </row>
    <row r="58" spans="2:12" ht="12.75" hidden="1">
      <c r="B58" s="2549" t="s">
        <v>195</v>
      </c>
      <c r="C58" s="2547"/>
      <c r="D58" s="2547"/>
      <c r="E58" s="2547"/>
      <c r="F58" s="2548"/>
      <c r="G58" s="2547"/>
      <c r="H58" s="2547">
        <v>270.7</v>
      </c>
      <c r="I58" s="2546">
        <v>282.39999999999998</v>
      </c>
      <c r="J58" s="2546">
        <v>283.7</v>
      </c>
      <c r="K58" s="2546"/>
      <c r="L58" s="2546">
        <v>278.93333333333334</v>
      </c>
    </row>
    <row r="59" spans="2:12" ht="12.75" hidden="1">
      <c r="B59" s="2549" t="s">
        <v>1748</v>
      </c>
      <c r="C59" s="2547"/>
      <c r="D59" s="2547"/>
      <c r="E59" s="2547"/>
      <c r="F59" s="2548"/>
      <c r="G59" s="2547"/>
      <c r="H59" s="2547">
        <v>387.2</v>
      </c>
      <c r="I59" s="2546">
        <v>371.3</v>
      </c>
      <c r="J59" s="2546">
        <v>363.3</v>
      </c>
      <c r="K59" s="2546"/>
      <c r="L59" s="2546">
        <v>373.93333333333334</v>
      </c>
    </row>
    <row r="60" spans="2:12" ht="12.75" hidden="1">
      <c r="B60" s="2549" t="s">
        <v>1010</v>
      </c>
      <c r="C60" s="2547"/>
      <c r="D60" s="2547"/>
      <c r="E60" s="2547"/>
      <c r="F60" s="2548">
        <v>443.2</v>
      </c>
      <c r="G60" s="2547">
        <v>346.8</v>
      </c>
      <c r="H60" s="2547"/>
      <c r="I60" s="2546"/>
      <c r="J60" s="2546">
        <v>349.9</v>
      </c>
      <c r="K60" s="2546"/>
      <c r="L60" s="2546">
        <v>379.9666666666667</v>
      </c>
    </row>
    <row r="61" spans="2:12" ht="12.75" hidden="1">
      <c r="B61" s="2549" t="s">
        <v>64</v>
      </c>
      <c r="C61" s="2547"/>
      <c r="D61" s="2547"/>
      <c r="E61" s="2547"/>
      <c r="F61" s="2548">
        <v>26.5</v>
      </c>
      <c r="G61" s="2547">
        <v>38.799999999999997</v>
      </c>
      <c r="H61" s="2547">
        <v>41.8</v>
      </c>
      <c r="I61" s="2546">
        <v>37.4</v>
      </c>
      <c r="J61" s="2546">
        <v>42.1</v>
      </c>
      <c r="K61" s="2546"/>
      <c r="L61" s="2546">
        <v>37.32</v>
      </c>
    </row>
    <row r="62" spans="2:12" ht="12.75" hidden="1">
      <c r="B62" s="2549" t="s">
        <v>62</v>
      </c>
      <c r="C62" s="2547"/>
      <c r="D62" s="2547"/>
      <c r="E62" s="2547"/>
      <c r="F62" s="2548"/>
      <c r="G62" s="2547">
        <v>25.2</v>
      </c>
      <c r="H62" s="2547">
        <v>24.4</v>
      </c>
      <c r="I62" s="2546">
        <v>26.2</v>
      </c>
      <c r="J62" s="2546">
        <v>24.9</v>
      </c>
      <c r="K62" s="2546"/>
      <c r="L62" s="2546">
        <v>25.174999999999997</v>
      </c>
    </row>
    <row r="63" spans="2:12" ht="12.75" hidden="1">
      <c r="B63" s="2549" t="s">
        <v>54</v>
      </c>
      <c r="C63" s="2547"/>
      <c r="D63" s="2547"/>
      <c r="E63" s="2547"/>
      <c r="F63" s="2548"/>
      <c r="G63" s="2547">
        <v>34.6</v>
      </c>
      <c r="H63" s="2547">
        <v>35.9</v>
      </c>
      <c r="I63" s="2546">
        <v>36.700000000000003</v>
      </c>
      <c r="J63" s="2546">
        <v>34</v>
      </c>
      <c r="K63" s="2546"/>
      <c r="L63" s="2546">
        <v>35.299999999999997</v>
      </c>
    </row>
    <row r="64" spans="2:12" ht="12.75" hidden="1">
      <c r="B64" s="2549" t="s">
        <v>52</v>
      </c>
      <c r="C64" s="2547"/>
      <c r="D64" s="2547"/>
      <c r="E64" s="2547"/>
      <c r="F64" s="2548"/>
      <c r="G64" s="2547">
        <v>32.299999999999997</v>
      </c>
      <c r="H64" s="2547">
        <v>33.5</v>
      </c>
      <c r="I64" s="2546">
        <v>35</v>
      </c>
      <c r="J64" s="2546">
        <v>31.6</v>
      </c>
      <c r="K64" s="2546"/>
      <c r="L64" s="2546">
        <v>33.1</v>
      </c>
    </row>
    <row r="65" spans="2:12" ht="12.75" hidden="1">
      <c r="B65" s="2549" t="s">
        <v>1721</v>
      </c>
      <c r="C65" s="2547"/>
      <c r="D65" s="2547"/>
      <c r="E65" s="2547"/>
      <c r="F65" s="2548">
        <v>484.8</v>
      </c>
      <c r="G65" s="2547">
        <v>439.1</v>
      </c>
      <c r="H65" s="2547">
        <v>484.4</v>
      </c>
      <c r="I65" s="2546">
        <v>478.4</v>
      </c>
      <c r="J65" s="2546">
        <v>469.5</v>
      </c>
      <c r="K65" s="2546"/>
      <c r="L65" s="2546">
        <v>471.24000000000007</v>
      </c>
    </row>
    <row r="66" spans="2:12" ht="12.75" hidden="1">
      <c r="B66" s="2549" t="s">
        <v>1747</v>
      </c>
      <c r="C66" s="2547"/>
      <c r="D66" s="2547"/>
      <c r="E66" s="2547"/>
      <c r="F66" s="2548"/>
      <c r="G66" s="2547"/>
      <c r="H66" s="2547">
        <v>80.099999999999994</v>
      </c>
      <c r="I66" s="2546">
        <v>76.5</v>
      </c>
      <c r="J66" s="2546">
        <v>76.2</v>
      </c>
      <c r="K66" s="2546"/>
      <c r="L66" s="2546">
        <v>77.600000000000009</v>
      </c>
    </row>
    <row r="67" spans="2:12" ht="12.75" hidden="1">
      <c r="B67" s="2549" t="s">
        <v>1746</v>
      </c>
      <c r="C67" s="2547"/>
      <c r="D67" s="2547"/>
      <c r="E67" s="2547"/>
      <c r="F67" s="2548"/>
      <c r="G67" s="2547"/>
      <c r="H67" s="2547">
        <v>82</v>
      </c>
      <c r="I67" s="2546">
        <v>78.5</v>
      </c>
      <c r="J67" s="2546">
        <v>81.2</v>
      </c>
      <c r="K67" s="2546"/>
      <c r="L67" s="2546">
        <v>80.566666666666663</v>
      </c>
    </row>
    <row r="68" spans="2:12" ht="12.75" hidden="1">
      <c r="B68" s="2549" t="s">
        <v>1745</v>
      </c>
      <c r="C68" s="2547"/>
      <c r="D68" s="2547"/>
      <c r="E68" s="2547"/>
      <c r="F68" s="2548">
        <v>66.599999999999994</v>
      </c>
      <c r="G68" s="2547">
        <v>63.6</v>
      </c>
      <c r="H68" s="2547"/>
      <c r="I68" s="2546"/>
      <c r="J68" s="2546"/>
      <c r="K68" s="2546"/>
      <c r="L68" s="2546">
        <v>65.099999999999994</v>
      </c>
    </row>
    <row r="69" spans="2:12" ht="12.75" hidden="1">
      <c r="B69" s="2549" t="s">
        <v>1744</v>
      </c>
      <c r="C69" s="2547"/>
      <c r="D69" s="2547"/>
      <c r="E69" s="2547"/>
      <c r="F69" s="2548">
        <v>57.2</v>
      </c>
      <c r="G69" s="2547">
        <v>57.5</v>
      </c>
      <c r="H69" s="2547">
        <v>72.8</v>
      </c>
      <c r="I69" s="2546">
        <v>71.2</v>
      </c>
      <c r="J69" s="2546">
        <v>73</v>
      </c>
      <c r="K69" s="2546"/>
      <c r="L69" s="2546">
        <v>66.34</v>
      </c>
    </row>
    <row r="70" spans="2:12" ht="12.75" hidden="1">
      <c r="B70" s="2549" t="s">
        <v>1743</v>
      </c>
      <c r="C70" s="2547"/>
      <c r="D70" s="2547"/>
      <c r="E70" s="2547"/>
      <c r="F70" s="2548">
        <v>66</v>
      </c>
      <c r="G70" s="2547">
        <v>62.9</v>
      </c>
      <c r="H70" s="2547">
        <v>76.3</v>
      </c>
      <c r="I70" s="2546">
        <v>75.3</v>
      </c>
      <c r="J70" s="2546">
        <v>73.099999999999994</v>
      </c>
      <c r="K70" s="2546"/>
      <c r="L70" s="2546">
        <v>70.72</v>
      </c>
    </row>
    <row r="71" spans="2:12" ht="12.75">
      <c r="C71" s="4144" t="s">
        <v>1742</v>
      </c>
      <c r="D71" s="4145"/>
      <c r="E71" s="4145"/>
      <c r="F71" s="4145"/>
      <c r="G71" s="4145"/>
    </row>
    <row r="72" spans="2:12">
      <c r="B72" s="4146" t="s">
        <v>1741</v>
      </c>
      <c r="C72" s="2539">
        <v>2013</v>
      </c>
      <c r="D72" s="2539">
        <v>2014</v>
      </c>
      <c r="E72" s="2539">
        <v>2015</v>
      </c>
      <c r="F72" s="2539">
        <v>2016</v>
      </c>
      <c r="G72" s="2539">
        <v>2017</v>
      </c>
    </row>
    <row r="73" spans="2:12" ht="12.75">
      <c r="B73" s="4147"/>
      <c r="C73" s="4148" t="s">
        <v>172</v>
      </c>
      <c r="D73" s="4149"/>
      <c r="E73" s="4149"/>
      <c r="F73" s="4149"/>
      <c r="G73" s="4149"/>
    </row>
    <row r="74" spans="2:12" ht="12.75">
      <c r="B74" s="2544" t="s">
        <v>269</v>
      </c>
      <c r="C74" s="2541">
        <v>74.099999999999994</v>
      </c>
      <c r="D74" s="2541">
        <v>83.5</v>
      </c>
      <c r="E74" s="2541">
        <v>76.3</v>
      </c>
      <c r="F74" s="2541">
        <v>66.099999999999994</v>
      </c>
      <c r="G74" s="2541" t="s">
        <v>1720</v>
      </c>
    </row>
    <row r="75" spans="2:12" ht="12.75">
      <c r="B75" s="2544" t="s">
        <v>86</v>
      </c>
      <c r="C75" s="2541">
        <v>68.3</v>
      </c>
      <c r="D75" s="2541">
        <v>76.2</v>
      </c>
      <c r="E75" s="2541">
        <v>67.400000000000006</v>
      </c>
      <c r="F75" s="2541">
        <v>67.400000000000006</v>
      </c>
      <c r="G75" s="2541" t="s">
        <v>1720</v>
      </c>
    </row>
    <row r="76" spans="2:12" ht="12.75">
      <c r="B76" s="2544" t="s">
        <v>267</v>
      </c>
      <c r="C76" s="2541">
        <v>55.4</v>
      </c>
      <c r="D76" s="2541">
        <v>59.7</v>
      </c>
      <c r="E76" s="2541">
        <v>53.9</v>
      </c>
      <c r="F76" s="2541">
        <v>49.6</v>
      </c>
      <c r="G76" s="2541" t="s">
        <v>1720</v>
      </c>
    </row>
    <row r="77" spans="2:12" ht="12.75">
      <c r="B77" s="2544" t="s">
        <v>75</v>
      </c>
      <c r="C77" s="2541">
        <v>45.2</v>
      </c>
      <c r="D77" s="2541">
        <v>52.5</v>
      </c>
      <c r="E77" s="2541">
        <v>46.6</v>
      </c>
      <c r="F77" s="2541">
        <v>45.6</v>
      </c>
      <c r="G77" s="2541" t="s">
        <v>1720</v>
      </c>
    </row>
    <row r="78" spans="2:12" ht="12.75">
      <c r="B78" s="2544" t="s">
        <v>88</v>
      </c>
      <c r="C78" s="2541">
        <v>69.900000000000006</v>
      </c>
      <c r="D78" s="2541">
        <v>74.400000000000006</v>
      </c>
      <c r="E78" s="2541">
        <v>67.5</v>
      </c>
      <c r="F78" s="2541">
        <v>53.1</v>
      </c>
      <c r="G78" s="2541" t="s">
        <v>1720</v>
      </c>
    </row>
    <row r="79" spans="2:12" ht="12.75">
      <c r="B79" s="2544" t="s">
        <v>70</v>
      </c>
      <c r="C79" s="2541">
        <v>95.6</v>
      </c>
      <c r="D79" s="2541">
        <v>115.7</v>
      </c>
      <c r="E79" s="2541">
        <v>84.3</v>
      </c>
      <c r="F79" s="2541">
        <v>96.1</v>
      </c>
      <c r="G79" s="2541" t="s">
        <v>1720</v>
      </c>
    </row>
    <row r="80" spans="2:12" ht="12.75">
      <c r="B80" s="2544" t="s">
        <v>1010</v>
      </c>
      <c r="C80" s="2541">
        <v>364.9</v>
      </c>
      <c r="D80" s="2541">
        <v>473.2</v>
      </c>
      <c r="E80" s="2541">
        <v>369.4</v>
      </c>
      <c r="F80" s="2541">
        <v>365.6</v>
      </c>
      <c r="G80" s="2541" t="s">
        <v>1720</v>
      </c>
    </row>
    <row r="81" spans="2:10" ht="12.75">
      <c r="B81" s="2544" t="s">
        <v>45</v>
      </c>
      <c r="C81" s="2541">
        <v>753.9</v>
      </c>
      <c r="D81" s="2541">
        <v>878.4</v>
      </c>
      <c r="E81" s="2541">
        <v>673.8</v>
      </c>
      <c r="F81" s="2541">
        <v>775.2</v>
      </c>
      <c r="G81" s="2541" t="s">
        <v>1720</v>
      </c>
    </row>
    <row r="82" spans="2:10" ht="12.75">
      <c r="B82" s="2544" t="s">
        <v>64</v>
      </c>
      <c r="C82" s="2541">
        <v>37</v>
      </c>
      <c r="D82" s="2541">
        <v>47.2</v>
      </c>
      <c r="E82" s="2541">
        <v>40.799999999999997</v>
      </c>
      <c r="F82" s="2541">
        <v>38.799999999999997</v>
      </c>
      <c r="G82" s="2541" t="s">
        <v>1720</v>
      </c>
    </row>
    <row r="83" spans="2:10" ht="12.75">
      <c r="B83" s="2544" t="s">
        <v>1721</v>
      </c>
      <c r="C83" s="2541">
        <v>426.6</v>
      </c>
      <c r="D83" s="2541">
        <v>485.3</v>
      </c>
      <c r="E83" s="2541">
        <v>393.2</v>
      </c>
      <c r="F83" s="2541">
        <v>427.1</v>
      </c>
      <c r="G83" s="2541" t="s">
        <v>1720</v>
      </c>
    </row>
    <row r="84" spans="2:10" ht="14.25">
      <c r="B84" s="2544" t="s">
        <v>1740</v>
      </c>
      <c r="C84" s="2541">
        <v>56.6</v>
      </c>
      <c r="D84" s="2541">
        <v>59.1</v>
      </c>
      <c r="E84" s="2541">
        <v>48.5</v>
      </c>
      <c r="F84" s="2541">
        <v>61.9</v>
      </c>
      <c r="G84" s="2541" t="s">
        <v>1720</v>
      </c>
    </row>
    <row r="85" spans="2:10" ht="14.25">
      <c r="B85" s="2544" t="s">
        <v>1739</v>
      </c>
      <c r="C85" s="2541">
        <v>63.4</v>
      </c>
      <c r="D85" s="2541">
        <v>57.5</v>
      </c>
      <c r="E85" s="2541">
        <v>47.4</v>
      </c>
      <c r="F85" s="2541">
        <v>52.3</v>
      </c>
      <c r="G85" s="2541" t="s">
        <v>1720</v>
      </c>
    </row>
    <row r="87" spans="2:10" ht="13.15" customHeight="1">
      <c r="B87" s="4150" t="s">
        <v>1738</v>
      </c>
      <c r="C87" s="4150"/>
      <c r="D87" s="4150"/>
      <c r="E87" s="4150"/>
      <c r="F87" s="4150"/>
      <c r="G87" s="4150"/>
      <c r="H87" s="4150"/>
      <c r="I87" s="4150"/>
      <c r="J87" s="4150"/>
    </row>
    <row r="88" spans="2:10" ht="12.75">
      <c r="B88" s="4151" t="s">
        <v>1737</v>
      </c>
      <c r="C88" s="4151" t="s">
        <v>1736</v>
      </c>
      <c r="D88" s="4151"/>
      <c r="E88" s="4151"/>
      <c r="F88" s="4151"/>
      <c r="G88" s="4151"/>
      <c r="H88" s="4150"/>
      <c r="I88" s="4150"/>
      <c r="J88" s="2545"/>
    </row>
    <row r="89" spans="2:10" ht="12.75">
      <c r="B89" s="4151"/>
      <c r="C89" s="4151"/>
      <c r="D89" s="4151"/>
      <c r="E89" s="4151"/>
      <c r="F89" s="4151"/>
      <c r="G89" s="4151"/>
      <c r="H89" s="4150"/>
      <c r="I89" s="4150"/>
      <c r="J89" s="2545"/>
    </row>
    <row r="90" spans="2:10" ht="26.45" customHeight="1">
      <c r="B90" s="4151"/>
      <c r="C90" s="4151"/>
      <c r="D90" s="4151"/>
      <c r="E90" s="4151"/>
      <c r="F90" s="4151"/>
      <c r="G90" s="4151"/>
      <c r="H90" s="4150"/>
      <c r="I90" s="4150"/>
      <c r="J90" s="2545"/>
    </row>
    <row r="91" spans="2:10" ht="38.25">
      <c r="B91" s="4151"/>
      <c r="C91" s="2545" t="s">
        <v>1735</v>
      </c>
      <c r="D91" s="2545" t="s">
        <v>1734</v>
      </c>
      <c r="E91" s="2545" t="s">
        <v>1733</v>
      </c>
      <c r="F91" s="2545" t="s">
        <v>1732</v>
      </c>
      <c r="G91" s="2545" t="s">
        <v>1731</v>
      </c>
      <c r="H91" s="2545"/>
      <c r="I91" s="2545" t="s">
        <v>1730</v>
      </c>
      <c r="J91" s="2545"/>
    </row>
    <row r="92" spans="2:10" ht="13.15" customHeight="1">
      <c r="B92" s="4151"/>
      <c r="C92" s="4150" t="s">
        <v>172</v>
      </c>
      <c r="D92" s="4150"/>
      <c r="E92" s="4150"/>
      <c r="F92" s="4150"/>
      <c r="G92" s="4150"/>
      <c r="H92" s="4150"/>
      <c r="I92" s="4150"/>
      <c r="J92" s="4150"/>
    </row>
    <row r="93" spans="2:10" ht="12.75">
      <c r="B93" s="2544" t="s">
        <v>1729</v>
      </c>
      <c r="C93" s="2543" t="s">
        <v>168</v>
      </c>
      <c r="D93" s="2543" t="s">
        <v>168</v>
      </c>
      <c r="E93" s="2543">
        <v>73.8</v>
      </c>
      <c r="F93" s="2543" t="s">
        <v>168</v>
      </c>
      <c r="G93" s="2543" t="s">
        <v>168</v>
      </c>
      <c r="H93" s="2541"/>
      <c r="I93" s="2542"/>
      <c r="J93" s="2541"/>
    </row>
    <row r="94" spans="2:10" ht="14.25">
      <c r="B94" s="2544" t="s">
        <v>1728</v>
      </c>
      <c r="C94" s="2543" t="s">
        <v>168</v>
      </c>
      <c r="D94" s="2543" t="s">
        <v>168</v>
      </c>
      <c r="E94" s="2543">
        <v>97.1</v>
      </c>
      <c r="F94" s="2543" t="s">
        <v>1720</v>
      </c>
      <c r="G94" s="2543" t="s">
        <v>168</v>
      </c>
      <c r="H94" s="2541"/>
      <c r="I94" s="2542">
        <v>97.1</v>
      </c>
      <c r="J94" s="2541"/>
    </row>
    <row r="95" spans="2:10" ht="12.75">
      <c r="B95" s="2544" t="s">
        <v>1727</v>
      </c>
      <c r="C95" s="2543">
        <v>69</v>
      </c>
      <c r="D95" s="2543">
        <v>69.900000000000006</v>
      </c>
      <c r="E95" s="2543">
        <v>70.3</v>
      </c>
      <c r="F95" s="2543" t="s">
        <v>168</v>
      </c>
      <c r="G95" s="2543" t="s">
        <v>168</v>
      </c>
      <c r="H95" s="2541"/>
      <c r="I95" s="2542"/>
      <c r="J95" s="2541"/>
    </row>
    <row r="96" spans="2:10" ht="12.75">
      <c r="B96" s="2544" t="s">
        <v>1726</v>
      </c>
      <c r="C96" s="2543">
        <v>73</v>
      </c>
      <c r="D96" s="2543">
        <v>72.900000000000006</v>
      </c>
      <c r="E96" s="2543">
        <v>74</v>
      </c>
      <c r="F96" s="2543" t="s">
        <v>168</v>
      </c>
      <c r="G96" s="2543" t="s">
        <v>168</v>
      </c>
      <c r="H96" s="2541"/>
      <c r="I96" s="2542"/>
      <c r="J96" s="2541"/>
    </row>
    <row r="97" spans="2:10" ht="14.25">
      <c r="B97" s="2544" t="s">
        <v>1725</v>
      </c>
      <c r="C97" s="2543">
        <v>73.400000000000006</v>
      </c>
      <c r="D97" s="2543">
        <v>73.2</v>
      </c>
      <c r="E97" s="2543">
        <v>74.2</v>
      </c>
      <c r="F97" s="2543" t="s">
        <v>168</v>
      </c>
      <c r="G97" s="2543" t="s">
        <v>168</v>
      </c>
      <c r="H97" s="2541"/>
      <c r="I97" s="2542">
        <f>(C97+D97+E97)/3</f>
        <v>73.600000000000009</v>
      </c>
      <c r="J97" s="2541"/>
    </row>
    <row r="98" spans="2:10" ht="12.75">
      <c r="B98" s="2544" t="s">
        <v>81</v>
      </c>
      <c r="C98" s="2543">
        <v>57.4</v>
      </c>
      <c r="D98" s="2543">
        <v>55.7</v>
      </c>
      <c r="E98" s="2543">
        <v>62</v>
      </c>
      <c r="F98" s="2543" t="s">
        <v>168</v>
      </c>
      <c r="G98" s="2543" t="s">
        <v>168</v>
      </c>
      <c r="H98" s="2541"/>
      <c r="I98" s="2542"/>
      <c r="J98" s="2541"/>
    </row>
    <row r="99" spans="2:10" ht="12.75">
      <c r="B99" s="2544" t="s">
        <v>1724</v>
      </c>
      <c r="C99" s="2543">
        <v>52.4</v>
      </c>
      <c r="D99" s="2543">
        <v>54.3</v>
      </c>
      <c r="E99" s="2543">
        <v>54.1</v>
      </c>
      <c r="F99" s="2543" t="s">
        <v>168</v>
      </c>
      <c r="G99" s="2543" t="s">
        <v>168</v>
      </c>
      <c r="H99" s="2541"/>
      <c r="I99" s="2542"/>
      <c r="J99" s="2541"/>
    </row>
    <row r="100" spans="2:10" ht="12.75">
      <c r="B100" s="2544" t="s">
        <v>1723</v>
      </c>
      <c r="C100" s="2543">
        <v>66</v>
      </c>
      <c r="D100" s="2543">
        <v>69</v>
      </c>
      <c r="E100" s="2543">
        <v>68.400000000000006</v>
      </c>
      <c r="F100" s="2543" t="s">
        <v>168</v>
      </c>
      <c r="G100" s="2543" t="s">
        <v>168</v>
      </c>
      <c r="H100" s="2541"/>
      <c r="I100" s="2542"/>
      <c r="J100" s="2541"/>
    </row>
    <row r="101" spans="2:10" ht="12.75">
      <c r="B101" s="2544" t="s">
        <v>86</v>
      </c>
      <c r="C101" s="2543">
        <v>71.599999999999994</v>
      </c>
      <c r="D101" s="2543">
        <v>75.2</v>
      </c>
      <c r="E101" s="2543">
        <v>74.099999999999994</v>
      </c>
      <c r="F101" s="2543" t="s">
        <v>168</v>
      </c>
      <c r="G101" s="2543" t="s">
        <v>168</v>
      </c>
      <c r="H101" s="2541"/>
      <c r="I101" s="2542">
        <f>(C101+D101+E101)/3</f>
        <v>73.63333333333334</v>
      </c>
      <c r="J101" s="2541"/>
    </row>
    <row r="102" spans="2:10" ht="12.75">
      <c r="B102" s="2544" t="s">
        <v>267</v>
      </c>
      <c r="C102" s="2543">
        <v>56.5</v>
      </c>
      <c r="D102" s="2543">
        <v>58.5</v>
      </c>
      <c r="E102" s="2543">
        <v>58.8</v>
      </c>
      <c r="F102" s="2543" t="s">
        <v>168</v>
      </c>
      <c r="G102" s="2543" t="s">
        <v>168</v>
      </c>
      <c r="H102" s="2541"/>
      <c r="I102" s="2542"/>
      <c r="J102" s="2541"/>
    </row>
    <row r="103" spans="2:10" ht="12.75">
      <c r="B103" s="2544" t="s">
        <v>75</v>
      </c>
      <c r="C103" s="2543">
        <v>49.7</v>
      </c>
      <c r="D103" s="2543">
        <v>50.8</v>
      </c>
      <c r="E103" s="2543">
        <v>49.1</v>
      </c>
      <c r="F103" s="2543" t="s">
        <v>168</v>
      </c>
      <c r="G103" s="2543" t="s">
        <v>168</v>
      </c>
      <c r="H103" s="2541"/>
      <c r="I103" s="2542"/>
      <c r="J103" s="2541"/>
    </row>
    <row r="104" spans="2:10" ht="12.75">
      <c r="B104" s="2544" t="s">
        <v>88</v>
      </c>
      <c r="C104" s="2543">
        <v>73.099999999999994</v>
      </c>
      <c r="D104" s="2543">
        <v>72.5</v>
      </c>
      <c r="E104" s="2543">
        <v>72.400000000000006</v>
      </c>
      <c r="F104" s="2543" t="s">
        <v>168</v>
      </c>
      <c r="G104" s="2543" t="s">
        <v>168</v>
      </c>
      <c r="H104" s="2541"/>
      <c r="I104" s="2542"/>
      <c r="J104" s="2541"/>
    </row>
    <row r="105" spans="2:10" ht="12.75">
      <c r="B105" s="2544" t="s">
        <v>54</v>
      </c>
      <c r="C105" s="2543" t="s">
        <v>168</v>
      </c>
      <c r="D105" s="2543">
        <v>37.4</v>
      </c>
      <c r="E105" s="2543">
        <v>36.1</v>
      </c>
      <c r="F105" s="2543" t="s">
        <v>168</v>
      </c>
      <c r="G105" s="2543" t="s">
        <v>168</v>
      </c>
      <c r="H105" s="2541"/>
      <c r="I105" s="2542"/>
      <c r="J105" s="2541"/>
    </row>
    <row r="106" spans="2:10" ht="12.75">
      <c r="B106" s="2544" t="s">
        <v>52</v>
      </c>
      <c r="C106" s="2543" t="s">
        <v>168</v>
      </c>
      <c r="D106" s="2543" t="s">
        <v>168</v>
      </c>
      <c r="E106" s="2543">
        <v>29.1</v>
      </c>
      <c r="F106" s="2543" t="s">
        <v>168</v>
      </c>
      <c r="G106" s="2543" t="s">
        <v>168</v>
      </c>
      <c r="H106" s="2541"/>
      <c r="I106" s="2542"/>
      <c r="J106" s="2541"/>
    </row>
    <row r="107" spans="2:10" ht="12.75">
      <c r="B107" s="2544" t="s">
        <v>1722</v>
      </c>
      <c r="C107" s="2543" t="s">
        <v>168</v>
      </c>
      <c r="D107" s="2543" t="s">
        <v>168</v>
      </c>
      <c r="E107" s="2543">
        <v>362.8</v>
      </c>
      <c r="F107" s="2543" t="s">
        <v>168</v>
      </c>
      <c r="G107" s="2543" t="s">
        <v>168</v>
      </c>
      <c r="H107" s="2541"/>
      <c r="I107" s="2542"/>
      <c r="J107" s="2541"/>
    </row>
    <row r="108" spans="2:10" ht="12.75">
      <c r="B108" s="2544" t="s">
        <v>45</v>
      </c>
      <c r="C108" s="2543" t="s">
        <v>168</v>
      </c>
      <c r="D108" s="2543" t="s">
        <v>168</v>
      </c>
      <c r="E108" s="2543" t="s">
        <v>168</v>
      </c>
      <c r="F108" s="2543" t="s">
        <v>168</v>
      </c>
      <c r="G108" s="2543" t="s">
        <v>1720</v>
      </c>
      <c r="H108" s="2541"/>
      <c r="I108" s="2542"/>
      <c r="J108" s="2541"/>
    </row>
    <row r="109" spans="2:10" ht="12.75">
      <c r="B109" s="2544" t="s">
        <v>64</v>
      </c>
      <c r="C109" s="2543">
        <v>38.1</v>
      </c>
      <c r="D109" s="2543">
        <v>36.700000000000003</v>
      </c>
      <c r="E109" s="2543">
        <v>38.299999999999997</v>
      </c>
      <c r="F109" s="2543" t="s">
        <v>168</v>
      </c>
      <c r="G109" s="2543" t="s">
        <v>168</v>
      </c>
      <c r="H109" s="2541"/>
      <c r="I109" s="2542">
        <f>(C109+D109+E109)/3</f>
        <v>37.700000000000003</v>
      </c>
      <c r="J109" s="2541"/>
    </row>
    <row r="110" spans="2:10" ht="12.75">
      <c r="B110" s="2544" t="s">
        <v>1721</v>
      </c>
      <c r="C110" s="2543" t="s">
        <v>168</v>
      </c>
      <c r="D110" s="2543" t="s">
        <v>168</v>
      </c>
      <c r="E110" s="2543">
        <v>460.5</v>
      </c>
      <c r="F110" s="2543" t="s">
        <v>1720</v>
      </c>
      <c r="G110" s="2543" t="s">
        <v>168</v>
      </c>
      <c r="H110" s="2541"/>
      <c r="I110" s="2542"/>
      <c r="J110" s="2541"/>
    </row>
    <row r="111" spans="2:10" ht="12.75">
      <c r="B111" s="2540" t="s">
        <v>1719</v>
      </c>
    </row>
    <row r="112" spans="2:10" ht="12.75">
      <c r="B112" s="2540" t="s">
        <v>1718</v>
      </c>
    </row>
    <row r="113" spans="2:2" ht="12.75">
      <c r="B113" s="2540" t="s">
        <v>1717</v>
      </c>
    </row>
    <row r="114" spans="2:2" ht="12.75">
      <c r="B114" s="2540" t="s">
        <v>1716</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T114"/>
  <sheetViews>
    <sheetView workbookViewId="0"/>
  </sheetViews>
  <sheetFormatPr baseColWidth="10" defaultColWidth="10.25" defaultRowHeight="12"/>
  <cols>
    <col min="1" max="1" width="1.25" style="2539" customWidth="1"/>
    <col min="2" max="2" width="38.75" style="2539" customWidth="1"/>
    <col min="3" max="4" width="10.25" style="2539"/>
    <col min="5" max="5" width="7.75" style="2539" customWidth="1"/>
    <col min="6" max="6" width="7.5" style="2539" bestFit="1" customWidth="1"/>
    <col min="7" max="7" width="5.75" style="2539" customWidth="1"/>
    <col min="8" max="8" width="6.875" style="2539" bestFit="1" customWidth="1"/>
    <col min="9" max="9" width="10.375" style="2539" bestFit="1" customWidth="1"/>
    <col min="10" max="10" width="7.5" style="2539" bestFit="1" customWidth="1"/>
    <col min="11" max="11" width="7.5" style="2539" customWidth="1"/>
    <col min="12" max="12" width="6" style="2539" bestFit="1" customWidth="1"/>
    <col min="13" max="13" width="7.75" style="2539" bestFit="1" customWidth="1"/>
    <col min="14" max="14" width="5.75" style="2539" customWidth="1"/>
    <col min="15" max="15" width="6.625" style="2539" customWidth="1"/>
    <col min="16" max="17" width="7.75" style="2539" bestFit="1" customWidth="1"/>
    <col min="18" max="18" width="5.75" style="2539" customWidth="1"/>
    <col min="19" max="19" width="5.75" style="2539" bestFit="1" customWidth="1"/>
    <col min="20" max="16384" width="10.25" style="2539"/>
  </cols>
  <sheetData>
    <row r="1" spans="1:20" ht="39.4" customHeight="1" thickBot="1">
      <c r="A1" s="2632"/>
      <c r="B1" s="2631" t="s">
        <v>1785</v>
      </c>
      <c r="C1" s="2629"/>
      <c r="D1" s="2630"/>
      <c r="E1" s="2629"/>
      <c r="F1" s="2627"/>
      <c r="G1" s="2628"/>
      <c r="H1" s="2627"/>
      <c r="I1" s="2627"/>
      <c r="J1" s="2627"/>
      <c r="K1" s="2627"/>
      <c r="L1" s="2627"/>
      <c r="M1" s="2627"/>
      <c r="N1" s="2627"/>
      <c r="O1" s="2627"/>
      <c r="P1" s="2627"/>
      <c r="Q1" s="2626"/>
      <c r="R1" s="2626"/>
      <c r="S1" s="2626"/>
      <c r="T1" s="2600"/>
    </row>
    <row r="2" spans="1:20" ht="13.5" thickTop="1" thickBot="1">
      <c r="A2" s="2625"/>
      <c r="B2" s="2624" t="s">
        <v>1784</v>
      </c>
      <c r="C2" s="2623"/>
      <c r="D2" s="2621" t="s">
        <v>1783</v>
      </c>
      <c r="E2" s="2621"/>
      <c r="F2" s="2620"/>
      <c r="G2" s="2619"/>
      <c r="H2" s="2622"/>
      <c r="I2" s="2621" t="s">
        <v>1782</v>
      </c>
      <c r="J2" s="2621"/>
      <c r="K2" s="2620"/>
      <c r="L2" s="2619"/>
      <c r="M2" s="2600"/>
      <c r="N2" s="2600"/>
      <c r="O2" s="2600"/>
      <c r="P2" s="2600"/>
    </row>
    <row r="3" spans="1:20" ht="13.5" thickTop="1" thickBot="1">
      <c r="A3" s="2618"/>
      <c r="B3" s="2617" t="s">
        <v>1781</v>
      </c>
      <c r="C3" s="2616"/>
      <c r="D3" s="2612">
        <v>2015</v>
      </c>
      <c r="E3" s="2612">
        <v>2016</v>
      </c>
      <c r="F3" s="2615">
        <v>2017</v>
      </c>
      <c r="G3" s="2614" t="s">
        <v>1750</v>
      </c>
      <c r="H3" s="2613"/>
      <c r="I3" s="2612">
        <v>2015</v>
      </c>
      <c r="J3" s="2612">
        <v>2016</v>
      </c>
      <c r="K3" s="2611">
        <v>2017</v>
      </c>
      <c r="L3" s="2610" t="s">
        <v>1750</v>
      </c>
      <c r="M3" s="2600"/>
      <c r="N3" s="2600"/>
      <c r="O3" s="2600"/>
      <c r="P3" s="2600"/>
    </row>
    <row r="4" spans="1:20" ht="13.5" thickTop="1" thickBot="1">
      <c r="A4" s="2609"/>
      <c r="B4" s="2608" t="s">
        <v>990</v>
      </c>
      <c r="C4" s="2604" t="s">
        <v>586</v>
      </c>
      <c r="D4" s="2607">
        <v>1</v>
      </c>
      <c r="E4" s="2607">
        <v>1</v>
      </c>
      <c r="F4" s="2606">
        <v>1</v>
      </c>
      <c r="G4" s="2605"/>
      <c r="H4" s="2604" t="s">
        <v>586</v>
      </c>
      <c r="I4" s="2603"/>
      <c r="J4" s="2603"/>
      <c r="K4" s="2602"/>
      <c r="L4" s="2601"/>
      <c r="M4" s="2600"/>
      <c r="N4" s="2600"/>
      <c r="O4" s="2600"/>
      <c r="P4" s="2600"/>
    </row>
    <row r="5" spans="1:20" ht="13.5" thickTop="1">
      <c r="B5" s="2568" t="s">
        <v>1780</v>
      </c>
      <c r="C5" s="2565" t="s">
        <v>228</v>
      </c>
      <c r="D5" s="2570">
        <v>25</v>
      </c>
      <c r="E5" s="2570">
        <v>25</v>
      </c>
      <c r="F5" s="2570">
        <v>23.75</v>
      </c>
      <c r="G5" s="2575">
        <f t="shared" ref="G5:G37" si="0">(D5*$D$4+E5*$E$4+F5*$F$4)/($D$4+$E$4+$F$4)</f>
        <v>24.583333333333332</v>
      </c>
      <c r="H5" s="2599" t="s">
        <v>172</v>
      </c>
      <c r="I5" s="2570">
        <v>52.5</v>
      </c>
      <c r="J5" s="2570">
        <v>42</v>
      </c>
      <c r="K5" s="2598">
        <v>75.400000000000006</v>
      </c>
      <c r="L5" s="2567">
        <f t="shared" ref="L5:L37" si="1">(I5*$D$4+J5*$E$4+K5*$F$4)/($D$4+$E$4+$F$4)</f>
        <v>56.633333333333333</v>
      </c>
    </row>
    <row r="6" spans="1:20" ht="12.75">
      <c r="B6" s="2568" t="s">
        <v>84</v>
      </c>
      <c r="C6" s="2565" t="s">
        <v>228</v>
      </c>
      <c r="D6" s="2561">
        <v>18</v>
      </c>
      <c r="E6" s="2561">
        <v>16</v>
      </c>
      <c r="F6" s="2561">
        <v>17</v>
      </c>
      <c r="G6" s="2575">
        <f t="shared" si="0"/>
        <v>17</v>
      </c>
      <c r="H6" s="2584" t="s">
        <v>172</v>
      </c>
      <c r="I6" s="2581">
        <v>50</v>
      </c>
      <c r="J6" s="2581">
        <v>50</v>
      </c>
      <c r="K6" s="2561">
        <v>65.5</v>
      </c>
      <c r="L6" s="2567">
        <f t="shared" si="1"/>
        <v>55.166666666666664</v>
      </c>
    </row>
    <row r="7" spans="1:20" ht="12.75">
      <c r="B7" s="2591" t="s">
        <v>269</v>
      </c>
      <c r="C7" s="2590" t="s">
        <v>228</v>
      </c>
      <c r="D7" s="2589">
        <v>15</v>
      </c>
      <c r="E7" s="2589">
        <v>13.6</v>
      </c>
      <c r="F7" s="2589">
        <v>14.4</v>
      </c>
      <c r="G7" s="2575">
        <f t="shared" si="0"/>
        <v>14.333333333333334</v>
      </c>
      <c r="H7" s="2597" t="s">
        <v>172</v>
      </c>
      <c r="I7" s="2596">
        <v>76.3</v>
      </c>
      <c r="J7" s="2596">
        <v>66.099999999999994</v>
      </c>
      <c r="K7" s="2595">
        <f>$I$97</f>
        <v>73.600000000000009</v>
      </c>
      <c r="L7" s="2567">
        <f t="shared" si="1"/>
        <v>72</v>
      </c>
    </row>
    <row r="8" spans="1:20" ht="12.75">
      <c r="B8" s="2568" t="s">
        <v>81</v>
      </c>
      <c r="C8" s="2565" t="s">
        <v>228</v>
      </c>
      <c r="D8" s="2561">
        <v>15</v>
      </c>
      <c r="E8" s="2561">
        <v>13.6</v>
      </c>
      <c r="F8" s="2561">
        <v>14.4</v>
      </c>
      <c r="G8" s="2575">
        <f t="shared" si="0"/>
        <v>14.333333333333334</v>
      </c>
      <c r="H8" s="2584" t="s">
        <v>172</v>
      </c>
      <c r="I8" s="2570">
        <v>53.7</v>
      </c>
      <c r="J8" s="2570">
        <v>51.5</v>
      </c>
      <c r="K8" s="2561">
        <v>65.5</v>
      </c>
      <c r="L8" s="2567">
        <f t="shared" si="1"/>
        <v>56.9</v>
      </c>
    </row>
    <row r="9" spans="1:20" ht="12.75">
      <c r="B9" s="2568" t="s">
        <v>90</v>
      </c>
      <c r="C9" s="2565" t="s">
        <v>228</v>
      </c>
      <c r="D9" s="2561">
        <v>14</v>
      </c>
      <c r="E9" s="2561">
        <v>12.3</v>
      </c>
      <c r="F9" s="2561">
        <v>13.9</v>
      </c>
      <c r="G9" s="2575">
        <f t="shared" si="0"/>
        <v>13.4</v>
      </c>
      <c r="H9" s="2584" t="s">
        <v>172</v>
      </c>
      <c r="I9" s="2561">
        <v>52.9</v>
      </c>
      <c r="J9" s="2561">
        <v>54.2</v>
      </c>
      <c r="K9" s="2561">
        <v>55.6</v>
      </c>
      <c r="L9" s="2567">
        <f t="shared" si="1"/>
        <v>54.233333333333327</v>
      </c>
    </row>
    <row r="10" spans="1:20" ht="12.75">
      <c r="B10" s="2568" t="s">
        <v>1779</v>
      </c>
      <c r="C10" s="2565" t="s">
        <v>228</v>
      </c>
      <c r="D10" s="2561">
        <v>14</v>
      </c>
      <c r="E10" s="2561">
        <v>12.3</v>
      </c>
      <c r="F10" s="2561">
        <v>13.9</v>
      </c>
      <c r="G10" s="2575">
        <f t="shared" si="0"/>
        <v>13.4</v>
      </c>
      <c r="H10" s="2584" t="s">
        <v>172</v>
      </c>
      <c r="I10" s="2561">
        <v>52.9</v>
      </c>
      <c r="J10" s="2561">
        <v>54.2</v>
      </c>
      <c r="K10" s="2561">
        <v>55.6</v>
      </c>
      <c r="L10" s="2567">
        <f t="shared" si="1"/>
        <v>54.233333333333327</v>
      </c>
    </row>
    <row r="11" spans="1:20" ht="12.75" hidden="1">
      <c r="B11" s="2568" t="s">
        <v>1778</v>
      </c>
      <c r="C11" s="2565" t="s">
        <v>228</v>
      </c>
      <c r="D11" s="2561">
        <v>13.6</v>
      </c>
      <c r="E11" s="2561">
        <v>11.5</v>
      </c>
      <c r="F11" s="2561"/>
      <c r="G11" s="2575">
        <f t="shared" si="0"/>
        <v>8.3666666666666671</v>
      </c>
      <c r="H11" s="2584" t="s">
        <v>172</v>
      </c>
      <c r="I11" s="2561">
        <v>52.9</v>
      </c>
      <c r="J11" s="2561">
        <v>54.2</v>
      </c>
      <c r="K11" s="2561"/>
      <c r="L11" s="2567">
        <f t="shared" si="1"/>
        <v>35.699999999999996</v>
      </c>
    </row>
    <row r="12" spans="1:20" ht="12.75" hidden="1">
      <c r="B12" s="2568" t="s">
        <v>1777</v>
      </c>
      <c r="C12" s="2565" t="s">
        <v>228</v>
      </c>
      <c r="D12" s="2561">
        <v>13.6</v>
      </c>
      <c r="E12" s="2561">
        <v>11.5</v>
      </c>
      <c r="F12" s="2561"/>
      <c r="G12" s="2575">
        <f t="shared" si="0"/>
        <v>8.3666666666666671</v>
      </c>
      <c r="H12" s="2584" t="s">
        <v>172</v>
      </c>
      <c r="I12" s="2561">
        <v>52.9</v>
      </c>
      <c r="J12" s="2561">
        <v>54.2</v>
      </c>
      <c r="K12" s="2561"/>
      <c r="L12" s="2567">
        <f t="shared" si="1"/>
        <v>35.699999999999996</v>
      </c>
    </row>
    <row r="13" spans="1:20" ht="12.75">
      <c r="B13" s="2591" t="s">
        <v>86</v>
      </c>
      <c r="C13" s="2590" t="s">
        <v>228</v>
      </c>
      <c r="D13" s="2589">
        <v>13.6</v>
      </c>
      <c r="E13" s="2589">
        <v>11.5</v>
      </c>
      <c r="F13" s="2589">
        <v>12.6</v>
      </c>
      <c r="G13" s="2575">
        <f t="shared" si="0"/>
        <v>12.566666666666668</v>
      </c>
      <c r="H13" s="2588" t="s">
        <v>172</v>
      </c>
      <c r="I13" s="2587">
        <v>67.400000000000006</v>
      </c>
      <c r="J13" s="2587">
        <v>67.400000000000006</v>
      </c>
      <c r="K13" s="2587">
        <f>$I$101</f>
        <v>73.63333333333334</v>
      </c>
      <c r="L13" s="2567">
        <f t="shared" si="1"/>
        <v>69.477777777777774</v>
      </c>
    </row>
    <row r="14" spans="1:20" ht="12.75">
      <c r="B14" s="2568" t="s">
        <v>267</v>
      </c>
      <c r="C14" s="2565" t="s">
        <v>228</v>
      </c>
      <c r="D14" s="2561">
        <v>13.6</v>
      </c>
      <c r="E14" s="2561">
        <v>11.5</v>
      </c>
      <c r="F14" s="2561">
        <v>12.6</v>
      </c>
      <c r="G14" s="2575">
        <f t="shared" si="0"/>
        <v>12.566666666666668</v>
      </c>
      <c r="H14" s="2584" t="s">
        <v>172</v>
      </c>
      <c r="I14" s="2594">
        <v>53.9</v>
      </c>
      <c r="J14" s="2594">
        <v>49.6</v>
      </c>
      <c r="K14" s="2561">
        <v>58.2</v>
      </c>
      <c r="L14" s="2567">
        <f t="shared" si="1"/>
        <v>53.9</v>
      </c>
    </row>
    <row r="15" spans="1:20" ht="12.75">
      <c r="B15" s="2568" t="s">
        <v>77</v>
      </c>
      <c r="C15" s="2565" t="s">
        <v>228</v>
      </c>
      <c r="D15" s="2561">
        <v>17.899999999999999</v>
      </c>
      <c r="E15" s="2561">
        <v>16.8</v>
      </c>
      <c r="F15" s="2561">
        <v>17.899999999999999</v>
      </c>
      <c r="G15" s="2575">
        <f t="shared" si="0"/>
        <v>17.533333333333335</v>
      </c>
      <c r="H15" s="2584" t="s">
        <v>172</v>
      </c>
      <c r="I15" s="2561">
        <v>54.4</v>
      </c>
      <c r="J15" s="2561">
        <v>50.1</v>
      </c>
      <c r="K15" s="2561">
        <v>58.2</v>
      </c>
      <c r="L15" s="2567">
        <f t="shared" si="1"/>
        <v>54.233333333333327</v>
      </c>
    </row>
    <row r="16" spans="1:20" ht="12.75">
      <c r="B16" s="2568" t="s">
        <v>1776</v>
      </c>
      <c r="C16" s="2565" t="s">
        <v>228</v>
      </c>
      <c r="D16" s="2561">
        <v>14.5</v>
      </c>
      <c r="E16" s="2561">
        <v>14.25</v>
      </c>
      <c r="F16" s="2561">
        <v>14</v>
      </c>
      <c r="G16" s="2575">
        <f t="shared" si="0"/>
        <v>14.25</v>
      </c>
      <c r="H16" s="2584" t="s">
        <v>172</v>
      </c>
      <c r="I16" s="2594">
        <v>46.6</v>
      </c>
      <c r="J16" s="2594">
        <v>45.6</v>
      </c>
      <c r="K16" s="2561">
        <v>46.1</v>
      </c>
      <c r="L16" s="2567">
        <f t="shared" si="1"/>
        <v>46.1</v>
      </c>
    </row>
    <row r="17" spans="2:12" ht="12.75">
      <c r="B17" s="2568" t="s">
        <v>1775</v>
      </c>
      <c r="C17" s="2565" t="s">
        <v>228</v>
      </c>
      <c r="D17" s="2561">
        <v>14.5</v>
      </c>
      <c r="E17" s="2561">
        <v>14.25</v>
      </c>
      <c r="F17" s="2561">
        <v>14</v>
      </c>
      <c r="G17" s="2575">
        <f t="shared" si="0"/>
        <v>14.25</v>
      </c>
      <c r="H17" s="2584" t="s">
        <v>172</v>
      </c>
      <c r="I17" s="2561">
        <v>47</v>
      </c>
      <c r="J17" s="2561">
        <v>44.9</v>
      </c>
      <c r="K17" s="2561">
        <v>46.1</v>
      </c>
      <c r="L17" s="2567">
        <f t="shared" si="1"/>
        <v>46</v>
      </c>
    </row>
    <row r="18" spans="2:12" ht="12.75" hidden="1">
      <c r="B18" s="2568" t="s">
        <v>1774</v>
      </c>
      <c r="C18" s="2565" t="s">
        <v>228</v>
      </c>
      <c r="D18" s="2561">
        <v>13.6</v>
      </c>
      <c r="E18" s="2561">
        <v>11.5</v>
      </c>
      <c r="F18" s="2561"/>
      <c r="G18" s="2575">
        <f t="shared" si="0"/>
        <v>8.3666666666666671</v>
      </c>
      <c r="H18" s="2584" t="s">
        <v>172</v>
      </c>
      <c r="I18" s="2561">
        <v>43.7</v>
      </c>
      <c r="J18" s="2561">
        <v>46.3</v>
      </c>
      <c r="K18" s="2561"/>
      <c r="L18" s="2567">
        <f t="shared" si="1"/>
        <v>30</v>
      </c>
    </row>
    <row r="19" spans="2:12" ht="12.75" hidden="1">
      <c r="B19" s="2568" t="s">
        <v>1773</v>
      </c>
      <c r="C19" s="2565" t="s">
        <v>228</v>
      </c>
      <c r="D19" s="2561">
        <v>13.6</v>
      </c>
      <c r="E19" s="2561">
        <v>11.5</v>
      </c>
      <c r="F19" s="2561"/>
      <c r="G19" s="2575">
        <f t="shared" si="0"/>
        <v>8.3666666666666671</v>
      </c>
      <c r="H19" s="2584" t="s">
        <v>172</v>
      </c>
      <c r="I19" s="2561">
        <v>43.7</v>
      </c>
      <c r="J19" s="2561">
        <v>46.3</v>
      </c>
      <c r="K19" s="2561"/>
      <c r="L19" s="2567">
        <f t="shared" si="1"/>
        <v>30</v>
      </c>
    </row>
    <row r="20" spans="2:12" ht="12.75">
      <c r="B20" s="2568" t="s">
        <v>1772</v>
      </c>
      <c r="C20" s="2565" t="s">
        <v>228</v>
      </c>
      <c r="D20" s="2561">
        <v>13</v>
      </c>
      <c r="E20" s="2561">
        <v>12</v>
      </c>
      <c r="F20" s="2561">
        <v>13</v>
      </c>
      <c r="G20" s="2575">
        <f t="shared" si="0"/>
        <v>12.666666666666666</v>
      </c>
      <c r="H20" s="2584" t="s">
        <v>172</v>
      </c>
      <c r="I20" s="2594">
        <v>67.5</v>
      </c>
      <c r="J20" s="2594">
        <v>53.1</v>
      </c>
      <c r="K20" s="2561">
        <v>67.8</v>
      </c>
      <c r="L20" s="2567">
        <f t="shared" si="1"/>
        <v>62.79999999999999</v>
      </c>
    </row>
    <row r="21" spans="2:12" ht="12.75">
      <c r="B21" s="2568" t="s">
        <v>1771</v>
      </c>
      <c r="C21" s="2565" t="s">
        <v>228</v>
      </c>
      <c r="D21" s="2561">
        <v>13</v>
      </c>
      <c r="E21" s="2561">
        <v>12</v>
      </c>
      <c r="F21" s="2561">
        <v>13</v>
      </c>
      <c r="G21" s="2575">
        <f t="shared" si="0"/>
        <v>12.666666666666666</v>
      </c>
      <c r="H21" s="2584" t="s">
        <v>172</v>
      </c>
      <c r="I21" s="2561">
        <v>67.400000000000006</v>
      </c>
      <c r="J21" s="2561">
        <v>58.5</v>
      </c>
      <c r="K21" s="2561">
        <v>67.8</v>
      </c>
      <c r="L21" s="2567">
        <f t="shared" si="1"/>
        <v>64.566666666666663</v>
      </c>
    </row>
    <row r="22" spans="2:12" ht="12.75">
      <c r="B22" s="2568" t="s">
        <v>1770</v>
      </c>
      <c r="C22" s="2565" t="s">
        <v>228</v>
      </c>
      <c r="D22" s="2561">
        <v>22.7</v>
      </c>
      <c r="E22" s="2561">
        <v>22.5</v>
      </c>
      <c r="F22" s="2561">
        <v>22.3</v>
      </c>
      <c r="G22" s="2575">
        <f t="shared" si="0"/>
        <v>22.5</v>
      </c>
      <c r="H22" s="2584" t="s">
        <v>172</v>
      </c>
      <c r="I22" s="2561">
        <v>60</v>
      </c>
      <c r="J22" s="2561">
        <v>55</v>
      </c>
      <c r="K22" s="2561">
        <v>60</v>
      </c>
      <c r="L22" s="2567">
        <f t="shared" si="1"/>
        <v>58.333333333333336</v>
      </c>
    </row>
    <row r="23" spans="2:12" ht="12.75">
      <c r="B23" s="2568" t="s">
        <v>1769</v>
      </c>
      <c r="C23" s="2565" t="s">
        <v>228</v>
      </c>
      <c r="D23" s="2561">
        <v>22.7</v>
      </c>
      <c r="E23" s="2561">
        <v>24.7</v>
      </c>
      <c r="F23" s="2561"/>
      <c r="G23" s="2575">
        <f t="shared" si="0"/>
        <v>15.799999999999999</v>
      </c>
      <c r="H23" s="2584" t="s">
        <v>172</v>
      </c>
      <c r="I23" s="2561">
        <v>50</v>
      </c>
      <c r="J23" s="2561">
        <v>45</v>
      </c>
      <c r="K23" s="2561"/>
      <c r="L23" s="2567">
        <f t="shared" si="1"/>
        <v>31.666666666666668</v>
      </c>
    </row>
    <row r="24" spans="2:12" ht="12.75">
      <c r="B24" s="2591" t="s">
        <v>70</v>
      </c>
      <c r="C24" s="2590" t="s">
        <v>228</v>
      </c>
      <c r="D24" s="2589">
        <v>17</v>
      </c>
      <c r="E24" s="2589">
        <v>15</v>
      </c>
      <c r="F24" s="2589">
        <v>14.2</v>
      </c>
      <c r="G24" s="2575">
        <f t="shared" si="0"/>
        <v>15.4</v>
      </c>
      <c r="H24" s="2588" t="s">
        <v>172</v>
      </c>
      <c r="I24" s="2587">
        <v>84.3</v>
      </c>
      <c r="J24" s="2587">
        <v>96.1</v>
      </c>
      <c r="K24" s="2593">
        <v>106.5</v>
      </c>
      <c r="L24" s="2567">
        <f t="shared" si="1"/>
        <v>95.633333333333326</v>
      </c>
    </row>
    <row r="25" spans="2:12" ht="12.75" hidden="1">
      <c r="B25" s="2568" t="s">
        <v>1768</v>
      </c>
      <c r="C25" s="2565" t="s">
        <v>228</v>
      </c>
      <c r="D25" s="2561">
        <v>15.6</v>
      </c>
      <c r="E25" s="2561">
        <v>13.8</v>
      </c>
      <c r="F25" s="2561"/>
      <c r="G25" s="2575">
        <f t="shared" si="0"/>
        <v>9.7999999999999989</v>
      </c>
      <c r="H25" s="2584" t="s">
        <v>172</v>
      </c>
      <c r="I25" s="2561">
        <v>103</v>
      </c>
      <c r="J25" s="2561">
        <v>130</v>
      </c>
      <c r="K25" s="2561"/>
      <c r="L25" s="2567">
        <f t="shared" si="1"/>
        <v>77.666666666666671</v>
      </c>
    </row>
    <row r="26" spans="2:12" ht="12.6" hidden="1" customHeight="1">
      <c r="B26" s="2568" t="s">
        <v>1767</v>
      </c>
      <c r="C26" s="2565" t="s">
        <v>228</v>
      </c>
      <c r="D26" s="2561">
        <v>21.5</v>
      </c>
      <c r="E26" s="2561">
        <v>15</v>
      </c>
      <c r="F26" s="2561"/>
      <c r="G26" s="2575">
        <f t="shared" si="0"/>
        <v>12.166666666666666</v>
      </c>
      <c r="H26" s="2584" t="s">
        <v>172</v>
      </c>
      <c r="I26" s="2561">
        <v>70</v>
      </c>
      <c r="J26" s="2561">
        <v>58.5</v>
      </c>
      <c r="K26" s="2561"/>
      <c r="L26" s="2567">
        <f t="shared" si="1"/>
        <v>42.833333333333336</v>
      </c>
    </row>
    <row r="27" spans="2:12" ht="12.75" hidden="1">
      <c r="B27" s="2568" t="s">
        <v>1766</v>
      </c>
      <c r="C27" s="2565" t="s">
        <v>228</v>
      </c>
      <c r="D27" s="2592"/>
      <c r="E27" s="2592"/>
      <c r="F27" s="2592"/>
      <c r="G27" s="2575">
        <f t="shared" si="0"/>
        <v>0</v>
      </c>
      <c r="H27" s="2584" t="s">
        <v>1765</v>
      </c>
      <c r="I27" s="2586"/>
      <c r="J27" s="2586"/>
      <c r="K27" s="2586"/>
      <c r="L27" s="2567">
        <f t="shared" si="1"/>
        <v>0</v>
      </c>
    </row>
    <row r="28" spans="2:12" ht="12.75" hidden="1">
      <c r="B28" s="2568" t="s">
        <v>1721</v>
      </c>
      <c r="C28" s="2565" t="s">
        <v>1764</v>
      </c>
      <c r="D28" s="2561">
        <v>2.4E-2</v>
      </c>
      <c r="E28" s="2561">
        <v>2.1000000000000001E-2</v>
      </c>
      <c r="F28" s="2561"/>
      <c r="G28" s="2575">
        <f t="shared" si="0"/>
        <v>1.4999999999999999E-2</v>
      </c>
      <c r="H28" s="2584" t="s">
        <v>172</v>
      </c>
      <c r="I28" s="2586">
        <v>70000</v>
      </c>
      <c r="J28" s="2586">
        <v>89000</v>
      </c>
      <c r="K28" s="2586"/>
      <c r="L28" s="2567">
        <f t="shared" si="1"/>
        <v>53000</v>
      </c>
    </row>
    <row r="29" spans="2:12" ht="12.6" customHeight="1">
      <c r="B29" s="2568" t="s">
        <v>1763</v>
      </c>
      <c r="C29" s="2565" t="s">
        <v>228</v>
      </c>
      <c r="D29" s="2561">
        <v>107.184</v>
      </c>
      <c r="E29" s="2561">
        <v>100.86</v>
      </c>
      <c r="F29" s="2561">
        <v>93.7</v>
      </c>
      <c r="G29" s="2575">
        <f t="shared" si="0"/>
        <v>100.58133333333332</v>
      </c>
      <c r="H29" s="2584" t="s">
        <v>172</v>
      </c>
      <c r="I29" s="2561">
        <v>36.25</v>
      </c>
      <c r="J29" s="2561">
        <v>41</v>
      </c>
      <c r="K29" s="2561">
        <v>44.3</v>
      </c>
      <c r="L29" s="2567">
        <f t="shared" si="1"/>
        <v>40.516666666666666</v>
      </c>
    </row>
    <row r="30" spans="2:12" ht="12.75">
      <c r="B30" s="2591" t="s">
        <v>1762</v>
      </c>
      <c r="C30" s="2590" t="s">
        <v>228</v>
      </c>
      <c r="D30" s="2589">
        <v>35</v>
      </c>
      <c r="E30" s="2589">
        <v>33.700000000000003</v>
      </c>
      <c r="F30" s="2589">
        <v>34.1</v>
      </c>
      <c r="G30" s="2575">
        <f t="shared" si="0"/>
        <v>34.266666666666673</v>
      </c>
      <c r="H30" s="2588" t="s">
        <v>172</v>
      </c>
      <c r="I30" s="2587">
        <v>40.799999999999997</v>
      </c>
      <c r="J30" s="2587">
        <v>38.799999999999997</v>
      </c>
      <c r="K30" s="2587">
        <f>$I$109</f>
        <v>37.700000000000003</v>
      </c>
      <c r="L30" s="2567">
        <f t="shared" si="1"/>
        <v>39.1</v>
      </c>
    </row>
    <row r="31" spans="2:12" ht="12.75">
      <c r="B31" s="2568" t="s">
        <v>1761</v>
      </c>
      <c r="C31" s="2565" t="s">
        <v>228</v>
      </c>
      <c r="D31" s="2561">
        <v>35</v>
      </c>
      <c r="E31" s="2561">
        <v>33.700000000000003</v>
      </c>
      <c r="F31" s="2561">
        <v>34.1</v>
      </c>
      <c r="G31" s="2575">
        <f t="shared" si="0"/>
        <v>34.266666666666673</v>
      </c>
      <c r="H31" s="2584" t="s">
        <v>172</v>
      </c>
      <c r="I31" s="2561">
        <v>24</v>
      </c>
      <c r="J31" s="2561">
        <v>22</v>
      </c>
      <c r="K31" s="2561">
        <v>24</v>
      </c>
      <c r="L31" s="2567">
        <f t="shared" si="1"/>
        <v>23.333333333333332</v>
      </c>
    </row>
    <row r="32" spans="2:12" ht="12.75">
      <c r="B32" s="2568" t="s">
        <v>60</v>
      </c>
      <c r="C32" s="2565" t="s">
        <v>228</v>
      </c>
      <c r="D32" s="2561">
        <v>37</v>
      </c>
      <c r="E32" s="2561">
        <v>35.700000000000003</v>
      </c>
      <c r="F32" s="2561">
        <v>37</v>
      </c>
      <c r="G32" s="2575">
        <f t="shared" si="0"/>
        <v>36.56666666666667</v>
      </c>
      <c r="H32" s="2584" t="s">
        <v>1760</v>
      </c>
      <c r="I32" s="2586">
        <v>24</v>
      </c>
      <c r="J32" s="2586">
        <v>22</v>
      </c>
      <c r="K32" s="2585">
        <v>24</v>
      </c>
      <c r="L32" s="2567">
        <f t="shared" si="1"/>
        <v>23.333333333333332</v>
      </c>
    </row>
    <row r="33" spans="1:16" ht="12.75" hidden="1">
      <c r="B33" s="2568" t="s">
        <v>1759</v>
      </c>
      <c r="C33" s="2565" t="s">
        <v>1758</v>
      </c>
      <c r="D33" s="2561">
        <v>0.33</v>
      </c>
      <c r="E33" s="2561">
        <v>0.31</v>
      </c>
      <c r="F33" s="2561"/>
      <c r="G33" s="2575">
        <f t="shared" si="0"/>
        <v>0.21333333333333335</v>
      </c>
      <c r="H33" s="2584" t="s">
        <v>172</v>
      </c>
      <c r="I33" s="2561">
        <v>6500</v>
      </c>
      <c r="J33" s="2561">
        <v>7400</v>
      </c>
      <c r="K33" s="2561"/>
      <c r="L33" s="2567">
        <f t="shared" si="1"/>
        <v>4633.333333333333</v>
      </c>
    </row>
    <row r="34" spans="1:16" ht="12.75">
      <c r="B34" s="2568" t="s">
        <v>195</v>
      </c>
      <c r="C34" s="2565" t="s">
        <v>228</v>
      </c>
      <c r="D34" s="2561">
        <v>40</v>
      </c>
      <c r="E34" s="2561">
        <v>42</v>
      </c>
      <c r="F34" s="2561">
        <v>31</v>
      </c>
      <c r="G34" s="2575">
        <f t="shared" si="0"/>
        <v>37.666666666666664</v>
      </c>
      <c r="H34" s="2584" t="s">
        <v>172</v>
      </c>
      <c r="I34" s="2561">
        <v>260</v>
      </c>
      <c r="J34" s="2561">
        <v>240</v>
      </c>
      <c r="K34" s="2561">
        <v>260</v>
      </c>
      <c r="L34" s="2567">
        <f t="shared" si="1"/>
        <v>253.33333333333334</v>
      </c>
    </row>
    <row r="35" spans="1:16" ht="12.75">
      <c r="B35" s="2568" t="s">
        <v>929</v>
      </c>
      <c r="C35" s="2565" t="s">
        <v>228</v>
      </c>
      <c r="D35" s="2581">
        <v>21</v>
      </c>
      <c r="E35" s="2581">
        <v>18</v>
      </c>
      <c r="F35" s="2581">
        <v>13.5</v>
      </c>
      <c r="G35" s="2575">
        <f t="shared" si="0"/>
        <v>17.5</v>
      </c>
      <c r="H35" s="2583" t="s">
        <v>172</v>
      </c>
      <c r="I35" s="2582">
        <v>369.4</v>
      </c>
      <c r="J35" s="2582">
        <v>365.6</v>
      </c>
      <c r="K35" s="2581">
        <v>480</v>
      </c>
      <c r="L35" s="2567">
        <f t="shared" si="1"/>
        <v>405</v>
      </c>
    </row>
    <row r="36" spans="1:16" ht="12.75">
      <c r="B36" s="2568" t="s">
        <v>1757</v>
      </c>
      <c r="C36" s="2388" t="s">
        <v>228</v>
      </c>
      <c r="D36" s="2579">
        <v>30</v>
      </c>
      <c r="E36" s="2579">
        <v>28</v>
      </c>
      <c r="F36" s="2579">
        <v>25</v>
      </c>
      <c r="G36" s="2575">
        <f t="shared" si="0"/>
        <v>27.666666666666668</v>
      </c>
      <c r="H36" s="2580" t="s">
        <v>172</v>
      </c>
      <c r="I36" s="2579">
        <v>245</v>
      </c>
      <c r="J36" s="2579">
        <v>170</v>
      </c>
      <c r="K36" s="2579">
        <v>250</v>
      </c>
      <c r="L36" s="2567">
        <f t="shared" si="1"/>
        <v>221.66666666666666</v>
      </c>
    </row>
    <row r="37" spans="1:16" ht="13.5" thickBot="1">
      <c r="A37" s="2578"/>
      <c r="B37" s="2577" t="s">
        <v>45</v>
      </c>
      <c r="C37" s="2576" t="s">
        <v>228</v>
      </c>
      <c r="D37" s="2572">
        <v>3.63</v>
      </c>
      <c r="E37" s="2572">
        <v>3.53</v>
      </c>
      <c r="F37" s="2572">
        <v>3</v>
      </c>
      <c r="G37" s="2575">
        <f t="shared" si="0"/>
        <v>3.3866666666666667</v>
      </c>
      <c r="H37" s="2574" t="s">
        <v>172</v>
      </c>
      <c r="I37" s="2573">
        <v>673.8</v>
      </c>
      <c r="J37" s="2573">
        <v>775.2</v>
      </c>
      <c r="K37" s="2572">
        <v>910</v>
      </c>
      <c r="L37" s="2567">
        <f t="shared" si="1"/>
        <v>786.33333333333337</v>
      </c>
    </row>
    <row r="38" spans="1:16" ht="14.25" hidden="1" thickTop="1" thickBot="1">
      <c r="B38" s="2568" t="s">
        <v>1756</v>
      </c>
      <c r="C38" s="2565" t="s">
        <v>228</v>
      </c>
      <c r="D38" s="2571"/>
      <c r="E38" s="2571"/>
      <c r="F38" s="2571"/>
      <c r="G38" s="2571"/>
      <c r="H38" s="2571"/>
      <c r="I38" s="2569" t="e">
        <f>(D38*$D$4+E38*$E$4+F38*$F$4+G38*#REF!+H38*#REF!)/($D$4+$E$4+$F$4+#REF!+#REF!)</f>
        <v>#REF!</v>
      </c>
      <c r="J38" s="2633" t="s">
        <v>172</v>
      </c>
      <c r="K38" s="2571"/>
      <c r="L38" s="2570"/>
      <c r="M38" s="2570"/>
      <c r="N38" s="2570"/>
      <c r="O38" s="2570"/>
      <c r="P38" s="2569" t="e">
        <f>(K38*$D$4+L38*$E$4+M38*$F$4+N38*#REF!+O38*#REF!)/($D$4+$E$4+$F$4+#REF!+#REF!)</f>
        <v>#REF!</v>
      </c>
    </row>
    <row r="39" spans="1:16" ht="14.25" hidden="1" thickTop="1" thickBot="1">
      <c r="B39" s="2568" t="s">
        <v>1755</v>
      </c>
      <c r="C39" s="2565" t="s">
        <v>228</v>
      </c>
      <c r="D39" s="2562"/>
      <c r="E39" s="2562"/>
      <c r="F39" s="2562"/>
      <c r="G39" s="2562"/>
      <c r="H39" s="2562"/>
      <c r="I39" s="2560" t="e">
        <f>(D39*$D$4+E39*$E$4+F39*$F$4+G39*#REF!+H39*#REF!)/($D$4+$E$4+$F$4+#REF!+#REF!)</f>
        <v>#REF!</v>
      </c>
      <c r="J39" s="2563" t="s">
        <v>172</v>
      </c>
      <c r="K39" s="2562"/>
      <c r="L39" s="2561"/>
      <c r="M39" s="2561"/>
      <c r="N39" s="2561"/>
      <c r="O39" s="2561"/>
      <c r="P39" s="2560" t="e">
        <f>(K39*$D$4+L39*$E$4+M39*$F$4+N39*#REF!+O39*#REF!)/($D$4+$E$4+$F$4+#REF!+#REF!)</f>
        <v>#REF!</v>
      </c>
    </row>
    <row r="40" spans="1:16" ht="14.25" hidden="1" thickTop="1" thickBot="1">
      <c r="B40" s="2566" t="s">
        <v>1754</v>
      </c>
      <c r="C40" s="2565" t="s">
        <v>228</v>
      </c>
      <c r="D40" s="2564"/>
      <c r="E40" s="2564"/>
      <c r="F40" s="2564"/>
      <c r="G40" s="2564"/>
      <c r="H40" s="2564"/>
      <c r="I40" s="2560"/>
      <c r="J40" s="2563"/>
      <c r="K40" s="2562"/>
      <c r="L40" s="2561"/>
      <c r="M40" s="2561"/>
      <c r="N40" s="2561"/>
      <c r="O40" s="2561"/>
      <c r="P40" s="2560"/>
    </row>
    <row r="41" spans="1:16" ht="12.75" thickTop="1">
      <c r="A41" s="2559"/>
      <c r="B41" s="2558"/>
    </row>
    <row r="44" spans="1:16" ht="12.75">
      <c r="B44" s="2016" t="s">
        <v>1753</v>
      </c>
    </row>
    <row r="45" spans="1:16" ht="15.75" hidden="1">
      <c r="B45" s="2557" t="s">
        <v>1752</v>
      </c>
    </row>
    <row r="46" spans="1:16" ht="12.75" hidden="1">
      <c r="B46" s="2556" t="s">
        <v>1751</v>
      </c>
      <c r="C46" s="2547"/>
      <c r="D46" s="2547"/>
      <c r="E46" s="2547"/>
      <c r="F46" s="2555">
        <v>2011</v>
      </c>
      <c r="G46" s="2555">
        <v>2010</v>
      </c>
      <c r="H46" s="2555">
        <v>2009</v>
      </c>
      <c r="I46" s="2554">
        <v>2008</v>
      </c>
      <c r="J46" s="2554">
        <v>2007</v>
      </c>
      <c r="K46" s="2554"/>
      <c r="L46" s="2553" t="s">
        <v>1750</v>
      </c>
    </row>
    <row r="47" spans="1:16" ht="12.75" hidden="1">
      <c r="B47" s="2547"/>
      <c r="C47" s="2547"/>
      <c r="D47" s="2547"/>
      <c r="E47" s="2547"/>
      <c r="F47" s="2547"/>
      <c r="G47" s="2552"/>
      <c r="H47" s="2552"/>
      <c r="I47" s="2551"/>
      <c r="J47" s="2551"/>
      <c r="K47" s="2551"/>
      <c r="L47" s="2550"/>
    </row>
    <row r="48" spans="1:16" ht="12.75" hidden="1">
      <c r="B48" s="2549" t="s">
        <v>269</v>
      </c>
      <c r="C48" s="2547"/>
      <c r="D48" s="2547"/>
      <c r="E48" s="2547"/>
      <c r="F48" s="2548">
        <v>69.8</v>
      </c>
      <c r="G48" s="2547">
        <v>69</v>
      </c>
      <c r="H48" s="2547">
        <v>73.5</v>
      </c>
      <c r="I48" s="2546">
        <v>74.400000000000006</v>
      </c>
      <c r="J48" s="2546">
        <v>72.3</v>
      </c>
      <c r="K48" s="2546"/>
      <c r="L48" s="2546">
        <v>71.800000000000011</v>
      </c>
    </row>
    <row r="49" spans="2:12" ht="12.75" hidden="1">
      <c r="B49" s="2549" t="s">
        <v>81</v>
      </c>
      <c r="C49" s="2547"/>
      <c r="D49" s="2547"/>
      <c r="E49" s="2547"/>
      <c r="F49" s="2548"/>
      <c r="G49" s="2547">
        <v>56.1</v>
      </c>
      <c r="H49" s="2547">
        <v>60.1</v>
      </c>
      <c r="I49" s="2546">
        <v>59.1</v>
      </c>
      <c r="J49" s="2546">
        <v>54.8</v>
      </c>
      <c r="K49" s="2546"/>
      <c r="L49" s="2546">
        <v>57.525000000000006</v>
      </c>
    </row>
    <row r="50" spans="2:12" ht="12.75" hidden="1">
      <c r="B50" s="2549" t="s">
        <v>73</v>
      </c>
      <c r="C50" s="2547"/>
      <c r="D50" s="2547"/>
      <c r="E50" s="2547"/>
      <c r="F50" s="2548"/>
      <c r="G50" s="2547">
        <v>53.4</v>
      </c>
      <c r="H50" s="2547">
        <v>55.2</v>
      </c>
      <c r="I50" s="2546">
        <v>60.4</v>
      </c>
      <c r="J50" s="2546">
        <v>48.8</v>
      </c>
      <c r="K50" s="2546"/>
      <c r="L50" s="2546">
        <v>54.45</v>
      </c>
    </row>
    <row r="51" spans="2:12" ht="12.75" hidden="1">
      <c r="B51" s="2549" t="s">
        <v>1313</v>
      </c>
      <c r="C51" s="2547"/>
      <c r="D51" s="2547"/>
      <c r="E51" s="2547"/>
      <c r="F51" s="2548"/>
      <c r="G51" s="2547">
        <v>55.7</v>
      </c>
      <c r="H51" s="2547">
        <v>60.2</v>
      </c>
      <c r="I51" s="2546">
        <v>58.8</v>
      </c>
      <c r="J51" s="2546">
        <v>53.1</v>
      </c>
      <c r="K51" s="2546"/>
      <c r="L51" s="2546">
        <v>56.949999999999996</v>
      </c>
    </row>
    <row r="52" spans="2:12" ht="12.75" hidden="1">
      <c r="B52" s="2549" t="s">
        <v>88</v>
      </c>
      <c r="C52" s="2547"/>
      <c r="D52" s="2547"/>
      <c r="E52" s="2547"/>
      <c r="F52" s="2548">
        <v>67.5</v>
      </c>
      <c r="G52" s="2547">
        <v>65.900000000000006</v>
      </c>
      <c r="H52" s="2547">
        <v>69</v>
      </c>
      <c r="I52" s="2546">
        <v>68.099999999999994</v>
      </c>
      <c r="J52" s="2546">
        <v>67.400000000000006</v>
      </c>
      <c r="K52" s="2546"/>
      <c r="L52" s="2546">
        <v>67.58</v>
      </c>
    </row>
    <row r="53" spans="2:12" ht="12.75" hidden="1">
      <c r="B53" s="2549" t="s">
        <v>86</v>
      </c>
      <c r="C53" s="2547"/>
      <c r="D53" s="2547"/>
      <c r="E53" s="2547"/>
      <c r="F53" s="2548">
        <v>61.7</v>
      </c>
      <c r="G53" s="2547">
        <v>62.1</v>
      </c>
      <c r="H53" s="2547">
        <v>65.599999999999994</v>
      </c>
      <c r="I53" s="2546">
        <v>58.4</v>
      </c>
      <c r="J53" s="2546">
        <v>60.2</v>
      </c>
      <c r="K53" s="2546"/>
      <c r="L53" s="2546">
        <v>61.6</v>
      </c>
    </row>
    <row r="54" spans="2:12" ht="12.75" hidden="1">
      <c r="B54" s="2549" t="s">
        <v>267</v>
      </c>
      <c r="C54" s="2547"/>
      <c r="D54" s="2547"/>
      <c r="E54" s="2547"/>
      <c r="F54" s="2548">
        <v>50.4</v>
      </c>
      <c r="G54" s="2547">
        <v>55</v>
      </c>
      <c r="H54" s="2547">
        <v>55.3</v>
      </c>
      <c r="I54" s="2546">
        <v>53.2</v>
      </c>
      <c r="J54" s="2546">
        <v>44.3</v>
      </c>
      <c r="K54" s="2546"/>
      <c r="L54" s="2546">
        <v>51.64</v>
      </c>
    </row>
    <row r="55" spans="2:12" ht="12.75" hidden="1">
      <c r="B55" s="2549" t="s">
        <v>75</v>
      </c>
      <c r="C55" s="2547"/>
      <c r="D55" s="2547"/>
      <c r="E55" s="2547"/>
      <c r="F55" s="2548">
        <v>47.8</v>
      </c>
      <c r="G55" s="2547">
        <v>49.5</v>
      </c>
      <c r="H55" s="2547">
        <v>59</v>
      </c>
      <c r="I55" s="2546">
        <v>55.5</v>
      </c>
      <c r="J55" s="2546">
        <v>44.7</v>
      </c>
      <c r="K55" s="2546"/>
      <c r="L55" s="2546">
        <v>51.3</v>
      </c>
    </row>
    <row r="56" spans="2:12" ht="12.75" hidden="1">
      <c r="B56" s="2549" t="s">
        <v>1749</v>
      </c>
      <c r="C56" s="2547"/>
      <c r="D56" s="2547"/>
      <c r="E56" s="2547"/>
      <c r="F56" s="2548">
        <v>121.2</v>
      </c>
      <c r="G56" s="2547">
        <v>98.5</v>
      </c>
      <c r="H56" s="2547">
        <v>109.2</v>
      </c>
      <c r="I56" s="2546">
        <v>105.4</v>
      </c>
      <c r="J56" s="2546">
        <v>97.9</v>
      </c>
      <c r="K56" s="2546"/>
      <c r="L56" s="2546">
        <v>106.43999999999998</v>
      </c>
    </row>
    <row r="57" spans="2:12" ht="12.75" hidden="1">
      <c r="B57" s="2549" t="s">
        <v>45</v>
      </c>
      <c r="C57" s="2547"/>
      <c r="D57" s="2547"/>
      <c r="E57" s="2547"/>
      <c r="F57" s="2548">
        <v>802.5</v>
      </c>
      <c r="G57" s="2547">
        <v>689.9</v>
      </c>
      <c r="H57" s="2547">
        <v>727.2</v>
      </c>
      <c r="I57" s="2546">
        <v>667.8</v>
      </c>
      <c r="J57" s="2546">
        <v>644.20000000000005</v>
      </c>
      <c r="K57" s="2546"/>
      <c r="L57" s="2546">
        <v>706.32</v>
      </c>
    </row>
    <row r="58" spans="2:12" ht="12.75" hidden="1">
      <c r="B58" s="2549" t="s">
        <v>195</v>
      </c>
      <c r="C58" s="2547"/>
      <c r="D58" s="2547"/>
      <c r="E58" s="2547"/>
      <c r="F58" s="2548"/>
      <c r="G58" s="2547"/>
      <c r="H58" s="2547">
        <v>270.7</v>
      </c>
      <c r="I58" s="2546">
        <v>282.39999999999998</v>
      </c>
      <c r="J58" s="2546">
        <v>283.7</v>
      </c>
      <c r="K58" s="2546"/>
      <c r="L58" s="2546">
        <v>278.93333333333334</v>
      </c>
    </row>
    <row r="59" spans="2:12" ht="12.75" hidden="1">
      <c r="B59" s="2549" t="s">
        <v>1748</v>
      </c>
      <c r="C59" s="2547"/>
      <c r="D59" s="2547"/>
      <c r="E59" s="2547"/>
      <c r="F59" s="2548"/>
      <c r="G59" s="2547"/>
      <c r="H59" s="2547">
        <v>387.2</v>
      </c>
      <c r="I59" s="2546">
        <v>371.3</v>
      </c>
      <c r="J59" s="2546">
        <v>363.3</v>
      </c>
      <c r="K59" s="2546"/>
      <c r="L59" s="2546">
        <v>373.93333333333334</v>
      </c>
    </row>
    <row r="60" spans="2:12" ht="12.75" hidden="1">
      <c r="B60" s="2549" t="s">
        <v>1010</v>
      </c>
      <c r="C60" s="2547"/>
      <c r="D60" s="2547"/>
      <c r="E60" s="2547"/>
      <c r="F60" s="2548">
        <v>443.2</v>
      </c>
      <c r="G60" s="2547">
        <v>346.8</v>
      </c>
      <c r="H60" s="2547"/>
      <c r="I60" s="2546"/>
      <c r="J60" s="2546">
        <v>349.9</v>
      </c>
      <c r="K60" s="2546"/>
      <c r="L60" s="2546">
        <v>379.9666666666667</v>
      </c>
    </row>
    <row r="61" spans="2:12" ht="12.75" hidden="1">
      <c r="B61" s="2549" t="s">
        <v>64</v>
      </c>
      <c r="C61" s="2547"/>
      <c r="D61" s="2547"/>
      <c r="E61" s="2547"/>
      <c r="F61" s="2548">
        <v>26.5</v>
      </c>
      <c r="G61" s="2547">
        <v>38.799999999999997</v>
      </c>
      <c r="H61" s="2547">
        <v>41.8</v>
      </c>
      <c r="I61" s="2546">
        <v>37.4</v>
      </c>
      <c r="J61" s="2546">
        <v>42.1</v>
      </c>
      <c r="K61" s="2546"/>
      <c r="L61" s="2546">
        <v>37.32</v>
      </c>
    </row>
    <row r="62" spans="2:12" ht="12.75" hidden="1">
      <c r="B62" s="2549" t="s">
        <v>62</v>
      </c>
      <c r="C62" s="2547"/>
      <c r="D62" s="2547"/>
      <c r="E62" s="2547"/>
      <c r="F62" s="2548"/>
      <c r="G62" s="2547">
        <v>25.2</v>
      </c>
      <c r="H62" s="2547">
        <v>24.4</v>
      </c>
      <c r="I62" s="2546">
        <v>26.2</v>
      </c>
      <c r="J62" s="2546">
        <v>24.9</v>
      </c>
      <c r="K62" s="2546"/>
      <c r="L62" s="2546">
        <v>25.174999999999997</v>
      </c>
    </row>
    <row r="63" spans="2:12" ht="12.75" hidden="1">
      <c r="B63" s="2549" t="s">
        <v>54</v>
      </c>
      <c r="C63" s="2547"/>
      <c r="D63" s="2547"/>
      <c r="E63" s="2547"/>
      <c r="F63" s="2548"/>
      <c r="G63" s="2547">
        <v>34.6</v>
      </c>
      <c r="H63" s="2547">
        <v>35.9</v>
      </c>
      <c r="I63" s="2546">
        <v>36.700000000000003</v>
      </c>
      <c r="J63" s="2546">
        <v>34</v>
      </c>
      <c r="K63" s="2546"/>
      <c r="L63" s="2546">
        <v>35.299999999999997</v>
      </c>
    </row>
    <row r="64" spans="2:12" ht="12.75" hidden="1">
      <c r="B64" s="2549" t="s">
        <v>52</v>
      </c>
      <c r="C64" s="2547"/>
      <c r="D64" s="2547"/>
      <c r="E64" s="2547"/>
      <c r="F64" s="2548"/>
      <c r="G64" s="2547">
        <v>32.299999999999997</v>
      </c>
      <c r="H64" s="2547">
        <v>33.5</v>
      </c>
      <c r="I64" s="2546">
        <v>35</v>
      </c>
      <c r="J64" s="2546">
        <v>31.6</v>
      </c>
      <c r="K64" s="2546"/>
      <c r="L64" s="2546">
        <v>33.1</v>
      </c>
    </row>
    <row r="65" spans="2:12" ht="12.75" hidden="1">
      <c r="B65" s="2549" t="s">
        <v>1721</v>
      </c>
      <c r="C65" s="2547"/>
      <c r="D65" s="2547"/>
      <c r="E65" s="2547"/>
      <c r="F65" s="2548">
        <v>484.8</v>
      </c>
      <c r="G65" s="2547">
        <v>439.1</v>
      </c>
      <c r="H65" s="2547">
        <v>484.4</v>
      </c>
      <c r="I65" s="2546">
        <v>478.4</v>
      </c>
      <c r="J65" s="2546">
        <v>469.5</v>
      </c>
      <c r="K65" s="2546"/>
      <c r="L65" s="2546">
        <v>471.24000000000007</v>
      </c>
    </row>
    <row r="66" spans="2:12" ht="12.75" hidden="1">
      <c r="B66" s="2549" t="s">
        <v>1747</v>
      </c>
      <c r="C66" s="2547"/>
      <c r="D66" s="2547"/>
      <c r="E66" s="2547"/>
      <c r="F66" s="2548"/>
      <c r="G66" s="2547"/>
      <c r="H66" s="2547">
        <v>80.099999999999994</v>
      </c>
      <c r="I66" s="2546">
        <v>76.5</v>
      </c>
      <c r="J66" s="2546">
        <v>76.2</v>
      </c>
      <c r="K66" s="2546"/>
      <c r="L66" s="2546">
        <v>77.600000000000009</v>
      </c>
    </row>
    <row r="67" spans="2:12" ht="12.75" hidden="1">
      <c r="B67" s="2549" t="s">
        <v>1746</v>
      </c>
      <c r="C67" s="2547"/>
      <c r="D67" s="2547"/>
      <c r="E67" s="2547"/>
      <c r="F67" s="2548"/>
      <c r="G67" s="2547"/>
      <c r="H67" s="2547">
        <v>82</v>
      </c>
      <c r="I67" s="2546">
        <v>78.5</v>
      </c>
      <c r="J67" s="2546">
        <v>81.2</v>
      </c>
      <c r="K67" s="2546"/>
      <c r="L67" s="2546">
        <v>80.566666666666663</v>
      </c>
    </row>
    <row r="68" spans="2:12" ht="12.75" hidden="1">
      <c r="B68" s="2549" t="s">
        <v>1745</v>
      </c>
      <c r="C68" s="2547"/>
      <c r="D68" s="2547"/>
      <c r="E68" s="2547"/>
      <c r="F68" s="2548">
        <v>66.599999999999994</v>
      </c>
      <c r="G68" s="2547">
        <v>63.6</v>
      </c>
      <c r="H68" s="2547"/>
      <c r="I68" s="2546"/>
      <c r="J68" s="2546"/>
      <c r="K68" s="2546"/>
      <c r="L68" s="2546">
        <v>65.099999999999994</v>
      </c>
    </row>
    <row r="69" spans="2:12" ht="12.75" hidden="1">
      <c r="B69" s="2549" t="s">
        <v>1744</v>
      </c>
      <c r="C69" s="2547"/>
      <c r="D69" s="2547"/>
      <c r="E69" s="2547"/>
      <c r="F69" s="2548">
        <v>57.2</v>
      </c>
      <c r="G69" s="2547">
        <v>57.5</v>
      </c>
      <c r="H69" s="2547">
        <v>72.8</v>
      </c>
      <c r="I69" s="2546">
        <v>71.2</v>
      </c>
      <c r="J69" s="2546">
        <v>73</v>
      </c>
      <c r="K69" s="2546"/>
      <c r="L69" s="2546">
        <v>66.34</v>
      </c>
    </row>
    <row r="70" spans="2:12" ht="12.75" hidden="1">
      <c r="B70" s="2549" t="s">
        <v>1743</v>
      </c>
      <c r="C70" s="2547"/>
      <c r="D70" s="2547"/>
      <c r="E70" s="2547"/>
      <c r="F70" s="2548">
        <v>66</v>
      </c>
      <c r="G70" s="2547">
        <v>62.9</v>
      </c>
      <c r="H70" s="2547">
        <v>76.3</v>
      </c>
      <c r="I70" s="2546">
        <v>75.3</v>
      </c>
      <c r="J70" s="2546">
        <v>73.099999999999994</v>
      </c>
      <c r="K70" s="2546"/>
      <c r="L70" s="2546">
        <v>70.72</v>
      </c>
    </row>
    <row r="71" spans="2:12" ht="12.75">
      <c r="C71" s="4144" t="s">
        <v>1742</v>
      </c>
      <c r="D71" s="4145"/>
      <c r="E71" s="4145"/>
      <c r="F71" s="4145"/>
      <c r="G71" s="4145"/>
    </row>
    <row r="72" spans="2:12">
      <c r="B72" s="4146" t="s">
        <v>1741</v>
      </c>
      <c r="C72" s="2539">
        <v>2013</v>
      </c>
      <c r="D72" s="2539">
        <v>2014</v>
      </c>
      <c r="E72" s="2539">
        <v>2015</v>
      </c>
      <c r="F72" s="2539">
        <v>2016</v>
      </c>
      <c r="G72" s="2539">
        <v>2017</v>
      </c>
    </row>
    <row r="73" spans="2:12" ht="12.75">
      <c r="B73" s="4147"/>
      <c r="C73" s="4148" t="s">
        <v>172</v>
      </c>
      <c r="D73" s="4149"/>
      <c r="E73" s="4149"/>
      <c r="F73" s="4149"/>
      <c r="G73" s="4149"/>
    </row>
    <row r="74" spans="2:12" ht="12.75">
      <c r="B74" s="2544" t="s">
        <v>269</v>
      </c>
      <c r="C74" s="2541">
        <v>74.099999999999994</v>
      </c>
      <c r="D74" s="2541">
        <v>83.5</v>
      </c>
      <c r="E74" s="2541">
        <v>76.3</v>
      </c>
      <c r="F74" s="2541">
        <v>66.099999999999994</v>
      </c>
      <c r="G74" s="2541" t="s">
        <v>1720</v>
      </c>
    </row>
    <row r="75" spans="2:12" ht="12.75">
      <c r="B75" s="2544" t="s">
        <v>86</v>
      </c>
      <c r="C75" s="2541">
        <v>68.3</v>
      </c>
      <c r="D75" s="2541">
        <v>76.2</v>
      </c>
      <c r="E75" s="2541">
        <v>67.400000000000006</v>
      </c>
      <c r="F75" s="2541">
        <v>67.400000000000006</v>
      </c>
      <c r="G75" s="2541" t="s">
        <v>1720</v>
      </c>
    </row>
    <row r="76" spans="2:12" ht="12.75">
      <c r="B76" s="2544" t="s">
        <v>267</v>
      </c>
      <c r="C76" s="2541">
        <v>55.4</v>
      </c>
      <c r="D76" s="2541">
        <v>59.7</v>
      </c>
      <c r="E76" s="2541">
        <v>53.9</v>
      </c>
      <c r="F76" s="2541">
        <v>49.6</v>
      </c>
      <c r="G76" s="2541" t="s">
        <v>1720</v>
      </c>
    </row>
    <row r="77" spans="2:12" ht="12.75">
      <c r="B77" s="2544" t="s">
        <v>75</v>
      </c>
      <c r="C77" s="2541">
        <v>45.2</v>
      </c>
      <c r="D77" s="2541">
        <v>52.5</v>
      </c>
      <c r="E77" s="2541">
        <v>46.6</v>
      </c>
      <c r="F77" s="2541">
        <v>45.6</v>
      </c>
      <c r="G77" s="2541" t="s">
        <v>1720</v>
      </c>
    </row>
    <row r="78" spans="2:12" ht="12.75">
      <c r="B78" s="2544" t="s">
        <v>88</v>
      </c>
      <c r="C78" s="2541">
        <v>69.900000000000006</v>
      </c>
      <c r="D78" s="2541">
        <v>74.400000000000006</v>
      </c>
      <c r="E78" s="2541">
        <v>67.5</v>
      </c>
      <c r="F78" s="2541">
        <v>53.1</v>
      </c>
      <c r="G78" s="2541" t="s">
        <v>1720</v>
      </c>
    </row>
    <row r="79" spans="2:12" ht="12.75">
      <c r="B79" s="2544" t="s">
        <v>70</v>
      </c>
      <c r="C79" s="2541">
        <v>95.6</v>
      </c>
      <c r="D79" s="2541">
        <v>115.7</v>
      </c>
      <c r="E79" s="2541">
        <v>84.3</v>
      </c>
      <c r="F79" s="2541">
        <v>96.1</v>
      </c>
      <c r="G79" s="2541" t="s">
        <v>1720</v>
      </c>
    </row>
    <row r="80" spans="2:12" ht="12.75">
      <c r="B80" s="2544" t="s">
        <v>1010</v>
      </c>
      <c r="C80" s="2541">
        <v>364.9</v>
      </c>
      <c r="D80" s="2541">
        <v>473.2</v>
      </c>
      <c r="E80" s="2541">
        <v>369.4</v>
      </c>
      <c r="F80" s="2541">
        <v>365.6</v>
      </c>
      <c r="G80" s="2541" t="s">
        <v>1720</v>
      </c>
    </row>
    <row r="81" spans="2:10" ht="12.75">
      <c r="B81" s="2544" t="s">
        <v>45</v>
      </c>
      <c r="C81" s="2541">
        <v>753.9</v>
      </c>
      <c r="D81" s="2541">
        <v>878.4</v>
      </c>
      <c r="E81" s="2541">
        <v>673.8</v>
      </c>
      <c r="F81" s="2541">
        <v>775.2</v>
      </c>
      <c r="G81" s="2541" t="s">
        <v>1720</v>
      </c>
    </row>
    <row r="82" spans="2:10" ht="12.75">
      <c r="B82" s="2544" t="s">
        <v>64</v>
      </c>
      <c r="C82" s="2541">
        <v>37</v>
      </c>
      <c r="D82" s="2541">
        <v>47.2</v>
      </c>
      <c r="E82" s="2541">
        <v>40.799999999999997</v>
      </c>
      <c r="F82" s="2541">
        <v>38.799999999999997</v>
      </c>
      <c r="G82" s="2541" t="s">
        <v>1720</v>
      </c>
    </row>
    <row r="83" spans="2:10" ht="12.75">
      <c r="B83" s="2544" t="s">
        <v>1721</v>
      </c>
      <c r="C83" s="2541">
        <v>426.6</v>
      </c>
      <c r="D83" s="2541">
        <v>485.3</v>
      </c>
      <c r="E83" s="2541">
        <v>393.2</v>
      </c>
      <c r="F83" s="2541">
        <v>427.1</v>
      </c>
      <c r="G83" s="2541" t="s">
        <v>1720</v>
      </c>
    </row>
    <row r="84" spans="2:10" ht="14.25">
      <c r="B84" s="2544" t="s">
        <v>1740</v>
      </c>
      <c r="C84" s="2541">
        <v>56.6</v>
      </c>
      <c r="D84" s="2541">
        <v>59.1</v>
      </c>
      <c r="E84" s="2541">
        <v>48.5</v>
      </c>
      <c r="F84" s="2541">
        <v>61.9</v>
      </c>
      <c r="G84" s="2541" t="s">
        <v>1720</v>
      </c>
    </row>
    <row r="85" spans="2:10" ht="14.25">
      <c r="B85" s="2544" t="s">
        <v>1739</v>
      </c>
      <c r="C85" s="2541">
        <v>63.4</v>
      </c>
      <c r="D85" s="2541">
        <v>57.5</v>
      </c>
      <c r="E85" s="2541">
        <v>47.4</v>
      </c>
      <c r="F85" s="2541">
        <v>52.3</v>
      </c>
      <c r="G85" s="2541" t="s">
        <v>1720</v>
      </c>
    </row>
    <row r="87" spans="2:10" ht="13.15" customHeight="1">
      <c r="B87" s="4150" t="s">
        <v>1738</v>
      </c>
      <c r="C87" s="4150"/>
      <c r="D87" s="4150"/>
      <c r="E87" s="4150"/>
      <c r="F87" s="4150"/>
      <c r="G87" s="4150"/>
      <c r="H87" s="4150"/>
      <c r="I87" s="4150"/>
      <c r="J87" s="4150"/>
    </row>
    <row r="88" spans="2:10" ht="12.75">
      <c r="B88" s="4151" t="s">
        <v>1737</v>
      </c>
      <c r="C88" s="4151" t="s">
        <v>1736</v>
      </c>
      <c r="D88" s="4151"/>
      <c r="E88" s="4151"/>
      <c r="F88" s="4151"/>
      <c r="G88" s="4151"/>
      <c r="H88" s="4150"/>
      <c r="I88" s="4150"/>
      <c r="J88" s="2545"/>
    </row>
    <row r="89" spans="2:10" ht="12.75">
      <c r="B89" s="4151"/>
      <c r="C89" s="4151"/>
      <c r="D89" s="4151"/>
      <c r="E89" s="4151"/>
      <c r="F89" s="4151"/>
      <c r="G89" s="4151"/>
      <c r="H89" s="4150"/>
      <c r="I89" s="4150"/>
      <c r="J89" s="2545"/>
    </row>
    <row r="90" spans="2:10" ht="26.45" customHeight="1">
      <c r="B90" s="4151"/>
      <c r="C90" s="4151"/>
      <c r="D90" s="4151"/>
      <c r="E90" s="4151"/>
      <c r="F90" s="4151"/>
      <c r="G90" s="4151"/>
      <c r="H90" s="4150"/>
      <c r="I90" s="4150"/>
      <c r="J90" s="2545"/>
    </row>
    <row r="91" spans="2:10" ht="38.25">
      <c r="B91" s="4151"/>
      <c r="C91" s="2545" t="s">
        <v>1735</v>
      </c>
      <c r="D91" s="2545" t="s">
        <v>1734</v>
      </c>
      <c r="E91" s="2545" t="s">
        <v>1733</v>
      </c>
      <c r="F91" s="2545" t="s">
        <v>1732</v>
      </c>
      <c r="G91" s="2545" t="s">
        <v>1731</v>
      </c>
      <c r="H91" s="2545"/>
      <c r="I91" s="2545" t="s">
        <v>1730</v>
      </c>
      <c r="J91" s="2545"/>
    </row>
    <row r="92" spans="2:10" ht="13.15" customHeight="1">
      <c r="B92" s="4151"/>
      <c r="C92" s="4150" t="s">
        <v>172</v>
      </c>
      <c r="D92" s="4150"/>
      <c r="E92" s="4150"/>
      <c r="F92" s="4150"/>
      <c r="G92" s="4150"/>
      <c r="H92" s="4150"/>
      <c r="I92" s="4150"/>
      <c r="J92" s="4150"/>
    </row>
    <row r="93" spans="2:10" ht="12.75">
      <c r="B93" s="2544" t="s">
        <v>1729</v>
      </c>
      <c r="C93" s="2543" t="s">
        <v>168</v>
      </c>
      <c r="D93" s="2543" t="s">
        <v>168</v>
      </c>
      <c r="E93" s="2543">
        <v>73.8</v>
      </c>
      <c r="F93" s="2543" t="s">
        <v>168</v>
      </c>
      <c r="G93" s="2543" t="s">
        <v>168</v>
      </c>
      <c r="H93" s="2541"/>
      <c r="I93" s="2542"/>
      <c r="J93" s="2541"/>
    </row>
    <row r="94" spans="2:10" ht="14.25">
      <c r="B94" s="2544" t="s">
        <v>1728</v>
      </c>
      <c r="C94" s="2543" t="s">
        <v>168</v>
      </c>
      <c r="D94" s="2543" t="s">
        <v>168</v>
      </c>
      <c r="E94" s="2543">
        <v>97.1</v>
      </c>
      <c r="F94" s="2543" t="s">
        <v>1720</v>
      </c>
      <c r="G94" s="2543" t="s">
        <v>168</v>
      </c>
      <c r="H94" s="2541"/>
      <c r="I94" s="2542">
        <v>97.1</v>
      </c>
      <c r="J94" s="2541"/>
    </row>
    <row r="95" spans="2:10" ht="12.75">
      <c r="B95" s="2544" t="s">
        <v>1727</v>
      </c>
      <c r="C95" s="2543">
        <v>69</v>
      </c>
      <c r="D95" s="2543">
        <v>69.900000000000006</v>
      </c>
      <c r="E95" s="2543">
        <v>70.3</v>
      </c>
      <c r="F95" s="2543" t="s">
        <v>168</v>
      </c>
      <c r="G95" s="2543" t="s">
        <v>168</v>
      </c>
      <c r="H95" s="2541"/>
      <c r="I95" s="2542"/>
      <c r="J95" s="2541"/>
    </row>
    <row r="96" spans="2:10" ht="12.75">
      <c r="B96" s="2544" t="s">
        <v>1726</v>
      </c>
      <c r="C96" s="2543">
        <v>73</v>
      </c>
      <c r="D96" s="2543">
        <v>72.900000000000006</v>
      </c>
      <c r="E96" s="2543">
        <v>74</v>
      </c>
      <c r="F96" s="2543" t="s">
        <v>168</v>
      </c>
      <c r="G96" s="2543" t="s">
        <v>168</v>
      </c>
      <c r="H96" s="2541"/>
      <c r="I96" s="2542"/>
      <c r="J96" s="2541"/>
    </row>
    <row r="97" spans="2:10" ht="14.25">
      <c r="B97" s="2544" t="s">
        <v>1725</v>
      </c>
      <c r="C97" s="2543">
        <v>73.400000000000006</v>
      </c>
      <c r="D97" s="2543">
        <v>73.2</v>
      </c>
      <c r="E97" s="2543">
        <v>74.2</v>
      </c>
      <c r="F97" s="2543" t="s">
        <v>168</v>
      </c>
      <c r="G97" s="2543" t="s">
        <v>168</v>
      </c>
      <c r="H97" s="2541"/>
      <c r="I97" s="2542">
        <f>(C97+D97+E97)/3</f>
        <v>73.600000000000009</v>
      </c>
      <c r="J97" s="2541"/>
    </row>
    <row r="98" spans="2:10" ht="12.75">
      <c r="B98" s="2544" t="s">
        <v>81</v>
      </c>
      <c r="C98" s="2543">
        <v>57.4</v>
      </c>
      <c r="D98" s="2543">
        <v>55.7</v>
      </c>
      <c r="E98" s="2543">
        <v>62</v>
      </c>
      <c r="F98" s="2543" t="s">
        <v>168</v>
      </c>
      <c r="G98" s="2543" t="s">
        <v>168</v>
      </c>
      <c r="H98" s="2541"/>
      <c r="I98" s="2542"/>
      <c r="J98" s="2541"/>
    </row>
    <row r="99" spans="2:10" ht="12.75">
      <c r="B99" s="2544" t="s">
        <v>1724</v>
      </c>
      <c r="C99" s="2543">
        <v>52.4</v>
      </c>
      <c r="D99" s="2543">
        <v>54.3</v>
      </c>
      <c r="E99" s="2543">
        <v>54.1</v>
      </c>
      <c r="F99" s="2543" t="s">
        <v>168</v>
      </c>
      <c r="G99" s="2543" t="s">
        <v>168</v>
      </c>
      <c r="H99" s="2541"/>
      <c r="I99" s="2542"/>
      <c r="J99" s="2541"/>
    </row>
    <row r="100" spans="2:10" ht="12.75">
      <c r="B100" s="2544" t="s">
        <v>1723</v>
      </c>
      <c r="C100" s="2543">
        <v>66</v>
      </c>
      <c r="D100" s="2543">
        <v>69</v>
      </c>
      <c r="E100" s="2543">
        <v>68.400000000000006</v>
      </c>
      <c r="F100" s="2543" t="s">
        <v>168</v>
      </c>
      <c r="G100" s="2543" t="s">
        <v>168</v>
      </c>
      <c r="H100" s="2541"/>
      <c r="I100" s="2542"/>
      <c r="J100" s="2541"/>
    </row>
    <row r="101" spans="2:10" ht="12.75">
      <c r="B101" s="2544" t="s">
        <v>86</v>
      </c>
      <c r="C101" s="2543">
        <v>71.599999999999994</v>
      </c>
      <c r="D101" s="2543">
        <v>75.2</v>
      </c>
      <c r="E101" s="2543">
        <v>74.099999999999994</v>
      </c>
      <c r="F101" s="2543" t="s">
        <v>168</v>
      </c>
      <c r="G101" s="2543" t="s">
        <v>168</v>
      </c>
      <c r="H101" s="2541"/>
      <c r="I101" s="2542">
        <f>(C101+D101+E101)/3</f>
        <v>73.63333333333334</v>
      </c>
      <c r="J101" s="2541"/>
    </row>
    <row r="102" spans="2:10" ht="12.75">
      <c r="B102" s="2544" t="s">
        <v>267</v>
      </c>
      <c r="C102" s="2543">
        <v>56.5</v>
      </c>
      <c r="D102" s="2543">
        <v>58.5</v>
      </c>
      <c r="E102" s="2543">
        <v>58.8</v>
      </c>
      <c r="F102" s="2543" t="s">
        <v>168</v>
      </c>
      <c r="G102" s="2543" t="s">
        <v>168</v>
      </c>
      <c r="H102" s="2541"/>
      <c r="I102" s="2542"/>
      <c r="J102" s="2541"/>
    </row>
    <row r="103" spans="2:10" ht="12.75">
      <c r="B103" s="2544" t="s">
        <v>75</v>
      </c>
      <c r="C103" s="2543">
        <v>49.7</v>
      </c>
      <c r="D103" s="2543">
        <v>50.8</v>
      </c>
      <c r="E103" s="2543">
        <v>49.1</v>
      </c>
      <c r="F103" s="2543" t="s">
        <v>168</v>
      </c>
      <c r="G103" s="2543" t="s">
        <v>168</v>
      </c>
      <c r="H103" s="2541"/>
      <c r="I103" s="2542"/>
      <c r="J103" s="2541"/>
    </row>
    <row r="104" spans="2:10" ht="12.75">
      <c r="B104" s="2544" t="s">
        <v>88</v>
      </c>
      <c r="C104" s="2543">
        <v>73.099999999999994</v>
      </c>
      <c r="D104" s="2543">
        <v>72.5</v>
      </c>
      <c r="E104" s="2543">
        <v>72.400000000000006</v>
      </c>
      <c r="F104" s="2543" t="s">
        <v>168</v>
      </c>
      <c r="G104" s="2543" t="s">
        <v>168</v>
      </c>
      <c r="H104" s="2541"/>
      <c r="I104" s="2542"/>
      <c r="J104" s="2541"/>
    </row>
    <row r="105" spans="2:10" ht="12.75">
      <c r="B105" s="2544" t="s">
        <v>54</v>
      </c>
      <c r="C105" s="2543" t="s">
        <v>168</v>
      </c>
      <c r="D105" s="2543">
        <v>37.4</v>
      </c>
      <c r="E105" s="2543">
        <v>36.1</v>
      </c>
      <c r="F105" s="2543" t="s">
        <v>168</v>
      </c>
      <c r="G105" s="2543" t="s">
        <v>168</v>
      </c>
      <c r="H105" s="2541"/>
      <c r="I105" s="2542"/>
      <c r="J105" s="2541"/>
    </row>
    <row r="106" spans="2:10" ht="12.75">
      <c r="B106" s="2544" t="s">
        <v>52</v>
      </c>
      <c r="C106" s="2543" t="s">
        <v>168</v>
      </c>
      <c r="D106" s="2543" t="s">
        <v>168</v>
      </c>
      <c r="E106" s="2543">
        <v>29.1</v>
      </c>
      <c r="F106" s="2543" t="s">
        <v>168</v>
      </c>
      <c r="G106" s="2543" t="s">
        <v>168</v>
      </c>
      <c r="H106" s="2541"/>
      <c r="I106" s="2542"/>
      <c r="J106" s="2541"/>
    </row>
    <row r="107" spans="2:10" ht="12.75">
      <c r="B107" s="2544" t="s">
        <v>1722</v>
      </c>
      <c r="C107" s="2543" t="s">
        <v>168</v>
      </c>
      <c r="D107" s="2543" t="s">
        <v>168</v>
      </c>
      <c r="E107" s="2543">
        <v>362.8</v>
      </c>
      <c r="F107" s="2543" t="s">
        <v>168</v>
      </c>
      <c r="G107" s="2543" t="s">
        <v>168</v>
      </c>
      <c r="H107" s="2541"/>
      <c r="I107" s="2542"/>
      <c r="J107" s="2541"/>
    </row>
    <row r="108" spans="2:10" ht="12.75">
      <c r="B108" s="2544" t="s">
        <v>45</v>
      </c>
      <c r="C108" s="2543" t="s">
        <v>168</v>
      </c>
      <c r="D108" s="2543" t="s">
        <v>168</v>
      </c>
      <c r="E108" s="2543" t="s">
        <v>168</v>
      </c>
      <c r="F108" s="2543" t="s">
        <v>168</v>
      </c>
      <c r="G108" s="2543" t="s">
        <v>1720</v>
      </c>
      <c r="H108" s="2541"/>
      <c r="I108" s="2542"/>
      <c r="J108" s="2541"/>
    </row>
    <row r="109" spans="2:10" ht="12.75">
      <c r="B109" s="2544" t="s">
        <v>64</v>
      </c>
      <c r="C109" s="2543">
        <v>38.1</v>
      </c>
      <c r="D109" s="2543">
        <v>36.700000000000003</v>
      </c>
      <c r="E109" s="2543">
        <v>38.299999999999997</v>
      </c>
      <c r="F109" s="2543" t="s">
        <v>168</v>
      </c>
      <c r="G109" s="2543" t="s">
        <v>168</v>
      </c>
      <c r="H109" s="2541"/>
      <c r="I109" s="2542">
        <f>(C109+D109+E109)/3</f>
        <v>37.700000000000003</v>
      </c>
      <c r="J109" s="2541"/>
    </row>
    <row r="110" spans="2:10" ht="12.75">
      <c r="B110" s="2544" t="s">
        <v>1721</v>
      </c>
      <c r="C110" s="2543" t="s">
        <v>168</v>
      </c>
      <c r="D110" s="2543" t="s">
        <v>168</v>
      </c>
      <c r="E110" s="2543">
        <v>460.5</v>
      </c>
      <c r="F110" s="2543" t="s">
        <v>1720</v>
      </c>
      <c r="G110" s="2543" t="s">
        <v>168</v>
      </c>
      <c r="H110" s="2541"/>
      <c r="I110" s="2542"/>
      <c r="J110" s="2541"/>
    </row>
    <row r="111" spans="2:10" ht="12.75">
      <c r="B111" s="2540" t="s">
        <v>1719</v>
      </c>
    </row>
    <row r="112" spans="2:10" ht="12.75">
      <c r="B112" s="2540" t="s">
        <v>1718</v>
      </c>
    </row>
    <row r="113" spans="2:2" ht="12.75">
      <c r="B113" s="2540" t="s">
        <v>1717</v>
      </c>
    </row>
    <row r="114" spans="2:2" ht="12.75">
      <c r="B114" s="2540" t="s">
        <v>1716</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T114"/>
  <sheetViews>
    <sheetView workbookViewId="0"/>
  </sheetViews>
  <sheetFormatPr baseColWidth="10" defaultColWidth="10.25" defaultRowHeight="12"/>
  <cols>
    <col min="1" max="1" width="1.25" style="2539" customWidth="1"/>
    <col min="2" max="2" width="38.75" style="2539" customWidth="1"/>
    <col min="3" max="4" width="10.25" style="2539"/>
    <col min="5" max="5" width="7.75" style="2539" customWidth="1"/>
    <col min="6" max="6" width="7.5" style="2539" bestFit="1" customWidth="1"/>
    <col min="7" max="7" width="5.75" style="2539" customWidth="1"/>
    <col min="8" max="8" width="6.875" style="2539" bestFit="1" customWidth="1"/>
    <col min="9" max="9" width="10.375" style="2539" bestFit="1" customWidth="1"/>
    <col min="10" max="10" width="7.5" style="2539" bestFit="1" customWidth="1"/>
    <col min="11" max="11" width="7.5" style="2539" customWidth="1"/>
    <col min="12" max="12" width="6" style="2539" bestFit="1" customWidth="1"/>
    <col min="13" max="13" width="7.75" style="2539" bestFit="1" customWidth="1"/>
    <col min="14" max="14" width="5.75" style="2539" customWidth="1"/>
    <col min="15" max="15" width="6.625" style="2539" customWidth="1"/>
    <col min="16" max="17" width="7.75" style="2539" bestFit="1" customWidth="1"/>
    <col min="18" max="18" width="5.75" style="2539" customWidth="1"/>
    <col min="19" max="19" width="5.75" style="2539" bestFit="1" customWidth="1"/>
    <col min="20" max="16384" width="10.25" style="2539"/>
  </cols>
  <sheetData>
    <row r="1" spans="1:20" ht="39.4" customHeight="1" thickBot="1">
      <c r="A1" s="2632"/>
      <c r="B1" s="2631" t="s">
        <v>1785</v>
      </c>
      <c r="C1" s="2629"/>
      <c r="D1" s="2630"/>
      <c r="E1" s="2629"/>
      <c r="F1" s="2627"/>
      <c r="G1" s="2628"/>
      <c r="H1" s="2627"/>
      <c r="I1" s="2627"/>
      <c r="J1" s="2627"/>
      <c r="K1" s="2627"/>
      <c r="L1" s="2627"/>
      <c r="M1" s="2627"/>
      <c r="N1" s="2627"/>
      <c r="O1" s="2627"/>
      <c r="P1" s="2627"/>
      <c r="Q1" s="2626"/>
      <c r="R1" s="2626"/>
      <c r="S1" s="2626"/>
      <c r="T1" s="2600"/>
    </row>
    <row r="2" spans="1:20" ht="13.5" thickTop="1" thickBot="1">
      <c r="A2" s="2625"/>
      <c r="B2" s="2624" t="s">
        <v>1784</v>
      </c>
      <c r="C2" s="2623"/>
      <c r="D2" s="2634"/>
      <c r="E2" s="2621" t="s">
        <v>1787</v>
      </c>
      <c r="F2" s="2620"/>
      <c r="G2" s="2620"/>
      <c r="H2" s="2619"/>
      <c r="I2" s="2622"/>
      <c r="J2" s="2620"/>
      <c r="K2" s="2621" t="s">
        <v>1786</v>
      </c>
      <c r="L2" s="2620"/>
      <c r="M2" s="2620"/>
      <c r="N2" s="2619"/>
      <c r="O2" s="2600"/>
      <c r="P2" s="2600"/>
      <c r="Q2" s="2600"/>
      <c r="R2" s="2600"/>
    </row>
    <row r="3" spans="1:20" ht="13.5" thickTop="1" thickBot="1">
      <c r="A3" s="2618"/>
      <c r="B3" s="2617" t="s">
        <v>1781</v>
      </c>
      <c r="C3" s="2616"/>
      <c r="D3" s="2612">
        <v>2014</v>
      </c>
      <c r="E3" s="2612">
        <v>2015</v>
      </c>
      <c r="F3" s="2612">
        <v>2016</v>
      </c>
      <c r="G3" s="2615">
        <v>2017</v>
      </c>
      <c r="H3" s="2614" t="s">
        <v>1750</v>
      </c>
      <c r="I3" s="2613"/>
      <c r="J3" s="2612">
        <v>2014</v>
      </c>
      <c r="K3" s="2612">
        <v>2015</v>
      </c>
      <c r="L3" s="2612">
        <v>2016</v>
      </c>
      <c r="M3" s="2611">
        <v>2017</v>
      </c>
      <c r="N3" s="2610" t="s">
        <v>1750</v>
      </c>
      <c r="O3" s="2600"/>
      <c r="P3" s="2600"/>
      <c r="Q3" s="2600"/>
      <c r="R3" s="2600"/>
    </row>
    <row r="4" spans="1:20" ht="13.5" thickTop="1" thickBot="1">
      <c r="A4" s="2609"/>
      <c r="B4" s="2608" t="s">
        <v>990</v>
      </c>
      <c r="C4" s="2604" t="s">
        <v>586</v>
      </c>
      <c r="D4" s="2607">
        <v>1</v>
      </c>
      <c r="E4" s="2607">
        <v>1</v>
      </c>
      <c r="F4" s="2607">
        <v>1</v>
      </c>
      <c r="G4" s="2606">
        <v>1</v>
      </c>
      <c r="H4" s="2605"/>
      <c r="I4" s="2604" t="s">
        <v>586</v>
      </c>
      <c r="J4" s="2603"/>
      <c r="K4" s="2603"/>
      <c r="L4" s="2603"/>
      <c r="M4" s="2602"/>
      <c r="N4" s="2601"/>
      <c r="O4" s="2600"/>
      <c r="P4" s="2600"/>
      <c r="Q4" s="2600"/>
      <c r="R4" s="2600"/>
    </row>
    <row r="5" spans="1:20" ht="13.5" thickTop="1">
      <c r="B5" s="2568" t="s">
        <v>1780</v>
      </c>
      <c r="C5" s="2565" t="s">
        <v>228</v>
      </c>
      <c r="D5" s="2570">
        <v>25</v>
      </c>
      <c r="E5" s="2570">
        <v>25</v>
      </c>
      <c r="F5" s="2570">
        <v>25</v>
      </c>
      <c r="G5" s="2570">
        <v>23.75</v>
      </c>
      <c r="H5" s="2575">
        <f t="shared" ref="H5:H37" si="0">(D5*$D$4+E5*$E$4+F5*$F$4+G5*$G$4)/($D$4+$E$4+$F$4+$G$4)</f>
        <v>24.6875</v>
      </c>
      <c r="I5" s="2599" t="s">
        <v>172</v>
      </c>
      <c r="J5" s="2570">
        <v>64.599999999999994</v>
      </c>
      <c r="K5" s="2570">
        <v>52.5</v>
      </c>
      <c r="L5" s="2570">
        <v>42</v>
      </c>
      <c r="M5" s="2598">
        <v>75.400000000000006</v>
      </c>
      <c r="N5" s="2567">
        <f t="shared" ref="N5:N37" si="1">(J5*$D$4+K5*$E$4+L5*$F$4+M5*$G$4)/($D$4+$E$4+$F$4+$G$4)</f>
        <v>58.625</v>
      </c>
    </row>
    <row r="6" spans="1:20" ht="12.75">
      <c r="B6" s="2568" t="s">
        <v>84</v>
      </c>
      <c r="C6" s="2565" t="s">
        <v>228</v>
      </c>
      <c r="D6" s="2561">
        <v>23.5</v>
      </c>
      <c r="E6" s="2561">
        <v>18</v>
      </c>
      <c r="F6" s="2561">
        <v>16</v>
      </c>
      <c r="G6" s="2561">
        <v>17</v>
      </c>
      <c r="H6" s="2575">
        <f t="shared" si="0"/>
        <v>18.625</v>
      </c>
      <c r="I6" s="2584" t="s">
        <v>172</v>
      </c>
      <c r="J6" s="2581">
        <v>55</v>
      </c>
      <c r="K6" s="2581">
        <v>50</v>
      </c>
      <c r="L6" s="2581">
        <v>50</v>
      </c>
      <c r="M6" s="2561">
        <v>65.5</v>
      </c>
      <c r="N6" s="2567">
        <f t="shared" si="1"/>
        <v>55.125</v>
      </c>
    </row>
    <row r="7" spans="1:20" ht="12.75">
      <c r="B7" s="2591" t="s">
        <v>269</v>
      </c>
      <c r="C7" s="2590" t="s">
        <v>228</v>
      </c>
      <c r="D7" s="2589">
        <v>14.7</v>
      </c>
      <c r="E7" s="2589">
        <v>15</v>
      </c>
      <c r="F7" s="2589">
        <v>13.6</v>
      </c>
      <c r="G7" s="2589">
        <v>14.4</v>
      </c>
      <c r="H7" s="2575">
        <f t="shared" si="0"/>
        <v>14.424999999999999</v>
      </c>
      <c r="I7" s="2597" t="s">
        <v>172</v>
      </c>
      <c r="J7" s="2596">
        <v>83.5</v>
      </c>
      <c r="K7" s="2596">
        <v>76.3</v>
      </c>
      <c r="L7" s="2596">
        <v>66.099999999999994</v>
      </c>
      <c r="M7" s="2595">
        <f>$I$97</f>
        <v>73.600000000000009</v>
      </c>
      <c r="N7" s="2567">
        <f t="shared" si="1"/>
        <v>74.875</v>
      </c>
    </row>
    <row r="8" spans="1:20" ht="12.75">
      <c r="B8" s="2568" t="s">
        <v>81</v>
      </c>
      <c r="C8" s="2565" t="s">
        <v>228</v>
      </c>
      <c r="D8" s="2561">
        <v>14.7</v>
      </c>
      <c r="E8" s="2561">
        <v>15</v>
      </c>
      <c r="F8" s="2561">
        <v>13.6</v>
      </c>
      <c r="G8" s="2561">
        <v>14.4</v>
      </c>
      <c r="H8" s="2575">
        <f t="shared" si="0"/>
        <v>14.424999999999999</v>
      </c>
      <c r="I8" s="2584" t="s">
        <v>172</v>
      </c>
      <c r="J8" s="2570">
        <v>60.1</v>
      </c>
      <c r="K8" s="2570">
        <v>53.7</v>
      </c>
      <c r="L8" s="2570">
        <v>51.5</v>
      </c>
      <c r="M8" s="2561">
        <v>65.5</v>
      </c>
      <c r="N8" s="2567">
        <f t="shared" si="1"/>
        <v>57.7</v>
      </c>
    </row>
    <row r="9" spans="1:20" ht="12.75">
      <c r="B9" s="2568" t="s">
        <v>90</v>
      </c>
      <c r="C9" s="2565" t="s">
        <v>228</v>
      </c>
      <c r="D9" s="2561">
        <v>12.2</v>
      </c>
      <c r="E9" s="2561">
        <v>14</v>
      </c>
      <c r="F9" s="2561">
        <v>12.3</v>
      </c>
      <c r="G9" s="2561">
        <v>13.9</v>
      </c>
      <c r="H9" s="2575">
        <f t="shared" si="0"/>
        <v>13.1</v>
      </c>
      <c r="I9" s="2584" t="s">
        <v>172</v>
      </c>
      <c r="J9" s="2561">
        <v>53.7</v>
      </c>
      <c r="K9" s="2561">
        <v>52.9</v>
      </c>
      <c r="L9" s="2561">
        <v>54.2</v>
      </c>
      <c r="M9" s="2561">
        <v>55.6</v>
      </c>
      <c r="N9" s="2567">
        <f t="shared" si="1"/>
        <v>54.1</v>
      </c>
    </row>
    <row r="10" spans="1:20" ht="12.75">
      <c r="B10" s="2568" t="s">
        <v>1779</v>
      </c>
      <c r="C10" s="2565" t="s">
        <v>228</v>
      </c>
      <c r="D10" s="2561">
        <v>12.2</v>
      </c>
      <c r="E10" s="2561">
        <v>14</v>
      </c>
      <c r="F10" s="2561">
        <v>12.3</v>
      </c>
      <c r="G10" s="2561">
        <v>13.9</v>
      </c>
      <c r="H10" s="2575">
        <f t="shared" si="0"/>
        <v>13.1</v>
      </c>
      <c r="I10" s="2584" t="s">
        <v>172</v>
      </c>
      <c r="J10" s="2561">
        <v>53.7</v>
      </c>
      <c r="K10" s="2561">
        <v>52.9</v>
      </c>
      <c r="L10" s="2561">
        <v>54.2</v>
      </c>
      <c r="M10" s="2561">
        <v>55.6</v>
      </c>
      <c r="N10" s="2567">
        <f t="shared" si="1"/>
        <v>54.1</v>
      </c>
    </row>
    <row r="11" spans="1:20" ht="12.75" hidden="1">
      <c r="B11" s="2568" t="s">
        <v>1778</v>
      </c>
      <c r="C11" s="2565" t="s">
        <v>228</v>
      </c>
      <c r="D11" s="2561">
        <v>13</v>
      </c>
      <c r="E11" s="2561">
        <v>13.6</v>
      </c>
      <c r="F11" s="2561">
        <v>11.5</v>
      </c>
      <c r="G11" s="2561"/>
      <c r="H11" s="2575">
        <f t="shared" si="0"/>
        <v>9.5250000000000004</v>
      </c>
      <c r="I11" s="2584" t="s">
        <v>172</v>
      </c>
      <c r="J11" s="2561">
        <v>53.7</v>
      </c>
      <c r="K11" s="2561">
        <v>52.9</v>
      </c>
      <c r="L11" s="2561">
        <v>54.2</v>
      </c>
      <c r="M11" s="2561"/>
      <c r="N11" s="2567">
        <f t="shared" si="1"/>
        <v>40.200000000000003</v>
      </c>
    </row>
    <row r="12" spans="1:20" ht="12.75" hidden="1">
      <c r="B12" s="2568" t="s">
        <v>1777</v>
      </c>
      <c r="C12" s="2565" t="s">
        <v>228</v>
      </c>
      <c r="D12" s="2561">
        <v>13</v>
      </c>
      <c r="E12" s="2561">
        <v>13.6</v>
      </c>
      <c r="F12" s="2561">
        <v>11.5</v>
      </c>
      <c r="G12" s="2561"/>
      <c r="H12" s="2575">
        <f t="shared" si="0"/>
        <v>9.5250000000000004</v>
      </c>
      <c r="I12" s="2584" t="s">
        <v>172</v>
      </c>
      <c r="J12" s="2561">
        <v>53.7</v>
      </c>
      <c r="K12" s="2561">
        <v>52.9</v>
      </c>
      <c r="L12" s="2561">
        <v>54.2</v>
      </c>
      <c r="M12" s="2561"/>
      <c r="N12" s="2567">
        <f t="shared" si="1"/>
        <v>40.200000000000003</v>
      </c>
    </row>
    <row r="13" spans="1:20" ht="12.75">
      <c r="B13" s="2591" t="s">
        <v>86</v>
      </c>
      <c r="C13" s="2590" t="s">
        <v>228</v>
      </c>
      <c r="D13" s="2589">
        <v>13</v>
      </c>
      <c r="E13" s="2589">
        <v>13.6</v>
      </c>
      <c r="F13" s="2589">
        <v>11.5</v>
      </c>
      <c r="G13" s="2589">
        <v>12.6</v>
      </c>
      <c r="H13" s="2575">
        <f t="shared" si="0"/>
        <v>12.675000000000001</v>
      </c>
      <c r="I13" s="2588" t="s">
        <v>172</v>
      </c>
      <c r="J13" s="2587">
        <v>76.2</v>
      </c>
      <c r="K13" s="2587">
        <v>67.400000000000006</v>
      </c>
      <c r="L13" s="2587">
        <v>67.400000000000006</v>
      </c>
      <c r="M13" s="2587">
        <f>$I$101</f>
        <v>73.63333333333334</v>
      </c>
      <c r="N13" s="2567">
        <f t="shared" si="1"/>
        <v>71.158333333333346</v>
      </c>
    </row>
    <row r="14" spans="1:20" ht="12.75">
      <c r="B14" s="2568" t="s">
        <v>267</v>
      </c>
      <c r="C14" s="2565" t="s">
        <v>228</v>
      </c>
      <c r="D14" s="2561">
        <v>13</v>
      </c>
      <c r="E14" s="2561">
        <v>13.6</v>
      </c>
      <c r="F14" s="2561">
        <v>11.5</v>
      </c>
      <c r="G14" s="2561">
        <v>12.6</v>
      </c>
      <c r="H14" s="2575">
        <f t="shared" si="0"/>
        <v>12.675000000000001</v>
      </c>
      <c r="I14" s="2584" t="s">
        <v>172</v>
      </c>
      <c r="J14" s="2594">
        <v>59.7</v>
      </c>
      <c r="K14" s="2594">
        <v>53.9</v>
      </c>
      <c r="L14" s="2594">
        <v>49.6</v>
      </c>
      <c r="M14" s="2561">
        <v>58.2</v>
      </c>
      <c r="N14" s="2567">
        <f t="shared" si="1"/>
        <v>55.349999999999994</v>
      </c>
    </row>
    <row r="15" spans="1:20" ht="12.75">
      <c r="B15" s="2568" t="s">
        <v>77</v>
      </c>
      <c r="C15" s="2565" t="s">
        <v>228</v>
      </c>
      <c r="D15" s="2561">
        <v>17.7</v>
      </c>
      <c r="E15" s="2561">
        <v>17.899999999999999</v>
      </c>
      <c r="F15" s="2561">
        <v>16.8</v>
      </c>
      <c r="G15" s="2561">
        <v>17.899999999999999</v>
      </c>
      <c r="H15" s="2575">
        <f t="shared" si="0"/>
        <v>17.574999999999996</v>
      </c>
      <c r="I15" s="2584" t="s">
        <v>172</v>
      </c>
      <c r="J15" s="2561">
        <v>60</v>
      </c>
      <c r="K15" s="2561">
        <v>54.4</v>
      </c>
      <c r="L15" s="2561">
        <v>50.1</v>
      </c>
      <c r="M15" s="2561">
        <v>58.2</v>
      </c>
      <c r="N15" s="2567">
        <f t="shared" si="1"/>
        <v>55.674999999999997</v>
      </c>
    </row>
    <row r="16" spans="1:20" ht="12.75">
      <c r="B16" s="2568" t="s">
        <v>1776</v>
      </c>
      <c r="C16" s="2565" t="s">
        <v>228</v>
      </c>
      <c r="D16" s="2561">
        <v>14.5</v>
      </c>
      <c r="E16" s="2561">
        <v>14.5</v>
      </c>
      <c r="F16" s="2561">
        <v>14.25</v>
      </c>
      <c r="G16" s="2561">
        <v>14</v>
      </c>
      <c r="H16" s="2575">
        <f t="shared" si="0"/>
        <v>14.3125</v>
      </c>
      <c r="I16" s="2584" t="s">
        <v>172</v>
      </c>
      <c r="J16" s="2594">
        <v>52.5</v>
      </c>
      <c r="K16" s="2594">
        <v>46.6</v>
      </c>
      <c r="L16" s="2594">
        <v>45.6</v>
      </c>
      <c r="M16" s="2561">
        <v>46.1</v>
      </c>
      <c r="N16" s="2567">
        <f t="shared" si="1"/>
        <v>47.699999999999996</v>
      </c>
    </row>
    <row r="17" spans="2:14" ht="12.75">
      <c r="B17" s="2568" t="s">
        <v>1775</v>
      </c>
      <c r="C17" s="2565" t="s">
        <v>228</v>
      </c>
      <c r="D17" s="2561">
        <v>14.5</v>
      </c>
      <c r="E17" s="2561">
        <v>14.5</v>
      </c>
      <c r="F17" s="2561">
        <v>14.25</v>
      </c>
      <c r="G17" s="2561">
        <v>14</v>
      </c>
      <c r="H17" s="2575">
        <f t="shared" si="0"/>
        <v>14.3125</v>
      </c>
      <c r="I17" s="2584" t="s">
        <v>172</v>
      </c>
      <c r="J17" s="2561">
        <v>47.6</v>
      </c>
      <c r="K17" s="2561">
        <v>47</v>
      </c>
      <c r="L17" s="2561">
        <v>44.9</v>
      </c>
      <c r="M17" s="2561">
        <v>46.1</v>
      </c>
      <c r="N17" s="2567">
        <f t="shared" si="1"/>
        <v>46.4</v>
      </c>
    </row>
    <row r="18" spans="2:14" ht="12.75" hidden="1">
      <c r="B18" s="2568" t="s">
        <v>1774</v>
      </c>
      <c r="C18" s="2565" t="s">
        <v>228</v>
      </c>
      <c r="D18" s="2561">
        <v>13</v>
      </c>
      <c r="E18" s="2561">
        <v>13.6</v>
      </c>
      <c r="F18" s="2561">
        <v>11.5</v>
      </c>
      <c r="G18" s="2561"/>
      <c r="H18" s="2575">
        <f t="shared" si="0"/>
        <v>9.5250000000000004</v>
      </c>
      <c r="I18" s="2584" t="s">
        <v>172</v>
      </c>
      <c r="J18" s="2561">
        <v>55.4</v>
      </c>
      <c r="K18" s="2561">
        <v>43.7</v>
      </c>
      <c r="L18" s="2561">
        <v>46.3</v>
      </c>
      <c r="M18" s="2561"/>
      <c r="N18" s="2567">
        <f t="shared" si="1"/>
        <v>36.349999999999994</v>
      </c>
    </row>
    <row r="19" spans="2:14" ht="12.75" hidden="1">
      <c r="B19" s="2568" t="s">
        <v>1773</v>
      </c>
      <c r="C19" s="2565" t="s">
        <v>228</v>
      </c>
      <c r="D19" s="2561">
        <v>13</v>
      </c>
      <c r="E19" s="2561">
        <v>13.6</v>
      </c>
      <c r="F19" s="2561">
        <v>11.5</v>
      </c>
      <c r="G19" s="2561"/>
      <c r="H19" s="2575">
        <f t="shared" si="0"/>
        <v>9.5250000000000004</v>
      </c>
      <c r="I19" s="2584" t="s">
        <v>172</v>
      </c>
      <c r="J19" s="2561">
        <v>55.4</v>
      </c>
      <c r="K19" s="2561">
        <v>43.7</v>
      </c>
      <c r="L19" s="2561">
        <v>46.3</v>
      </c>
      <c r="M19" s="2561"/>
      <c r="N19" s="2567">
        <f t="shared" si="1"/>
        <v>36.349999999999994</v>
      </c>
    </row>
    <row r="20" spans="2:14" ht="12.75">
      <c r="B20" s="2568" t="s">
        <v>1772</v>
      </c>
      <c r="C20" s="2565" t="s">
        <v>228</v>
      </c>
      <c r="D20" s="2561">
        <v>13</v>
      </c>
      <c r="E20" s="2561">
        <v>13</v>
      </c>
      <c r="F20" s="2561">
        <v>12</v>
      </c>
      <c r="G20" s="2561">
        <v>13</v>
      </c>
      <c r="H20" s="2575">
        <f t="shared" si="0"/>
        <v>12.75</v>
      </c>
      <c r="I20" s="2584" t="s">
        <v>172</v>
      </c>
      <c r="J20" s="2594">
        <v>74.400000000000006</v>
      </c>
      <c r="K20" s="2594">
        <v>67.5</v>
      </c>
      <c r="L20" s="2594">
        <v>53.1</v>
      </c>
      <c r="M20" s="2561">
        <v>67.8</v>
      </c>
      <c r="N20" s="2567">
        <f t="shared" si="1"/>
        <v>65.7</v>
      </c>
    </row>
    <row r="21" spans="2:14" ht="12.75">
      <c r="B21" s="2568" t="s">
        <v>1771</v>
      </c>
      <c r="C21" s="2565" t="s">
        <v>228</v>
      </c>
      <c r="D21" s="2561">
        <v>13</v>
      </c>
      <c r="E21" s="2561">
        <v>13</v>
      </c>
      <c r="F21" s="2561">
        <v>12</v>
      </c>
      <c r="G21" s="2561">
        <v>13</v>
      </c>
      <c r="H21" s="2575">
        <f t="shared" si="0"/>
        <v>12.75</v>
      </c>
      <c r="I21" s="2584" t="s">
        <v>172</v>
      </c>
      <c r="J21" s="2561">
        <v>73.099999999999994</v>
      </c>
      <c r="K21" s="2561">
        <v>67.400000000000006</v>
      </c>
      <c r="L21" s="2561">
        <v>58.5</v>
      </c>
      <c r="M21" s="2561">
        <v>67.8</v>
      </c>
      <c r="N21" s="2567">
        <f t="shared" si="1"/>
        <v>66.7</v>
      </c>
    </row>
    <row r="22" spans="2:14" ht="12.75">
      <c r="B22" s="2568" t="s">
        <v>1770</v>
      </c>
      <c r="C22" s="2565" t="s">
        <v>228</v>
      </c>
      <c r="D22" s="2561">
        <v>22.1</v>
      </c>
      <c r="E22" s="2561">
        <v>22.7</v>
      </c>
      <c r="F22" s="2561">
        <v>22.5</v>
      </c>
      <c r="G22" s="2561">
        <v>22.3</v>
      </c>
      <c r="H22" s="2575">
        <f t="shared" si="0"/>
        <v>22.4</v>
      </c>
      <c r="I22" s="2584" t="s">
        <v>172</v>
      </c>
      <c r="J22" s="2561">
        <v>60</v>
      </c>
      <c r="K22" s="2561">
        <v>60</v>
      </c>
      <c r="L22" s="2561">
        <v>55</v>
      </c>
      <c r="M22" s="2561">
        <v>60</v>
      </c>
      <c r="N22" s="2567">
        <f t="shared" si="1"/>
        <v>58.75</v>
      </c>
    </row>
    <row r="23" spans="2:14" ht="12.75">
      <c r="B23" s="2568" t="s">
        <v>1769</v>
      </c>
      <c r="C23" s="2565" t="s">
        <v>228</v>
      </c>
      <c r="D23" s="2561">
        <v>22.1</v>
      </c>
      <c r="E23" s="2561">
        <v>22.7</v>
      </c>
      <c r="F23" s="2561">
        <v>24.7</v>
      </c>
      <c r="G23" s="2561"/>
      <c r="H23" s="2575">
        <f t="shared" si="0"/>
        <v>17.375</v>
      </c>
      <c r="I23" s="2584" t="s">
        <v>172</v>
      </c>
      <c r="J23" s="2561">
        <v>50</v>
      </c>
      <c r="K23" s="2561">
        <v>50</v>
      </c>
      <c r="L23" s="2561">
        <v>45</v>
      </c>
      <c r="M23" s="2561"/>
      <c r="N23" s="2567">
        <f t="shared" si="1"/>
        <v>36.25</v>
      </c>
    </row>
    <row r="24" spans="2:14" ht="12.75">
      <c r="B24" s="2591" t="s">
        <v>70</v>
      </c>
      <c r="C24" s="2590" t="s">
        <v>228</v>
      </c>
      <c r="D24" s="2589">
        <v>12.5</v>
      </c>
      <c r="E24" s="2589">
        <v>17</v>
      </c>
      <c r="F24" s="2589">
        <v>15</v>
      </c>
      <c r="G24" s="2589">
        <v>14.2</v>
      </c>
      <c r="H24" s="2575">
        <f t="shared" si="0"/>
        <v>14.675000000000001</v>
      </c>
      <c r="I24" s="2588" t="s">
        <v>172</v>
      </c>
      <c r="J24" s="2587">
        <v>115.7</v>
      </c>
      <c r="K24" s="2587">
        <v>84.3</v>
      </c>
      <c r="L24" s="2587">
        <v>96.1</v>
      </c>
      <c r="M24" s="2593">
        <v>106.5</v>
      </c>
      <c r="N24" s="2567">
        <f t="shared" si="1"/>
        <v>100.65</v>
      </c>
    </row>
    <row r="25" spans="2:14" ht="12.75" hidden="1">
      <c r="B25" s="2568" t="s">
        <v>1768</v>
      </c>
      <c r="C25" s="2565" t="s">
        <v>228</v>
      </c>
      <c r="D25" s="2561">
        <v>11.5</v>
      </c>
      <c r="E25" s="2561">
        <v>15.6</v>
      </c>
      <c r="F25" s="2561">
        <v>13.8</v>
      </c>
      <c r="G25" s="2561"/>
      <c r="H25" s="2575">
        <f t="shared" si="0"/>
        <v>10.225000000000001</v>
      </c>
      <c r="I25" s="2584" t="s">
        <v>172</v>
      </c>
      <c r="J25" s="2561">
        <v>140</v>
      </c>
      <c r="K25" s="2561">
        <v>103</v>
      </c>
      <c r="L25" s="2561">
        <v>130</v>
      </c>
      <c r="M25" s="2561"/>
      <c r="N25" s="2567">
        <f t="shared" si="1"/>
        <v>93.25</v>
      </c>
    </row>
    <row r="26" spans="2:14" ht="12.6" hidden="1" customHeight="1">
      <c r="B26" s="2568" t="s">
        <v>1767</v>
      </c>
      <c r="C26" s="2565" t="s">
        <v>228</v>
      </c>
      <c r="D26" s="2561"/>
      <c r="E26" s="2561">
        <v>21.5</v>
      </c>
      <c r="F26" s="2561">
        <v>15</v>
      </c>
      <c r="G26" s="2561"/>
      <c r="H26" s="2575">
        <f t="shared" si="0"/>
        <v>9.125</v>
      </c>
      <c r="I26" s="2584" t="s">
        <v>172</v>
      </c>
      <c r="J26" s="2561"/>
      <c r="K26" s="2561">
        <v>70</v>
      </c>
      <c r="L26" s="2561">
        <v>58.5</v>
      </c>
      <c r="M26" s="2561"/>
      <c r="N26" s="2567">
        <f t="shared" si="1"/>
        <v>32.125</v>
      </c>
    </row>
    <row r="27" spans="2:14" ht="12.75" hidden="1">
      <c r="B27" s="2568" t="s">
        <v>1766</v>
      </c>
      <c r="C27" s="2565" t="s">
        <v>228</v>
      </c>
      <c r="D27" s="2592"/>
      <c r="E27" s="2592"/>
      <c r="F27" s="2592"/>
      <c r="G27" s="2592"/>
      <c r="H27" s="2575">
        <f t="shared" si="0"/>
        <v>0</v>
      </c>
      <c r="I27" s="2584" t="s">
        <v>1765</v>
      </c>
      <c r="J27" s="2586"/>
      <c r="K27" s="2586"/>
      <c r="L27" s="2586"/>
      <c r="M27" s="2586"/>
      <c r="N27" s="2567">
        <f t="shared" si="1"/>
        <v>0</v>
      </c>
    </row>
    <row r="28" spans="2:14" ht="12.75" hidden="1">
      <c r="B28" s="2568" t="s">
        <v>1721</v>
      </c>
      <c r="C28" s="2565" t="s">
        <v>1764</v>
      </c>
      <c r="D28" s="2561">
        <v>2.1000000000000001E-2</v>
      </c>
      <c r="E28" s="2561">
        <v>2.4E-2</v>
      </c>
      <c r="F28" s="2561">
        <v>2.1000000000000001E-2</v>
      </c>
      <c r="G28" s="2561"/>
      <c r="H28" s="2575">
        <f t="shared" si="0"/>
        <v>1.6500000000000001E-2</v>
      </c>
      <c r="I28" s="2584" t="s">
        <v>172</v>
      </c>
      <c r="J28" s="2586">
        <v>88000</v>
      </c>
      <c r="K28" s="2586">
        <v>70000</v>
      </c>
      <c r="L28" s="2586">
        <v>89000</v>
      </c>
      <c r="M28" s="2586"/>
      <c r="N28" s="2567">
        <f t="shared" si="1"/>
        <v>61750</v>
      </c>
    </row>
    <row r="29" spans="2:14" ht="12.6" customHeight="1">
      <c r="B29" s="2568" t="s">
        <v>1763</v>
      </c>
      <c r="C29" s="2565" t="s">
        <v>228</v>
      </c>
      <c r="D29" s="2561">
        <v>104.9</v>
      </c>
      <c r="E29" s="2561">
        <v>107.184</v>
      </c>
      <c r="F29" s="2561">
        <v>100.86</v>
      </c>
      <c r="G29" s="2561">
        <v>93.7</v>
      </c>
      <c r="H29" s="2575">
        <f t="shared" si="0"/>
        <v>101.661</v>
      </c>
      <c r="I29" s="2584" t="s">
        <v>172</v>
      </c>
      <c r="J29" s="2561">
        <v>37.85</v>
      </c>
      <c r="K29" s="2561">
        <v>36.25</v>
      </c>
      <c r="L29" s="2561">
        <v>41</v>
      </c>
      <c r="M29" s="2561">
        <v>44.3</v>
      </c>
      <c r="N29" s="2567">
        <f t="shared" si="1"/>
        <v>39.849999999999994</v>
      </c>
    </row>
    <row r="30" spans="2:14" ht="12.75">
      <c r="B30" s="2591" t="s">
        <v>1762</v>
      </c>
      <c r="C30" s="2590" t="s">
        <v>228</v>
      </c>
      <c r="D30" s="2589">
        <v>28.6</v>
      </c>
      <c r="E30" s="2589">
        <v>35</v>
      </c>
      <c r="F30" s="2589">
        <v>33.700000000000003</v>
      </c>
      <c r="G30" s="2589">
        <v>34.1</v>
      </c>
      <c r="H30" s="2575">
        <f t="shared" si="0"/>
        <v>32.85</v>
      </c>
      <c r="I30" s="2588" t="s">
        <v>172</v>
      </c>
      <c r="J30" s="2587">
        <v>47.2</v>
      </c>
      <c r="K30" s="2587">
        <v>40.799999999999997</v>
      </c>
      <c r="L30" s="2587">
        <v>38.799999999999997</v>
      </c>
      <c r="M30" s="2587">
        <f>$I$109</f>
        <v>37.700000000000003</v>
      </c>
      <c r="N30" s="2567">
        <f t="shared" si="1"/>
        <v>41.125</v>
      </c>
    </row>
    <row r="31" spans="2:14" ht="12.75">
      <c r="B31" s="2568" t="s">
        <v>1761</v>
      </c>
      <c r="C31" s="2565" t="s">
        <v>228</v>
      </c>
      <c r="D31" s="2561">
        <v>28.6</v>
      </c>
      <c r="E31" s="2561">
        <v>35</v>
      </c>
      <c r="F31" s="2561">
        <v>33.700000000000003</v>
      </c>
      <c r="G31" s="2561">
        <v>34.1</v>
      </c>
      <c r="H31" s="2575">
        <f t="shared" si="0"/>
        <v>32.85</v>
      </c>
      <c r="I31" s="2584" t="s">
        <v>172</v>
      </c>
      <c r="J31" s="2561">
        <v>24.2</v>
      </c>
      <c r="K31" s="2561">
        <v>24</v>
      </c>
      <c r="L31" s="2561">
        <v>22</v>
      </c>
      <c r="M31" s="2561">
        <v>24</v>
      </c>
      <c r="N31" s="2567">
        <f t="shared" si="1"/>
        <v>23.55</v>
      </c>
    </row>
    <row r="32" spans="2:14" ht="12.75">
      <c r="B32" s="2568" t="s">
        <v>60</v>
      </c>
      <c r="C32" s="2565" t="s">
        <v>228</v>
      </c>
      <c r="D32" s="2561">
        <v>30.6</v>
      </c>
      <c r="E32" s="2561">
        <v>37</v>
      </c>
      <c r="F32" s="2561">
        <v>35.700000000000003</v>
      </c>
      <c r="G32" s="2561">
        <v>37</v>
      </c>
      <c r="H32" s="2575">
        <f t="shared" si="0"/>
        <v>35.075000000000003</v>
      </c>
      <c r="I32" s="2584" t="s">
        <v>1760</v>
      </c>
      <c r="J32" s="2586">
        <v>23.9</v>
      </c>
      <c r="K32" s="2586">
        <v>24</v>
      </c>
      <c r="L32" s="2586">
        <v>22</v>
      </c>
      <c r="M32" s="2585">
        <v>24</v>
      </c>
      <c r="N32" s="2567">
        <f t="shared" si="1"/>
        <v>23.475000000000001</v>
      </c>
    </row>
    <row r="33" spans="1:16" ht="12.75" hidden="1">
      <c r="B33" s="2568" t="s">
        <v>1759</v>
      </c>
      <c r="C33" s="2565" t="s">
        <v>1758</v>
      </c>
      <c r="D33" s="2561">
        <v>0.3</v>
      </c>
      <c r="E33" s="2561">
        <v>0.33</v>
      </c>
      <c r="F33" s="2561">
        <v>0.31</v>
      </c>
      <c r="G33" s="2561"/>
      <c r="H33" s="2575">
        <f t="shared" si="0"/>
        <v>0.23499999999999999</v>
      </c>
      <c r="I33" s="2584" t="s">
        <v>172</v>
      </c>
      <c r="J33" s="2561">
        <v>8500</v>
      </c>
      <c r="K33" s="2561">
        <v>6500</v>
      </c>
      <c r="L33" s="2561">
        <v>7400</v>
      </c>
      <c r="M33" s="2561"/>
      <c r="N33" s="2567">
        <f t="shared" si="1"/>
        <v>5600</v>
      </c>
    </row>
    <row r="34" spans="1:16" ht="12.75">
      <c r="B34" s="2568" t="s">
        <v>195</v>
      </c>
      <c r="C34" s="2565" t="s">
        <v>228</v>
      </c>
      <c r="D34" s="2561">
        <v>18</v>
      </c>
      <c r="E34" s="2561">
        <v>40</v>
      </c>
      <c r="F34" s="2561">
        <v>42</v>
      </c>
      <c r="G34" s="2561">
        <v>31</v>
      </c>
      <c r="H34" s="2575">
        <f t="shared" si="0"/>
        <v>32.75</v>
      </c>
      <c r="I34" s="2584" t="s">
        <v>172</v>
      </c>
      <c r="J34" s="2561">
        <v>270</v>
      </c>
      <c r="K34" s="2561">
        <v>260</v>
      </c>
      <c r="L34" s="2561">
        <v>240</v>
      </c>
      <c r="M34" s="2561">
        <v>260</v>
      </c>
      <c r="N34" s="2567">
        <f t="shared" si="1"/>
        <v>257.5</v>
      </c>
    </row>
    <row r="35" spans="1:16" ht="12.75">
      <c r="B35" s="2568" t="s">
        <v>929</v>
      </c>
      <c r="C35" s="2565" t="s">
        <v>228</v>
      </c>
      <c r="D35" s="2581">
        <v>13</v>
      </c>
      <c r="E35" s="2581">
        <v>21</v>
      </c>
      <c r="F35" s="2581">
        <v>18</v>
      </c>
      <c r="G35" s="2581">
        <v>13.5</v>
      </c>
      <c r="H35" s="2575">
        <f t="shared" si="0"/>
        <v>16.375</v>
      </c>
      <c r="I35" s="2583" t="s">
        <v>172</v>
      </c>
      <c r="J35" s="2582">
        <v>473.2</v>
      </c>
      <c r="K35" s="2582">
        <v>369.4</v>
      </c>
      <c r="L35" s="2582">
        <v>365.6</v>
      </c>
      <c r="M35" s="2581">
        <v>480</v>
      </c>
      <c r="N35" s="2567">
        <f t="shared" si="1"/>
        <v>422.04999999999995</v>
      </c>
    </row>
    <row r="36" spans="1:16" ht="12.75">
      <c r="B36" s="2568" t="s">
        <v>1757</v>
      </c>
      <c r="C36" s="2388" t="s">
        <v>228</v>
      </c>
      <c r="D36" s="2579">
        <v>24</v>
      </c>
      <c r="E36" s="2579">
        <v>30</v>
      </c>
      <c r="F36" s="2579">
        <v>28</v>
      </c>
      <c r="G36" s="2579">
        <v>25</v>
      </c>
      <c r="H36" s="2575">
        <f t="shared" si="0"/>
        <v>26.75</v>
      </c>
      <c r="I36" s="2580" t="s">
        <v>172</v>
      </c>
      <c r="J36" s="2579">
        <v>290</v>
      </c>
      <c r="K36" s="2579">
        <v>245</v>
      </c>
      <c r="L36" s="2579">
        <v>170</v>
      </c>
      <c r="M36" s="2579">
        <v>250</v>
      </c>
      <c r="N36" s="2567">
        <f t="shared" si="1"/>
        <v>238.75</v>
      </c>
    </row>
    <row r="37" spans="1:16" ht="13.5" thickBot="1">
      <c r="A37" s="2578"/>
      <c r="B37" s="2577" t="s">
        <v>45</v>
      </c>
      <c r="C37" s="2576" t="s">
        <v>228</v>
      </c>
      <c r="D37" s="2572">
        <v>3.3</v>
      </c>
      <c r="E37" s="2572">
        <v>3.63</v>
      </c>
      <c r="F37" s="2572">
        <v>3.53</v>
      </c>
      <c r="G37" s="2572">
        <v>3</v>
      </c>
      <c r="H37" s="2575">
        <f t="shared" si="0"/>
        <v>3.3649999999999998</v>
      </c>
      <c r="I37" s="2574" t="s">
        <v>172</v>
      </c>
      <c r="J37" s="2573">
        <v>878.4</v>
      </c>
      <c r="K37" s="2573">
        <v>673.8</v>
      </c>
      <c r="L37" s="2573">
        <v>775.2</v>
      </c>
      <c r="M37" s="2572">
        <v>910</v>
      </c>
      <c r="N37" s="2567">
        <f t="shared" si="1"/>
        <v>809.34999999999991</v>
      </c>
    </row>
    <row r="38" spans="1:16" ht="14.25" hidden="1" thickTop="1" thickBot="1">
      <c r="B38" s="2568" t="s">
        <v>1756</v>
      </c>
      <c r="C38" s="2565" t="s">
        <v>228</v>
      </c>
      <c r="D38" s="2571"/>
      <c r="E38" s="2571"/>
      <c r="F38" s="2571"/>
      <c r="G38" s="2571"/>
      <c r="H38" s="2571"/>
      <c r="I38" s="2569" t="e">
        <f>(D38*$D$4+E38*$E$4+F38*$F$4+G38*$G$4+H38*#REF!)/($D$4+$E$4+$F$4+$G$4+#REF!)</f>
        <v>#REF!</v>
      </c>
      <c r="J38" s="2633" t="s">
        <v>172</v>
      </c>
      <c r="K38" s="2571"/>
      <c r="L38" s="2570"/>
      <c r="M38" s="2570"/>
      <c r="N38" s="2570"/>
      <c r="O38" s="2570"/>
      <c r="P38" s="2569" t="e">
        <f>(K38*$D$4+L38*$E$4+M38*$F$4+N38*$G$4+O38*#REF!)/($D$4+$E$4+$F$4+$G$4+#REF!)</f>
        <v>#REF!</v>
      </c>
    </row>
    <row r="39" spans="1:16" ht="14.25" hidden="1" thickTop="1" thickBot="1">
      <c r="B39" s="2568" t="s">
        <v>1755</v>
      </c>
      <c r="C39" s="2565" t="s">
        <v>228</v>
      </c>
      <c r="D39" s="2562"/>
      <c r="E39" s="2562"/>
      <c r="F39" s="2562"/>
      <c r="G39" s="2562"/>
      <c r="H39" s="2562"/>
      <c r="I39" s="2560" t="e">
        <f>(D39*$D$4+E39*$E$4+F39*$F$4+G39*$G$4+H39*#REF!)/($D$4+$E$4+$F$4+$G$4+#REF!)</f>
        <v>#REF!</v>
      </c>
      <c r="J39" s="2563" t="s">
        <v>172</v>
      </c>
      <c r="K39" s="2562"/>
      <c r="L39" s="2561"/>
      <c r="M39" s="2561"/>
      <c r="N39" s="2561"/>
      <c r="O39" s="2561"/>
      <c r="P39" s="2560" t="e">
        <f>(K39*$D$4+L39*$E$4+M39*$F$4+N39*$G$4+O39*#REF!)/($D$4+$E$4+$F$4+$G$4+#REF!)</f>
        <v>#REF!</v>
      </c>
    </row>
    <row r="40" spans="1:16" ht="14.25" hidden="1" thickTop="1" thickBot="1">
      <c r="B40" s="2566" t="s">
        <v>1754</v>
      </c>
      <c r="C40" s="2565" t="s">
        <v>228</v>
      </c>
      <c r="D40" s="2564"/>
      <c r="E40" s="2564"/>
      <c r="F40" s="2564"/>
      <c r="G40" s="2564"/>
      <c r="H40" s="2564"/>
      <c r="I40" s="2560"/>
      <c r="J40" s="2563"/>
      <c r="K40" s="2562"/>
      <c r="L40" s="2561"/>
      <c r="M40" s="2561"/>
      <c r="N40" s="2561"/>
      <c r="O40" s="2561"/>
      <c r="P40" s="2560"/>
    </row>
    <row r="41" spans="1:16" ht="12.75" thickTop="1">
      <c r="A41" s="2559"/>
      <c r="B41" s="2558"/>
    </row>
    <row r="44" spans="1:16" ht="12.75">
      <c r="B44" s="2016" t="s">
        <v>1753</v>
      </c>
    </row>
    <row r="45" spans="1:16" ht="15.75" hidden="1">
      <c r="B45" s="2557" t="s">
        <v>1752</v>
      </c>
    </row>
    <row r="46" spans="1:16" ht="12.75" hidden="1">
      <c r="B46" s="2556" t="s">
        <v>1751</v>
      </c>
      <c r="C46" s="2547"/>
      <c r="D46" s="2547"/>
      <c r="E46" s="2547"/>
      <c r="F46" s="2555">
        <v>2011</v>
      </c>
      <c r="G46" s="2555">
        <v>2010</v>
      </c>
      <c r="H46" s="2555">
        <v>2009</v>
      </c>
      <c r="I46" s="2554">
        <v>2008</v>
      </c>
      <c r="J46" s="2554">
        <v>2007</v>
      </c>
      <c r="K46" s="2554"/>
      <c r="L46" s="2553" t="s">
        <v>1750</v>
      </c>
    </row>
    <row r="47" spans="1:16" ht="12.75" hidden="1">
      <c r="B47" s="2547"/>
      <c r="C47" s="2547"/>
      <c r="D47" s="2547"/>
      <c r="E47" s="2547"/>
      <c r="F47" s="2547"/>
      <c r="G47" s="2552"/>
      <c r="H47" s="2552"/>
      <c r="I47" s="2551"/>
      <c r="J47" s="2551"/>
      <c r="K47" s="2551"/>
      <c r="L47" s="2550"/>
    </row>
    <row r="48" spans="1:16" ht="12.75" hidden="1">
      <c r="B48" s="2549" t="s">
        <v>269</v>
      </c>
      <c r="C48" s="2547"/>
      <c r="D48" s="2547"/>
      <c r="E48" s="2547"/>
      <c r="F48" s="2548">
        <v>69.8</v>
      </c>
      <c r="G48" s="2547">
        <v>69</v>
      </c>
      <c r="H48" s="2547">
        <v>73.5</v>
      </c>
      <c r="I48" s="2546">
        <v>74.400000000000006</v>
      </c>
      <c r="J48" s="2546">
        <v>72.3</v>
      </c>
      <c r="K48" s="2546"/>
      <c r="L48" s="2546">
        <v>71.800000000000011</v>
      </c>
    </row>
    <row r="49" spans="2:12" ht="12.75" hidden="1">
      <c r="B49" s="2549" t="s">
        <v>81</v>
      </c>
      <c r="C49" s="2547"/>
      <c r="D49" s="2547"/>
      <c r="E49" s="2547"/>
      <c r="F49" s="2548"/>
      <c r="G49" s="2547">
        <v>56.1</v>
      </c>
      <c r="H49" s="2547">
        <v>60.1</v>
      </c>
      <c r="I49" s="2546">
        <v>59.1</v>
      </c>
      <c r="J49" s="2546">
        <v>54.8</v>
      </c>
      <c r="K49" s="2546"/>
      <c r="L49" s="2546">
        <v>57.525000000000006</v>
      </c>
    </row>
    <row r="50" spans="2:12" ht="12.75" hidden="1">
      <c r="B50" s="2549" t="s">
        <v>73</v>
      </c>
      <c r="C50" s="2547"/>
      <c r="D50" s="2547"/>
      <c r="E50" s="2547"/>
      <c r="F50" s="2548"/>
      <c r="G50" s="2547">
        <v>53.4</v>
      </c>
      <c r="H50" s="2547">
        <v>55.2</v>
      </c>
      <c r="I50" s="2546">
        <v>60.4</v>
      </c>
      <c r="J50" s="2546">
        <v>48.8</v>
      </c>
      <c r="K50" s="2546"/>
      <c r="L50" s="2546">
        <v>54.45</v>
      </c>
    </row>
    <row r="51" spans="2:12" ht="12.75" hidden="1">
      <c r="B51" s="2549" t="s">
        <v>1313</v>
      </c>
      <c r="C51" s="2547"/>
      <c r="D51" s="2547"/>
      <c r="E51" s="2547"/>
      <c r="F51" s="2548"/>
      <c r="G51" s="2547">
        <v>55.7</v>
      </c>
      <c r="H51" s="2547">
        <v>60.2</v>
      </c>
      <c r="I51" s="2546">
        <v>58.8</v>
      </c>
      <c r="J51" s="2546">
        <v>53.1</v>
      </c>
      <c r="K51" s="2546"/>
      <c r="L51" s="2546">
        <v>56.949999999999996</v>
      </c>
    </row>
    <row r="52" spans="2:12" ht="12.75" hidden="1">
      <c r="B52" s="2549" t="s">
        <v>88</v>
      </c>
      <c r="C52" s="2547"/>
      <c r="D52" s="2547"/>
      <c r="E52" s="2547"/>
      <c r="F52" s="2548">
        <v>67.5</v>
      </c>
      <c r="G52" s="2547">
        <v>65.900000000000006</v>
      </c>
      <c r="H52" s="2547">
        <v>69</v>
      </c>
      <c r="I52" s="2546">
        <v>68.099999999999994</v>
      </c>
      <c r="J52" s="2546">
        <v>67.400000000000006</v>
      </c>
      <c r="K52" s="2546"/>
      <c r="L52" s="2546">
        <v>67.58</v>
      </c>
    </row>
    <row r="53" spans="2:12" ht="12.75" hidden="1">
      <c r="B53" s="2549" t="s">
        <v>86</v>
      </c>
      <c r="C53" s="2547"/>
      <c r="D53" s="2547"/>
      <c r="E53" s="2547"/>
      <c r="F53" s="2548">
        <v>61.7</v>
      </c>
      <c r="G53" s="2547">
        <v>62.1</v>
      </c>
      <c r="H53" s="2547">
        <v>65.599999999999994</v>
      </c>
      <c r="I53" s="2546">
        <v>58.4</v>
      </c>
      <c r="J53" s="2546">
        <v>60.2</v>
      </c>
      <c r="K53" s="2546"/>
      <c r="L53" s="2546">
        <v>61.6</v>
      </c>
    </row>
    <row r="54" spans="2:12" ht="12.75" hidden="1">
      <c r="B54" s="2549" t="s">
        <v>267</v>
      </c>
      <c r="C54" s="2547"/>
      <c r="D54" s="2547"/>
      <c r="E54" s="2547"/>
      <c r="F54" s="2548">
        <v>50.4</v>
      </c>
      <c r="G54" s="2547">
        <v>55</v>
      </c>
      <c r="H54" s="2547">
        <v>55.3</v>
      </c>
      <c r="I54" s="2546">
        <v>53.2</v>
      </c>
      <c r="J54" s="2546">
        <v>44.3</v>
      </c>
      <c r="K54" s="2546"/>
      <c r="L54" s="2546">
        <v>51.64</v>
      </c>
    </row>
    <row r="55" spans="2:12" ht="12.75" hidden="1">
      <c r="B55" s="2549" t="s">
        <v>75</v>
      </c>
      <c r="C55" s="2547"/>
      <c r="D55" s="2547"/>
      <c r="E55" s="2547"/>
      <c r="F55" s="2548">
        <v>47.8</v>
      </c>
      <c r="G55" s="2547">
        <v>49.5</v>
      </c>
      <c r="H55" s="2547">
        <v>59</v>
      </c>
      <c r="I55" s="2546">
        <v>55.5</v>
      </c>
      <c r="J55" s="2546">
        <v>44.7</v>
      </c>
      <c r="K55" s="2546"/>
      <c r="L55" s="2546">
        <v>51.3</v>
      </c>
    </row>
    <row r="56" spans="2:12" ht="12.75" hidden="1">
      <c r="B56" s="2549" t="s">
        <v>1749</v>
      </c>
      <c r="C56" s="2547"/>
      <c r="D56" s="2547"/>
      <c r="E56" s="2547"/>
      <c r="F56" s="2548">
        <v>121.2</v>
      </c>
      <c r="G56" s="2547">
        <v>98.5</v>
      </c>
      <c r="H56" s="2547">
        <v>109.2</v>
      </c>
      <c r="I56" s="2546">
        <v>105.4</v>
      </c>
      <c r="J56" s="2546">
        <v>97.9</v>
      </c>
      <c r="K56" s="2546"/>
      <c r="L56" s="2546">
        <v>106.43999999999998</v>
      </c>
    </row>
    <row r="57" spans="2:12" ht="12.75" hidden="1">
      <c r="B57" s="2549" t="s">
        <v>45</v>
      </c>
      <c r="C57" s="2547"/>
      <c r="D57" s="2547"/>
      <c r="E57" s="2547"/>
      <c r="F57" s="2548">
        <v>802.5</v>
      </c>
      <c r="G57" s="2547">
        <v>689.9</v>
      </c>
      <c r="H57" s="2547">
        <v>727.2</v>
      </c>
      <c r="I57" s="2546">
        <v>667.8</v>
      </c>
      <c r="J57" s="2546">
        <v>644.20000000000005</v>
      </c>
      <c r="K57" s="2546"/>
      <c r="L57" s="2546">
        <v>706.32</v>
      </c>
    </row>
    <row r="58" spans="2:12" ht="12.75" hidden="1">
      <c r="B58" s="2549" t="s">
        <v>195</v>
      </c>
      <c r="C58" s="2547"/>
      <c r="D58" s="2547"/>
      <c r="E58" s="2547"/>
      <c r="F58" s="2548"/>
      <c r="G58" s="2547"/>
      <c r="H58" s="2547">
        <v>270.7</v>
      </c>
      <c r="I58" s="2546">
        <v>282.39999999999998</v>
      </c>
      <c r="J58" s="2546">
        <v>283.7</v>
      </c>
      <c r="K58" s="2546"/>
      <c r="L58" s="2546">
        <v>278.93333333333334</v>
      </c>
    </row>
    <row r="59" spans="2:12" ht="12.75" hidden="1">
      <c r="B59" s="2549" t="s">
        <v>1748</v>
      </c>
      <c r="C59" s="2547"/>
      <c r="D59" s="2547"/>
      <c r="E59" s="2547"/>
      <c r="F59" s="2548"/>
      <c r="G59" s="2547"/>
      <c r="H59" s="2547">
        <v>387.2</v>
      </c>
      <c r="I59" s="2546">
        <v>371.3</v>
      </c>
      <c r="J59" s="2546">
        <v>363.3</v>
      </c>
      <c r="K59" s="2546"/>
      <c r="L59" s="2546">
        <v>373.93333333333334</v>
      </c>
    </row>
    <row r="60" spans="2:12" ht="12.75" hidden="1">
      <c r="B60" s="2549" t="s">
        <v>1010</v>
      </c>
      <c r="C60" s="2547"/>
      <c r="D60" s="2547"/>
      <c r="E60" s="2547"/>
      <c r="F60" s="2548">
        <v>443.2</v>
      </c>
      <c r="G60" s="2547">
        <v>346.8</v>
      </c>
      <c r="H60" s="2547"/>
      <c r="I60" s="2546"/>
      <c r="J60" s="2546">
        <v>349.9</v>
      </c>
      <c r="K60" s="2546"/>
      <c r="L60" s="2546">
        <v>379.9666666666667</v>
      </c>
    </row>
    <row r="61" spans="2:12" ht="12.75" hidden="1">
      <c r="B61" s="2549" t="s">
        <v>64</v>
      </c>
      <c r="C61" s="2547"/>
      <c r="D61" s="2547"/>
      <c r="E61" s="2547"/>
      <c r="F61" s="2548">
        <v>26.5</v>
      </c>
      <c r="G61" s="2547">
        <v>38.799999999999997</v>
      </c>
      <c r="H61" s="2547">
        <v>41.8</v>
      </c>
      <c r="I61" s="2546">
        <v>37.4</v>
      </c>
      <c r="J61" s="2546">
        <v>42.1</v>
      </c>
      <c r="K61" s="2546"/>
      <c r="L61" s="2546">
        <v>37.32</v>
      </c>
    </row>
    <row r="62" spans="2:12" ht="12.75" hidden="1">
      <c r="B62" s="2549" t="s">
        <v>62</v>
      </c>
      <c r="C62" s="2547"/>
      <c r="D62" s="2547"/>
      <c r="E62" s="2547"/>
      <c r="F62" s="2548"/>
      <c r="G62" s="2547">
        <v>25.2</v>
      </c>
      <c r="H62" s="2547">
        <v>24.4</v>
      </c>
      <c r="I62" s="2546">
        <v>26.2</v>
      </c>
      <c r="J62" s="2546">
        <v>24.9</v>
      </c>
      <c r="K62" s="2546"/>
      <c r="L62" s="2546">
        <v>25.174999999999997</v>
      </c>
    </row>
    <row r="63" spans="2:12" ht="12.75" hidden="1">
      <c r="B63" s="2549" t="s">
        <v>54</v>
      </c>
      <c r="C63" s="2547"/>
      <c r="D63" s="2547"/>
      <c r="E63" s="2547"/>
      <c r="F63" s="2548"/>
      <c r="G63" s="2547">
        <v>34.6</v>
      </c>
      <c r="H63" s="2547">
        <v>35.9</v>
      </c>
      <c r="I63" s="2546">
        <v>36.700000000000003</v>
      </c>
      <c r="J63" s="2546">
        <v>34</v>
      </c>
      <c r="K63" s="2546"/>
      <c r="L63" s="2546">
        <v>35.299999999999997</v>
      </c>
    </row>
    <row r="64" spans="2:12" ht="12.75" hidden="1">
      <c r="B64" s="2549" t="s">
        <v>52</v>
      </c>
      <c r="C64" s="2547"/>
      <c r="D64" s="2547"/>
      <c r="E64" s="2547"/>
      <c r="F64" s="2548"/>
      <c r="G64" s="2547">
        <v>32.299999999999997</v>
      </c>
      <c r="H64" s="2547">
        <v>33.5</v>
      </c>
      <c r="I64" s="2546">
        <v>35</v>
      </c>
      <c r="J64" s="2546">
        <v>31.6</v>
      </c>
      <c r="K64" s="2546"/>
      <c r="L64" s="2546">
        <v>33.1</v>
      </c>
    </row>
    <row r="65" spans="2:12" ht="12.75" hidden="1">
      <c r="B65" s="2549" t="s">
        <v>1721</v>
      </c>
      <c r="C65" s="2547"/>
      <c r="D65" s="2547"/>
      <c r="E65" s="2547"/>
      <c r="F65" s="2548">
        <v>484.8</v>
      </c>
      <c r="G65" s="2547">
        <v>439.1</v>
      </c>
      <c r="H65" s="2547">
        <v>484.4</v>
      </c>
      <c r="I65" s="2546">
        <v>478.4</v>
      </c>
      <c r="J65" s="2546">
        <v>469.5</v>
      </c>
      <c r="K65" s="2546"/>
      <c r="L65" s="2546">
        <v>471.24000000000007</v>
      </c>
    </row>
    <row r="66" spans="2:12" ht="12.75" hidden="1">
      <c r="B66" s="2549" t="s">
        <v>1747</v>
      </c>
      <c r="C66" s="2547"/>
      <c r="D66" s="2547"/>
      <c r="E66" s="2547"/>
      <c r="F66" s="2548"/>
      <c r="G66" s="2547"/>
      <c r="H66" s="2547">
        <v>80.099999999999994</v>
      </c>
      <c r="I66" s="2546">
        <v>76.5</v>
      </c>
      <c r="J66" s="2546">
        <v>76.2</v>
      </c>
      <c r="K66" s="2546"/>
      <c r="L66" s="2546">
        <v>77.600000000000009</v>
      </c>
    </row>
    <row r="67" spans="2:12" ht="12.75" hidden="1">
      <c r="B67" s="2549" t="s">
        <v>1746</v>
      </c>
      <c r="C67" s="2547"/>
      <c r="D67" s="2547"/>
      <c r="E67" s="2547"/>
      <c r="F67" s="2548"/>
      <c r="G67" s="2547"/>
      <c r="H67" s="2547">
        <v>82</v>
      </c>
      <c r="I67" s="2546">
        <v>78.5</v>
      </c>
      <c r="J67" s="2546">
        <v>81.2</v>
      </c>
      <c r="K67" s="2546"/>
      <c r="L67" s="2546">
        <v>80.566666666666663</v>
      </c>
    </row>
    <row r="68" spans="2:12" ht="12.75" hidden="1">
      <c r="B68" s="2549" t="s">
        <v>1745</v>
      </c>
      <c r="C68" s="2547"/>
      <c r="D68" s="2547"/>
      <c r="E68" s="2547"/>
      <c r="F68" s="2548">
        <v>66.599999999999994</v>
      </c>
      <c r="G68" s="2547">
        <v>63.6</v>
      </c>
      <c r="H68" s="2547"/>
      <c r="I68" s="2546"/>
      <c r="J68" s="2546"/>
      <c r="K68" s="2546"/>
      <c r="L68" s="2546">
        <v>65.099999999999994</v>
      </c>
    </row>
    <row r="69" spans="2:12" ht="12.75" hidden="1">
      <c r="B69" s="2549" t="s">
        <v>1744</v>
      </c>
      <c r="C69" s="2547"/>
      <c r="D69" s="2547"/>
      <c r="E69" s="2547"/>
      <c r="F69" s="2548">
        <v>57.2</v>
      </c>
      <c r="G69" s="2547">
        <v>57.5</v>
      </c>
      <c r="H69" s="2547">
        <v>72.8</v>
      </c>
      <c r="I69" s="2546">
        <v>71.2</v>
      </c>
      <c r="J69" s="2546">
        <v>73</v>
      </c>
      <c r="K69" s="2546"/>
      <c r="L69" s="2546">
        <v>66.34</v>
      </c>
    </row>
    <row r="70" spans="2:12" ht="12.75" hidden="1">
      <c r="B70" s="2549" t="s">
        <v>1743</v>
      </c>
      <c r="C70" s="2547"/>
      <c r="D70" s="2547"/>
      <c r="E70" s="2547"/>
      <c r="F70" s="2548">
        <v>66</v>
      </c>
      <c r="G70" s="2547">
        <v>62.9</v>
      </c>
      <c r="H70" s="2547">
        <v>76.3</v>
      </c>
      <c r="I70" s="2546">
        <v>75.3</v>
      </c>
      <c r="J70" s="2546">
        <v>73.099999999999994</v>
      </c>
      <c r="K70" s="2546"/>
      <c r="L70" s="2546">
        <v>70.72</v>
      </c>
    </row>
    <row r="71" spans="2:12" ht="12.75">
      <c r="C71" s="4144" t="s">
        <v>1742</v>
      </c>
      <c r="D71" s="4145"/>
      <c r="E71" s="4145"/>
      <c r="F71" s="4145"/>
      <c r="G71" s="4145"/>
    </row>
    <row r="72" spans="2:12">
      <c r="B72" s="4146" t="s">
        <v>1741</v>
      </c>
      <c r="C72" s="2539">
        <v>2013</v>
      </c>
      <c r="D72" s="2539">
        <v>2014</v>
      </c>
      <c r="E72" s="2539">
        <v>2015</v>
      </c>
      <c r="F72" s="2539">
        <v>2016</v>
      </c>
      <c r="G72" s="2539">
        <v>2017</v>
      </c>
    </row>
    <row r="73" spans="2:12" ht="12.75">
      <c r="B73" s="4147"/>
      <c r="C73" s="4148" t="s">
        <v>172</v>
      </c>
      <c r="D73" s="4149"/>
      <c r="E73" s="4149"/>
      <c r="F73" s="4149"/>
      <c r="G73" s="4149"/>
    </row>
    <row r="74" spans="2:12" ht="12.75">
      <c r="B74" s="2544" t="s">
        <v>269</v>
      </c>
      <c r="C74" s="2541">
        <v>74.099999999999994</v>
      </c>
      <c r="D74" s="2541">
        <v>83.5</v>
      </c>
      <c r="E74" s="2541">
        <v>76.3</v>
      </c>
      <c r="F74" s="2541">
        <v>66.099999999999994</v>
      </c>
      <c r="G74" s="2541" t="s">
        <v>1720</v>
      </c>
    </row>
    <row r="75" spans="2:12" ht="12.75">
      <c r="B75" s="2544" t="s">
        <v>86</v>
      </c>
      <c r="C75" s="2541">
        <v>68.3</v>
      </c>
      <c r="D75" s="2541">
        <v>76.2</v>
      </c>
      <c r="E75" s="2541">
        <v>67.400000000000006</v>
      </c>
      <c r="F75" s="2541">
        <v>67.400000000000006</v>
      </c>
      <c r="G75" s="2541" t="s">
        <v>1720</v>
      </c>
    </row>
    <row r="76" spans="2:12" ht="12.75">
      <c r="B76" s="2544" t="s">
        <v>267</v>
      </c>
      <c r="C76" s="2541">
        <v>55.4</v>
      </c>
      <c r="D76" s="2541">
        <v>59.7</v>
      </c>
      <c r="E76" s="2541">
        <v>53.9</v>
      </c>
      <c r="F76" s="2541">
        <v>49.6</v>
      </c>
      <c r="G76" s="2541" t="s">
        <v>1720</v>
      </c>
    </row>
    <row r="77" spans="2:12" ht="12.75">
      <c r="B77" s="2544" t="s">
        <v>75</v>
      </c>
      <c r="C77" s="2541">
        <v>45.2</v>
      </c>
      <c r="D77" s="2541">
        <v>52.5</v>
      </c>
      <c r="E77" s="2541">
        <v>46.6</v>
      </c>
      <c r="F77" s="2541">
        <v>45.6</v>
      </c>
      <c r="G77" s="2541" t="s">
        <v>1720</v>
      </c>
    </row>
    <row r="78" spans="2:12" ht="12.75">
      <c r="B78" s="2544" t="s">
        <v>88</v>
      </c>
      <c r="C78" s="2541">
        <v>69.900000000000006</v>
      </c>
      <c r="D78" s="2541">
        <v>74.400000000000006</v>
      </c>
      <c r="E78" s="2541">
        <v>67.5</v>
      </c>
      <c r="F78" s="2541">
        <v>53.1</v>
      </c>
      <c r="G78" s="2541" t="s">
        <v>1720</v>
      </c>
    </row>
    <row r="79" spans="2:12" ht="12.75">
      <c r="B79" s="2544" t="s">
        <v>70</v>
      </c>
      <c r="C79" s="2541">
        <v>95.6</v>
      </c>
      <c r="D79" s="2541">
        <v>115.7</v>
      </c>
      <c r="E79" s="2541">
        <v>84.3</v>
      </c>
      <c r="F79" s="2541">
        <v>96.1</v>
      </c>
      <c r="G79" s="2541" t="s">
        <v>1720</v>
      </c>
    </row>
    <row r="80" spans="2:12" ht="12.75">
      <c r="B80" s="2544" t="s">
        <v>1010</v>
      </c>
      <c r="C80" s="2541">
        <v>364.9</v>
      </c>
      <c r="D80" s="2541">
        <v>473.2</v>
      </c>
      <c r="E80" s="2541">
        <v>369.4</v>
      </c>
      <c r="F80" s="2541">
        <v>365.6</v>
      </c>
      <c r="G80" s="2541" t="s">
        <v>1720</v>
      </c>
    </row>
    <row r="81" spans="2:10" ht="12.75">
      <c r="B81" s="2544" t="s">
        <v>45</v>
      </c>
      <c r="C81" s="2541">
        <v>753.9</v>
      </c>
      <c r="D81" s="2541">
        <v>878.4</v>
      </c>
      <c r="E81" s="2541">
        <v>673.8</v>
      </c>
      <c r="F81" s="2541">
        <v>775.2</v>
      </c>
      <c r="G81" s="2541" t="s">
        <v>1720</v>
      </c>
    </row>
    <row r="82" spans="2:10" ht="12.75">
      <c r="B82" s="2544" t="s">
        <v>64</v>
      </c>
      <c r="C82" s="2541">
        <v>37</v>
      </c>
      <c r="D82" s="2541">
        <v>47.2</v>
      </c>
      <c r="E82" s="2541">
        <v>40.799999999999997</v>
      </c>
      <c r="F82" s="2541">
        <v>38.799999999999997</v>
      </c>
      <c r="G82" s="2541" t="s">
        <v>1720</v>
      </c>
    </row>
    <row r="83" spans="2:10" ht="12.75">
      <c r="B83" s="2544" t="s">
        <v>1721</v>
      </c>
      <c r="C83" s="2541">
        <v>426.6</v>
      </c>
      <c r="D83" s="2541">
        <v>485.3</v>
      </c>
      <c r="E83" s="2541">
        <v>393.2</v>
      </c>
      <c r="F83" s="2541">
        <v>427.1</v>
      </c>
      <c r="G83" s="2541" t="s">
        <v>1720</v>
      </c>
    </row>
    <row r="84" spans="2:10" ht="14.25">
      <c r="B84" s="2544" t="s">
        <v>1740</v>
      </c>
      <c r="C84" s="2541">
        <v>56.6</v>
      </c>
      <c r="D84" s="2541">
        <v>59.1</v>
      </c>
      <c r="E84" s="2541">
        <v>48.5</v>
      </c>
      <c r="F84" s="2541">
        <v>61.9</v>
      </c>
      <c r="G84" s="2541" t="s">
        <v>1720</v>
      </c>
    </row>
    <row r="85" spans="2:10" ht="14.25">
      <c r="B85" s="2544" t="s">
        <v>1739</v>
      </c>
      <c r="C85" s="2541">
        <v>63.4</v>
      </c>
      <c r="D85" s="2541">
        <v>57.5</v>
      </c>
      <c r="E85" s="2541">
        <v>47.4</v>
      </c>
      <c r="F85" s="2541">
        <v>52.3</v>
      </c>
      <c r="G85" s="2541" t="s">
        <v>1720</v>
      </c>
    </row>
    <row r="87" spans="2:10" ht="13.15" customHeight="1">
      <c r="B87" s="4150" t="s">
        <v>1738</v>
      </c>
      <c r="C87" s="4150"/>
      <c r="D87" s="4150"/>
      <c r="E87" s="4150"/>
      <c r="F87" s="4150"/>
      <c r="G87" s="4150"/>
      <c r="H87" s="4150"/>
      <c r="I87" s="4150"/>
      <c r="J87" s="4150"/>
    </row>
    <row r="88" spans="2:10" ht="12.75">
      <c r="B88" s="4151" t="s">
        <v>1737</v>
      </c>
      <c r="C88" s="4151" t="s">
        <v>1736</v>
      </c>
      <c r="D88" s="4151"/>
      <c r="E88" s="4151"/>
      <c r="F88" s="4151"/>
      <c r="G88" s="4151"/>
      <c r="H88" s="4150"/>
      <c r="I88" s="4150"/>
      <c r="J88" s="2545"/>
    </row>
    <row r="89" spans="2:10" ht="12.75">
      <c r="B89" s="4151"/>
      <c r="C89" s="4151"/>
      <c r="D89" s="4151"/>
      <c r="E89" s="4151"/>
      <c r="F89" s="4151"/>
      <c r="G89" s="4151"/>
      <c r="H89" s="4150"/>
      <c r="I89" s="4150"/>
      <c r="J89" s="2545"/>
    </row>
    <row r="90" spans="2:10" ht="26.45" customHeight="1">
      <c r="B90" s="4151"/>
      <c r="C90" s="4151"/>
      <c r="D90" s="4151"/>
      <c r="E90" s="4151"/>
      <c r="F90" s="4151"/>
      <c r="G90" s="4151"/>
      <c r="H90" s="4150"/>
      <c r="I90" s="4150"/>
      <c r="J90" s="2545"/>
    </row>
    <row r="91" spans="2:10" ht="38.25">
      <c r="B91" s="4151"/>
      <c r="C91" s="2545" t="s">
        <v>1735</v>
      </c>
      <c r="D91" s="2545" t="s">
        <v>1734</v>
      </c>
      <c r="E91" s="2545" t="s">
        <v>1733</v>
      </c>
      <c r="F91" s="2545" t="s">
        <v>1732</v>
      </c>
      <c r="G91" s="2545" t="s">
        <v>1731</v>
      </c>
      <c r="H91" s="2545"/>
      <c r="I91" s="2545" t="s">
        <v>1730</v>
      </c>
      <c r="J91" s="2545"/>
    </row>
    <row r="92" spans="2:10" ht="13.15" customHeight="1">
      <c r="B92" s="4151"/>
      <c r="C92" s="4150" t="s">
        <v>172</v>
      </c>
      <c r="D92" s="4150"/>
      <c r="E92" s="4150"/>
      <c r="F92" s="4150"/>
      <c r="G92" s="4150"/>
      <c r="H92" s="4150"/>
      <c r="I92" s="4150"/>
      <c r="J92" s="4150"/>
    </row>
    <row r="93" spans="2:10" ht="12.75">
      <c r="B93" s="2544" t="s">
        <v>1729</v>
      </c>
      <c r="C93" s="2543" t="s">
        <v>168</v>
      </c>
      <c r="D93" s="2543" t="s">
        <v>168</v>
      </c>
      <c r="E93" s="2543">
        <v>73.8</v>
      </c>
      <c r="F93" s="2543" t="s">
        <v>168</v>
      </c>
      <c r="G93" s="2543" t="s">
        <v>168</v>
      </c>
      <c r="H93" s="2541"/>
      <c r="I93" s="2542"/>
      <c r="J93" s="2541"/>
    </row>
    <row r="94" spans="2:10" ht="14.25">
      <c r="B94" s="2544" t="s">
        <v>1728</v>
      </c>
      <c r="C94" s="2543" t="s">
        <v>168</v>
      </c>
      <c r="D94" s="2543" t="s">
        <v>168</v>
      </c>
      <c r="E94" s="2543">
        <v>97.1</v>
      </c>
      <c r="F94" s="2543" t="s">
        <v>1720</v>
      </c>
      <c r="G94" s="2543" t="s">
        <v>168</v>
      </c>
      <c r="H94" s="2541"/>
      <c r="I94" s="2542">
        <v>97.1</v>
      </c>
      <c r="J94" s="2541"/>
    </row>
    <row r="95" spans="2:10" ht="12.75">
      <c r="B95" s="2544" t="s">
        <v>1727</v>
      </c>
      <c r="C95" s="2543">
        <v>69</v>
      </c>
      <c r="D95" s="2543">
        <v>69.900000000000006</v>
      </c>
      <c r="E95" s="2543">
        <v>70.3</v>
      </c>
      <c r="F95" s="2543" t="s">
        <v>168</v>
      </c>
      <c r="G95" s="2543" t="s">
        <v>168</v>
      </c>
      <c r="H95" s="2541"/>
      <c r="I95" s="2542"/>
      <c r="J95" s="2541"/>
    </row>
    <row r="96" spans="2:10" ht="12.75">
      <c r="B96" s="2544" t="s">
        <v>1726</v>
      </c>
      <c r="C96" s="2543">
        <v>73</v>
      </c>
      <c r="D96" s="2543">
        <v>72.900000000000006</v>
      </c>
      <c r="E96" s="2543">
        <v>74</v>
      </c>
      <c r="F96" s="2543" t="s">
        <v>168</v>
      </c>
      <c r="G96" s="2543" t="s">
        <v>168</v>
      </c>
      <c r="H96" s="2541"/>
      <c r="I96" s="2542"/>
      <c r="J96" s="2541"/>
    </row>
    <row r="97" spans="2:10" ht="14.25">
      <c r="B97" s="2544" t="s">
        <v>1725</v>
      </c>
      <c r="C97" s="2543">
        <v>73.400000000000006</v>
      </c>
      <c r="D97" s="2543">
        <v>73.2</v>
      </c>
      <c r="E97" s="2543">
        <v>74.2</v>
      </c>
      <c r="F97" s="2543" t="s">
        <v>168</v>
      </c>
      <c r="G97" s="2543" t="s">
        <v>168</v>
      </c>
      <c r="H97" s="2541"/>
      <c r="I97" s="2542">
        <f>(C97+D97+E97)/3</f>
        <v>73.600000000000009</v>
      </c>
      <c r="J97" s="2541"/>
    </row>
    <row r="98" spans="2:10" ht="12.75">
      <c r="B98" s="2544" t="s">
        <v>81</v>
      </c>
      <c r="C98" s="2543">
        <v>57.4</v>
      </c>
      <c r="D98" s="2543">
        <v>55.7</v>
      </c>
      <c r="E98" s="2543">
        <v>62</v>
      </c>
      <c r="F98" s="2543" t="s">
        <v>168</v>
      </c>
      <c r="G98" s="2543" t="s">
        <v>168</v>
      </c>
      <c r="H98" s="2541"/>
      <c r="I98" s="2542"/>
      <c r="J98" s="2541"/>
    </row>
    <row r="99" spans="2:10" ht="12.75">
      <c r="B99" s="2544" t="s">
        <v>1724</v>
      </c>
      <c r="C99" s="2543">
        <v>52.4</v>
      </c>
      <c r="D99" s="2543">
        <v>54.3</v>
      </c>
      <c r="E99" s="2543">
        <v>54.1</v>
      </c>
      <c r="F99" s="2543" t="s">
        <v>168</v>
      </c>
      <c r="G99" s="2543" t="s">
        <v>168</v>
      </c>
      <c r="H99" s="2541"/>
      <c r="I99" s="2542"/>
      <c r="J99" s="2541"/>
    </row>
    <row r="100" spans="2:10" ht="12.75">
      <c r="B100" s="2544" t="s">
        <v>1723</v>
      </c>
      <c r="C100" s="2543">
        <v>66</v>
      </c>
      <c r="D100" s="2543">
        <v>69</v>
      </c>
      <c r="E100" s="2543">
        <v>68.400000000000006</v>
      </c>
      <c r="F100" s="2543" t="s">
        <v>168</v>
      </c>
      <c r="G100" s="2543" t="s">
        <v>168</v>
      </c>
      <c r="H100" s="2541"/>
      <c r="I100" s="2542"/>
      <c r="J100" s="2541"/>
    </row>
    <row r="101" spans="2:10" ht="12.75">
      <c r="B101" s="2544" t="s">
        <v>86</v>
      </c>
      <c r="C101" s="2543">
        <v>71.599999999999994</v>
      </c>
      <c r="D101" s="2543">
        <v>75.2</v>
      </c>
      <c r="E101" s="2543">
        <v>74.099999999999994</v>
      </c>
      <c r="F101" s="2543" t="s">
        <v>168</v>
      </c>
      <c r="G101" s="2543" t="s">
        <v>168</v>
      </c>
      <c r="H101" s="2541"/>
      <c r="I101" s="2542">
        <f>(C101+D101+E101)/3</f>
        <v>73.63333333333334</v>
      </c>
      <c r="J101" s="2541"/>
    </row>
    <row r="102" spans="2:10" ht="12.75">
      <c r="B102" s="2544" t="s">
        <v>267</v>
      </c>
      <c r="C102" s="2543">
        <v>56.5</v>
      </c>
      <c r="D102" s="2543">
        <v>58.5</v>
      </c>
      <c r="E102" s="2543">
        <v>58.8</v>
      </c>
      <c r="F102" s="2543" t="s">
        <v>168</v>
      </c>
      <c r="G102" s="2543" t="s">
        <v>168</v>
      </c>
      <c r="H102" s="2541"/>
      <c r="I102" s="2542"/>
      <c r="J102" s="2541"/>
    </row>
    <row r="103" spans="2:10" ht="12.75">
      <c r="B103" s="2544" t="s">
        <v>75</v>
      </c>
      <c r="C103" s="2543">
        <v>49.7</v>
      </c>
      <c r="D103" s="2543">
        <v>50.8</v>
      </c>
      <c r="E103" s="2543">
        <v>49.1</v>
      </c>
      <c r="F103" s="2543" t="s">
        <v>168</v>
      </c>
      <c r="G103" s="2543" t="s">
        <v>168</v>
      </c>
      <c r="H103" s="2541"/>
      <c r="I103" s="2542"/>
      <c r="J103" s="2541"/>
    </row>
    <row r="104" spans="2:10" ht="12.75">
      <c r="B104" s="2544" t="s">
        <v>88</v>
      </c>
      <c r="C104" s="2543">
        <v>73.099999999999994</v>
      </c>
      <c r="D104" s="2543">
        <v>72.5</v>
      </c>
      <c r="E104" s="2543">
        <v>72.400000000000006</v>
      </c>
      <c r="F104" s="2543" t="s">
        <v>168</v>
      </c>
      <c r="G104" s="2543" t="s">
        <v>168</v>
      </c>
      <c r="H104" s="2541"/>
      <c r="I104" s="2542"/>
      <c r="J104" s="2541"/>
    </row>
    <row r="105" spans="2:10" ht="12.75">
      <c r="B105" s="2544" t="s">
        <v>54</v>
      </c>
      <c r="C105" s="2543" t="s">
        <v>168</v>
      </c>
      <c r="D105" s="2543">
        <v>37.4</v>
      </c>
      <c r="E105" s="2543">
        <v>36.1</v>
      </c>
      <c r="F105" s="2543" t="s">
        <v>168</v>
      </c>
      <c r="G105" s="2543" t="s">
        <v>168</v>
      </c>
      <c r="H105" s="2541"/>
      <c r="I105" s="2542"/>
      <c r="J105" s="2541"/>
    </row>
    <row r="106" spans="2:10" ht="12.75">
      <c r="B106" s="2544" t="s">
        <v>52</v>
      </c>
      <c r="C106" s="2543" t="s">
        <v>168</v>
      </c>
      <c r="D106" s="2543" t="s">
        <v>168</v>
      </c>
      <c r="E106" s="2543">
        <v>29.1</v>
      </c>
      <c r="F106" s="2543" t="s">
        <v>168</v>
      </c>
      <c r="G106" s="2543" t="s">
        <v>168</v>
      </c>
      <c r="H106" s="2541"/>
      <c r="I106" s="2542"/>
      <c r="J106" s="2541"/>
    </row>
    <row r="107" spans="2:10" ht="12.75">
      <c r="B107" s="2544" t="s">
        <v>1722</v>
      </c>
      <c r="C107" s="2543" t="s">
        <v>168</v>
      </c>
      <c r="D107" s="2543" t="s">
        <v>168</v>
      </c>
      <c r="E107" s="2543">
        <v>362.8</v>
      </c>
      <c r="F107" s="2543" t="s">
        <v>168</v>
      </c>
      <c r="G107" s="2543" t="s">
        <v>168</v>
      </c>
      <c r="H107" s="2541"/>
      <c r="I107" s="2542"/>
      <c r="J107" s="2541"/>
    </row>
    <row r="108" spans="2:10" ht="12.75">
      <c r="B108" s="2544" t="s">
        <v>45</v>
      </c>
      <c r="C108" s="2543" t="s">
        <v>168</v>
      </c>
      <c r="D108" s="2543" t="s">
        <v>168</v>
      </c>
      <c r="E108" s="2543" t="s">
        <v>168</v>
      </c>
      <c r="F108" s="2543" t="s">
        <v>168</v>
      </c>
      <c r="G108" s="2543" t="s">
        <v>1720</v>
      </c>
      <c r="H108" s="2541"/>
      <c r="I108" s="2542"/>
      <c r="J108" s="2541"/>
    </row>
    <row r="109" spans="2:10" ht="12.75">
      <c r="B109" s="2544" t="s">
        <v>64</v>
      </c>
      <c r="C109" s="2543">
        <v>38.1</v>
      </c>
      <c r="D109" s="2543">
        <v>36.700000000000003</v>
      </c>
      <c r="E109" s="2543">
        <v>38.299999999999997</v>
      </c>
      <c r="F109" s="2543" t="s">
        <v>168</v>
      </c>
      <c r="G109" s="2543" t="s">
        <v>168</v>
      </c>
      <c r="H109" s="2541"/>
      <c r="I109" s="2542">
        <f>(C109+D109+E109)/3</f>
        <v>37.700000000000003</v>
      </c>
      <c r="J109" s="2541"/>
    </row>
    <row r="110" spans="2:10" ht="12.75">
      <c r="B110" s="2544" t="s">
        <v>1721</v>
      </c>
      <c r="C110" s="2543" t="s">
        <v>168</v>
      </c>
      <c r="D110" s="2543" t="s">
        <v>168</v>
      </c>
      <c r="E110" s="2543">
        <v>460.5</v>
      </c>
      <c r="F110" s="2543" t="s">
        <v>1720</v>
      </c>
      <c r="G110" s="2543" t="s">
        <v>168</v>
      </c>
      <c r="H110" s="2541"/>
      <c r="I110" s="2542"/>
      <c r="J110" s="2541"/>
    </row>
    <row r="111" spans="2:10" ht="12.75">
      <c r="B111" s="2540" t="s">
        <v>1719</v>
      </c>
    </row>
    <row r="112" spans="2:10" ht="12.75">
      <c r="B112" s="2540" t="s">
        <v>1718</v>
      </c>
    </row>
    <row r="113" spans="2:2" ht="12.75">
      <c r="B113" s="2540" t="s">
        <v>1717</v>
      </c>
    </row>
    <row r="114" spans="2:2" ht="12.75">
      <c r="B114" s="2540" t="s">
        <v>1716</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T114"/>
  <sheetViews>
    <sheetView workbookViewId="0"/>
  </sheetViews>
  <sheetFormatPr baseColWidth="10" defaultColWidth="10.25" defaultRowHeight="12"/>
  <cols>
    <col min="1" max="1" width="1.25" style="2539" customWidth="1"/>
    <col min="2" max="2" width="38.75" style="2539" customWidth="1"/>
    <col min="3" max="4" width="10.25" style="2539"/>
    <col min="5" max="5" width="7.75" style="2539" customWidth="1"/>
    <col min="6" max="6" width="7.5" style="2539" bestFit="1" customWidth="1"/>
    <col min="7" max="7" width="5.75" style="2539" customWidth="1"/>
    <col min="8" max="8" width="6.875" style="2539" bestFit="1" customWidth="1"/>
    <col min="9" max="9" width="10.375" style="2539" bestFit="1" customWidth="1"/>
    <col min="10" max="10" width="7.5" style="2539" bestFit="1" customWidth="1"/>
    <col min="11" max="11" width="7.5" style="2539" customWidth="1"/>
    <col min="12" max="12" width="6" style="2539" customWidth="1"/>
    <col min="13" max="13" width="7.75" style="2539" customWidth="1"/>
    <col min="14" max="14" width="5.75" style="2539" customWidth="1"/>
    <col min="15" max="15" width="6.625" style="2539" customWidth="1"/>
    <col min="16" max="17" width="7.75" style="2539" bestFit="1" customWidth="1"/>
    <col min="18" max="18" width="11.625" style="2539" customWidth="1"/>
    <col min="19" max="19" width="12.5" style="2539" customWidth="1"/>
    <col min="20" max="16384" width="10.25" style="2539"/>
  </cols>
  <sheetData>
    <row r="1" spans="1:20" ht="39.4" customHeight="1" thickBot="1">
      <c r="A1" s="2632"/>
      <c r="B1" s="2631" t="s">
        <v>1785</v>
      </c>
      <c r="C1" s="2629"/>
      <c r="D1" s="2630"/>
      <c r="E1" s="2629"/>
      <c r="F1" s="2627"/>
      <c r="G1" s="2628"/>
      <c r="H1" s="2627"/>
      <c r="I1" s="2627"/>
      <c r="J1" s="2627"/>
      <c r="K1" s="2627"/>
      <c r="L1" s="2627"/>
      <c r="M1" s="2627"/>
      <c r="N1" s="2627"/>
      <c r="O1" s="2627"/>
      <c r="P1" s="2627"/>
      <c r="Q1" s="2626"/>
      <c r="R1" s="2626"/>
      <c r="S1" s="2626"/>
      <c r="T1" s="2600"/>
    </row>
    <row r="2" spans="1:20" ht="13.5" thickTop="1" thickBot="1">
      <c r="A2" s="2625"/>
      <c r="B2" s="2624" t="s">
        <v>1784</v>
      </c>
      <c r="C2" s="2623"/>
      <c r="D2" s="2634"/>
      <c r="E2" s="2621" t="s">
        <v>1790</v>
      </c>
      <c r="F2" s="2620"/>
      <c r="G2" s="2620"/>
      <c r="H2" s="2648"/>
      <c r="I2" s="2619"/>
      <c r="J2" s="2622"/>
      <c r="K2" s="2620"/>
      <c r="L2" s="2621" t="s">
        <v>1789</v>
      </c>
      <c r="M2" s="2620"/>
      <c r="N2" s="2620"/>
      <c r="O2" s="2648"/>
      <c r="P2" s="2619"/>
      <c r="Q2" s="2600"/>
      <c r="R2" s="2600"/>
      <c r="S2" s="2600"/>
      <c r="T2" s="2600"/>
    </row>
    <row r="3" spans="1:20" ht="13.5" thickTop="1" thickBot="1">
      <c r="A3" s="2618"/>
      <c r="B3" s="2617" t="s">
        <v>1781</v>
      </c>
      <c r="C3" s="2616"/>
      <c r="D3" s="2612">
        <v>2013</v>
      </c>
      <c r="E3" s="2612">
        <v>2014</v>
      </c>
      <c r="F3" s="2612">
        <v>2015</v>
      </c>
      <c r="G3" s="2612">
        <v>2016</v>
      </c>
      <c r="H3" s="2615">
        <v>2017</v>
      </c>
      <c r="I3" s="2614" t="s">
        <v>1750</v>
      </c>
      <c r="J3" s="2613"/>
      <c r="K3" s="2612">
        <v>2013</v>
      </c>
      <c r="L3" s="2612">
        <v>2014</v>
      </c>
      <c r="M3" s="2612">
        <v>2015</v>
      </c>
      <c r="N3" s="2612">
        <v>2016</v>
      </c>
      <c r="O3" s="2611">
        <v>2017</v>
      </c>
      <c r="P3" s="2610" t="s">
        <v>1750</v>
      </c>
      <c r="Q3" s="2600"/>
      <c r="R3" s="2600"/>
      <c r="S3" s="2600"/>
      <c r="T3" s="2600"/>
    </row>
    <row r="4" spans="1:20" ht="37.5" thickTop="1" thickBot="1">
      <c r="A4" s="2609"/>
      <c r="B4" s="2608" t="s">
        <v>990</v>
      </c>
      <c r="C4" s="2604" t="s">
        <v>586</v>
      </c>
      <c r="D4" s="2607">
        <v>1</v>
      </c>
      <c r="E4" s="2607">
        <v>1</v>
      </c>
      <c r="F4" s="2607">
        <v>1</v>
      </c>
      <c r="G4" s="2607">
        <v>1</v>
      </c>
      <c r="H4" s="2606">
        <v>1</v>
      </c>
      <c r="I4" s="2605"/>
      <c r="J4" s="2604" t="s">
        <v>586</v>
      </c>
      <c r="K4" s="2603"/>
      <c r="L4" s="2603"/>
      <c r="M4" s="2603"/>
      <c r="N4" s="2603"/>
      <c r="O4" s="2602"/>
      <c r="P4" s="2601"/>
      <c r="Q4" s="2600"/>
      <c r="R4" s="2647" t="s">
        <v>1788</v>
      </c>
      <c r="S4" s="2647" t="s">
        <v>1788</v>
      </c>
      <c r="T4" s="2600"/>
    </row>
    <row r="5" spans="1:20" ht="13.5" thickTop="1">
      <c r="B5" s="2568" t="s">
        <v>1780</v>
      </c>
      <c r="C5" s="2565" t="s">
        <v>228</v>
      </c>
      <c r="D5" s="2570">
        <v>25</v>
      </c>
      <c r="E5" s="2570">
        <v>25</v>
      </c>
      <c r="F5" s="2570">
        <v>25</v>
      </c>
      <c r="G5" s="2570">
        <v>25</v>
      </c>
      <c r="H5" s="2570">
        <v>23.75</v>
      </c>
      <c r="I5" s="2575">
        <f t="shared" ref="I5:I39" si="0">(D5*$D$4+E5*$E$4+F5*$F$4+G5*$G$4+H5*$H$4)/($D$4+$E$4+$F$4+$G$4+$H$4)</f>
        <v>24.75</v>
      </c>
      <c r="J5" s="2599" t="s">
        <v>172</v>
      </c>
      <c r="K5" s="2570">
        <v>47.4</v>
      </c>
      <c r="L5" s="2570">
        <v>64.599999999999994</v>
      </c>
      <c r="M5" s="2570">
        <v>52.5</v>
      </c>
      <c r="N5" s="2570">
        <v>42</v>
      </c>
      <c r="O5" s="2598">
        <v>75.400000000000006</v>
      </c>
      <c r="P5" s="2567">
        <f t="shared" ref="P5:P39" si="1">(K5*$D$4+L5*$E$4+M5*$F$4+N5*$G$4+O5*$H$4)/($D$4+$E$4+$F$4+$G$4+$H$4)</f>
        <v>56.379999999999995</v>
      </c>
      <c r="R5" s="2635"/>
    </row>
    <row r="6" spans="1:20" ht="12.75">
      <c r="B6" s="2568" t="s">
        <v>84</v>
      </c>
      <c r="C6" s="2565" t="s">
        <v>228</v>
      </c>
      <c r="D6" s="2561">
        <v>26</v>
      </c>
      <c r="E6" s="2561">
        <v>23.5</v>
      </c>
      <c r="F6" s="2561">
        <v>18</v>
      </c>
      <c r="G6" s="2561">
        <v>16</v>
      </c>
      <c r="H6" s="2561">
        <v>17</v>
      </c>
      <c r="I6" s="2642">
        <f t="shared" si="0"/>
        <v>20.100000000000001</v>
      </c>
      <c r="J6" s="2584" t="s">
        <v>172</v>
      </c>
      <c r="K6" s="2581">
        <v>50</v>
      </c>
      <c r="L6" s="2581">
        <v>55</v>
      </c>
      <c r="M6" s="2581">
        <v>50</v>
      </c>
      <c r="N6" s="2581">
        <v>50</v>
      </c>
      <c r="O6" s="2561">
        <v>65.5</v>
      </c>
      <c r="P6" s="2560">
        <f t="shared" si="1"/>
        <v>54.1</v>
      </c>
      <c r="R6" s="2635"/>
    </row>
    <row r="7" spans="1:20" ht="12.75">
      <c r="B7" s="2591" t="s">
        <v>269</v>
      </c>
      <c r="C7" s="2590" t="s">
        <v>228</v>
      </c>
      <c r="D7" s="2589">
        <v>15.3</v>
      </c>
      <c r="E7" s="2589">
        <v>14.7</v>
      </c>
      <c r="F7" s="2589">
        <v>15</v>
      </c>
      <c r="G7" s="2589">
        <v>13.6</v>
      </c>
      <c r="H7" s="2589">
        <v>14.4</v>
      </c>
      <c r="I7" s="2645">
        <f t="shared" si="0"/>
        <v>14.6</v>
      </c>
      <c r="J7" s="2597" t="s">
        <v>172</v>
      </c>
      <c r="K7" s="2596">
        <v>74.099999999999994</v>
      </c>
      <c r="L7" s="2596">
        <v>83.5</v>
      </c>
      <c r="M7" s="2596">
        <v>76.3</v>
      </c>
      <c r="N7" s="2596">
        <v>66.099999999999994</v>
      </c>
      <c r="O7" s="2595">
        <f>$I$97</f>
        <v>73.600000000000009</v>
      </c>
      <c r="P7" s="2644">
        <f t="shared" si="1"/>
        <v>74.72</v>
      </c>
      <c r="R7" s="2635">
        <f>(P7+'Erträge_4-J'!N7+'Erträge_3-J'!L7+'Erträge_2-J'!J7)/4</f>
        <v>72.861249999999998</v>
      </c>
      <c r="S7" s="2539">
        <f>(I7+'Erträge_4-J'!H7+'Erträge_3-J'!G7+'Erträge_2-J'!F7)/4</f>
        <v>14.339583333333334</v>
      </c>
    </row>
    <row r="8" spans="1:20" ht="12.75">
      <c r="B8" s="2568" t="s">
        <v>81</v>
      </c>
      <c r="C8" s="2565" t="s">
        <v>228</v>
      </c>
      <c r="D8" s="2561">
        <v>15.3</v>
      </c>
      <c r="E8" s="2561">
        <v>14.7</v>
      </c>
      <c r="F8" s="2561">
        <v>15</v>
      </c>
      <c r="G8" s="2561">
        <v>13.6</v>
      </c>
      <c r="H8" s="2561">
        <v>14.4</v>
      </c>
      <c r="I8" s="2642">
        <f t="shared" si="0"/>
        <v>14.6</v>
      </c>
      <c r="J8" s="2584" t="s">
        <v>172</v>
      </c>
      <c r="K8" s="2570">
        <v>59</v>
      </c>
      <c r="L8" s="2570">
        <v>60.1</v>
      </c>
      <c r="M8" s="2570">
        <v>53.7</v>
      </c>
      <c r="N8" s="2570">
        <v>51.5</v>
      </c>
      <c r="O8" s="2561">
        <v>65.5</v>
      </c>
      <c r="P8" s="2560">
        <f t="shared" si="1"/>
        <v>57.96</v>
      </c>
      <c r="R8" s="2635"/>
    </row>
    <row r="9" spans="1:20" ht="12.75">
      <c r="B9" s="2568" t="s">
        <v>90</v>
      </c>
      <c r="C9" s="2565" t="s">
        <v>228</v>
      </c>
      <c r="D9" s="2561">
        <v>12.1</v>
      </c>
      <c r="E9" s="2561">
        <v>12.2</v>
      </c>
      <c r="F9" s="2561">
        <v>14</v>
      </c>
      <c r="G9" s="2561">
        <v>12.3</v>
      </c>
      <c r="H9" s="2561">
        <v>13.9</v>
      </c>
      <c r="I9" s="2642">
        <f t="shared" si="0"/>
        <v>12.9</v>
      </c>
      <c r="J9" s="2584" t="s">
        <v>172</v>
      </c>
      <c r="K9" s="2561">
        <v>58.8</v>
      </c>
      <c r="L9" s="2561">
        <v>53.7</v>
      </c>
      <c r="M9" s="2561">
        <v>52.9</v>
      </c>
      <c r="N9" s="2561">
        <v>54.2</v>
      </c>
      <c r="O9" s="2561">
        <v>55.6</v>
      </c>
      <c r="P9" s="2560">
        <f t="shared" si="1"/>
        <v>55.040000000000006</v>
      </c>
      <c r="R9" s="2635"/>
    </row>
    <row r="10" spans="1:20" ht="12.75">
      <c r="B10" s="2568" t="s">
        <v>1779</v>
      </c>
      <c r="C10" s="2565" t="s">
        <v>228</v>
      </c>
      <c r="D10" s="2561">
        <v>12.1</v>
      </c>
      <c r="E10" s="2561">
        <v>12.2</v>
      </c>
      <c r="F10" s="2561">
        <v>14</v>
      </c>
      <c r="G10" s="2561">
        <v>12.3</v>
      </c>
      <c r="H10" s="2561">
        <v>13.9</v>
      </c>
      <c r="I10" s="2642">
        <f t="shared" si="0"/>
        <v>12.9</v>
      </c>
      <c r="J10" s="2584" t="s">
        <v>172</v>
      </c>
      <c r="K10" s="2561">
        <v>55</v>
      </c>
      <c r="L10" s="2561">
        <v>53.7</v>
      </c>
      <c r="M10" s="2561">
        <v>52.9</v>
      </c>
      <c r="N10" s="2561">
        <v>54.2</v>
      </c>
      <c r="O10" s="2561">
        <v>55.6</v>
      </c>
      <c r="P10" s="2560">
        <f t="shared" si="1"/>
        <v>54.280000000000008</v>
      </c>
      <c r="R10" s="2635"/>
    </row>
    <row r="11" spans="1:20" ht="12.75" hidden="1">
      <c r="B11" s="2568" t="s">
        <v>1778</v>
      </c>
      <c r="C11" s="2565" t="s">
        <v>228</v>
      </c>
      <c r="D11" s="2561">
        <v>15</v>
      </c>
      <c r="E11" s="2561">
        <v>13</v>
      </c>
      <c r="F11" s="2561">
        <v>13.6</v>
      </c>
      <c r="G11" s="2561">
        <v>11.5</v>
      </c>
      <c r="H11" s="2561"/>
      <c r="I11" s="2642">
        <f t="shared" si="0"/>
        <v>10.620000000000001</v>
      </c>
      <c r="J11" s="2584" t="s">
        <v>172</v>
      </c>
      <c r="K11" s="2561">
        <v>58.8</v>
      </c>
      <c r="L11" s="2561">
        <v>53.7</v>
      </c>
      <c r="M11" s="2561">
        <v>52.9</v>
      </c>
      <c r="N11" s="2561">
        <v>54.2</v>
      </c>
      <c r="O11" s="2561"/>
      <c r="P11" s="2560">
        <f t="shared" si="1"/>
        <v>43.92</v>
      </c>
      <c r="R11" s="2635"/>
    </row>
    <row r="12" spans="1:20" ht="12.75" hidden="1">
      <c r="B12" s="2568" t="s">
        <v>1777</v>
      </c>
      <c r="C12" s="2565" t="s">
        <v>228</v>
      </c>
      <c r="D12" s="2561">
        <v>15</v>
      </c>
      <c r="E12" s="2561">
        <v>13</v>
      </c>
      <c r="F12" s="2561">
        <v>13.6</v>
      </c>
      <c r="G12" s="2561">
        <v>11.5</v>
      </c>
      <c r="H12" s="2561"/>
      <c r="I12" s="2642">
        <f t="shared" si="0"/>
        <v>10.620000000000001</v>
      </c>
      <c r="J12" s="2584" t="s">
        <v>172</v>
      </c>
      <c r="K12" s="2561">
        <v>58.8</v>
      </c>
      <c r="L12" s="2561">
        <v>53.7</v>
      </c>
      <c r="M12" s="2561">
        <v>52.9</v>
      </c>
      <c r="N12" s="2561">
        <v>54.2</v>
      </c>
      <c r="O12" s="2561"/>
      <c r="P12" s="2560">
        <f t="shared" si="1"/>
        <v>43.92</v>
      </c>
      <c r="R12" s="2635"/>
    </row>
    <row r="13" spans="1:20" ht="12.75">
      <c r="B13" s="2591" t="s">
        <v>86</v>
      </c>
      <c r="C13" s="2590" t="s">
        <v>228</v>
      </c>
      <c r="D13" s="2589">
        <v>15</v>
      </c>
      <c r="E13" s="2589">
        <v>13</v>
      </c>
      <c r="F13" s="2589">
        <v>13.6</v>
      </c>
      <c r="G13" s="2589">
        <v>11.5</v>
      </c>
      <c r="H13" s="2589">
        <v>12.6</v>
      </c>
      <c r="I13" s="2645">
        <f t="shared" si="0"/>
        <v>13.14</v>
      </c>
      <c r="J13" s="2588" t="s">
        <v>172</v>
      </c>
      <c r="K13" s="2587">
        <v>68.3</v>
      </c>
      <c r="L13" s="2587">
        <v>76.2</v>
      </c>
      <c r="M13" s="2587">
        <v>67.400000000000006</v>
      </c>
      <c r="N13" s="2587">
        <v>67.400000000000006</v>
      </c>
      <c r="O13" s="2587">
        <f>$I$101</f>
        <v>73.63333333333334</v>
      </c>
      <c r="P13" s="2644">
        <f t="shared" si="1"/>
        <v>70.586666666666673</v>
      </c>
      <c r="R13" s="2635">
        <f>(P13+'Erträge_4-J'!N13+'Erträge_3-J'!L13+'Erträge_2-J'!J13)/4</f>
        <v>70.434861111111104</v>
      </c>
      <c r="S13" s="2539">
        <f>(I13+'Erträge_4-J'!H13+'Erträge_3-J'!G13+'Erträge_2-J'!F13)/4</f>
        <v>12.607916666666668</v>
      </c>
    </row>
    <row r="14" spans="1:20" ht="12.75">
      <c r="B14" s="2568" t="s">
        <v>267</v>
      </c>
      <c r="C14" s="2565" t="s">
        <v>228</v>
      </c>
      <c r="D14" s="2561">
        <v>15</v>
      </c>
      <c r="E14" s="2561">
        <v>13</v>
      </c>
      <c r="F14" s="2561">
        <v>13.6</v>
      </c>
      <c r="G14" s="2561">
        <v>11.5</v>
      </c>
      <c r="H14" s="2561">
        <v>12.6</v>
      </c>
      <c r="I14" s="2642">
        <f t="shared" si="0"/>
        <v>13.14</v>
      </c>
      <c r="J14" s="2584" t="s">
        <v>172</v>
      </c>
      <c r="K14" s="2594">
        <v>55.4</v>
      </c>
      <c r="L14" s="2594">
        <v>59.7</v>
      </c>
      <c r="M14" s="2594">
        <v>53.9</v>
      </c>
      <c r="N14" s="2594">
        <v>49.6</v>
      </c>
      <c r="O14" s="2561">
        <v>58.2</v>
      </c>
      <c r="P14" s="2560">
        <f t="shared" si="1"/>
        <v>55.36</v>
      </c>
      <c r="R14" s="2635"/>
    </row>
    <row r="15" spans="1:20" ht="12.75">
      <c r="B15" s="2568" t="s">
        <v>77</v>
      </c>
      <c r="C15" s="2565" t="s">
        <v>228</v>
      </c>
      <c r="D15" s="2561">
        <v>19.7</v>
      </c>
      <c r="E15" s="2561">
        <v>17.7</v>
      </c>
      <c r="F15" s="2561">
        <v>17.899999999999999</v>
      </c>
      <c r="G15" s="2561">
        <v>16.8</v>
      </c>
      <c r="H15" s="2561">
        <v>17.899999999999999</v>
      </c>
      <c r="I15" s="2642">
        <f t="shared" si="0"/>
        <v>18</v>
      </c>
      <c r="J15" s="2584" t="s">
        <v>172</v>
      </c>
      <c r="K15" s="2561">
        <v>55.4</v>
      </c>
      <c r="L15" s="2561">
        <v>60</v>
      </c>
      <c r="M15" s="2561">
        <v>54.4</v>
      </c>
      <c r="N15" s="2561">
        <v>50.1</v>
      </c>
      <c r="O15" s="2561">
        <v>58.2</v>
      </c>
      <c r="P15" s="2560">
        <f t="shared" si="1"/>
        <v>55.620000000000005</v>
      </c>
      <c r="R15" s="2635"/>
    </row>
    <row r="16" spans="1:20" ht="12.75">
      <c r="B16" s="2568" t="s">
        <v>1776</v>
      </c>
      <c r="C16" s="2565" t="s">
        <v>228</v>
      </c>
      <c r="D16" s="2561">
        <v>16</v>
      </c>
      <c r="E16" s="2561">
        <v>14.5</v>
      </c>
      <c r="F16" s="2561">
        <v>14.5</v>
      </c>
      <c r="G16" s="2561">
        <v>14.25</v>
      </c>
      <c r="H16" s="2561">
        <v>14</v>
      </c>
      <c r="I16" s="2642">
        <f t="shared" si="0"/>
        <v>14.65</v>
      </c>
      <c r="J16" s="2584" t="s">
        <v>172</v>
      </c>
      <c r="K16" s="2594">
        <v>45.2</v>
      </c>
      <c r="L16" s="2594">
        <v>52.5</v>
      </c>
      <c r="M16" s="2594">
        <v>46.6</v>
      </c>
      <c r="N16" s="2594">
        <v>45.6</v>
      </c>
      <c r="O16" s="2561">
        <v>46.1</v>
      </c>
      <c r="P16" s="2560">
        <f t="shared" si="1"/>
        <v>47.2</v>
      </c>
      <c r="R16" s="2635"/>
    </row>
    <row r="17" spans="2:19" ht="12.75">
      <c r="B17" s="2568" t="s">
        <v>1775</v>
      </c>
      <c r="C17" s="2565" t="s">
        <v>228</v>
      </c>
      <c r="D17" s="2561">
        <v>16</v>
      </c>
      <c r="E17" s="2561">
        <v>14.5</v>
      </c>
      <c r="F17" s="2561">
        <v>14.5</v>
      </c>
      <c r="G17" s="2561">
        <v>14.25</v>
      </c>
      <c r="H17" s="2561">
        <v>14</v>
      </c>
      <c r="I17" s="2642">
        <f t="shared" si="0"/>
        <v>14.65</v>
      </c>
      <c r="J17" s="2584" t="s">
        <v>172</v>
      </c>
      <c r="K17" s="2561">
        <v>45.2</v>
      </c>
      <c r="L17" s="2561">
        <v>47.6</v>
      </c>
      <c r="M17" s="2561">
        <v>47</v>
      </c>
      <c r="N17" s="2561">
        <v>44.9</v>
      </c>
      <c r="O17" s="2561">
        <v>46.1</v>
      </c>
      <c r="P17" s="2560">
        <f t="shared" si="1"/>
        <v>46.160000000000004</v>
      </c>
      <c r="R17" s="2635"/>
    </row>
    <row r="18" spans="2:19" ht="12.75" hidden="1">
      <c r="B18" s="2568" t="s">
        <v>1774</v>
      </c>
      <c r="C18" s="2565" t="s">
        <v>228</v>
      </c>
      <c r="D18" s="2561">
        <v>15</v>
      </c>
      <c r="E18" s="2561">
        <v>13</v>
      </c>
      <c r="F18" s="2561">
        <v>13.6</v>
      </c>
      <c r="G18" s="2561">
        <v>11.5</v>
      </c>
      <c r="H18" s="2561"/>
      <c r="I18" s="2642">
        <f t="shared" si="0"/>
        <v>10.620000000000001</v>
      </c>
      <c r="J18" s="2584" t="s">
        <v>172</v>
      </c>
      <c r="K18" s="2561">
        <v>41.8</v>
      </c>
      <c r="L18" s="2561">
        <v>55.4</v>
      </c>
      <c r="M18" s="2561">
        <v>43.7</v>
      </c>
      <c r="N18" s="2561">
        <v>46.3</v>
      </c>
      <c r="O18" s="2561"/>
      <c r="P18" s="2560">
        <f t="shared" si="1"/>
        <v>37.44</v>
      </c>
      <c r="R18" s="2635"/>
    </row>
    <row r="19" spans="2:19" ht="12.75" hidden="1">
      <c r="B19" s="2568" t="s">
        <v>1773</v>
      </c>
      <c r="C19" s="2565" t="s">
        <v>228</v>
      </c>
      <c r="D19" s="2561">
        <v>15</v>
      </c>
      <c r="E19" s="2561">
        <v>13</v>
      </c>
      <c r="F19" s="2561">
        <v>13.6</v>
      </c>
      <c r="G19" s="2561">
        <v>11.5</v>
      </c>
      <c r="H19" s="2561"/>
      <c r="I19" s="2642">
        <f t="shared" si="0"/>
        <v>10.620000000000001</v>
      </c>
      <c r="J19" s="2584" t="s">
        <v>172</v>
      </c>
      <c r="K19" s="2561">
        <v>41.8</v>
      </c>
      <c r="L19" s="2561">
        <v>55.4</v>
      </c>
      <c r="M19" s="2561">
        <v>43.7</v>
      </c>
      <c r="N19" s="2561">
        <v>46.3</v>
      </c>
      <c r="O19" s="2561"/>
      <c r="P19" s="2560">
        <f t="shared" si="1"/>
        <v>37.44</v>
      </c>
      <c r="R19" s="2635"/>
    </row>
    <row r="20" spans="2:19" ht="12.75">
      <c r="B20" s="2568" t="s">
        <v>1772</v>
      </c>
      <c r="C20" s="2565" t="s">
        <v>228</v>
      </c>
      <c r="D20" s="2561">
        <v>14.5</v>
      </c>
      <c r="E20" s="2561">
        <v>13</v>
      </c>
      <c r="F20" s="2561">
        <v>13</v>
      </c>
      <c r="G20" s="2561">
        <v>12</v>
      </c>
      <c r="H20" s="2561">
        <v>13</v>
      </c>
      <c r="I20" s="2642">
        <f t="shared" si="0"/>
        <v>13.1</v>
      </c>
      <c r="J20" s="2584" t="s">
        <v>172</v>
      </c>
      <c r="K20" s="2594">
        <v>69.900000000000006</v>
      </c>
      <c r="L20" s="2594">
        <v>74.400000000000006</v>
      </c>
      <c r="M20" s="2594">
        <v>67.5</v>
      </c>
      <c r="N20" s="2594">
        <v>53.1</v>
      </c>
      <c r="O20" s="2561">
        <v>67.8</v>
      </c>
      <c r="P20" s="2560">
        <f t="shared" si="1"/>
        <v>66.540000000000006</v>
      </c>
      <c r="R20" s="2635"/>
    </row>
    <row r="21" spans="2:19" ht="12.75">
      <c r="B21" s="2568" t="s">
        <v>1771</v>
      </c>
      <c r="C21" s="2565" t="s">
        <v>228</v>
      </c>
      <c r="D21" s="2561">
        <v>14.5</v>
      </c>
      <c r="E21" s="2561">
        <v>13</v>
      </c>
      <c r="F21" s="2561">
        <v>13</v>
      </c>
      <c r="G21" s="2561">
        <v>12</v>
      </c>
      <c r="H21" s="2561">
        <v>13</v>
      </c>
      <c r="I21" s="2642">
        <f t="shared" si="0"/>
        <v>13.1</v>
      </c>
      <c r="J21" s="2584" t="s">
        <v>172</v>
      </c>
      <c r="K21" s="2561">
        <v>69.900000000000006</v>
      </c>
      <c r="L21" s="2561">
        <v>73.099999999999994</v>
      </c>
      <c r="M21" s="2561">
        <v>67.400000000000006</v>
      </c>
      <c r="N21" s="2561">
        <v>58.5</v>
      </c>
      <c r="O21" s="2561">
        <v>67.8</v>
      </c>
      <c r="P21" s="2560">
        <f t="shared" si="1"/>
        <v>67.34</v>
      </c>
      <c r="R21" s="2635"/>
    </row>
    <row r="22" spans="2:19" ht="12.75">
      <c r="B22" s="2568" t="s">
        <v>1770</v>
      </c>
      <c r="C22" s="2565" t="s">
        <v>228</v>
      </c>
      <c r="D22" s="2561">
        <v>23.2</v>
      </c>
      <c r="E22" s="2561">
        <v>22.1</v>
      </c>
      <c r="F22" s="2561">
        <v>22.7</v>
      </c>
      <c r="G22" s="2561">
        <v>22.5</v>
      </c>
      <c r="H22" s="2561">
        <v>22.3</v>
      </c>
      <c r="I22" s="2642">
        <f t="shared" si="0"/>
        <v>22.56</v>
      </c>
      <c r="J22" s="2584" t="s">
        <v>172</v>
      </c>
      <c r="K22" s="2561">
        <v>60</v>
      </c>
      <c r="L22" s="2561">
        <v>60</v>
      </c>
      <c r="M22" s="2561">
        <v>60</v>
      </c>
      <c r="N22" s="2561">
        <v>55</v>
      </c>
      <c r="O22" s="2561">
        <v>60</v>
      </c>
      <c r="P22" s="2560">
        <f t="shared" si="1"/>
        <v>59</v>
      </c>
      <c r="R22" s="2635"/>
    </row>
    <row r="23" spans="2:19" ht="12.75">
      <c r="B23" s="2568" t="s">
        <v>1769</v>
      </c>
      <c r="C23" s="2565" t="s">
        <v>228</v>
      </c>
      <c r="D23" s="2561">
        <v>23.2</v>
      </c>
      <c r="E23" s="2561">
        <v>22.1</v>
      </c>
      <c r="F23" s="2561">
        <v>22.7</v>
      </c>
      <c r="G23" s="2561">
        <v>24.7</v>
      </c>
      <c r="H23" s="2561"/>
      <c r="I23" s="2642">
        <f t="shared" si="0"/>
        <v>18.54</v>
      </c>
      <c r="J23" s="2584" t="s">
        <v>172</v>
      </c>
      <c r="K23" s="2561">
        <v>50</v>
      </c>
      <c r="L23" s="2561">
        <v>50</v>
      </c>
      <c r="M23" s="2561">
        <v>50</v>
      </c>
      <c r="N23" s="2561">
        <v>45</v>
      </c>
      <c r="O23" s="2561"/>
      <c r="P23" s="2560">
        <f t="shared" si="1"/>
        <v>39</v>
      </c>
      <c r="R23" s="2635"/>
    </row>
    <row r="24" spans="2:19" ht="12.75">
      <c r="B24" s="2591" t="s">
        <v>70</v>
      </c>
      <c r="C24" s="2590" t="s">
        <v>228</v>
      </c>
      <c r="D24" s="2589">
        <v>16</v>
      </c>
      <c r="E24" s="2589">
        <v>12.5</v>
      </c>
      <c r="F24" s="2589">
        <v>17</v>
      </c>
      <c r="G24" s="2589">
        <v>15</v>
      </c>
      <c r="H24" s="2589">
        <v>14.2</v>
      </c>
      <c r="I24" s="2645">
        <f t="shared" si="0"/>
        <v>14.940000000000001</v>
      </c>
      <c r="J24" s="2588" t="s">
        <v>172</v>
      </c>
      <c r="K24" s="2587">
        <v>95.6</v>
      </c>
      <c r="L24" s="2587">
        <v>115.7</v>
      </c>
      <c r="M24" s="2587">
        <v>84.3</v>
      </c>
      <c r="N24" s="2587">
        <v>96.1</v>
      </c>
      <c r="O24" s="2593">
        <v>106.5</v>
      </c>
      <c r="P24" s="2644">
        <f t="shared" si="1"/>
        <v>99.640000000000015</v>
      </c>
      <c r="R24" s="2635">
        <f>(P24+'Erträge_4-J'!N24+'Erträge_3-J'!L24+'Erträge_2-J'!J24)/4</f>
        <v>99.305833333333339</v>
      </c>
      <c r="S24" s="2539">
        <f>(I24+'Erträge_4-J'!H24+'Erträge_3-J'!G24+'Erträge_2-J'!F24)/4</f>
        <v>14.90375</v>
      </c>
    </row>
    <row r="25" spans="2:19" ht="12.75">
      <c r="B25" s="2568" t="s">
        <v>1768</v>
      </c>
      <c r="C25" s="2565" t="s">
        <v>228</v>
      </c>
      <c r="D25" s="2561">
        <v>13</v>
      </c>
      <c r="E25" s="2561">
        <v>11.5</v>
      </c>
      <c r="F25" s="2561">
        <v>15.6</v>
      </c>
      <c r="G25" s="2561">
        <v>13.8</v>
      </c>
      <c r="H25" s="2561"/>
      <c r="I25" s="2642">
        <f t="shared" si="0"/>
        <v>10.780000000000001</v>
      </c>
      <c r="J25" s="2584" t="s">
        <v>172</v>
      </c>
      <c r="K25" s="2561">
        <v>135</v>
      </c>
      <c r="L25" s="2561">
        <v>140</v>
      </c>
      <c r="M25" s="2561">
        <v>103</v>
      </c>
      <c r="N25" s="2561">
        <v>130</v>
      </c>
      <c r="O25" s="2561"/>
      <c r="P25" s="2560">
        <f t="shared" si="1"/>
        <v>101.6</v>
      </c>
      <c r="R25" s="2635"/>
    </row>
    <row r="26" spans="2:19" ht="12.6" customHeight="1">
      <c r="B26" s="2568" t="s">
        <v>1767</v>
      </c>
      <c r="C26" s="2565" t="s">
        <v>228</v>
      </c>
      <c r="D26" s="2561"/>
      <c r="E26" s="2561"/>
      <c r="F26" s="2561">
        <v>21.5</v>
      </c>
      <c r="G26" s="2561">
        <v>15</v>
      </c>
      <c r="H26" s="2561"/>
      <c r="I26" s="2642">
        <f t="shared" si="0"/>
        <v>7.3</v>
      </c>
      <c r="J26" s="2584" t="s">
        <v>172</v>
      </c>
      <c r="K26" s="2561"/>
      <c r="L26" s="2561"/>
      <c r="M26" s="2561">
        <v>70</v>
      </c>
      <c r="N26" s="2561">
        <v>58.5</v>
      </c>
      <c r="O26" s="2561"/>
      <c r="P26" s="2560">
        <f t="shared" si="1"/>
        <v>25.7</v>
      </c>
      <c r="R26" s="2635"/>
    </row>
    <row r="27" spans="2:19" ht="12.75">
      <c r="B27" s="2568" t="s">
        <v>1766</v>
      </c>
      <c r="C27" s="2565" t="s">
        <v>228</v>
      </c>
      <c r="D27" s="2561">
        <f>D24-1</f>
        <v>15</v>
      </c>
      <c r="E27" s="2561">
        <f>E24-1</f>
        <v>11.5</v>
      </c>
      <c r="F27" s="2561">
        <f>F24-1</f>
        <v>16</v>
      </c>
      <c r="G27" s="2561">
        <f>G24-1</f>
        <v>14</v>
      </c>
      <c r="H27" s="2561">
        <f>H24-1</f>
        <v>13.2</v>
      </c>
      <c r="I27" s="2642">
        <f t="shared" si="0"/>
        <v>13.940000000000001</v>
      </c>
      <c r="J27" s="2584" t="s">
        <v>1765</v>
      </c>
      <c r="K27" s="2586"/>
      <c r="L27" s="2586"/>
      <c r="M27" s="2586"/>
      <c r="N27" s="2586"/>
      <c r="O27" s="2586"/>
      <c r="P27" s="2646">
        <f t="shared" si="1"/>
        <v>0</v>
      </c>
      <c r="R27" s="2635"/>
    </row>
    <row r="28" spans="2:19" ht="12.75">
      <c r="B28" s="2568" t="s">
        <v>1721</v>
      </c>
      <c r="C28" s="2565" t="s">
        <v>1764</v>
      </c>
      <c r="D28" s="2561">
        <v>2.5999999999999999E-2</v>
      </c>
      <c r="E28" s="2561">
        <v>2.1000000000000001E-2</v>
      </c>
      <c r="F28" s="2561">
        <v>2.4E-2</v>
      </c>
      <c r="G28" s="2561">
        <v>2.1000000000000001E-2</v>
      </c>
      <c r="H28" s="2561"/>
      <c r="I28" s="2642">
        <f t="shared" si="0"/>
        <v>1.8400000000000003E-2</v>
      </c>
      <c r="J28" s="2584" t="s">
        <v>172</v>
      </c>
      <c r="K28" s="2586">
        <v>85000</v>
      </c>
      <c r="L28" s="2586">
        <v>88000</v>
      </c>
      <c r="M28" s="2586">
        <v>70000</v>
      </c>
      <c r="N28" s="2586">
        <v>89000</v>
      </c>
      <c r="O28" s="2586"/>
      <c r="P28" s="2646">
        <f t="shared" si="1"/>
        <v>66400</v>
      </c>
      <c r="R28" s="2635"/>
    </row>
    <row r="29" spans="2:19" ht="12.6" customHeight="1">
      <c r="B29" s="2568" t="s">
        <v>1763</v>
      </c>
      <c r="C29" s="2565" t="s">
        <v>228</v>
      </c>
      <c r="D29" s="2561">
        <v>103.1</v>
      </c>
      <c r="E29" s="2561">
        <v>104.9</v>
      </c>
      <c r="F29" s="2561">
        <v>107.184</v>
      </c>
      <c r="G29" s="2561">
        <v>100.86</v>
      </c>
      <c r="H29" s="2561">
        <v>93.7</v>
      </c>
      <c r="I29" s="2642">
        <f t="shared" si="0"/>
        <v>101.94879999999999</v>
      </c>
      <c r="J29" s="2584" t="s">
        <v>172</v>
      </c>
      <c r="K29" s="2561">
        <v>37.450000000000003</v>
      </c>
      <c r="L29" s="2561">
        <v>37.85</v>
      </c>
      <c r="M29" s="2561">
        <v>36.25</v>
      </c>
      <c r="N29" s="2561">
        <v>41</v>
      </c>
      <c r="O29" s="2561">
        <v>44.3</v>
      </c>
      <c r="P29" s="2560">
        <f t="shared" si="1"/>
        <v>39.370000000000005</v>
      </c>
      <c r="R29" s="2635"/>
    </row>
    <row r="30" spans="2:19" ht="12.75">
      <c r="B30" s="2591" t="s">
        <v>1762</v>
      </c>
      <c r="C30" s="2590" t="s">
        <v>228</v>
      </c>
      <c r="D30" s="2589">
        <v>33.9</v>
      </c>
      <c r="E30" s="2589">
        <v>28.6</v>
      </c>
      <c r="F30" s="2589">
        <v>35</v>
      </c>
      <c r="G30" s="2589">
        <v>33.700000000000003</v>
      </c>
      <c r="H30" s="2589">
        <v>34.1</v>
      </c>
      <c r="I30" s="2645">
        <f t="shared" si="0"/>
        <v>33.059999999999995</v>
      </c>
      <c r="J30" s="2588" t="s">
        <v>172</v>
      </c>
      <c r="K30" s="2587">
        <v>37</v>
      </c>
      <c r="L30" s="2587">
        <v>47.2</v>
      </c>
      <c r="M30" s="2587">
        <v>40.799999999999997</v>
      </c>
      <c r="N30" s="2587">
        <v>38.799999999999997</v>
      </c>
      <c r="O30" s="2587">
        <f>$I$109</f>
        <v>37.700000000000003</v>
      </c>
      <c r="P30" s="2644">
        <f t="shared" si="1"/>
        <v>40.299999999999997</v>
      </c>
      <c r="R30" s="2635">
        <f>(P30+'Erträge_4-J'!N30+'Erträge_3-J'!L30+'Erträge_2-J'!J30)/4</f>
        <v>39.693750000000001</v>
      </c>
      <c r="S30" s="2539">
        <f>(I30+'Erträge_4-J'!H30+'Erträge_3-J'!G30+'Erträge_2-J'!F30)/4</f>
        <v>33.519166666666671</v>
      </c>
    </row>
    <row r="31" spans="2:19" ht="12.75">
      <c r="B31" s="2568" t="s">
        <v>1761</v>
      </c>
      <c r="C31" s="2565" t="s">
        <v>228</v>
      </c>
      <c r="D31" s="2561">
        <v>33.9</v>
      </c>
      <c r="E31" s="2561">
        <v>28.6</v>
      </c>
      <c r="F31" s="2561">
        <v>35</v>
      </c>
      <c r="G31" s="2561">
        <v>33.700000000000003</v>
      </c>
      <c r="H31" s="2561">
        <v>34.1</v>
      </c>
      <c r="I31" s="2642">
        <f t="shared" si="0"/>
        <v>33.059999999999995</v>
      </c>
      <c r="J31" s="2584" t="s">
        <v>172</v>
      </c>
      <c r="K31" s="2561">
        <v>17.899999999999999</v>
      </c>
      <c r="L31" s="2561">
        <v>24.2</v>
      </c>
      <c r="M31" s="2561">
        <v>24</v>
      </c>
      <c r="N31" s="2561">
        <v>22</v>
      </c>
      <c r="O31" s="2561">
        <v>24</v>
      </c>
      <c r="P31" s="2560">
        <f t="shared" si="1"/>
        <v>22.419999999999998</v>
      </c>
      <c r="R31" s="2635"/>
    </row>
    <row r="32" spans="2:19" ht="12.75">
      <c r="B32" s="2568" t="s">
        <v>60</v>
      </c>
      <c r="C32" s="2565" t="s">
        <v>228</v>
      </c>
      <c r="D32" s="2561">
        <v>40</v>
      </c>
      <c r="E32" s="2561">
        <v>30.6</v>
      </c>
      <c r="F32" s="2561">
        <v>37</v>
      </c>
      <c r="G32" s="2561">
        <v>35.700000000000003</v>
      </c>
      <c r="H32" s="2561">
        <v>37</v>
      </c>
      <c r="I32" s="2642">
        <f t="shared" si="0"/>
        <v>36.06</v>
      </c>
      <c r="J32" s="2584" t="s">
        <v>1760</v>
      </c>
      <c r="K32" s="2586">
        <v>22.5</v>
      </c>
      <c r="L32" s="2586">
        <v>23.9</v>
      </c>
      <c r="M32" s="2586">
        <v>24</v>
      </c>
      <c r="N32" s="2585">
        <v>22</v>
      </c>
      <c r="O32" s="2585">
        <v>24</v>
      </c>
      <c r="P32" s="2643">
        <f t="shared" si="1"/>
        <v>23.28</v>
      </c>
      <c r="R32" s="2635"/>
    </row>
    <row r="33" spans="1:18" ht="12.75" hidden="1">
      <c r="B33" s="2568" t="s">
        <v>1759</v>
      </c>
      <c r="C33" s="2565" t="s">
        <v>1758</v>
      </c>
      <c r="D33" s="2561">
        <v>0.35</v>
      </c>
      <c r="E33" s="2561">
        <v>0.3</v>
      </c>
      <c r="F33" s="2561">
        <v>0.33</v>
      </c>
      <c r="G33" s="2561">
        <v>0.31</v>
      </c>
      <c r="H33" s="2561"/>
      <c r="I33" s="2642">
        <f t="shared" si="0"/>
        <v>0.25800000000000001</v>
      </c>
      <c r="J33" s="2584" t="s">
        <v>172</v>
      </c>
      <c r="K33" s="2561">
        <v>8200</v>
      </c>
      <c r="L33" s="2561">
        <v>8500</v>
      </c>
      <c r="M33" s="2561">
        <v>6500</v>
      </c>
      <c r="N33" s="2561">
        <v>7400</v>
      </c>
      <c r="O33" s="2561"/>
      <c r="P33" s="2560">
        <f t="shared" si="1"/>
        <v>6120</v>
      </c>
      <c r="R33" s="2635"/>
    </row>
    <row r="34" spans="1:18" ht="12.75">
      <c r="B34" s="2568" t="s">
        <v>195</v>
      </c>
      <c r="C34" s="2565" t="s">
        <v>228</v>
      </c>
      <c r="D34" s="2561">
        <v>45</v>
      </c>
      <c r="E34" s="2561">
        <v>18</v>
      </c>
      <c r="F34" s="2561">
        <v>40</v>
      </c>
      <c r="G34" s="2561">
        <v>42</v>
      </c>
      <c r="H34" s="2561">
        <v>31</v>
      </c>
      <c r="I34" s="2642">
        <f t="shared" si="0"/>
        <v>35.200000000000003</v>
      </c>
      <c r="J34" s="2584" t="s">
        <v>172</v>
      </c>
      <c r="K34" s="2561">
        <v>290</v>
      </c>
      <c r="L34" s="2561">
        <v>270</v>
      </c>
      <c r="M34" s="2561">
        <v>260</v>
      </c>
      <c r="N34" s="2561">
        <v>240</v>
      </c>
      <c r="O34" s="2561">
        <v>260</v>
      </c>
      <c r="P34" s="2560">
        <f t="shared" si="1"/>
        <v>264</v>
      </c>
      <c r="R34" s="2635"/>
    </row>
    <row r="35" spans="1:18" ht="12.75">
      <c r="B35" s="2568" t="s">
        <v>929</v>
      </c>
      <c r="C35" s="2565" t="s">
        <v>228</v>
      </c>
      <c r="D35" s="2581">
        <v>24</v>
      </c>
      <c r="E35" s="2581">
        <v>13</v>
      </c>
      <c r="F35" s="2581">
        <v>21</v>
      </c>
      <c r="G35" s="2581">
        <v>18</v>
      </c>
      <c r="H35" s="2581">
        <v>13.5</v>
      </c>
      <c r="I35" s="2641">
        <f t="shared" si="0"/>
        <v>17.899999999999999</v>
      </c>
      <c r="J35" s="2583" t="s">
        <v>172</v>
      </c>
      <c r="K35" s="2582">
        <v>364.9</v>
      </c>
      <c r="L35" s="2582">
        <v>473.2</v>
      </c>
      <c r="M35" s="2582">
        <v>369.4</v>
      </c>
      <c r="N35" s="2582">
        <v>365.6</v>
      </c>
      <c r="O35" s="2581">
        <v>480</v>
      </c>
      <c r="P35" s="2640">
        <f t="shared" si="1"/>
        <v>410.62</v>
      </c>
      <c r="R35" s="2635"/>
    </row>
    <row r="36" spans="1:18" ht="12.75">
      <c r="B36" s="2568" t="s">
        <v>1757</v>
      </c>
      <c r="C36" s="2388" t="s">
        <v>228</v>
      </c>
      <c r="D36" s="2579">
        <v>42</v>
      </c>
      <c r="E36" s="2579">
        <v>24</v>
      </c>
      <c r="F36" s="2579">
        <v>30</v>
      </c>
      <c r="G36" s="2579">
        <v>28</v>
      </c>
      <c r="H36" s="2579">
        <v>25</v>
      </c>
      <c r="I36" s="2639">
        <f t="shared" si="0"/>
        <v>29.8</v>
      </c>
      <c r="J36" s="2580" t="s">
        <v>172</v>
      </c>
      <c r="K36" s="2579">
        <v>270</v>
      </c>
      <c r="L36" s="2579">
        <v>290</v>
      </c>
      <c r="M36" s="2579">
        <v>245</v>
      </c>
      <c r="N36" s="2579">
        <v>170</v>
      </c>
      <c r="O36" s="2579">
        <v>250</v>
      </c>
      <c r="P36" s="2638">
        <f t="shared" si="1"/>
        <v>245</v>
      </c>
      <c r="R36" s="2635"/>
    </row>
    <row r="37" spans="1:18" ht="13.5" thickBot="1">
      <c r="A37" s="2578"/>
      <c r="B37" s="2577" t="s">
        <v>45</v>
      </c>
      <c r="C37" s="2576" t="s">
        <v>228</v>
      </c>
      <c r="D37" s="2572">
        <v>3.45</v>
      </c>
      <c r="E37" s="2572">
        <v>3.3</v>
      </c>
      <c r="F37" s="2572">
        <v>3.63</v>
      </c>
      <c r="G37" s="2572">
        <v>3.53</v>
      </c>
      <c r="H37" s="2572">
        <v>3</v>
      </c>
      <c r="I37" s="2637">
        <f t="shared" si="0"/>
        <v>3.3819999999999992</v>
      </c>
      <c r="J37" s="2574" t="s">
        <v>172</v>
      </c>
      <c r="K37" s="2573">
        <v>753.9</v>
      </c>
      <c r="L37" s="2573">
        <v>878.4</v>
      </c>
      <c r="M37" s="2573">
        <v>673.8</v>
      </c>
      <c r="N37" s="2573">
        <v>775.2</v>
      </c>
      <c r="O37" s="2572">
        <v>910</v>
      </c>
      <c r="P37" s="2636">
        <f t="shared" si="1"/>
        <v>798.26</v>
      </c>
      <c r="R37" s="2635"/>
    </row>
    <row r="38" spans="1:18" ht="14.25" hidden="1" thickTop="1" thickBot="1">
      <c r="B38" s="2568" t="s">
        <v>1756</v>
      </c>
      <c r="C38" s="2565" t="s">
        <v>228</v>
      </c>
      <c r="D38" s="2571"/>
      <c r="E38" s="2571"/>
      <c r="F38" s="2571"/>
      <c r="G38" s="2571"/>
      <c r="H38" s="2571"/>
      <c r="I38" s="2569">
        <f t="shared" si="0"/>
        <v>0</v>
      </c>
      <c r="J38" s="2633" t="s">
        <v>172</v>
      </c>
      <c r="K38" s="2571"/>
      <c r="L38" s="2570"/>
      <c r="M38" s="2570"/>
      <c r="N38" s="2570"/>
      <c r="O38" s="2570"/>
      <c r="P38" s="2569">
        <f t="shared" si="1"/>
        <v>0</v>
      </c>
    </row>
    <row r="39" spans="1:18" ht="14.25" hidden="1" thickTop="1" thickBot="1">
      <c r="B39" s="2568" t="s">
        <v>1755</v>
      </c>
      <c r="C39" s="2565" t="s">
        <v>228</v>
      </c>
      <c r="D39" s="2562"/>
      <c r="E39" s="2562"/>
      <c r="F39" s="2562"/>
      <c r="G39" s="2562"/>
      <c r="H39" s="2562"/>
      <c r="I39" s="2560">
        <f t="shared" si="0"/>
        <v>0</v>
      </c>
      <c r="J39" s="2563" t="s">
        <v>172</v>
      </c>
      <c r="K39" s="2562"/>
      <c r="L39" s="2561"/>
      <c r="M39" s="2561"/>
      <c r="N39" s="2561"/>
      <c r="O39" s="2561"/>
      <c r="P39" s="2560">
        <f t="shared" si="1"/>
        <v>0</v>
      </c>
    </row>
    <row r="40" spans="1:18" ht="14.25" hidden="1" thickTop="1" thickBot="1">
      <c r="B40" s="2566" t="s">
        <v>1754</v>
      </c>
      <c r="C40" s="2565" t="s">
        <v>228</v>
      </c>
      <c r="D40" s="2564"/>
      <c r="E40" s="2564"/>
      <c r="F40" s="2564"/>
      <c r="G40" s="2564"/>
      <c r="H40" s="2564"/>
      <c r="I40" s="2560"/>
      <c r="J40" s="2563"/>
      <c r="K40" s="2562"/>
      <c r="L40" s="2561"/>
      <c r="M40" s="2561"/>
      <c r="N40" s="2561"/>
      <c r="O40" s="2561"/>
      <c r="P40" s="2560"/>
    </row>
    <row r="41" spans="1:18" ht="12.75" thickTop="1">
      <c r="A41" s="2559"/>
      <c r="B41" s="2558"/>
    </row>
    <row r="44" spans="1:18" ht="12.75">
      <c r="B44" s="2016" t="s">
        <v>1753</v>
      </c>
    </row>
    <row r="45" spans="1:18" ht="15.75" hidden="1">
      <c r="B45" s="2557" t="s">
        <v>1752</v>
      </c>
    </row>
    <row r="46" spans="1:18" ht="12.75" hidden="1">
      <c r="B46" s="2556" t="s">
        <v>1751</v>
      </c>
      <c r="C46" s="2547"/>
      <c r="D46" s="2547"/>
      <c r="E46" s="2547"/>
      <c r="F46" s="2555">
        <v>2011</v>
      </c>
      <c r="G46" s="2555">
        <v>2010</v>
      </c>
      <c r="H46" s="2555">
        <v>2009</v>
      </c>
      <c r="I46" s="2554">
        <v>2008</v>
      </c>
      <c r="J46" s="2554">
        <v>2007</v>
      </c>
      <c r="K46" s="2554"/>
      <c r="L46" s="2553" t="s">
        <v>1750</v>
      </c>
    </row>
    <row r="47" spans="1:18" ht="12.75" hidden="1">
      <c r="B47" s="2547"/>
      <c r="C47" s="2547"/>
      <c r="D47" s="2547"/>
      <c r="E47" s="2547"/>
      <c r="F47" s="2547"/>
      <c r="G47" s="2552"/>
      <c r="H47" s="2552"/>
      <c r="I47" s="2551"/>
      <c r="J47" s="2551"/>
      <c r="K47" s="2551"/>
      <c r="L47" s="2550"/>
    </row>
    <row r="48" spans="1:18" ht="12.75" hidden="1">
      <c r="B48" s="2549" t="s">
        <v>269</v>
      </c>
      <c r="C48" s="2547"/>
      <c r="D48" s="2547"/>
      <c r="E48" s="2547"/>
      <c r="F48" s="2548">
        <v>69.8</v>
      </c>
      <c r="G48" s="2547">
        <v>69</v>
      </c>
      <c r="H48" s="2547">
        <v>73.5</v>
      </c>
      <c r="I48" s="2546">
        <v>74.400000000000006</v>
      </c>
      <c r="J48" s="2546">
        <v>72.3</v>
      </c>
      <c r="K48" s="2546"/>
      <c r="L48" s="2546">
        <v>71.800000000000011</v>
      </c>
    </row>
    <row r="49" spans="2:12" ht="12.75" hidden="1">
      <c r="B49" s="2549" t="s">
        <v>81</v>
      </c>
      <c r="C49" s="2547"/>
      <c r="D49" s="2547"/>
      <c r="E49" s="2547"/>
      <c r="F49" s="2548"/>
      <c r="G49" s="2547">
        <v>56.1</v>
      </c>
      <c r="H49" s="2547">
        <v>60.1</v>
      </c>
      <c r="I49" s="2546">
        <v>59.1</v>
      </c>
      <c r="J49" s="2546">
        <v>54.8</v>
      </c>
      <c r="K49" s="2546"/>
      <c r="L49" s="2546">
        <v>57.525000000000006</v>
      </c>
    </row>
    <row r="50" spans="2:12" ht="12.75" hidden="1">
      <c r="B50" s="2549" t="s">
        <v>73</v>
      </c>
      <c r="C50" s="2547"/>
      <c r="D50" s="2547"/>
      <c r="E50" s="2547"/>
      <c r="F50" s="2548"/>
      <c r="G50" s="2547">
        <v>53.4</v>
      </c>
      <c r="H50" s="2547">
        <v>55.2</v>
      </c>
      <c r="I50" s="2546">
        <v>60.4</v>
      </c>
      <c r="J50" s="2546">
        <v>48.8</v>
      </c>
      <c r="K50" s="2546"/>
      <c r="L50" s="2546">
        <v>54.45</v>
      </c>
    </row>
    <row r="51" spans="2:12" ht="12.75" hidden="1">
      <c r="B51" s="2549" t="s">
        <v>1313</v>
      </c>
      <c r="C51" s="2547"/>
      <c r="D51" s="2547"/>
      <c r="E51" s="2547"/>
      <c r="F51" s="2548"/>
      <c r="G51" s="2547">
        <v>55.7</v>
      </c>
      <c r="H51" s="2547">
        <v>60.2</v>
      </c>
      <c r="I51" s="2546">
        <v>58.8</v>
      </c>
      <c r="J51" s="2546">
        <v>53.1</v>
      </c>
      <c r="K51" s="2546"/>
      <c r="L51" s="2546">
        <v>56.949999999999996</v>
      </c>
    </row>
    <row r="52" spans="2:12" ht="12.75" hidden="1">
      <c r="B52" s="2549" t="s">
        <v>88</v>
      </c>
      <c r="C52" s="2547"/>
      <c r="D52" s="2547"/>
      <c r="E52" s="2547"/>
      <c r="F52" s="2548">
        <v>67.5</v>
      </c>
      <c r="G52" s="2547">
        <v>65.900000000000006</v>
      </c>
      <c r="H52" s="2547">
        <v>69</v>
      </c>
      <c r="I52" s="2546">
        <v>68.099999999999994</v>
      </c>
      <c r="J52" s="2546">
        <v>67.400000000000006</v>
      </c>
      <c r="K52" s="2546"/>
      <c r="L52" s="2546">
        <v>67.58</v>
      </c>
    </row>
    <row r="53" spans="2:12" ht="12.75" hidden="1">
      <c r="B53" s="2549" t="s">
        <v>86</v>
      </c>
      <c r="C53" s="2547"/>
      <c r="D53" s="2547"/>
      <c r="E53" s="2547"/>
      <c r="F53" s="2548">
        <v>61.7</v>
      </c>
      <c r="G53" s="2547">
        <v>62.1</v>
      </c>
      <c r="H53" s="2547">
        <v>65.599999999999994</v>
      </c>
      <c r="I53" s="2546">
        <v>58.4</v>
      </c>
      <c r="J53" s="2546">
        <v>60.2</v>
      </c>
      <c r="K53" s="2546"/>
      <c r="L53" s="2546">
        <v>61.6</v>
      </c>
    </row>
    <row r="54" spans="2:12" ht="12.75" hidden="1">
      <c r="B54" s="2549" t="s">
        <v>267</v>
      </c>
      <c r="C54" s="2547"/>
      <c r="D54" s="2547"/>
      <c r="E54" s="2547"/>
      <c r="F54" s="2548">
        <v>50.4</v>
      </c>
      <c r="G54" s="2547">
        <v>55</v>
      </c>
      <c r="H54" s="2547">
        <v>55.3</v>
      </c>
      <c r="I54" s="2546">
        <v>53.2</v>
      </c>
      <c r="J54" s="2546">
        <v>44.3</v>
      </c>
      <c r="K54" s="2546"/>
      <c r="L54" s="2546">
        <v>51.64</v>
      </c>
    </row>
    <row r="55" spans="2:12" ht="12.75" hidden="1">
      <c r="B55" s="2549" t="s">
        <v>75</v>
      </c>
      <c r="C55" s="2547"/>
      <c r="D55" s="2547"/>
      <c r="E55" s="2547"/>
      <c r="F55" s="2548">
        <v>47.8</v>
      </c>
      <c r="G55" s="2547">
        <v>49.5</v>
      </c>
      <c r="H55" s="2547">
        <v>59</v>
      </c>
      <c r="I55" s="2546">
        <v>55.5</v>
      </c>
      <c r="J55" s="2546">
        <v>44.7</v>
      </c>
      <c r="K55" s="2546"/>
      <c r="L55" s="2546">
        <v>51.3</v>
      </c>
    </row>
    <row r="56" spans="2:12" ht="12.75" hidden="1">
      <c r="B56" s="2549" t="s">
        <v>1749</v>
      </c>
      <c r="C56" s="2547"/>
      <c r="D56" s="2547"/>
      <c r="E56" s="2547"/>
      <c r="F56" s="2548">
        <v>121.2</v>
      </c>
      <c r="G56" s="2547">
        <v>98.5</v>
      </c>
      <c r="H56" s="2547">
        <v>109.2</v>
      </c>
      <c r="I56" s="2546">
        <v>105.4</v>
      </c>
      <c r="J56" s="2546">
        <v>97.9</v>
      </c>
      <c r="K56" s="2546"/>
      <c r="L56" s="2546">
        <v>106.43999999999998</v>
      </c>
    </row>
    <row r="57" spans="2:12" ht="12.75" hidden="1">
      <c r="B57" s="2549" t="s">
        <v>45</v>
      </c>
      <c r="C57" s="2547"/>
      <c r="D57" s="2547"/>
      <c r="E57" s="2547"/>
      <c r="F57" s="2548">
        <v>802.5</v>
      </c>
      <c r="G57" s="2547">
        <v>689.9</v>
      </c>
      <c r="H57" s="2547">
        <v>727.2</v>
      </c>
      <c r="I57" s="2546">
        <v>667.8</v>
      </c>
      <c r="J57" s="2546">
        <v>644.20000000000005</v>
      </c>
      <c r="K57" s="2546"/>
      <c r="L57" s="2546">
        <v>706.32</v>
      </c>
    </row>
    <row r="58" spans="2:12" ht="12.75" hidden="1">
      <c r="B58" s="2549" t="s">
        <v>195</v>
      </c>
      <c r="C58" s="2547"/>
      <c r="D58" s="2547"/>
      <c r="E58" s="2547"/>
      <c r="F58" s="2548"/>
      <c r="G58" s="2547"/>
      <c r="H58" s="2547">
        <v>270.7</v>
      </c>
      <c r="I58" s="2546">
        <v>282.39999999999998</v>
      </c>
      <c r="J58" s="2546">
        <v>283.7</v>
      </c>
      <c r="K58" s="2546"/>
      <c r="L58" s="2546">
        <v>278.93333333333334</v>
      </c>
    </row>
    <row r="59" spans="2:12" ht="12.75" hidden="1">
      <c r="B59" s="2549" t="s">
        <v>1748</v>
      </c>
      <c r="C59" s="2547"/>
      <c r="D59" s="2547"/>
      <c r="E59" s="2547"/>
      <c r="F59" s="2548"/>
      <c r="G59" s="2547"/>
      <c r="H59" s="2547">
        <v>387.2</v>
      </c>
      <c r="I59" s="2546">
        <v>371.3</v>
      </c>
      <c r="J59" s="2546">
        <v>363.3</v>
      </c>
      <c r="K59" s="2546"/>
      <c r="L59" s="2546">
        <v>373.93333333333334</v>
      </c>
    </row>
    <row r="60" spans="2:12" ht="12.75" hidden="1">
      <c r="B60" s="2549" t="s">
        <v>1010</v>
      </c>
      <c r="C60" s="2547"/>
      <c r="D60" s="2547"/>
      <c r="E60" s="2547"/>
      <c r="F60" s="2548">
        <v>443.2</v>
      </c>
      <c r="G60" s="2547">
        <v>346.8</v>
      </c>
      <c r="H60" s="2547"/>
      <c r="I60" s="2546"/>
      <c r="J60" s="2546">
        <v>349.9</v>
      </c>
      <c r="K60" s="2546"/>
      <c r="L60" s="2546">
        <v>379.9666666666667</v>
      </c>
    </row>
    <row r="61" spans="2:12" ht="12.75" hidden="1">
      <c r="B61" s="2549" t="s">
        <v>64</v>
      </c>
      <c r="C61" s="2547"/>
      <c r="D61" s="2547"/>
      <c r="E61" s="2547"/>
      <c r="F61" s="2548">
        <v>26.5</v>
      </c>
      <c r="G61" s="2547">
        <v>38.799999999999997</v>
      </c>
      <c r="H61" s="2547">
        <v>41.8</v>
      </c>
      <c r="I61" s="2546">
        <v>37.4</v>
      </c>
      <c r="J61" s="2546">
        <v>42.1</v>
      </c>
      <c r="K61" s="2546"/>
      <c r="L61" s="2546">
        <v>37.32</v>
      </c>
    </row>
    <row r="62" spans="2:12" ht="12.75" hidden="1">
      <c r="B62" s="2549" t="s">
        <v>62</v>
      </c>
      <c r="C62" s="2547"/>
      <c r="D62" s="2547"/>
      <c r="E62" s="2547"/>
      <c r="F62" s="2548"/>
      <c r="G62" s="2547">
        <v>25.2</v>
      </c>
      <c r="H62" s="2547">
        <v>24.4</v>
      </c>
      <c r="I62" s="2546">
        <v>26.2</v>
      </c>
      <c r="J62" s="2546">
        <v>24.9</v>
      </c>
      <c r="K62" s="2546"/>
      <c r="L62" s="2546">
        <v>25.174999999999997</v>
      </c>
    </row>
    <row r="63" spans="2:12" ht="12.75" hidden="1">
      <c r="B63" s="2549" t="s">
        <v>54</v>
      </c>
      <c r="C63" s="2547"/>
      <c r="D63" s="2547"/>
      <c r="E63" s="2547"/>
      <c r="F63" s="2548"/>
      <c r="G63" s="2547">
        <v>34.6</v>
      </c>
      <c r="H63" s="2547">
        <v>35.9</v>
      </c>
      <c r="I63" s="2546">
        <v>36.700000000000003</v>
      </c>
      <c r="J63" s="2546">
        <v>34</v>
      </c>
      <c r="K63" s="2546"/>
      <c r="L63" s="2546">
        <v>35.299999999999997</v>
      </c>
    </row>
    <row r="64" spans="2:12" ht="12.75" hidden="1">
      <c r="B64" s="2549" t="s">
        <v>52</v>
      </c>
      <c r="C64" s="2547"/>
      <c r="D64" s="2547"/>
      <c r="E64" s="2547"/>
      <c r="F64" s="2548"/>
      <c r="G64" s="2547">
        <v>32.299999999999997</v>
      </c>
      <c r="H64" s="2547">
        <v>33.5</v>
      </c>
      <c r="I64" s="2546">
        <v>35</v>
      </c>
      <c r="J64" s="2546">
        <v>31.6</v>
      </c>
      <c r="K64" s="2546"/>
      <c r="L64" s="2546">
        <v>33.1</v>
      </c>
    </row>
    <row r="65" spans="2:12" ht="12.75" hidden="1">
      <c r="B65" s="2549" t="s">
        <v>1721</v>
      </c>
      <c r="C65" s="2547"/>
      <c r="D65" s="2547"/>
      <c r="E65" s="2547"/>
      <c r="F65" s="2548">
        <v>484.8</v>
      </c>
      <c r="G65" s="2547">
        <v>439.1</v>
      </c>
      <c r="H65" s="2547">
        <v>484.4</v>
      </c>
      <c r="I65" s="2546">
        <v>478.4</v>
      </c>
      <c r="J65" s="2546">
        <v>469.5</v>
      </c>
      <c r="K65" s="2546"/>
      <c r="L65" s="2546">
        <v>471.24000000000007</v>
      </c>
    </row>
    <row r="66" spans="2:12" ht="12.75" hidden="1">
      <c r="B66" s="2549" t="s">
        <v>1747</v>
      </c>
      <c r="C66" s="2547"/>
      <c r="D66" s="2547"/>
      <c r="E66" s="2547"/>
      <c r="F66" s="2548"/>
      <c r="G66" s="2547"/>
      <c r="H66" s="2547">
        <v>80.099999999999994</v>
      </c>
      <c r="I66" s="2546">
        <v>76.5</v>
      </c>
      <c r="J66" s="2546">
        <v>76.2</v>
      </c>
      <c r="K66" s="2546"/>
      <c r="L66" s="2546">
        <v>77.600000000000009</v>
      </c>
    </row>
    <row r="67" spans="2:12" ht="12.75" hidden="1">
      <c r="B67" s="2549" t="s">
        <v>1746</v>
      </c>
      <c r="C67" s="2547"/>
      <c r="D67" s="2547"/>
      <c r="E67" s="2547"/>
      <c r="F67" s="2548"/>
      <c r="G67" s="2547"/>
      <c r="H67" s="2547">
        <v>82</v>
      </c>
      <c r="I67" s="2546">
        <v>78.5</v>
      </c>
      <c r="J67" s="2546">
        <v>81.2</v>
      </c>
      <c r="K67" s="2546"/>
      <c r="L67" s="2546">
        <v>80.566666666666663</v>
      </c>
    </row>
    <row r="68" spans="2:12" ht="12.75" hidden="1">
      <c r="B68" s="2549" t="s">
        <v>1745</v>
      </c>
      <c r="C68" s="2547"/>
      <c r="D68" s="2547"/>
      <c r="E68" s="2547"/>
      <c r="F68" s="2548">
        <v>66.599999999999994</v>
      </c>
      <c r="G68" s="2547">
        <v>63.6</v>
      </c>
      <c r="H68" s="2547"/>
      <c r="I68" s="2546"/>
      <c r="J68" s="2546"/>
      <c r="K68" s="2546"/>
      <c r="L68" s="2546">
        <v>65.099999999999994</v>
      </c>
    </row>
    <row r="69" spans="2:12" ht="12.75" hidden="1">
      <c r="B69" s="2549" t="s">
        <v>1744</v>
      </c>
      <c r="C69" s="2547"/>
      <c r="D69" s="2547"/>
      <c r="E69" s="2547"/>
      <c r="F69" s="2548">
        <v>57.2</v>
      </c>
      <c r="G69" s="2547">
        <v>57.5</v>
      </c>
      <c r="H69" s="2547">
        <v>72.8</v>
      </c>
      <c r="I69" s="2546">
        <v>71.2</v>
      </c>
      <c r="J69" s="2546">
        <v>73</v>
      </c>
      <c r="K69" s="2546"/>
      <c r="L69" s="2546">
        <v>66.34</v>
      </c>
    </row>
    <row r="70" spans="2:12" ht="12.75" hidden="1">
      <c r="B70" s="2549" t="s">
        <v>1743</v>
      </c>
      <c r="C70" s="2547"/>
      <c r="D70" s="2547"/>
      <c r="E70" s="2547"/>
      <c r="F70" s="2548">
        <v>66</v>
      </c>
      <c r="G70" s="2547">
        <v>62.9</v>
      </c>
      <c r="H70" s="2547">
        <v>76.3</v>
      </c>
      <c r="I70" s="2546">
        <v>75.3</v>
      </c>
      <c r="J70" s="2546">
        <v>73.099999999999994</v>
      </c>
      <c r="K70" s="2546"/>
      <c r="L70" s="2546">
        <v>70.72</v>
      </c>
    </row>
    <row r="71" spans="2:12" ht="12.75">
      <c r="C71" s="4144" t="s">
        <v>1742</v>
      </c>
      <c r="D71" s="4145"/>
      <c r="E71" s="4145"/>
      <c r="F71" s="4145"/>
      <c r="G71" s="4145"/>
    </row>
    <row r="72" spans="2:12">
      <c r="B72" s="4146" t="s">
        <v>1741</v>
      </c>
      <c r="C72" s="2539">
        <v>2013</v>
      </c>
      <c r="D72" s="2539">
        <v>2014</v>
      </c>
      <c r="E72" s="2539">
        <v>2015</v>
      </c>
      <c r="F72" s="2539">
        <v>2016</v>
      </c>
      <c r="G72" s="2539">
        <v>2017</v>
      </c>
    </row>
    <row r="73" spans="2:12" ht="12.75">
      <c r="B73" s="4147"/>
      <c r="C73" s="4148" t="s">
        <v>172</v>
      </c>
      <c r="D73" s="4149"/>
      <c r="E73" s="4149"/>
      <c r="F73" s="4149"/>
      <c r="G73" s="4149"/>
    </row>
    <row r="74" spans="2:12" ht="12.75">
      <c r="B74" s="2544" t="s">
        <v>269</v>
      </c>
      <c r="C74" s="2541">
        <v>74.099999999999994</v>
      </c>
      <c r="D74" s="2541">
        <v>83.5</v>
      </c>
      <c r="E74" s="2541">
        <v>76.3</v>
      </c>
      <c r="F74" s="2541">
        <v>66.099999999999994</v>
      </c>
      <c r="G74" s="2541" t="s">
        <v>1720</v>
      </c>
    </row>
    <row r="75" spans="2:12" ht="12.75">
      <c r="B75" s="2544" t="s">
        <v>86</v>
      </c>
      <c r="C75" s="2541">
        <v>68.3</v>
      </c>
      <c r="D75" s="2541">
        <v>76.2</v>
      </c>
      <c r="E75" s="2541">
        <v>67.400000000000006</v>
      </c>
      <c r="F75" s="2541">
        <v>67.400000000000006</v>
      </c>
      <c r="G75" s="2541" t="s">
        <v>1720</v>
      </c>
    </row>
    <row r="76" spans="2:12" ht="12.75">
      <c r="B76" s="2544" t="s">
        <v>267</v>
      </c>
      <c r="C76" s="2541">
        <v>55.4</v>
      </c>
      <c r="D76" s="2541">
        <v>59.7</v>
      </c>
      <c r="E76" s="2541">
        <v>53.9</v>
      </c>
      <c r="F76" s="2541">
        <v>49.6</v>
      </c>
      <c r="G76" s="2541" t="s">
        <v>1720</v>
      </c>
    </row>
    <row r="77" spans="2:12" ht="12.75">
      <c r="B77" s="2544" t="s">
        <v>75</v>
      </c>
      <c r="C77" s="2541">
        <v>45.2</v>
      </c>
      <c r="D77" s="2541">
        <v>52.5</v>
      </c>
      <c r="E77" s="2541">
        <v>46.6</v>
      </c>
      <c r="F77" s="2541">
        <v>45.6</v>
      </c>
      <c r="G77" s="2541" t="s">
        <v>1720</v>
      </c>
    </row>
    <row r="78" spans="2:12" ht="12.75">
      <c r="B78" s="2544" t="s">
        <v>88</v>
      </c>
      <c r="C78" s="2541">
        <v>69.900000000000006</v>
      </c>
      <c r="D78" s="2541">
        <v>74.400000000000006</v>
      </c>
      <c r="E78" s="2541">
        <v>67.5</v>
      </c>
      <c r="F78" s="2541">
        <v>53.1</v>
      </c>
      <c r="G78" s="2541" t="s">
        <v>1720</v>
      </c>
    </row>
    <row r="79" spans="2:12" ht="12.75">
      <c r="B79" s="2544" t="s">
        <v>70</v>
      </c>
      <c r="C79" s="2541">
        <v>95.6</v>
      </c>
      <c r="D79" s="2541">
        <v>115.7</v>
      </c>
      <c r="E79" s="2541">
        <v>84.3</v>
      </c>
      <c r="F79" s="2541">
        <v>96.1</v>
      </c>
      <c r="G79" s="2541" t="s">
        <v>1720</v>
      </c>
    </row>
    <row r="80" spans="2:12" ht="12.75">
      <c r="B80" s="2544" t="s">
        <v>1010</v>
      </c>
      <c r="C80" s="2541">
        <v>364.9</v>
      </c>
      <c r="D80" s="2541">
        <v>473.2</v>
      </c>
      <c r="E80" s="2541">
        <v>369.4</v>
      </c>
      <c r="F80" s="2541">
        <v>365.6</v>
      </c>
      <c r="G80" s="2541" t="s">
        <v>1720</v>
      </c>
    </row>
    <row r="81" spans="2:10" ht="12.75">
      <c r="B81" s="2544" t="s">
        <v>45</v>
      </c>
      <c r="C81" s="2541">
        <v>753.9</v>
      </c>
      <c r="D81" s="2541">
        <v>878.4</v>
      </c>
      <c r="E81" s="2541">
        <v>673.8</v>
      </c>
      <c r="F81" s="2541">
        <v>775.2</v>
      </c>
      <c r="G81" s="2541" t="s">
        <v>1720</v>
      </c>
    </row>
    <row r="82" spans="2:10" ht="12.75">
      <c r="B82" s="2544" t="s">
        <v>64</v>
      </c>
      <c r="C82" s="2541">
        <v>37</v>
      </c>
      <c r="D82" s="2541">
        <v>47.2</v>
      </c>
      <c r="E82" s="2541">
        <v>40.799999999999997</v>
      </c>
      <c r="F82" s="2541">
        <v>38.799999999999997</v>
      </c>
      <c r="G82" s="2541" t="s">
        <v>1720</v>
      </c>
    </row>
    <row r="83" spans="2:10" ht="12.75">
      <c r="B83" s="2544" t="s">
        <v>1721</v>
      </c>
      <c r="C83" s="2541">
        <v>426.6</v>
      </c>
      <c r="D83" s="2541">
        <v>485.3</v>
      </c>
      <c r="E83" s="2541">
        <v>393.2</v>
      </c>
      <c r="F83" s="2541">
        <v>427.1</v>
      </c>
      <c r="G83" s="2541" t="s">
        <v>1720</v>
      </c>
    </row>
    <row r="84" spans="2:10" ht="14.25">
      <c r="B84" s="2544" t="s">
        <v>1740</v>
      </c>
      <c r="C84" s="2541">
        <v>56.6</v>
      </c>
      <c r="D84" s="2541">
        <v>59.1</v>
      </c>
      <c r="E84" s="2541">
        <v>48.5</v>
      </c>
      <c r="F84" s="2541">
        <v>61.9</v>
      </c>
      <c r="G84" s="2541" t="s">
        <v>1720</v>
      </c>
    </row>
    <row r="85" spans="2:10" ht="14.25">
      <c r="B85" s="2544" t="s">
        <v>1739</v>
      </c>
      <c r="C85" s="2541">
        <v>63.4</v>
      </c>
      <c r="D85" s="2541">
        <v>57.5</v>
      </c>
      <c r="E85" s="2541">
        <v>47.4</v>
      </c>
      <c r="F85" s="2541">
        <v>52.3</v>
      </c>
      <c r="G85" s="2541" t="s">
        <v>1720</v>
      </c>
    </row>
    <row r="87" spans="2:10" ht="13.15" customHeight="1">
      <c r="B87" s="4150" t="s">
        <v>1738</v>
      </c>
      <c r="C87" s="4150"/>
      <c r="D87" s="4150"/>
      <c r="E87" s="4150"/>
      <c r="F87" s="4150"/>
      <c r="G87" s="4150"/>
      <c r="H87" s="4150"/>
      <c r="I87" s="4150"/>
      <c r="J87" s="4150"/>
    </row>
    <row r="88" spans="2:10" ht="12.75">
      <c r="B88" s="4151" t="s">
        <v>1737</v>
      </c>
      <c r="C88" s="4151" t="s">
        <v>1736</v>
      </c>
      <c r="D88" s="4151"/>
      <c r="E88" s="4151"/>
      <c r="F88" s="4151"/>
      <c r="G88" s="4151"/>
      <c r="H88" s="4150"/>
      <c r="I88" s="4150"/>
      <c r="J88" s="2545"/>
    </row>
    <row r="89" spans="2:10" ht="12.75">
      <c r="B89" s="4151"/>
      <c r="C89" s="4151"/>
      <c r="D89" s="4151"/>
      <c r="E89" s="4151"/>
      <c r="F89" s="4151"/>
      <c r="G89" s="4151"/>
      <c r="H89" s="4150"/>
      <c r="I89" s="4150"/>
      <c r="J89" s="2545"/>
    </row>
    <row r="90" spans="2:10" ht="26.45" customHeight="1">
      <c r="B90" s="4151"/>
      <c r="C90" s="4151"/>
      <c r="D90" s="4151"/>
      <c r="E90" s="4151"/>
      <c r="F90" s="4151"/>
      <c r="G90" s="4151"/>
      <c r="H90" s="4150"/>
      <c r="I90" s="4150"/>
      <c r="J90" s="2545"/>
    </row>
    <row r="91" spans="2:10" ht="38.25">
      <c r="B91" s="4151"/>
      <c r="C91" s="2545" t="s">
        <v>1735</v>
      </c>
      <c r="D91" s="2545" t="s">
        <v>1734</v>
      </c>
      <c r="E91" s="2545" t="s">
        <v>1733</v>
      </c>
      <c r="F91" s="2545" t="s">
        <v>1732</v>
      </c>
      <c r="G91" s="2545" t="s">
        <v>1731</v>
      </c>
      <c r="H91" s="2545"/>
      <c r="I91" s="2545" t="s">
        <v>1730</v>
      </c>
      <c r="J91" s="2545"/>
    </row>
    <row r="92" spans="2:10" ht="13.15" customHeight="1">
      <c r="B92" s="4151"/>
      <c r="C92" s="4150" t="s">
        <v>172</v>
      </c>
      <c r="D92" s="4150"/>
      <c r="E92" s="4150"/>
      <c r="F92" s="4150"/>
      <c r="G92" s="4150"/>
      <c r="H92" s="4150"/>
      <c r="I92" s="4150"/>
      <c r="J92" s="4150"/>
    </row>
    <row r="93" spans="2:10" ht="12.75">
      <c r="B93" s="2544" t="s">
        <v>1729</v>
      </c>
      <c r="C93" s="2543" t="s">
        <v>168</v>
      </c>
      <c r="D93" s="2543" t="s">
        <v>168</v>
      </c>
      <c r="E93" s="2543">
        <v>73.8</v>
      </c>
      <c r="F93" s="2543" t="s">
        <v>168</v>
      </c>
      <c r="G93" s="2543" t="s">
        <v>168</v>
      </c>
      <c r="H93" s="2541"/>
      <c r="I93" s="2542"/>
      <c r="J93" s="2541"/>
    </row>
    <row r="94" spans="2:10" ht="14.25">
      <c r="B94" s="2544" t="s">
        <v>1728</v>
      </c>
      <c r="C94" s="2543" t="s">
        <v>168</v>
      </c>
      <c r="D94" s="2543" t="s">
        <v>168</v>
      </c>
      <c r="E94" s="2543">
        <v>97.1</v>
      </c>
      <c r="F94" s="2543" t="s">
        <v>1720</v>
      </c>
      <c r="G94" s="2543" t="s">
        <v>168</v>
      </c>
      <c r="H94" s="2541"/>
      <c r="I94" s="2542">
        <v>97.1</v>
      </c>
      <c r="J94" s="2541"/>
    </row>
    <row r="95" spans="2:10" ht="12.75">
      <c r="B95" s="2544" t="s">
        <v>1727</v>
      </c>
      <c r="C95" s="2543">
        <v>69</v>
      </c>
      <c r="D95" s="2543">
        <v>69.900000000000006</v>
      </c>
      <c r="E95" s="2543">
        <v>70.3</v>
      </c>
      <c r="F95" s="2543" t="s">
        <v>168</v>
      </c>
      <c r="G95" s="2543" t="s">
        <v>168</v>
      </c>
      <c r="H95" s="2541"/>
      <c r="I95" s="2542"/>
      <c r="J95" s="2541"/>
    </row>
    <row r="96" spans="2:10" ht="12.75">
      <c r="B96" s="2544" t="s">
        <v>1726</v>
      </c>
      <c r="C96" s="2543">
        <v>73</v>
      </c>
      <c r="D96" s="2543">
        <v>72.900000000000006</v>
      </c>
      <c r="E96" s="2543">
        <v>74</v>
      </c>
      <c r="F96" s="2543" t="s">
        <v>168</v>
      </c>
      <c r="G96" s="2543" t="s">
        <v>168</v>
      </c>
      <c r="H96" s="2541"/>
      <c r="I96" s="2542"/>
      <c r="J96" s="2541"/>
    </row>
    <row r="97" spans="2:10" ht="14.25">
      <c r="B97" s="2544" t="s">
        <v>1725</v>
      </c>
      <c r="C97" s="2543">
        <v>73.400000000000006</v>
      </c>
      <c r="D97" s="2543">
        <v>73.2</v>
      </c>
      <c r="E97" s="2543">
        <v>74.2</v>
      </c>
      <c r="F97" s="2543" t="s">
        <v>168</v>
      </c>
      <c r="G97" s="2543" t="s">
        <v>168</v>
      </c>
      <c r="H97" s="2541"/>
      <c r="I97" s="2542">
        <f>(C97+D97+E97)/3</f>
        <v>73.600000000000009</v>
      </c>
      <c r="J97" s="2541"/>
    </row>
    <row r="98" spans="2:10" ht="12.75">
      <c r="B98" s="2544" t="s">
        <v>81</v>
      </c>
      <c r="C98" s="2543">
        <v>57.4</v>
      </c>
      <c r="D98" s="2543">
        <v>55.7</v>
      </c>
      <c r="E98" s="2543">
        <v>62</v>
      </c>
      <c r="F98" s="2543" t="s">
        <v>168</v>
      </c>
      <c r="G98" s="2543" t="s">
        <v>168</v>
      </c>
      <c r="H98" s="2541"/>
      <c r="I98" s="2542"/>
      <c r="J98" s="2541"/>
    </row>
    <row r="99" spans="2:10" ht="12.75">
      <c r="B99" s="2544" t="s">
        <v>1724</v>
      </c>
      <c r="C99" s="2543">
        <v>52.4</v>
      </c>
      <c r="D99" s="2543">
        <v>54.3</v>
      </c>
      <c r="E99" s="2543">
        <v>54.1</v>
      </c>
      <c r="F99" s="2543" t="s">
        <v>168</v>
      </c>
      <c r="G99" s="2543" t="s">
        <v>168</v>
      </c>
      <c r="H99" s="2541"/>
      <c r="I99" s="2542"/>
      <c r="J99" s="2541"/>
    </row>
    <row r="100" spans="2:10" ht="12.75">
      <c r="B100" s="2544" t="s">
        <v>1723</v>
      </c>
      <c r="C100" s="2543">
        <v>66</v>
      </c>
      <c r="D100" s="2543">
        <v>69</v>
      </c>
      <c r="E100" s="2543">
        <v>68.400000000000006</v>
      </c>
      <c r="F100" s="2543" t="s">
        <v>168</v>
      </c>
      <c r="G100" s="2543" t="s">
        <v>168</v>
      </c>
      <c r="H100" s="2541"/>
      <c r="I100" s="2542"/>
      <c r="J100" s="2541"/>
    </row>
    <row r="101" spans="2:10" ht="12.75">
      <c r="B101" s="2544" t="s">
        <v>86</v>
      </c>
      <c r="C101" s="2543">
        <v>71.599999999999994</v>
      </c>
      <c r="D101" s="2543">
        <v>75.2</v>
      </c>
      <c r="E101" s="2543">
        <v>74.099999999999994</v>
      </c>
      <c r="F101" s="2543" t="s">
        <v>168</v>
      </c>
      <c r="G101" s="2543" t="s">
        <v>168</v>
      </c>
      <c r="H101" s="2541"/>
      <c r="I101" s="2542">
        <f>(C101+D101+E101)/3</f>
        <v>73.63333333333334</v>
      </c>
      <c r="J101" s="2541"/>
    </row>
    <row r="102" spans="2:10" ht="12.75">
      <c r="B102" s="2544" t="s">
        <v>267</v>
      </c>
      <c r="C102" s="2543">
        <v>56.5</v>
      </c>
      <c r="D102" s="2543">
        <v>58.5</v>
      </c>
      <c r="E102" s="2543">
        <v>58.8</v>
      </c>
      <c r="F102" s="2543" t="s">
        <v>168</v>
      </c>
      <c r="G102" s="2543" t="s">
        <v>168</v>
      </c>
      <c r="H102" s="2541"/>
      <c r="I102" s="2542"/>
      <c r="J102" s="2541"/>
    </row>
    <row r="103" spans="2:10" ht="12.75">
      <c r="B103" s="2544" t="s">
        <v>75</v>
      </c>
      <c r="C103" s="2543">
        <v>49.7</v>
      </c>
      <c r="D103" s="2543">
        <v>50.8</v>
      </c>
      <c r="E103" s="2543">
        <v>49.1</v>
      </c>
      <c r="F103" s="2543" t="s">
        <v>168</v>
      </c>
      <c r="G103" s="2543" t="s">
        <v>168</v>
      </c>
      <c r="H103" s="2541"/>
      <c r="I103" s="2542"/>
      <c r="J103" s="2541"/>
    </row>
    <row r="104" spans="2:10" ht="12.75">
      <c r="B104" s="2544" t="s">
        <v>88</v>
      </c>
      <c r="C104" s="2543">
        <v>73.099999999999994</v>
      </c>
      <c r="D104" s="2543">
        <v>72.5</v>
      </c>
      <c r="E104" s="2543">
        <v>72.400000000000006</v>
      </c>
      <c r="F104" s="2543" t="s">
        <v>168</v>
      </c>
      <c r="G104" s="2543" t="s">
        <v>168</v>
      </c>
      <c r="H104" s="2541"/>
      <c r="I104" s="2542">
        <f>(C104+D104+E104)/3</f>
        <v>72.666666666666671</v>
      </c>
      <c r="J104" s="2541"/>
    </row>
    <row r="105" spans="2:10" ht="12.75">
      <c r="B105" s="2544" t="s">
        <v>54</v>
      </c>
      <c r="C105" s="2543" t="s">
        <v>168</v>
      </c>
      <c r="D105" s="2543">
        <v>37.4</v>
      </c>
      <c r="E105" s="2543">
        <v>36.1</v>
      </c>
      <c r="F105" s="2543" t="s">
        <v>168</v>
      </c>
      <c r="G105" s="2543" t="s">
        <v>168</v>
      </c>
      <c r="H105" s="2541"/>
      <c r="I105" s="2542"/>
      <c r="J105" s="2541"/>
    </row>
    <row r="106" spans="2:10" ht="12.75">
      <c r="B106" s="2544" t="s">
        <v>52</v>
      </c>
      <c r="C106" s="2543" t="s">
        <v>168</v>
      </c>
      <c r="D106" s="2543" t="s">
        <v>168</v>
      </c>
      <c r="E106" s="2543">
        <v>29.1</v>
      </c>
      <c r="F106" s="2543" t="s">
        <v>168</v>
      </c>
      <c r="G106" s="2543" t="s">
        <v>168</v>
      </c>
      <c r="H106" s="2541"/>
      <c r="I106" s="2542"/>
      <c r="J106" s="2541"/>
    </row>
    <row r="107" spans="2:10" ht="12.75">
      <c r="B107" s="2544" t="s">
        <v>1722</v>
      </c>
      <c r="C107" s="2543" t="s">
        <v>168</v>
      </c>
      <c r="D107" s="2543" t="s">
        <v>168</v>
      </c>
      <c r="E107" s="2543">
        <v>362.8</v>
      </c>
      <c r="F107" s="2543" t="s">
        <v>168</v>
      </c>
      <c r="G107" s="2543" t="s">
        <v>168</v>
      </c>
      <c r="H107" s="2541"/>
      <c r="I107" s="2542"/>
      <c r="J107" s="2541"/>
    </row>
    <row r="108" spans="2:10" ht="12.75">
      <c r="B108" s="2544" t="s">
        <v>45</v>
      </c>
      <c r="C108" s="2543" t="s">
        <v>168</v>
      </c>
      <c r="D108" s="2543" t="s">
        <v>168</v>
      </c>
      <c r="E108" s="2543" t="s">
        <v>168</v>
      </c>
      <c r="F108" s="2543" t="s">
        <v>168</v>
      </c>
      <c r="G108" s="2543" t="s">
        <v>1720</v>
      </c>
      <c r="H108" s="2541"/>
      <c r="I108" s="2542"/>
      <c r="J108" s="2541"/>
    </row>
    <row r="109" spans="2:10" ht="12.75">
      <c r="B109" s="2544" t="s">
        <v>64</v>
      </c>
      <c r="C109" s="2543">
        <v>38.1</v>
      </c>
      <c r="D109" s="2543">
        <v>36.700000000000003</v>
      </c>
      <c r="E109" s="2543">
        <v>38.299999999999997</v>
      </c>
      <c r="F109" s="2543" t="s">
        <v>168</v>
      </c>
      <c r="G109" s="2543" t="s">
        <v>168</v>
      </c>
      <c r="H109" s="2541"/>
      <c r="I109" s="2542">
        <f>(C109+D109+E109)/3</f>
        <v>37.700000000000003</v>
      </c>
      <c r="J109" s="2541"/>
    </row>
    <row r="110" spans="2:10" ht="12.75">
      <c r="B110" s="2544" t="s">
        <v>1721</v>
      </c>
      <c r="C110" s="2543" t="s">
        <v>168</v>
      </c>
      <c r="D110" s="2543" t="s">
        <v>168</v>
      </c>
      <c r="E110" s="2543">
        <v>460.5</v>
      </c>
      <c r="F110" s="2543" t="s">
        <v>1720</v>
      </c>
      <c r="G110" s="2543" t="s">
        <v>168</v>
      </c>
      <c r="H110" s="2541"/>
      <c r="I110" s="2542"/>
      <c r="J110" s="2541"/>
    </row>
    <row r="111" spans="2:10" ht="12.75">
      <c r="B111" s="2540" t="s">
        <v>1719</v>
      </c>
    </row>
    <row r="112" spans="2:10" ht="12.75">
      <c r="B112" s="2540" t="s">
        <v>1718</v>
      </c>
    </row>
    <row r="113" spans="2:2" ht="12.75">
      <c r="B113" s="2540" t="s">
        <v>1717</v>
      </c>
    </row>
    <row r="114" spans="2:2" ht="12.75">
      <c r="B114" s="2540" t="s">
        <v>1716</v>
      </c>
    </row>
  </sheetData>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AH191"/>
  <sheetViews>
    <sheetView workbookViewId="0"/>
  </sheetViews>
  <sheetFormatPr baseColWidth="10" defaultColWidth="10.25" defaultRowHeight="15"/>
  <cols>
    <col min="1" max="1" width="1.5" style="2649" customWidth="1"/>
    <col min="2" max="2" width="9.625" style="2649" customWidth="1"/>
    <col min="3" max="3" width="7.75" style="2650" customWidth="1"/>
    <col min="4" max="4" width="3.25" style="2650" customWidth="1"/>
    <col min="5" max="5" width="2.375" style="2650" customWidth="1"/>
    <col min="6" max="6" width="5.125" style="2650" customWidth="1"/>
    <col min="7" max="7" width="6" style="2650" customWidth="1"/>
    <col min="8" max="8" width="1.5" style="2650" customWidth="1"/>
    <col min="9" max="9" width="12" style="2650" customWidth="1"/>
    <col min="10" max="10" width="6" style="2650" customWidth="1"/>
    <col min="11" max="11" width="3.25" style="2650" customWidth="1"/>
    <col min="12" max="12" width="10.5" style="2650" customWidth="1"/>
    <col min="13" max="13" width="3.25" style="2650" customWidth="1"/>
    <col min="14" max="14" width="6" style="2650" customWidth="1"/>
    <col min="15" max="15" width="1.5" style="2650" customWidth="1"/>
    <col min="16" max="16" width="15" style="2649" customWidth="1"/>
    <col min="17" max="17" width="9.625" style="2649" customWidth="1"/>
    <col min="18" max="18" width="3.25" style="2649" customWidth="1"/>
    <col min="19" max="19" width="1.5" style="2649" customWidth="1"/>
    <col min="20" max="20" width="15" style="2649" customWidth="1"/>
    <col min="21" max="21" width="1.5" style="2649" customWidth="1"/>
    <col min="22" max="22" width="10.75" style="136" bestFit="1" customWidth="1"/>
    <col min="23" max="23" width="12.25" style="136" bestFit="1" customWidth="1"/>
    <col min="24" max="24" width="12.625" style="136" bestFit="1" customWidth="1"/>
    <col min="25" max="25" width="10.25" style="136"/>
    <col min="26" max="26" width="11.125" style="136" customWidth="1"/>
    <col min="27" max="27" width="10.25" style="136"/>
    <col min="28" max="28" width="0" style="136" hidden="1" customWidth="1"/>
    <col min="29" max="29" width="10.25" style="136"/>
    <col min="30" max="30" width="10.5" style="136" bestFit="1" customWidth="1"/>
    <col min="31" max="34" width="10.25" style="136"/>
    <col min="35" max="16384" width="10.25" style="2649"/>
  </cols>
  <sheetData>
    <row r="1" spans="1:27" ht="5.0999999999999996" customHeight="1" thickBot="1">
      <c r="A1" s="2901"/>
      <c r="B1" s="2719"/>
      <c r="C1" s="2995"/>
      <c r="D1" s="2995"/>
      <c r="E1" s="2995"/>
      <c r="F1" s="2995"/>
      <c r="G1" s="2995"/>
      <c r="H1" s="2995"/>
      <c r="I1" s="2995"/>
      <c r="J1" s="2995"/>
      <c r="K1" s="2995"/>
      <c r="L1" s="2995"/>
      <c r="M1" s="2995"/>
      <c r="N1" s="2995"/>
      <c r="O1" s="2995"/>
      <c r="P1" s="2719"/>
      <c r="Q1" s="2719"/>
      <c r="R1" s="2719"/>
      <c r="S1" s="2719"/>
      <c r="T1" s="2719"/>
      <c r="U1" s="2719"/>
      <c r="V1" s="2651"/>
      <c r="W1" s="2651"/>
      <c r="X1" s="2651"/>
      <c r="Y1" s="2651"/>
    </row>
    <row r="2" spans="1:27" ht="15" customHeight="1">
      <c r="A2" s="2719"/>
      <c r="B2" s="4190" t="s">
        <v>1896</v>
      </c>
      <c r="C2" s="4191"/>
      <c r="D2" s="4191"/>
      <c r="E2" s="4191"/>
      <c r="F2" s="4191"/>
      <c r="G2" s="4191"/>
      <c r="H2" s="4191"/>
      <c r="I2" s="4191"/>
      <c r="J2" s="4191"/>
      <c r="K2" s="4191"/>
      <c r="L2" s="4191"/>
      <c r="M2" s="4191"/>
      <c r="N2" s="4191"/>
      <c r="O2" s="4191"/>
      <c r="P2" s="4191"/>
      <c r="Q2" s="4191"/>
      <c r="R2" s="4191"/>
      <c r="S2" s="4191"/>
      <c r="T2" s="4192"/>
      <c r="U2" s="2719"/>
      <c r="V2" s="2651"/>
      <c r="W2" s="2651"/>
      <c r="X2" s="2651"/>
      <c r="Y2" s="2651"/>
    </row>
    <row r="3" spans="1:27" ht="15" customHeight="1" thickBot="1">
      <c r="A3" s="2719"/>
      <c r="B3" s="4193" t="s">
        <v>1895</v>
      </c>
      <c r="C3" s="4194"/>
      <c r="D3" s="4194"/>
      <c r="E3" s="4194"/>
      <c r="F3" s="4194"/>
      <c r="G3" s="4194"/>
      <c r="H3" s="4194"/>
      <c r="I3" s="4194"/>
      <c r="J3" s="4194"/>
      <c r="K3" s="4194"/>
      <c r="L3" s="4194"/>
      <c r="M3" s="4194"/>
      <c r="N3" s="4194"/>
      <c r="O3" s="4194"/>
      <c r="P3" s="4194"/>
      <c r="Q3" s="4194"/>
      <c r="R3" s="4194"/>
      <c r="S3" s="4194"/>
      <c r="T3" s="4195"/>
      <c r="U3" s="2719"/>
      <c r="V3" s="2651"/>
      <c r="W3" s="2651"/>
      <c r="X3" s="2651"/>
      <c r="Y3" s="2651"/>
    </row>
    <row r="4" spans="1:27" ht="5.0999999999999996" customHeight="1" thickBot="1">
      <c r="A4" s="2719"/>
      <c r="B4" s="2931"/>
      <c r="C4" s="2931"/>
      <c r="D4" s="2931"/>
      <c r="E4" s="2931"/>
      <c r="F4" s="2931"/>
      <c r="G4" s="2931"/>
      <c r="H4" s="2931"/>
      <c r="I4" s="2931"/>
      <c r="J4" s="2931"/>
      <c r="K4" s="2931"/>
      <c r="L4" s="2931"/>
      <c r="M4" s="2931"/>
      <c r="N4" s="2931"/>
      <c r="O4" s="2931"/>
      <c r="P4" s="2931"/>
      <c r="Q4" s="2931"/>
      <c r="R4" s="2931"/>
      <c r="S4" s="2931"/>
      <c r="T4" s="2931"/>
      <c r="U4" s="2719"/>
      <c r="V4" s="2651"/>
      <c r="W4" s="2651"/>
      <c r="X4" s="2651"/>
      <c r="Y4" s="2651"/>
    </row>
    <row r="5" spans="1:27" ht="20.100000000000001" customHeight="1" thickBot="1">
      <c r="A5" s="2719"/>
      <c r="B5" s="4205" t="s">
        <v>1894</v>
      </c>
      <c r="C5" s="4206"/>
      <c r="D5" s="4206"/>
      <c r="E5" s="4206"/>
      <c r="F5" s="4206"/>
      <c r="G5" s="4207"/>
      <c r="H5" s="2832"/>
      <c r="I5" s="2968" t="s">
        <v>1893</v>
      </c>
      <c r="J5" s="2994"/>
      <c r="K5" s="2994"/>
      <c r="L5" s="2993"/>
      <c r="M5" s="690"/>
      <c r="N5" s="2992"/>
      <c r="O5" s="2832"/>
      <c r="P5" s="2991" t="s">
        <v>1892</v>
      </c>
      <c r="Q5" s="2991"/>
      <c r="R5" s="2833"/>
      <c r="S5" s="2833"/>
      <c r="T5" s="2833"/>
      <c r="U5" s="2719"/>
      <c r="V5" s="2651"/>
      <c r="W5" s="2905">
        <v>1</v>
      </c>
      <c r="X5" s="2990" t="s">
        <v>1891</v>
      </c>
      <c r="Y5" s="2882"/>
      <c r="Z5" s="2903"/>
      <c r="AA5" s="2903"/>
    </row>
    <row r="6" spans="1:27" ht="15" customHeight="1" thickBot="1">
      <c r="A6" s="2901"/>
      <c r="B6" s="4202" t="s">
        <v>1890</v>
      </c>
      <c r="C6" s="4203"/>
      <c r="D6" s="4203"/>
      <c r="E6" s="4203"/>
      <c r="F6" s="4203"/>
      <c r="G6" s="4204"/>
      <c r="H6" s="2832"/>
      <c r="I6" s="275" t="s">
        <v>1889</v>
      </c>
      <c r="J6" s="45"/>
      <c r="K6" s="45"/>
      <c r="L6" s="2981">
        <v>1.4</v>
      </c>
      <c r="M6" s="68" t="str">
        <f>IF($W$5=1," kg/dt TM",IF($W$5=2,"kg/dt FM",""))</f>
        <v xml:space="preserve"> kg/dt TM</v>
      </c>
      <c r="N6" s="2980"/>
      <c r="O6" s="2832"/>
      <c r="P6" s="4198" t="s">
        <v>1888</v>
      </c>
      <c r="Q6" s="4199"/>
      <c r="R6" s="4199"/>
      <c r="S6" s="2989"/>
      <c r="T6" s="2975">
        <v>300</v>
      </c>
      <c r="U6" s="2719"/>
      <c r="V6" s="2651"/>
      <c r="W6" s="2651"/>
      <c r="X6" s="2651"/>
      <c r="Y6" s="2651"/>
    </row>
    <row r="7" spans="1:27" ht="15" customHeight="1" thickBot="1">
      <c r="A7" s="2719"/>
      <c r="B7" s="2833"/>
      <c r="C7" s="2833"/>
      <c r="D7" s="2833"/>
      <c r="E7" s="2833"/>
      <c r="F7" s="2833"/>
      <c r="G7" s="2833"/>
      <c r="H7" s="2832"/>
      <c r="I7" s="275" t="s">
        <v>1887</v>
      </c>
      <c r="J7" s="45"/>
      <c r="K7" s="45"/>
      <c r="L7" s="2988"/>
      <c r="M7" s="45" t="s">
        <v>909</v>
      </c>
      <c r="N7" s="2980"/>
      <c r="O7" s="2832"/>
      <c r="P7" s="4200"/>
      <c r="Q7" s="4201"/>
      <c r="R7" s="4201"/>
      <c r="S7" s="2987"/>
      <c r="T7" s="2975"/>
      <c r="U7" s="2719"/>
      <c r="V7" s="2651"/>
      <c r="W7" s="2651"/>
      <c r="X7" s="2651"/>
      <c r="Y7" s="2651"/>
    </row>
    <row r="8" spans="1:27" ht="15" customHeight="1" thickBot="1">
      <c r="A8" s="2719"/>
      <c r="B8" s="2986"/>
      <c r="C8" s="2986"/>
      <c r="D8" s="2986"/>
      <c r="E8" s="2986"/>
      <c r="F8" s="2986"/>
      <c r="G8" s="2832"/>
      <c r="H8" s="2832"/>
      <c r="I8" s="275" t="s">
        <v>1886</v>
      </c>
      <c r="J8" s="2982"/>
      <c r="K8" s="2982"/>
      <c r="L8" s="2981">
        <v>0.59</v>
      </c>
      <c r="M8" s="68" t="str">
        <f>IF($W$5=1," kg/dt TM",IF($W$5=2,"kg/dt FM",""))</f>
        <v xml:space="preserve"> kg/dt TM</v>
      </c>
      <c r="N8" s="2980"/>
      <c r="O8" s="2832"/>
      <c r="P8" s="4200" t="s">
        <v>1423</v>
      </c>
      <c r="Q8" s="4201"/>
      <c r="R8" s="4201"/>
      <c r="S8" s="2976"/>
      <c r="T8" s="2975"/>
      <c r="U8" s="2719"/>
      <c r="V8" s="2651"/>
      <c r="W8" s="2985">
        <f>IF(W5=1,D10,W9*W10)</f>
        <v>17</v>
      </c>
      <c r="X8" s="2979"/>
      <c r="Y8" s="2651"/>
    </row>
    <row r="9" spans="1:27" ht="15" customHeight="1" thickBot="1">
      <c r="A9" s="2719"/>
      <c r="B9" s="2984" t="s">
        <v>1885</v>
      </c>
      <c r="C9" s="2983"/>
      <c r="D9" s="2967"/>
      <c r="E9" s="2967"/>
      <c r="F9" s="2967"/>
      <c r="G9" s="2966"/>
      <c r="H9" s="2832"/>
      <c r="I9" s="275" t="s">
        <v>1884</v>
      </c>
      <c r="J9" s="2982"/>
      <c r="K9" s="2982"/>
      <c r="L9" s="2981">
        <v>1.67</v>
      </c>
      <c r="M9" s="68" t="str">
        <f>IF($W$5=1," kg/dt TM",IF($W$5=2,"kg/dt FM",""))</f>
        <v xml:space="preserve"> kg/dt TM</v>
      </c>
      <c r="N9" s="2980"/>
      <c r="O9" s="2832"/>
      <c r="P9" s="4200" t="s">
        <v>1883</v>
      </c>
      <c r="Q9" s="4201"/>
      <c r="R9" s="4201"/>
      <c r="S9" s="2976"/>
      <c r="T9" s="2975"/>
      <c r="U9" s="2719"/>
      <c r="V9" s="2651"/>
      <c r="W9" s="2973">
        <f>IF(W5=2,D11,W8/W10)</f>
        <v>51.515151515151516</v>
      </c>
      <c r="X9" s="2979"/>
      <c r="Y9" s="2651"/>
    </row>
    <row r="10" spans="1:27" ht="15" customHeight="1" thickBot="1">
      <c r="A10" s="2651"/>
      <c r="B10" s="2972" t="s">
        <v>1882</v>
      </c>
      <c r="C10" s="2971"/>
      <c r="D10" s="4196">
        <v>17</v>
      </c>
      <c r="E10" s="4197"/>
      <c r="F10" s="2970" t="str">
        <f>IF(W5=1,"t TM/ha","")</f>
        <v>t TM/ha</v>
      </c>
      <c r="G10" s="2969"/>
      <c r="H10" s="2832"/>
      <c r="I10" s="2143" t="s">
        <v>1881</v>
      </c>
      <c r="J10" s="2949"/>
      <c r="K10" s="2949"/>
      <c r="L10" s="2978">
        <v>0.23</v>
      </c>
      <c r="M10" s="2946" t="str">
        <f>IF($W$5=1," kg/dt TM",IF($W$5=2,"kg/dt FM",""))</f>
        <v xml:space="preserve"> kg/dt TM</v>
      </c>
      <c r="N10" s="2977"/>
      <c r="O10" s="2832"/>
      <c r="P10" s="4200"/>
      <c r="Q10" s="4201"/>
      <c r="R10" s="4201"/>
      <c r="S10" s="2976"/>
      <c r="T10" s="2975"/>
      <c r="U10" s="2719"/>
      <c r="V10" s="2651"/>
      <c r="W10" s="2974">
        <f>D12</f>
        <v>0.33</v>
      </c>
      <c r="X10" s="2973">
        <f>W9</f>
        <v>51.515151515151516</v>
      </c>
      <c r="Y10" s="2651"/>
    </row>
    <row r="11" spans="1:27" ht="15" customHeight="1" thickBot="1">
      <c r="A11" s="2719"/>
      <c r="B11" s="2972" t="s">
        <v>1880</v>
      </c>
      <c r="C11" s="2971"/>
      <c r="D11" s="4196"/>
      <c r="E11" s="4197"/>
      <c r="F11" s="2970" t="str">
        <f>IF(W5=2,"t FM/ha","")</f>
        <v/>
      </c>
      <c r="G11" s="2969"/>
      <c r="H11" s="2832"/>
      <c r="I11" s="2968" t="s">
        <v>1879</v>
      </c>
      <c r="J11" s="2967"/>
      <c r="K11" s="2967"/>
      <c r="L11" s="2967"/>
      <c r="M11" s="2967"/>
      <c r="N11" s="2966"/>
      <c r="O11" s="2832"/>
      <c r="P11" s="4186" t="s">
        <v>1878</v>
      </c>
      <c r="Q11" s="4187"/>
      <c r="R11" s="4187"/>
      <c r="S11" s="2965"/>
      <c r="T11" s="2964"/>
      <c r="U11" s="2719"/>
      <c r="V11" s="2651"/>
      <c r="W11" s="2651"/>
      <c r="X11" s="2651"/>
      <c r="Y11" s="2651"/>
    </row>
    <row r="12" spans="1:27" ht="15" customHeight="1" thickBot="1">
      <c r="A12" s="2719"/>
      <c r="B12" s="2963" t="s">
        <v>1877</v>
      </c>
      <c r="C12" s="2962"/>
      <c r="D12" s="4208">
        <v>0.33</v>
      </c>
      <c r="E12" s="4209"/>
      <c r="F12" s="4209"/>
      <c r="G12" s="4210"/>
      <c r="H12" s="2832"/>
      <c r="I12" s="275" t="s">
        <v>1818</v>
      </c>
      <c r="J12" s="45"/>
      <c r="K12" s="310" t="s">
        <v>1800</v>
      </c>
      <c r="L12" s="2953">
        <f>'SDK1'!O52</f>
        <v>1.6033333333333331</v>
      </c>
      <c r="M12" s="68" t="s">
        <v>908</v>
      </c>
      <c r="N12" s="2952"/>
      <c r="O12" s="2832"/>
      <c r="P12" s="2961"/>
      <c r="Q12" s="2961"/>
      <c r="R12" s="2960" t="s">
        <v>1876</v>
      </c>
      <c r="S12" s="2960"/>
      <c r="T12" s="2959">
        <f>SUM(T6:T11)</f>
        <v>300</v>
      </c>
      <c r="U12" s="2719"/>
      <c r="V12" s="2719"/>
      <c r="W12" s="2719"/>
      <c r="X12" s="2719"/>
      <c r="Y12" s="2719"/>
      <c r="Z12" s="2649"/>
    </row>
    <row r="13" spans="1:27" ht="15" customHeight="1" thickBot="1">
      <c r="A13" s="2719"/>
      <c r="B13" s="2958" t="s">
        <v>1875</v>
      </c>
      <c r="C13" s="2957"/>
      <c r="D13" s="4211">
        <f>X10*1000/D14</f>
        <v>73.593073593073584</v>
      </c>
      <c r="E13" s="4211"/>
      <c r="F13" s="4211"/>
      <c r="G13" s="4212"/>
      <c r="H13" s="2832"/>
      <c r="I13" s="2956"/>
      <c r="J13" s="45"/>
      <c r="K13" s="310" t="s">
        <v>1874</v>
      </c>
      <c r="L13" s="2953">
        <f>'SDK1'!O53</f>
        <v>1.0999999999999999</v>
      </c>
      <c r="M13" s="68" t="s">
        <v>908</v>
      </c>
      <c r="N13" s="2952"/>
      <c r="O13" s="2832"/>
      <c r="P13" s="2833"/>
      <c r="Q13" s="2833"/>
      <c r="R13" s="2833"/>
      <c r="S13" s="2833"/>
      <c r="T13" s="2833"/>
      <c r="U13" s="2719"/>
      <c r="V13" s="2719"/>
      <c r="W13" s="2651"/>
      <c r="X13" s="2651"/>
      <c r="Y13" s="2651"/>
    </row>
    <row r="14" spans="1:27" ht="15" customHeight="1" thickBot="1">
      <c r="A14" s="2719"/>
      <c r="B14" s="2950" t="s">
        <v>1873</v>
      </c>
      <c r="C14" s="2955"/>
      <c r="D14" s="4213">
        <v>700</v>
      </c>
      <c r="E14" s="4214"/>
      <c r="F14" s="4214"/>
      <c r="G14" s="4215"/>
      <c r="H14" s="2832"/>
      <c r="I14" s="2954"/>
      <c r="J14" s="45"/>
      <c r="K14" s="310" t="s">
        <v>1872</v>
      </c>
      <c r="L14" s="2953">
        <f>'SDK1'!O54</f>
        <v>1.02</v>
      </c>
      <c r="M14" s="68" t="s">
        <v>908</v>
      </c>
      <c r="N14" s="2952"/>
      <c r="O14" s="2832"/>
      <c r="P14" s="4188" t="s">
        <v>1871</v>
      </c>
      <c r="Q14" s="4189"/>
      <c r="R14" s="2833"/>
      <c r="S14" s="2833"/>
      <c r="T14" s="2833"/>
      <c r="U14" s="2719"/>
      <c r="V14" s="2719"/>
      <c r="W14" s="2651"/>
      <c r="X14" s="2651"/>
      <c r="Y14" s="2651"/>
    </row>
    <row r="15" spans="1:27" ht="15" customHeight="1" thickBot="1">
      <c r="A15" s="2719"/>
      <c r="B15" s="2833"/>
      <c r="C15" s="2951"/>
      <c r="D15" s="2951"/>
      <c r="E15" s="2951"/>
      <c r="F15" s="2951"/>
      <c r="G15" s="2951"/>
      <c r="H15" s="2832"/>
      <c r="I15" s="2950"/>
      <c r="J15" s="2949"/>
      <c r="K15" s="2948" t="s">
        <v>1794</v>
      </c>
      <c r="L15" s="2947">
        <f>'SDK1'!O55</f>
        <v>0.68666666666666676</v>
      </c>
      <c r="M15" s="2946" t="s">
        <v>908</v>
      </c>
      <c r="N15" s="2945"/>
      <c r="O15" s="2832"/>
      <c r="P15" s="4156" t="s">
        <v>1870</v>
      </c>
      <c r="Q15" s="4157"/>
      <c r="R15" s="2833"/>
      <c r="S15" s="2833"/>
      <c r="T15" s="2833"/>
      <c r="U15" s="2719"/>
      <c r="V15" s="2719"/>
      <c r="W15" s="2651"/>
      <c r="X15" s="2651"/>
      <c r="Y15" s="2651"/>
    </row>
    <row r="16" spans="1:27" ht="15" customHeight="1" thickBot="1">
      <c r="A16" s="2719"/>
      <c r="B16" s="2944" t="s">
        <v>1869</v>
      </c>
      <c r="C16" s="2943"/>
      <c r="D16" s="4168">
        <f>'SDK4'!P50</f>
        <v>16.833333333333332</v>
      </c>
      <c r="E16" s="4169"/>
      <c r="F16" s="4169"/>
      <c r="G16" s="4170"/>
      <c r="H16" s="2832"/>
      <c r="I16" s="2942" t="s">
        <v>1868</v>
      </c>
      <c r="J16" s="2941"/>
      <c r="K16" s="2941"/>
      <c r="L16" s="2941"/>
      <c r="M16" s="2941"/>
      <c r="N16" s="2940">
        <v>0.8</v>
      </c>
      <c r="O16" s="2832"/>
      <c r="P16" s="4158">
        <v>0.1</v>
      </c>
      <c r="Q16" s="4159"/>
      <c r="R16" s="2833"/>
      <c r="S16" s="2833"/>
      <c r="T16" s="2833"/>
      <c r="U16" s="2719"/>
      <c r="V16" s="2651"/>
      <c r="W16" s="2651"/>
      <c r="X16" s="2651"/>
      <c r="Y16" s="2651"/>
    </row>
    <row r="17" spans="1:34" ht="3.95" customHeight="1">
      <c r="A17" s="2932"/>
      <c r="B17" s="2934"/>
      <c r="C17" s="2939"/>
      <c r="D17" s="2938"/>
      <c r="E17" s="2938"/>
      <c r="F17" s="2938"/>
      <c r="G17" s="2938"/>
      <c r="H17" s="288"/>
      <c r="I17" s="2934"/>
      <c r="J17" s="227"/>
      <c r="K17" s="2937"/>
      <c r="L17" s="2936"/>
      <c r="M17" s="2935"/>
      <c r="N17" s="2934"/>
      <c r="O17" s="288"/>
      <c r="P17" s="2933"/>
      <c r="Q17" s="2933"/>
      <c r="R17" s="2933"/>
      <c r="S17" s="2933"/>
      <c r="T17" s="2933"/>
      <c r="U17" s="2932"/>
      <c r="V17" s="2651"/>
      <c r="W17" s="2651"/>
      <c r="X17" s="2651"/>
      <c r="Y17" s="2651"/>
    </row>
    <row r="18" spans="1:34" ht="30.4" customHeight="1" thickBot="1">
      <c r="A18" s="2719"/>
      <c r="B18" s="2930"/>
      <c r="C18" s="2931"/>
      <c r="D18" s="2930"/>
      <c r="E18" s="2930"/>
      <c r="F18" s="2930"/>
      <c r="G18" s="2930"/>
      <c r="H18" s="2930"/>
      <c r="I18" s="2930"/>
      <c r="J18" s="2930"/>
      <c r="K18" s="2930"/>
      <c r="L18" s="2930"/>
      <c r="M18" s="2930"/>
      <c r="N18" s="2930"/>
      <c r="O18" s="2930"/>
      <c r="P18" s="2930"/>
      <c r="Q18" s="2930"/>
      <c r="R18" s="2929"/>
      <c r="S18" s="2929"/>
      <c r="T18" s="2651"/>
      <c r="U18" s="2719"/>
      <c r="V18" s="2651"/>
      <c r="W18" s="2651"/>
      <c r="X18" s="2651"/>
      <c r="Y18" s="2651"/>
    </row>
    <row r="19" spans="1:34" ht="15" customHeight="1">
      <c r="A19" s="2719"/>
      <c r="B19" s="4166" t="s">
        <v>1867</v>
      </c>
      <c r="C19" s="4167"/>
      <c r="D19" s="2928"/>
      <c r="E19" s="2927"/>
      <c r="F19" s="2927"/>
      <c r="G19" s="2927"/>
      <c r="H19" s="2927"/>
      <c r="I19" s="2927"/>
      <c r="J19" s="2927"/>
      <c r="K19" s="2927"/>
      <c r="L19" s="2927"/>
      <c r="M19" s="2927"/>
      <c r="N19" s="2927"/>
      <c r="O19" s="2926"/>
      <c r="P19" s="4160" t="s">
        <v>1675</v>
      </c>
      <c r="Q19" s="4161"/>
      <c r="R19" s="2845"/>
      <c r="S19" s="2925"/>
      <c r="T19" s="2924" t="s">
        <v>1674</v>
      </c>
      <c r="U19" s="2719"/>
      <c r="V19" s="2651"/>
      <c r="W19" s="2651"/>
      <c r="X19" s="2651"/>
      <c r="Y19" s="2651"/>
    </row>
    <row r="20" spans="1:34" ht="15" customHeight="1">
      <c r="A20" s="2719"/>
      <c r="B20" s="4164" t="s">
        <v>1866</v>
      </c>
      <c r="C20" s="4165"/>
      <c r="D20" s="2918"/>
      <c r="E20" s="2917"/>
      <c r="F20" s="2917"/>
      <c r="G20" s="2917"/>
      <c r="H20" s="2917"/>
      <c r="I20" s="2917"/>
      <c r="J20" s="2917"/>
      <c r="K20" s="2917"/>
      <c r="L20" s="2917"/>
      <c r="M20" s="2917"/>
      <c r="N20" s="2917"/>
      <c r="O20" s="2917"/>
      <c r="P20" s="4162" t="s">
        <v>1865</v>
      </c>
      <c r="Q20" s="4163"/>
      <c r="R20" s="2758"/>
      <c r="S20" s="2923"/>
      <c r="T20" s="2922" t="s">
        <v>1864</v>
      </c>
      <c r="U20" s="2719"/>
      <c r="V20" s="2651"/>
      <c r="W20" s="2651"/>
      <c r="X20" s="2651"/>
      <c r="Y20" s="2651"/>
    </row>
    <row r="21" spans="1:34" ht="15" customHeight="1" thickBot="1">
      <c r="A21" s="2719"/>
      <c r="B21" s="2920"/>
      <c r="C21" s="2919"/>
      <c r="D21" s="2918"/>
      <c r="E21" s="2917"/>
      <c r="F21" s="2917"/>
      <c r="G21" s="2917"/>
      <c r="H21" s="2917"/>
      <c r="I21" s="2917"/>
      <c r="J21" s="2917"/>
      <c r="K21" s="2917"/>
      <c r="L21" s="2917"/>
      <c r="M21" s="2917"/>
      <c r="N21" s="2917"/>
      <c r="O21" s="2917"/>
      <c r="P21" s="4162" t="s">
        <v>1860</v>
      </c>
      <c r="Q21" s="4163"/>
      <c r="R21" s="2758"/>
      <c r="S21" s="2849"/>
      <c r="T21" s="2921" t="s">
        <v>1075</v>
      </c>
      <c r="U21" s="2719"/>
      <c r="V21" s="2651"/>
      <c r="W21" s="2651"/>
      <c r="X21" s="2651"/>
      <c r="Y21" s="2651"/>
    </row>
    <row r="22" spans="1:34" ht="15" customHeight="1" thickBot="1">
      <c r="A22" s="2719"/>
      <c r="B22" s="2920" t="s">
        <v>1863</v>
      </c>
      <c r="C22" s="2919"/>
      <c r="D22" s="2918"/>
      <c r="E22" s="2917"/>
      <c r="F22" s="2917"/>
      <c r="G22" s="2917"/>
      <c r="H22" s="2917"/>
      <c r="I22" s="2917"/>
      <c r="J22" s="2917"/>
      <c r="K22" s="2917"/>
      <c r="L22" s="2917"/>
      <c r="M22" s="2917"/>
      <c r="N22" s="2917"/>
      <c r="O22" s="2917"/>
      <c r="P22" s="2916" t="s">
        <v>1862</v>
      </c>
      <c r="Q22" s="2915" t="s">
        <v>1861</v>
      </c>
      <c r="R22" s="2758"/>
      <c r="S22" s="2849"/>
      <c r="T22" s="2914" t="s">
        <v>1860</v>
      </c>
      <c r="U22" s="2719"/>
      <c r="V22" s="2651"/>
      <c r="W22" s="2651"/>
      <c r="X22" s="2651"/>
      <c r="Y22" s="2651"/>
    </row>
    <row r="23" spans="1:34" ht="17.649999999999999" customHeight="1">
      <c r="A23" s="2719"/>
      <c r="B23" s="4154" t="s">
        <v>1859</v>
      </c>
      <c r="C23" s="4152" t="s">
        <v>1858</v>
      </c>
      <c r="D23" s="2872" t="s">
        <v>1857</v>
      </c>
      <c r="E23" s="2871"/>
      <c r="F23" s="2871"/>
      <c r="G23" s="2871"/>
      <c r="H23" s="2871"/>
      <c r="I23" s="2871"/>
      <c r="J23" s="2871"/>
      <c r="K23" s="2871"/>
      <c r="L23" s="2871"/>
      <c r="M23" s="2871"/>
      <c r="N23" s="2871"/>
      <c r="O23" s="2870"/>
      <c r="P23" s="2869">
        <v>139</v>
      </c>
      <c r="Q23" s="2868">
        <f>P23/((100+'SDK1'!$O$10)/100)</f>
        <v>139</v>
      </c>
      <c r="R23" s="2758"/>
      <c r="S23" s="2855"/>
      <c r="T23" s="2913">
        <f t="shared" ref="T23:T29" si="0">P23</f>
        <v>139</v>
      </c>
      <c r="U23" s="2719"/>
      <c r="V23" s="2651"/>
      <c r="W23" s="2651"/>
      <c r="X23" s="2651"/>
      <c r="Y23" s="2651"/>
    </row>
    <row r="24" spans="1:34" ht="17.649999999999999" customHeight="1">
      <c r="A24" s="2719"/>
      <c r="B24" s="4154"/>
      <c r="C24" s="4152"/>
      <c r="D24" s="2912" t="s">
        <v>1143</v>
      </c>
      <c r="E24" s="2770"/>
      <c r="F24" s="2770"/>
      <c r="G24" s="2770"/>
      <c r="H24" s="2770"/>
      <c r="I24" s="2770"/>
      <c r="J24" s="2770"/>
      <c r="K24" s="1837"/>
      <c r="L24" s="2770"/>
      <c r="M24" s="1837"/>
      <c r="N24" s="2770"/>
      <c r="O24" s="2911" t="str">
        <f>IF(P24=0,"(bitte TM/FM, Nährstoffentzug und Nährstoffkosten erfassen!; s. oben)","")</f>
        <v/>
      </c>
      <c r="P24" s="2768">
        <f>IF(W5=1,(D10*10*(L6*L12+L8*L13+L9*L14+L10*L15))-(L7*L12),IF(W5=2,(D11*10*(L6*L12+L8*L13+L9*L14+L10*L15))-(L7*L12),0))</f>
        <v>808.3499999999998</v>
      </c>
      <c r="Q24" s="2861">
        <f>P24/((100+'SDK1'!$O$11)/100)</f>
        <v>808.3499999999998</v>
      </c>
      <c r="R24" s="2758"/>
      <c r="S24" s="2855"/>
      <c r="T24" s="2765">
        <f t="shared" si="0"/>
        <v>808.3499999999998</v>
      </c>
      <c r="U24" s="2719"/>
      <c r="V24" s="2651"/>
      <c r="W24" s="2651"/>
      <c r="X24" s="2651"/>
      <c r="Y24" s="2651"/>
    </row>
    <row r="25" spans="1:34" ht="17.649999999999999" customHeight="1">
      <c r="A25" s="2719"/>
      <c r="B25" s="4154"/>
      <c r="C25" s="4152"/>
      <c r="D25" s="2910" t="s">
        <v>1856</v>
      </c>
      <c r="E25" s="2770"/>
      <c r="F25" s="2770"/>
      <c r="G25" s="2770"/>
      <c r="H25" s="2770"/>
      <c r="I25" s="2770"/>
      <c r="J25" s="2909">
        <v>1</v>
      </c>
      <c r="K25" s="2908"/>
      <c r="L25" s="2907" t="s">
        <v>1855</v>
      </c>
      <c r="M25" s="2908"/>
      <c r="N25" s="2907" t="s">
        <v>1854</v>
      </c>
      <c r="O25" s="2906"/>
      <c r="P25" s="2768">
        <f>IF(W25=2,0,IF(W25=1,IF(W5=1,D10*J25*10*(L6*L12*(100%-W26)+L8*L13+L9*L14+L10*L15)*-1,IF(W5=2,D11*J25*10*(L6*L12*(100%-W26)+L8*L13+L9*L14+L10*L15)*-1,0))))</f>
        <v>0</v>
      </c>
      <c r="Q25" s="2861">
        <f>P25/((100+'SDK1'!$O$11)/100)</f>
        <v>0</v>
      </c>
      <c r="R25" s="2758"/>
      <c r="S25" s="2855"/>
      <c r="T25" s="2765">
        <f t="shared" si="0"/>
        <v>0</v>
      </c>
      <c r="U25" s="2719"/>
      <c r="V25" s="2651"/>
      <c r="W25" s="2905">
        <v>2</v>
      </c>
      <c r="X25" s="2882" t="s">
        <v>1853</v>
      </c>
      <c r="Y25" s="2882"/>
      <c r="Z25" s="2904"/>
      <c r="AA25" s="2903"/>
      <c r="AD25" s="2902"/>
    </row>
    <row r="26" spans="1:34" ht="17.649999999999999" customHeight="1">
      <c r="A26" s="2901"/>
      <c r="B26" s="4154"/>
      <c r="C26" s="4152"/>
      <c r="D26" s="2864" t="s">
        <v>1852</v>
      </c>
      <c r="E26" s="2681"/>
      <c r="F26" s="2681"/>
      <c r="G26" s="2681"/>
      <c r="H26" s="2681"/>
      <c r="I26" s="2681"/>
      <c r="J26" s="2681"/>
      <c r="K26" s="2681"/>
      <c r="L26" s="2681"/>
      <c r="M26" s="2681"/>
      <c r="N26" s="2681"/>
      <c r="O26" s="2863"/>
      <c r="P26" s="2862">
        <v>73</v>
      </c>
      <c r="Q26" s="2861">
        <f>P26/((100+'SDK1'!$O$11)/100)</f>
        <v>73</v>
      </c>
      <c r="R26" s="2758"/>
      <c r="S26" s="2855"/>
      <c r="T26" s="2860">
        <f t="shared" si="0"/>
        <v>73</v>
      </c>
      <c r="U26" s="2719"/>
      <c r="V26" s="2651"/>
      <c r="W26" s="2900">
        <f>N106</f>
        <v>0.28000000000000003</v>
      </c>
      <c r="X26" s="2882" t="s">
        <v>1851</v>
      </c>
      <c r="Y26" s="2899"/>
    </row>
    <row r="27" spans="1:34" ht="17.649999999999999" customHeight="1">
      <c r="A27" s="2719"/>
      <c r="B27" s="4155"/>
      <c r="C27" s="4152"/>
      <c r="D27" s="2864" t="s">
        <v>900</v>
      </c>
      <c r="E27" s="2681"/>
      <c r="F27" s="2681"/>
      <c r="G27" s="2681"/>
      <c r="H27" s="2681"/>
      <c r="I27" s="2681"/>
      <c r="J27" s="2681"/>
      <c r="K27" s="2681"/>
      <c r="L27" s="2681"/>
      <c r="M27" s="2681"/>
      <c r="N27" s="2681"/>
      <c r="O27" s="2863"/>
      <c r="P27" s="2862">
        <v>22</v>
      </c>
      <c r="Q27" s="2861">
        <f>P27</f>
        <v>22</v>
      </c>
      <c r="R27" s="2758"/>
      <c r="S27" s="2855"/>
      <c r="T27" s="2860">
        <f t="shared" si="0"/>
        <v>22</v>
      </c>
      <c r="U27" s="2719"/>
      <c r="V27" s="2651"/>
      <c r="W27" s="2651"/>
      <c r="X27" s="2651"/>
      <c r="Y27" s="2651"/>
    </row>
    <row r="28" spans="1:34" ht="17.649999999999999" customHeight="1">
      <c r="A28" s="2719"/>
      <c r="B28" s="2898">
        <v>0.5</v>
      </c>
      <c r="C28" s="4153"/>
      <c r="D28" s="2864" t="s">
        <v>1850</v>
      </c>
      <c r="E28" s="2681"/>
      <c r="F28" s="2681"/>
      <c r="G28" s="2681"/>
      <c r="H28" s="2681"/>
      <c r="I28" s="2681"/>
      <c r="J28" s="2681"/>
      <c r="K28" s="2681"/>
      <c r="L28" s="2681"/>
      <c r="M28" s="2681"/>
      <c r="N28" s="2681"/>
      <c r="O28" s="2863"/>
      <c r="P28" s="2862"/>
      <c r="Q28" s="2861">
        <f>P28/((100+'SDK1'!$O$11)/100)</f>
        <v>0</v>
      </c>
      <c r="R28" s="2758"/>
      <c r="S28" s="2855"/>
      <c r="T28" s="2860">
        <f t="shared" si="0"/>
        <v>0</v>
      </c>
      <c r="U28" s="2719"/>
      <c r="V28" s="2651"/>
      <c r="W28" s="2651"/>
      <c r="X28" s="2651"/>
      <c r="Y28" s="2651"/>
    </row>
    <row r="29" spans="1:34" s="2894" customFormat="1" ht="17.649999999999999" customHeight="1">
      <c r="A29" s="2895"/>
      <c r="B29" s="2791"/>
      <c r="C29" s="2790"/>
      <c r="D29" s="2789" t="s">
        <v>1822</v>
      </c>
      <c r="E29" s="323"/>
      <c r="F29" s="323"/>
      <c r="G29" s="323"/>
      <c r="H29" s="323"/>
      <c r="I29" s="323"/>
      <c r="J29" s="323"/>
      <c r="K29" s="323"/>
      <c r="L29" s="2788" t="s">
        <v>1821</v>
      </c>
      <c r="M29" s="4171" t="s">
        <v>772</v>
      </c>
      <c r="N29" s="4171"/>
      <c r="O29" s="2787"/>
      <c r="P29" s="2786" t="e">
        <f>SUM(M31:N37)</f>
        <v>#N/A</v>
      </c>
      <c r="Q29" s="2891" t="e">
        <f>P29/((100+'SDK1'!$O$11)/100)</f>
        <v>#N/A</v>
      </c>
      <c r="R29" s="2758"/>
      <c r="S29" s="2897"/>
      <c r="T29" s="2896" t="e">
        <f t="shared" si="0"/>
        <v>#N/A</v>
      </c>
      <c r="U29" s="2895"/>
      <c r="V29" s="2651"/>
      <c r="W29" s="2651"/>
      <c r="X29" s="2651"/>
      <c r="Y29" s="2651"/>
      <c r="Z29" s="136"/>
      <c r="AA29" s="136"/>
      <c r="AB29" s="136"/>
      <c r="AC29" s="136"/>
      <c r="AD29" s="136"/>
      <c r="AE29" s="136"/>
      <c r="AF29" s="136"/>
      <c r="AG29" s="136"/>
      <c r="AH29" s="136"/>
    </row>
    <row r="30" spans="1:34" s="2894" customFormat="1" ht="17.649999999999999" customHeight="1">
      <c r="A30" s="2895"/>
      <c r="B30" s="2791"/>
      <c r="C30" s="2790"/>
      <c r="D30" s="2789" t="s">
        <v>1849</v>
      </c>
      <c r="E30" s="323"/>
      <c r="F30" s="323"/>
      <c r="G30" s="323"/>
      <c r="H30" s="323"/>
      <c r="I30" s="323"/>
      <c r="J30" s="323"/>
      <c r="K30" s="323"/>
      <c r="L30" s="2788" t="s">
        <v>1830</v>
      </c>
      <c r="M30" s="4183" t="s">
        <v>1818</v>
      </c>
      <c r="N30" s="4183"/>
      <c r="O30" s="2787"/>
      <c r="P30" s="2786"/>
      <c r="Q30" s="2785"/>
      <c r="R30" s="2758"/>
      <c r="S30" s="2897"/>
      <c r="T30" s="2896"/>
      <c r="U30" s="2895"/>
      <c r="V30" s="2651"/>
      <c r="W30" s="2651"/>
      <c r="X30" s="2651"/>
      <c r="Y30" s="2651"/>
      <c r="Z30" s="136"/>
      <c r="AA30" s="136"/>
      <c r="AB30" s="136"/>
      <c r="AC30" s="136"/>
      <c r="AD30" s="136"/>
      <c r="AE30" s="136"/>
      <c r="AF30" s="136"/>
      <c r="AG30" s="136"/>
      <c r="AH30" s="136"/>
    </row>
    <row r="31" spans="1:34" ht="14.25" customHeight="1">
      <c r="A31" s="2719"/>
      <c r="B31" s="2773">
        <f t="shared" ref="B31:B37" si="1">D31*C31*(1+$B$28)</f>
        <v>1.395</v>
      </c>
      <c r="C31" s="2815">
        <f>VLOOKUP(AB31,'SDK3'!$B$24:$O$92,13,FALSE)</f>
        <v>0.93</v>
      </c>
      <c r="D31" s="2814">
        <v>1</v>
      </c>
      <c r="E31" s="2781" t="str">
        <f t="shared" ref="E31:E37" si="2">IF(D31&gt;0,"x","")</f>
        <v>x</v>
      </c>
      <c r="F31" s="4179" t="str">
        <f>VLOOKUP(AB31,'SDK3'!$B$24:$C$92,2,FALSE)</f>
        <v>Schwergrubber 3 m</v>
      </c>
      <c r="G31" s="4179"/>
      <c r="H31" s="4179"/>
      <c r="I31" s="4179"/>
      <c r="J31" s="4179"/>
      <c r="K31" s="1837"/>
      <c r="L31" s="2813">
        <f>VLOOKUP(AB31,'SDK3'!$B$24:$O$92,14,FALSE)</f>
        <v>23.733808400000004</v>
      </c>
      <c r="M31" s="4172">
        <f t="shared" ref="M31:M37" si="3">D31*L31</f>
        <v>23.733808400000004</v>
      </c>
      <c r="N31" s="4172"/>
      <c r="O31" s="2777"/>
      <c r="P31" s="2776"/>
      <c r="Q31" s="2775"/>
      <c r="R31" s="2758"/>
      <c r="S31" s="2855"/>
      <c r="T31" s="2774"/>
      <c r="U31" s="2719"/>
      <c r="V31" s="2651"/>
      <c r="W31" s="2651"/>
      <c r="X31" s="2651"/>
      <c r="Y31" s="2651"/>
      <c r="AB31" s="1969">
        <v>2</v>
      </c>
    </row>
    <row r="32" spans="1:34" ht="14.25" customHeight="1">
      <c r="A32" s="2719"/>
      <c r="B32" s="2773">
        <f t="shared" si="1"/>
        <v>1.5150000000000001</v>
      </c>
      <c r="C32" s="2815">
        <f>VLOOKUP(AB32,'SDK3'!$B$24:$O$92,13,FALSE)</f>
        <v>1.01</v>
      </c>
      <c r="D32" s="2814">
        <v>1</v>
      </c>
      <c r="E32" s="2781" t="str">
        <f t="shared" si="2"/>
        <v>x</v>
      </c>
      <c r="F32" s="4179" t="str">
        <f>VLOOKUP(AB32,'SDK3'!$B$24:$C$92,2,FALSE)</f>
        <v>Kreiselegge 3 m</v>
      </c>
      <c r="G32" s="4179"/>
      <c r="H32" s="4179"/>
      <c r="I32" s="4179"/>
      <c r="J32" s="4179"/>
      <c r="K32" s="1837"/>
      <c r="L32" s="2813">
        <f>VLOOKUP(AB32,'SDK3'!$B$24:$O$92,14,FALSE)</f>
        <v>27.345318800000005</v>
      </c>
      <c r="M32" s="4172">
        <f t="shared" si="3"/>
        <v>27.345318800000005</v>
      </c>
      <c r="N32" s="4172"/>
      <c r="O32" s="2777"/>
      <c r="P32" s="2776"/>
      <c r="Q32" s="2775"/>
      <c r="R32" s="2758"/>
      <c r="S32" s="2855"/>
      <c r="T32" s="2774"/>
      <c r="U32" s="2719"/>
      <c r="V32" s="2651"/>
      <c r="W32" s="2651"/>
      <c r="X32" s="2651"/>
      <c r="Y32" s="2651"/>
      <c r="AB32" s="1969">
        <v>4</v>
      </c>
    </row>
    <row r="33" spans="1:28" ht="14.25" customHeight="1">
      <c r="A33" s="2719"/>
      <c r="B33" s="2773">
        <f t="shared" si="1"/>
        <v>4.5600000000000005</v>
      </c>
      <c r="C33" s="2815">
        <f>VLOOKUP(AB33,'SDK3'!$B$24:$O$92,13,FALSE)</f>
        <v>1.52</v>
      </c>
      <c r="D33" s="2814">
        <v>2</v>
      </c>
      <c r="E33" s="2781" t="str">
        <f t="shared" si="2"/>
        <v>x</v>
      </c>
      <c r="F33" s="4179" t="str">
        <f>VLOOKUP(AB33,'SDK3'!$B$24:$C$92,2,FALSE)</f>
        <v>Mist/Kompost streuen 20 t/ha  (6 m, 10 t) inkl. Beladen</v>
      </c>
      <c r="G33" s="4179"/>
      <c r="H33" s="4179"/>
      <c r="I33" s="4179"/>
      <c r="J33" s="4179"/>
      <c r="K33" s="1837"/>
      <c r="L33" s="2813">
        <f>VLOOKUP(AB33,'SDK3'!$B$24:$O$92,14,FALSE)</f>
        <v>33.053088320000001</v>
      </c>
      <c r="M33" s="4172">
        <f t="shared" si="3"/>
        <v>66.106176640000001</v>
      </c>
      <c r="N33" s="4172"/>
      <c r="O33" s="2777"/>
      <c r="P33" s="2776"/>
      <c r="Q33" s="2775"/>
      <c r="R33" s="2758"/>
      <c r="S33" s="2855"/>
      <c r="T33" s="2774"/>
      <c r="U33" s="2719"/>
      <c r="V33" s="2651"/>
      <c r="W33" s="2651"/>
      <c r="X33" s="2651"/>
      <c r="Y33" s="2651"/>
      <c r="AB33" s="1969">
        <v>16</v>
      </c>
    </row>
    <row r="34" spans="1:28" ht="14.25" customHeight="1">
      <c r="A34" s="2719"/>
      <c r="B34" s="2773" t="e">
        <f t="shared" si="1"/>
        <v>#N/A</v>
      </c>
      <c r="C34" s="2815" t="e">
        <f>VLOOKUP(AB34,'SDK3'!$B$24:$O$92,13,FALSE)</f>
        <v>#N/A</v>
      </c>
      <c r="D34" s="2814">
        <v>1</v>
      </c>
      <c r="E34" s="2781" t="str">
        <f t="shared" si="2"/>
        <v>x</v>
      </c>
      <c r="F34" s="4179" t="e">
        <f>VLOOKUP(AB34,'SDK3'!$B$24:$C$92,2,FALSE)</f>
        <v>#N/A</v>
      </c>
      <c r="G34" s="4179"/>
      <c r="H34" s="4179"/>
      <c r="I34" s="4179"/>
      <c r="J34" s="4179"/>
      <c r="K34" s="1837"/>
      <c r="L34" s="2813" t="e">
        <f>VLOOKUP(AB34,'SDK3'!$B$24:$O$92,14,FALSE)</f>
        <v>#N/A</v>
      </c>
      <c r="M34" s="4172" t="e">
        <f t="shared" si="3"/>
        <v>#N/A</v>
      </c>
      <c r="N34" s="4172"/>
      <c r="O34" s="2777"/>
      <c r="P34" s="2776"/>
      <c r="Q34" s="2775"/>
      <c r="R34" s="2758"/>
      <c r="S34" s="2855"/>
      <c r="T34" s="2774"/>
      <c r="U34" s="2719"/>
      <c r="V34" s="2651"/>
      <c r="W34" s="2651"/>
      <c r="X34" s="2651"/>
      <c r="Y34" s="2651"/>
      <c r="AB34" s="1969">
        <v>17</v>
      </c>
    </row>
    <row r="35" spans="1:28" ht="14.25" customHeight="1">
      <c r="A35" s="2719"/>
      <c r="B35" s="2773">
        <f t="shared" si="1"/>
        <v>0</v>
      </c>
      <c r="C35" s="2815">
        <f>VLOOKUP(AB35,'SDK3'!$B$24:$O$92,13,FALSE)</f>
        <v>1.46</v>
      </c>
      <c r="D35" s="2814"/>
      <c r="E35" s="2781" t="str">
        <f t="shared" si="2"/>
        <v/>
      </c>
      <c r="F35" s="4179" t="str">
        <f>VLOOKUP(AB35,'SDK3'!$B$24:$C$92,2,FALSE)</f>
        <v>Drehpflug 2,10 m</v>
      </c>
      <c r="G35" s="4179"/>
      <c r="H35" s="4179"/>
      <c r="I35" s="4179"/>
      <c r="J35" s="4179"/>
      <c r="K35" s="1837"/>
      <c r="L35" s="2813">
        <f>VLOOKUP(AB35,'SDK3'!$B$24:$O$92,14,FALSE)</f>
        <v>56.986584941176474</v>
      </c>
      <c r="M35" s="4172">
        <f t="shared" si="3"/>
        <v>0</v>
      </c>
      <c r="N35" s="4172"/>
      <c r="O35" s="2777"/>
      <c r="P35" s="2776"/>
      <c r="Q35" s="2775"/>
      <c r="R35" s="2758"/>
      <c r="S35" s="2855"/>
      <c r="T35" s="2774"/>
      <c r="U35" s="2719"/>
      <c r="V35" s="2651"/>
      <c r="W35" s="2651"/>
      <c r="X35" s="2651"/>
      <c r="Y35" s="2651"/>
      <c r="AB35" s="1969">
        <v>1</v>
      </c>
    </row>
    <row r="36" spans="1:28" ht="14.25" customHeight="1">
      <c r="A36" s="2719"/>
      <c r="B36" s="2773">
        <f t="shared" si="1"/>
        <v>0</v>
      </c>
      <c r="C36" s="2815">
        <f>VLOOKUP(AB36,'SDK3'!$B$24:$O$92,13,FALSE)</f>
        <v>1.46</v>
      </c>
      <c r="D36" s="2814"/>
      <c r="E36" s="2781" t="str">
        <f t="shared" si="2"/>
        <v/>
      </c>
      <c r="F36" s="4179" t="str">
        <f>VLOOKUP(AB36,'SDK3'!$B$24:$C$92,2,FALSE)</f>
        <v>Drehpflug 2,10 m</v>
      </c>
      <c r="G36" s="4179"/>
      <c r="H36" s="4179"/>
      <c r="I36" s="4179"/>
      <c r="J36" s="4179"/>
      <c r="K36" s="1837"/>
      <c r="L36" s="2813">
        <f>VLOOKUP(AB36,'SDK3'!$B$24:$O$92,14,FALSE)</f>
        <v>56.986584941176474</v>
      </c>
      <c r="M36" s="4172">
        <f t="shared" si="3"/>
        <v>0</v>
      </c>
      <c r="N36" s="4172"/>
      <c r="O36" s="2777"/>
      <c r="P36" s="2776"/>
      <c r="Q36" s="2775"/>
      <c r="R36" s="2758"/>
      <c r="S36" s="2855"/>
      <c r="T36" s="2774"/>
      <c r="U36" s="2719"/>
      <c r="V36" s="2651"/>
      <c r="W36" s="2651"/>
      <c r="X36" s="2651"/>
      <c r="Y36" s="2651"/>
      <c r="AB36" s="1969">
        <v>1</v>
      </c>
    </row>
    <row r="37" spans="1:28" ht="14.1" customHeight="1">
      <c r="A37" s="2719"/>
      <c r="B37" s="2773">
        <f t="shared" si="1"/>
        <v>0</v>
      </c>
      <c r="C37" s="2815">
        <f>VLOOKUP(AB37,'SDK3'!$B$24:$O$92,13,FALSE)</f>
        <v>1.46</v>
      </c>
      <c r="D37" s="2823"/>
      <c r="E37" s="2822" t="str">
        <f t="shared" si="2"/>
        <v/>
      </c>
      <c r="F37" s="4184" t="str">
        <f>VLOOKUP(AB37,'SDK3'!$B$24:$C$92,2,FALSE)</f>
        <v>Drehpflug 2,10 m</v>
      </c>
      <c r="G37" s="4184"/>
      <c r="H37" s="4184"/>
      <c r="I37" s="4184"/>
      <c r="J37" s="4184"/>
      <c r="K37" s="2770"/>
      <c r="L37" s="2819">
        <f>VLOOKUP(AB37,'SDK3'!$B$24:$O$92,14,FALSE)</f>
        <v>56.986584941176474</v>
      </c>
      <c r="M37" s="4185">
        <f t="shared" si="3"/>
        <v>0</v>
      </c>
      <c r="N37" s="4185"/>
      <c r="O37" s="2769"/>
      <c r="P37" s="2893"/>
      <c r="Q37" s="2892"/>
      <c r="R37" s="2758"/>
      <c r="S37" s="2855"/>
      <c r="T37" s="2765"/>
      <c r="U37" s="2719"/>
      <c r="V37" s="2651"/>
      <c r="W37" s="2651"/>
      <c r="X37" s="2651"/>
      <c r="Y37" s="2651"/>
      <c r="AB37" s="1969">
        <v>1</v>
      </c>
    </row>
    <row r="38" spans="1:28" ht="17.649999999999999" customHeight="1">
      <c r="A38" s="2719"/>
      <c r="B38" s="2818"/>
      <c r="C38" s="2817"/>
      <c r="D38" s="2802" t="s">
        <v>1138</v>
      </c>
      <c r="E38" s="2799"/>
      <c r="F38" s="2799"/>
      <c r="G38" s="1837"/>
      <c r="H38" s="1837"/>
      <c r="I38" s="1837"/>
      <c r="J38" s="1837"/>
      <c r="K38" s="1837"/>
      <c r="L38" s="1837"/>
      <c r="M38" s="1837"/>
      <c r="N38" s="1837"/>
      <c r="O38" s="2816"/>
      <c r="P38" s="2776">
        <f>SUM(M39:N41)</f>
        <v>58.34</v>
      </c>
      <c r="Q38" s="2891">
        <f>P38/((100+'SDK1'!$O$11)/100)</f>
        <v>58.34</v>
      </c>
      <c r="R38" s="2758"/>
      <c r="S38" s="2855"/>
      <c r="T38" s="2774">
        <f>P38</f>
        <v>58.34</v>
      </c>
      <c r="U38" s="2719"/>
      <c r="V38" s="2651"/>
      <c r="W38" s="2651"/>
      <c r="X38" s="2651"/>
      <c r="Y38" s="2651"/>
    </row>
    <row r="39" spans="1:28" ht="14.25" customHeight="1">
      <c r="A39" s="2719"/>
      <c r="B39" s="2773">
        <f>D39*C39*(1+$B$28)</f>
        <v>0</v>
      </c>
      <c r="C39" s="2815"/>
      <c r="D39" s="2814">
        <v>1</v>
      </c>
      <c r="E39" s="2781" t="str">
        <f>IF(D39&gt;0,"x","")</f>
        <v>x</v>
      </c>
      <c r="F39" s="2780" t="str">
        <f>VLOOKUP(AB39,'SDK3'!$B$97:$C$118,2,FALSE)</f>
        <v>Silomais Aussaat (im Lohn)</v>
      </c>
      <c r="G39" s="2890"/>
      <c r="H39" s="2890"/>
      <c r="I39" s="2889"/>
      <c r="J39" s="2889"/>
      <c r="K39" s="1837"/>
      <c r="L39" s="2813">
        <f>VLOOKUP(AB39,'SDK3'!$B$97:$D$118,3,FALSE)</f>
        <v>58.34</v>
      </c>
      <c r="M39" s="4172">
        <f>D39*L39*(100+'SDK1'!$O$11)/100</f>
        <v>58.34</v>
      </c>
      <c r="N39" s="4172"/>
      <c r="O39" s="2777"/>
      <c r="P39" s="2776"/>
      <c r="Q39" s="2775"/>
      <c r="R39" s="2758"/>
      <c r="S39" s="2855"/>
      <c r="T39" s="2774"/>
      <c r="U39" s="2719"/>
      <c r="V39" s="2651"/>
      <c r="W39" s="2651"/>
      <c r="X39" s="2651"/>
      <c r="Y39" s="2651"/>
      <c r="AB39" s="1969">
        <v>17</v>
      </c>
    </row>
    <row r="40" spans="1:28" ht="14.25" customHeight="1">
      <c r="A40" s="2719"/>
      <c r="B40" s="2773">
        <f>D40*C40*(1+$B$28)</f>
        <v>0</v>
      </c>
      <c r="C40" s="2815"/>
      <c r="D40" s="2814"/>
      <c r="E40" s="2781" t="str">
        <f>IF(D40&gt;0,"x","")</f>
        <v/>
      </c>
      <c r="F40" s="2780">
        <f>VLOOKUP(AB40,'SDK3'!$B$97:$C$118,2,FALSE)</f>
        <v>0</v>
      </c>
      <c r="G40" s="2890"/>
      <c r="H40" s="2890"/>
      <c r="I40" s="2889"/>
      <c r="J40" s="2889"/>
      <c r="K40" s="1837"/>
      <c r="L40" s="2813">
        <f>VLOOKUP(AB40,'SDK3'!$B$97:$D$118,3,FALSE)</f>
        <v>0</v>
      </c>
      <c r="M40" s="4172">
        <f>D40*L40*(100+'SDK1'!$O$11)/100</f>
        <v>0</v>
      </c>
      <c r="N40" s="4172"/>
      <c r="O40" s="2777"/>
      <c r="P40" s="2776"/>
      <c r="Q40" s="2775"/>
      <c r="R40" s="2758"/>
      <c r="S40" s="2855"/>
      <c r="T40" s="2774"/>
      <c r="U40" s="2719"/>
      <c r="V40" s="2651"/>
      <c r="W40" s="2651"/>
      <c r="X40" s="2651"/>
      <c r="Y40" s="2651"/>
      <c r="AB40" s="1969">
        <v>1</v>
      </c>
    </row>
    <row r="41" spans="1:28" ht="16.149999999999999" customHeight="1">
      <c r="A41" s="2719"/>
      <c r="B41" s="2773">
        <f>D41*C41*(1+$B$28)</f>
        <v>0</v>
      </c>
      <c r="C41" s="2815"/>
      <c r="D41" s="2823">
        <v>1</v>
      </c>
      <c r="E41" s="2822" t="str">
        <f>IF(D41&gt;0,"x","")</f>
        <v>x</v>
      </c>
      <c r="F41" s="2821" t="s">
        <v>1848</v>
      </c>
      <c r="G41" s="2821"/>
      <c r="H41" s="2821"/>
      <c r="I41" s="2820"/>
      <c r="J41" s="2888">
        <f>IF(W25=2,0,X10*N16*J25)</f>
        <v>0</v>
      </c>
      <c r="K41" s="2770" t="s">
        <v>862</v>
      </c>
      <c r="L41" s="2887">
        <v>2.75</v>
      </c>
      <c r="M41" s="4172">
        <f>D41*J41*L41*(100+'SDK1'!$O$11)/100</f>
        <v>0</v>
      </c>
      <c r="N41" s="4172"/>
      <c r="O41" s="2769"/>
      <c r="P41" s="2768"/>
      <c r="Q41" s="2767"/>
      <c r="R41" s="2758"/>
      <c r="S41" s="2855"/>
      <c r="T41" s="2765"/>
      <c r="U41" s="2719"/>
      <c r="V41" s="2651"/>
      <c r="W41" s="2651"/>
      <c r="X41" s="2651"/>
      <c r="Y41" s="2651"/>
      <c r="AB41" s="1969">
        <v>1</v>
      </c>
    </row>
    <row r="42" spans="1:28" ht="17.649999999999999" customHeight="1">
      <c r="A42" s="2719"/>
      <c r="B42" s="2818"/>
      <c r="C42" s="2817"/>
      <c r="D42" s="2864" t="s">
        <v>1847</v>
      </c>
      <c r="E42" s="2681"/>
      <c r="F42" s="2681"/>
      <c r="G42" s="2681"/>
      <c r="H42" s="2681"/>
      <c r="I42" s="2681"/>
      <c r="J42" s="2681"/>
      <c r="K42" s="2681"/>
      <c r="L42" s="2681"/>
      <c r="M42" s="2681"/>
      <c r="N42" s="2681"/>
      <c r="O42" s="2863"/>
      <c r="P42" s="2862"/>
      <c r="Q42" s="2775">
        <f>P42</f>
        <v>0</v>
      </c>
      <c r="R42" s="2758"/>
      <c r="S42" s="2855"/>
      <c r="T42" s="2860">
        <f>P42</f>
        <v>0</v>
      </c>
      <c r="U42" s="2719"/>
      <c r="V42" s="2651"/>
      <c r="W42" s="2651"/>
      <c r="X42" s="2651"/>
      <c r="Y42" s="2651"/>
    </row>
    <row r="43" spans="1:28" ht="17.649999999999999" customHeight="1">
      <c r="A43" s="2719"/>
      <c r="B43" s="2818"/>
      <c r="C43" s="2817"/>
      <c r="D43" s="2886" t="s">
        <v>556</v>
      </c>
      <c r="E43" s="2885"/>
      <c r="F43" s="2885"/>
      <c r="G43" s="2885"/>
      <c r="H43" s="2885"/>
      <c r="I43" s="2885"/>
      <c r="J43" s="2885"/>
      <c r="K43" s="2885"/>
      <c r="L43" s="2885"/>
      <c r="M43" s="2885"/>
      <c r="N43" s="2885"/>
      <c r="O43" s="2884"/>
      <c r="P43" s="2883" t="e">
        <f>SUM(P23:P42)</f>
        <v>#N/A</v>
      </c>
      <c r="Q43" s="2748" t="e">
        <f>SUM(Q23:Q42)</f>
        <v>#N/A</v>
      </c>
      <c r="R43" s="2882"/>
      <c r="S43" s="2881"/>
      <c r="T43" s="2880" t="e">
        <f>SUM(T23:T42)</f>
        <v>#N/A</v>
      </c>
      <c r="U43" s="2719"/>
      <c r="V43" s="2651"/>
      <c r="W43" s="2651"/>
      <c r="X43" s="2651"/>
      <c r="Y43" s="2651"/>
    </row>
    <row r="44" spans="1:28" ht="17.649999999999999" customHeight="1">
      <c r="A44" s="2719"/>
      <c r="B44" s="2744" t="e">
        <f>SUM(B31:B37)+SUM(B39:B41)</f>
        <v>#N/A</v>
      </c>
      <c r="C44" s="2817"/>
      <c r="D44" s="2864" t="s">
        <v>1846</v>
      </c>
      <c r="E44" s="2681"/>
      <c r="F44" s="2681"/>
      <c r="G44" s="2681"/>
      <c r="H44" s="2681"/>
      <c r="I44" s="2681"/>
      <c r="J44" s="2681"/>
      <c r="K44" s="2681"/>
      <c r="L44" s="2681"/>
      <c r="M44" s="2681"/>
      <c r="N44" s="2681"/>
      <c r="O44" s="2863"/>
      <c r="P44" s="2786" t="e">
        <f>B44*$D$16</f>
        <v>#N/A</v>
      </c>
      <c r="Q44" s="2868" t="e">
        <f>P44</f>
        <v>#N/A</v>
      </c>
      <c r="R44" s="2758"/>
      <c r="S44" s="2855"/>
      <c r="T44" s="2867" t="e">
        <f>P44</f>
        <v>#N/A</v>
      </c>
      <c r="U44" s="2719"/>
      <c r="V44" s="2651"/>
      <c r="W44" s="2651"/>
      <c r="X44" s="2651"/>
      <c r="Y44" s="2651"/>
    </row>
    <row r="45" spans="1:28" ht="17.649999999999999" customHeight="1">
      <c r="A45" s="2719"/>
      <c r="B45" s="2876"/>
      <c r="C45" s="2817"/>
      <c r="D45" s="2864" t="s">
        <v>1845</v>
      </c>
      <c r="E45" s="2681"/>
      <c r="F45" s="2681"/>
      <c r="G45" s="2681"/>
      <c r="H45" s="2681"/>
      <c r="I45" s="2681"/>
      <c r="J45" s="2681"/>
      <c r="K45" s="2681"/>
      <c r="L45" s="2681"/>
      <c r="M45" s="2681"/>
      <c r="N45" s="2681"/>
      <c r="O45" s="2863"/>
      <c r="P45" s="2862"/>
      <c r="Q45" s="2861">
        <f>P45/((100+'SDK1'!$O$11)/100)</f>
        <v>0</v>
      </c>
      <c r="R45" s="2758"/>
      <c r="S45" s="2855"/>
      <c r="T45" s="2860">
        <f>P45</f>
        <v>0</v>
      </c>
      <c r="U45" s="2719"/>
      <c r="V45" s="2651"/>
      <c r="W45" s="2651"/>
      <c r="X45" s="2651"/>
      <c r="Y45" s="2651"/>
    </row>
    <row r="46" spans="1:28" ht="17.649999999999999" customHeight="1">
      <c r="A46" s="2719"/>
      <c r="B46" s="2876"/>
      <c r="C46" s="2817"/>
      <c r="D46" s="2802" t="s">
        <v>1210</v>
      </c>
      <c r="E46" s="1837"/>
      <c r="F46" s="1837"/>
      <c r="G46" s="1837"/>
      <c r="H46" s="1837"/>
      <c r="I46" s="1837"/>
      <c r="J46" s="1837"/>
      <c r="K46" s="1837"/>
      <c r="L46" s="1837"/>
      <c r="M46" s="1837"/>
      <c r="N46" s="1837"/>
      <c r="O46" s="2816"/>
      <c r="P46" s="2879">
        <v>17</v>
      </c>
      <c r="Q46" s="2775">
        <f>P46</f>
        <v>17</v>
      </c>
      <c r="R46" s="2758"/>
      <c r="S46" s="2855"/>
      <c r="T46" s="2774">
        <f>P46</f>
        <v>17</v>
      </c>
      <c r="U46" s="2719"/>
      <c r="V46" s="2651"/>
      <c r="W46" s="2651"/>
      <c r="X46" s="2651"/>
      <c r="Y46" s="2651"/>
    </row>
    <row r="47" spans="1:28" ht="18.75">
      <c r="A47" s="2719"/>
      <c r="B47" s="2876"/>
      <c r="C47" s="2734"/>
      <c r="D47" s="2878" t="s">
        <v>1844</v>
      </c>
      <c r="E47" s="2751"/>
      <c r="F47" s="2751"/>
      <c r="G47" s="2751"/>
      <c r="H47" s="2751"/>
      <c r="I47" s="2751"/>
      <c r="J47" s="2751"/>
      <c r="K47" s="2751"/>
      <c r="L47" s="2751"/>
      <c r="M47" s="2751"/>
      <c r="N47" s="2877"/>
      <c r="O47" s="2750"/>
      <c r="P47" s="2749" t="e">
        <f>P43+P44+P45+P46</f>
        <v>#N/A</v>
      </c>
      <c r="Q47" s="2748" t="e">
        <f>Q43+Q44+Q45+Q46</f>
        <v>#N/A</v>
      </c>
      <c r="R47" s="2747"/>
      <c r="S47" s="2746"/>
      <c r="T47" s="2745" t="e">
        <f>T43+T44+T45+T46</f>
        <v>#N/A</v>
      </c>
      <c r="U47" s="2719"/>
      <c r="V47" s="2651"/>
      <c r="W47" s="2651"/>
      <c r="X47" s="2651"/>
      <c r="Y47" s="2651"/>
    </row>
    <row r="48" spans="1:28" ht="18.75">
      <c r="A48" s="2719"/>
      <c r="B48" s="2876"/>
      <c r="C48" s="2734"/>
      <c r="D48" s="2875" t="s">
        <v>1843</v>
      </c>
      <c r="E48" s="2874"/>
      <c r="F48" s="2874"/>
      <c r="G48" s="2874"/>
      <c r="H48" s="2874"/>
      <c r="I48" s="2874"/>
      <c r="J48" s="2874"/>
      <c r="K48" s="2874"/>
      <c r="L48" s="2874"/>
      <c r="M48" s="2874"/>
      <c r="N48" s="2874"/>
      <c r="O48" s="2873" t="s">
        <v>1842</v>
      </c>
      <c r="P48" s="2796" t="e">
        <f>IF($X$10=0,"        Ertrag ?",P47/$X$10)</f>
        <v>#N/A</v>
      </c>
      <c r="Q48" s="2795" t="e">
        <f>IF($X$10=0,"        Ertrag ?",Q47/$X$10)</f>
        <v>#N/A</v>
      </c>
      <c r="R48" s="2794"/>
      <c r="S48" s="2793"/>
      <c r="T48" s="2792" t="e">
        <f>IF($X$10=0,"     Ertrag ?",T47/$X$10)</f>
        <v>#N/A</v>
      </c>
      <c r="U48" s="2719"/>
      <c r="V48" s="2651"/>
      <c r="W48" s="2651"/>
      <c r="X48" s="2651"/>
      <c r="Y48" s="2651"/>
    </row>
    <row r="49" spans="1:34" ht="17.649999999999999" customHeight="1">
      <c r="A49" s="2719"/>
      <c r="B49" s="2866"/>
      <c r="C49" s="2865"/>
      <c r="D49" s="2872" t="s">
        <v>1841</v>
      </c>
      <c r="E49" s="2871"/>
      <c r="F49" s="2871"/>
      <c r="G49" s="2871"/>
      <c r="H49" s="2871"/>
      <c r="I49" s="2871"/>
      <c r="J49" s="2871"/>
      <c r="K49" s="2871"/>
      <c r="L49" s="2871"/>
      <c r="M49" s="2871"/>
      <c r="N49" s="2871"/>
      <c r="O49" s="2870"/>
      <c r="P49" s="2869">
        <v>250</v>
      </c>
      <c r="Q49" s="2868">
        <f>P49/((100+'SDK1'!$O$11)/100)</f>
        <v>250</v>
      </c>
      <c r="R49" s="2758"/>
      <c r="S49" s="2855"/>
      <c r="T49" s="2867">
        <f>P49</f>
        <v>250</v>
      </c>
      <c r="U49" s="2719"/>
      <c r="V49" s="2651"/>
      <c r="W49" s="2651"/>
      <c r="X49" s="2651"/>
      <c r="Y49" s="2651"/>
    </row>
    <row r="50" spans="1:34" ht="17.649999999999999" customHeight="1">
      <c r="A50" s="2719"/>
      <c r="B50" s="2804"/>
      <c r="C50" s="2803"/>
      <c r="D50" s="2864" t="s">
        <v>1840</v>
      </c>
      <c r="E50" s="2681"/>
      <c r="F50" s="2681"/>
      <c r="G50" s="2681"/>
      <c r="H50" s="2681"/>
      <c r="I50" s="2681"/>
      <c r="J50" s="2681"/>
      <c r="K50" s="2681"/>
      <c r="L50" s="2681"/>
      <c r="M50" s="2681"/>
      <c r="N50" s="2681"/>
      <c r="O50" s="2863"/>
      <c r="P50" s="2862">
        <v>50</v>
      </c>
      <c r="Q50" s="2861">
        <f>P50/((100+'SDK1'!$O$11)/100)</f>
        <v>50</v>
      </c>
      <c r="R50" s="2758"/>
      <c r="S50" s="2855"/>
      <c r="T50" s="2860">
        <f>P50</f>
        <v>50</v>
      </c>
      <c r="U50" s="2719"/>
      <c r="V50" s="2651"/>
      <c r="W50" s="2651"/>
      <c r="X50" s="2651"/>
      <c r="Y50" s="2651"/>
    </row>
    <row r="51" spans="1:34" ht="17.649999999999999" customHeight="1">
      <c r="A51" s="2719"/>
      <c r="B51" s="2866"/>
      <c r="C51" s="2865"/>
      <c r="D51" s="2864" t="s">
        <v>1839</v>
      </c>
      <c r="E51" s="2681"/>
      <c r="F51" s="2681"/>
      <c r="G51" s="2681"/>
      <c r="H51" s="2681"/>
      <c r="I51" s="2681"/>
      <c r="J51" s="2681"/>
      <c r="K51" s="2681"/>
      <c r="L51" s="2681"/>
      <c r="M51" s="2681"/>
      <c r="N51" s="2681"/>
      <c r="O51" s="2863"/>
      <c r="P51" s="2862">
        <v>200</v>
      </c>
      <c r="Q51" s="2861">
        <f>P51</f>
        <v>200</v>
      </c>
      <c r="R51" s="2758"/>
      <c r="S51" s="2855"/>
      <c r="T51" s="2860">
        <f>P51</f>
        <v>200</v>
      </c>
      <c r="U51" s="2719"/>
      <c r="V51" s="2651"/>
      <c r="W51" s="2651"/>
      <c r="X51" s="2651"/>
      <c r="Y51" s="2651"/>
    </row>
    <row r="52" spans="1:34" ht="17.649999999999999" customHeight="1">
      <c r="A52" s="2719"/>
      <c r="B52" s="2866"/>
      <c r="C52" s="2865"/>
      <c r="D52" s="2864" t="s">
        <v>1838</v>
      </c>
      <c r="E52" s="2681"/>
      <c r="F52" s="2681"/>
      <c r="G52" s="2681"/>
      <c r="H52" s="2681"/>
      <c r="I52" s="2681"/>
      <c r="J52" s="2681"/>
      <c r="K52" s="2681"/>
      <c r="L52" s="2681"/>
      <c r="M52" s="2681"/>
      <c r="N52" s="2681"/>
      <c r="O52" s="2863"/>
      <c r="P52" s="2862">
        <v>100</v>
      </c>
      <c r="Q52" s="2861">
        <f>P52/((100+'SDK1'!$O$11)/100)</f>
        <v>100</v>
      </c>
      <c r="R52" s="2758"/>
      <c r="S52" s="2855"/>
      <c r="T52" s="2860">
        <f>P52</f>
        <v>100</v>
      </c>
      <c r="U52" s="2719"/>
      <c r="V52" s="2651"/>
      <c r="W52" s="2651"/>
      <c r="X52" s="2651"/>
      <c r="Y52" s="2651"/>
    </row>
    <row r="53" spans="1:34" ht="17.649999999999999" customHeight="1">
      <c r="A53" s="2719"/>
      <c r="B53" s="2853"/>
      <c r="C53" s="2852"/>
      <c r="D53" s="2859" t="s">
        <v>1837</v>
      </c>
      <c r="E53" s="2673"/>
      <c r="F53" s="2673"/>
      <c r="G53" s="2673"/>
      <c r="H53" s="2673"/>
      <c r="I53" s="2673"/>
      <c r="J53" s="2673"/>
      <c r="K53" s="2673"/>
      <c r="L53" s="2673"/>
      <c r="M53" s="2673"/>
      <c r="N53" s="2673"/>
      <c r="O53" s="2858"/>
      <c r="P53" s="2857">
        <f>SUM(P49:P52)</f>
        <v>600</v>
      </c>
      <c r="Q53" s="2856">
        <f>SUM(Q49:Q52)</f>
        <v>600</v>
      </c>
      <c r="R53" s="2758"/>
      <c r="S53" s="2855"/>
      <c r="T53" s="2854">
        <f>P53</f>
        <v>600</v>
      </c>
      <c r="U53" s="2719"/>
      <c r="V53" s="2651"/>
      <c r="W53" s="2651"/>
      <c r="X53" s="2651"/>
      <c r="Y53" s="2651"/>
    </row>
    <row r="54" spans="1:34" ht="17.649999999999999" customHeight="1">
      <c r="A54" s="2719"/>
      <c r="B54" s="2853"/>
      <c r="C54" s="2852"/>
      <c r="D54" s="2830" t="s">
        <v>1836</v>
      </c>
      <c r="E54" s="2779"/>
      <c r="F54" s="2779"/>
      <c r="G54" s="2779"/>
      <c r="H54" s="2779"/>
      <c r="I54" s="2779"/>
      <c r="J54" s="2779"/>
      <c r="K54" s="2779"/>
      <c r="L54" s="2779"/>
      <c r="M54" s="2779"/>
      <c r="N54" s="2779"/>
      <c r="O54" s="2779"/>
      <c r="P54" s="2851"/>
      <c r="Q54" s="2850"/>
      <c r="R54" s="2758"/>
      <c r="S54" s="2849"/>
      <c r="T54" s="2848">
        <f>T12</f>
        <v>300</v>
      </c>
      <c r="U54" s="2719"/>
      <c r="V54" s="2651"/>
      <c r="W54" s="2651"/>
      <c r="X54" s="2651"/>
      <c r="Y54" s="2651"/>
    </row>
    <row r="55" spans="1:34" ht="18.75">
      <c r="A55" s="2719"/>
      <c r="B55" s="2735"/>
      <c r="C55" s="2734"/>
      <c r="D55" s="2752" t="s">
        <v>1835</v>
      </c>
      <c r="E55" s="2751"/>
      <c r="F55" s="2751"/>
      <c r="G55" s="2751"/>
      <c r="H55" s="2751"/>
      <c r="I55" s="2751"/>
      <c r="J55" s="2751"/>
      <c r="K55" s="2751"/>
      <c r="L55" s="2751"/>
      <c r="M55" s="2751"/>
      <c r="N55" s="2751"/>
      <c r="O55" s="2750"/>
      <c r="P55" s="2749" t="e">
        <f>P47+P53</f>
        <v>#N/A</v>
      </c>
      <c r="Q55" s="2748" t="e">
        <f>Q47+Q53</f>
        <v>#N/A</v>
      </c>
      <c r="R55" s="2747"/>
      <c r="S55" s="2746"/>
      <c r="T55" s="2745" t="e">
        <f>T47+T53-T54</f>
        <v>#N/A</v>
      </c>
      <c r="U55" s="2719"/>
      <c r="V55" s="2651"/>
      <c r="W55" s="2651"/>
      <c r="X55" s="2651"/>
      <c r="Y55" s="2651"/>
    </row>
    <row r="56" spans="1:34" ht="15" customHeight="1">
      <c r="A56" s="2719"/>
      <c r="B56" s="2735"/>
      <c r="C56" s="2734"/>
      <c r="D56" s="2743"/>
      <c r="E56" s="2742"/>
      <c r="F56" s="2742"/>
      <c r="G56" s="2742"/>
      <c r="H56" s="2742"/>
      <c r="I56" s="2742"/>
      <c r="J56" s="2742"/>
      <c r="K56" s="2742"/>
      <c r="L56" s="2742"/>
      <c r="M56" s="2742"/>
      <c r="N56" s="2742"/>
      <c r="O56" s="2741" t="s">
        <v>1834</v>
      </c>
      <c r="P56" s="2740" t="e">
        <f>IF($X$10=0,"        Ertrag ?",P55/$X$10)</f>
        <v>#N/A</v>
      </c>
      <c r="Q56" s="2739" t="e">
        <f>IF($X$10=0,"        Ertrag ?",Q55/$X$10)</f>
        <v>#N/A</v>
      </c>
      <c r="R56" s="2738"/>
      <c r="S56" s="2737"/>
      <c r="T56" s="2736" t="e">
        <f>IF($X$10=0,"     Ertrag ?",T55/$X$10)</f>
        <v>#N/A</v>
      </c>
      <c r="U56" s="2719"/>
      <c r="V56" s="2651"/>
      <c r="W56" s="2651"/>
      <c r="X56" s="2651"/>
      <c r="Y56" s="2651"/>
    </row>
    <row r="57" spans="1:34" ht="18.75">
      <c r="A57" s="2719"/>
      <c r="B57" s="2735"/>
      <c r="C57" s="2734"/>
      <c r="D57" s="4173" t="str">
        <f>"Voller Preis( incl. "&amp;P16*100&amp;"% Wagniszuschlag) (ab Feld)"</f>
        <v>Voller Preis( incl. 10% Wagniszuschlag) (ab Feld)</v>
      </c>
      <c r="E57" s="4174"/>
      <c r="F57" s="4174"/>
      <c r="G57" s="4174"/>
      <c r="H57" s="4174"/>
      <c r="I57" s="4174"/>
      <c r="J57" s="4174"/>
      <c r="K57" s="4174"/>
      <c r="L57" s="4174"/>
      <c r="M57" s="4174"/>
      <c r="N57" s="4174"/>
      <c r="O57" s="4175"/>
      <c r="P57" s="2733" t="e">
        <f>P55*(1+$P$16)</f>
        <v>#N/A</v>
      </c>
      <c r="Q57" s="2732" t="e">
        <f>Q55*(1+$P$16)</f>
        <v>#N/A</v>
      </c>
      <c r="R57" s="2731"/>
      <c r="S57" s="2730"/>
      <c r="T57" s="2729"/>
      <c r="U57" s="2719"/>
      <c r="V57" s="2651"/>
      <c r="W57" s="2651"/>
      <c r="X57" s="2651"/>
      <c r="Y57" s="2651"/>
    </row>
    <row r="58" spans="1:34" ht="15" customHeight="1" thickBot="1">
      <c r="A58" s="2719"/>
      <c r="B58" s="2728"/>
      <c r="C58" s="2727"/>
      <c r="D58" s="4176"/>
      <c r="E58" s="4177"/>
      <c r="F58" s="4177"/>
      <c r="G58" s="4177"/>
      <c r="H58" s="4177"/>
      <c r="I58" s="4177"/>
      <c r="J58" s="4177"/>
      <c r="K58" s="4177"/>
      <c r="L58" s="4177"/>
      <c r="M58" s="4177"/>
      <c r="N58" s="4177"/>
      <c r="O58" s="4178"/>
      <c r="P58" s="2726" t="e">
        <f>IF($X$10=0,"        Ertrag ?",P56*(1+$P$16))</f>
        <v>#N/A</v>
      </c>
      <c r="Q58" s="2725" t="e">
        <f>IF($X$10=0,"        Ertrag ?",Q56*(1+$P$16))</f>
        <v>#N/A</v>
      </c>
      <c r="R58" s="2724"/>
      <c r="S58" s="2723"/>
      <c r="T58" s="2722"/>
      <c r="U58" s="2719"/>
      <c r="V58" s="2651"/>
      <c r="W58" s="2651"/>
      <c r="X58" s="2651"/>
      <c r="Y58" s="2651"/>
    </row>
    <row r="59" spans="1:34" ht="15" customHeight="1" thickBot="1">
      <c r="A59" s="2719"/>
      <c r="B59" s="2847"/>
      <c r="C59" s="2845"/>
      <c r="D59" s="2845"/>
      <c r="E59" s="2845"/>
      <c r="F59" s="2845"/>
      <c r="G59" s="2845"/>
      <c r="H59" s="2845"/>
      <c r="I59" s="2845"/>
      <c r="J59" s="2845"/>
      <c r="K59" s="2845"/>
      <c r="L59" s="2845"/>
      <c r="M59" s="2845"/>
      <c r="N59" s="2845"/>
      <c r="O59" s="2845"/>
      <c r="P59" s="2845"/>
      <c r="Q59" s="2846"/>
      <c r="R59" s="2845"/>
      <c r="S59" s="2845"/>
      <c r="T59" s="2844"/>
      <c r="U59" s="2651"/>
      <c r="V59" s="2651"/>
      <c r="W59" s="2651"/>
      <c r="X59" s="2651"/>
      <c r="Y59" s="2651"/>
    </row>
    <row r="60" spans="1:34" s="2831" customFormat="1" ht="25.15" customHeight="1">
      <c r="A60" s="2833"/>
      <c r="B60" s="2843"/>
      <c r="C60" s="2842"/>
      <c r="D60" s="2841" t="s">
        <v>1833</v>
      </c>
      <c r="E60" s="2840"/>
      <c r="F60" s="2840"/>
      <c r="G60" s="2840"/>
      <c r="H60" s="2840"/>
      <c r="I60" s="2840"/>
      <c r="J60" s="2840"/>
      <c r="K60" s="2840"/>
      <c r="L60" s="2840"/>
      <c r="M60" s="2840"/>
      <c r="N60" s="2840"/>
      <c r="O60" s="2839"/>
      <c r="P60" s="2838" t="e">
        <f>P55</f>
        <v>#N/A</v>
      </c>
      <c r="Q60" s="2837" t="e">
        <f>Q55</f>
        <v>#N/A</v>
      </c>
      <c r="R60" s="2836"/>
      <c r="S60" s="2835"/>
      <c r="T60" s="2834" t="e">
        <f>T55</f>
        <v>#N/A</v>
      </c>
      <c r="U60" s="2833"/>
      <c r="V60" s="2832"/>
      <c r="W60" s="2832"/>
      <c r="X60" s="2832"/>
      <c r="Y60" s="2832"/>
      <c r="Z60" s="2537"/>
      <c r="AA60" s="2537"/>
      <c r="AB60" s="2537"/>
      <c r="AC60" s="2537"/>
      <c r="AD60" s="2537"/>
      <c r="AE60" s="2537"/>
      <c r="AF60" s="2537"/>
      <c r="AG60" s="2537"/>
      <c r="AH60" s="2537"/>
    </row>
    <row r="61" spans="1:34" ht="15" customHeight="1">
      <c r="A61" s="2719"/>
      <c r="B61" s="2735"/>
      <c r="C61" s="2734"/>
      <c r="D61" s="2830"/>
      <c r="E61" s="2829"/>
      <c r="F61" s="2829"/>
      <c r="G61" s="2829"/>
      <c r="H61" s="2829"/>
      <c r="I61" s="2829"/>
      <c r="J61" s="2829"/>
      <c r="K61" s="2829"/>
      <c r="L61" s="2829"/>
      <c r="M61" s="2829"/>
      <c r="N61" s="2829"/>
      <c r="O61" s="2828"/>
      <c r="P61" s="2827"/>
      <c r="Q61" s="2826"/>
      <c r="R61" s="2758"/>
      <c r="S61" s="2825"/>
      <c r="T61" s="2824"/>
      <c r="U61" s="2719"/>
      <c r="V61" s="2651"/>
      <c r="W61" s="2651"/>
      <c r="X61" s="2651"/>
      <c r="Y61" s="2651"/>
    </row>
    <row r="62" spans="1:34" ht="17.649999999999999" customHeight="1">
      <c r="A62" s="2719"/>
      <c r="B62" s="2791"/>
      <c r="C62" s="2790"/>
      <c r="D62" s="2789" t="s">
        <v>1832</v>
      </c>
      <c r="E62" s="323"/>
      <c r="F62" s="323"/>
      <c r="G62" s="323"/>
      <c r="H62" s="323"/>
      <c r="I62" s="323"/>
      <c r="J62" s="323"/>
      <c r="K62" s="323"/>
      <c r="L62" s="2788" t="s">
        <v>1821</v>
      </c>
      <c r="M62" s="4224" t="s">
        <v>772</v>
      </c>
      <c r="N62" s="4224" t="s">
        <v>772</v>
      </c>
      <c r="O62" s="2787"/>
      <c r="P62" s="2786">
        <f>SUM(M64:N69)</f>
        <v>12.63123878672269</v>
      </c>
      <c r="Q62" s="2785">
        <f>P62/((100+'SDK1'!$O$11)/100)</f>
        <v>12.63123878672269</v>
      </c>
      <c r="R62" s="2758"/>
      <c r="S62" s="2766"/>
      <c r="T62" s="2774">
        <f>P62</f>
        <v>12.63123878672269</v>
      </c>
      <c r="U62" s="2719"/>
      <c r="V62" s="2651"/>
      <c r="W62" s="2651"/>
      <c r="X62" s="2651"/>
      <c r="Y62" s="2651"/>
    </row>
    <row r="63" spans="1:34" ht="17.649999999999999" customHeight="1">
      <c r="A63" s="2719"/>
      <c r="B63" s="2791"/>
      <c r="C63" s="2790"/>
      <c r="D63" s="2789" t="s">
        <v>1831</v>
      </c>
      <c r="E63" s="323"/>
      <c r="F63" s="323"/>
      <c r="G63" s="323"/>
      <c r="H63" s="323"/>
      <c r="I63" s="323"/>
      <c r="J63" s="323"/>
      <c r="K63" s="323"/>
      <c r="L63" s="2788" t="s">
        <v>1830</v>
      </c>
      <c r="M63" s="4183" t="s">
        <v>1818</v>
      </c>
      <c r="N63" s="4183"/>
      <c r="O63" s="2787"/>
      <c r="P63" s="2786"/>
      <c r="Q63" s="2785"/>
      <c r="R63" s="2758"/>
      <c r="S63" s="2766"/>
      <c r="T63" s="2774"/>
      <c r="U63" s="2719"/>
      <c r="V63" s="2651"/>
      <c r="W63" s="2651"/>
      <c r="X63" s="2651"/>
      <c r="Y63" s="2651"/>
    </row>
    <row r="64" spans="1:34" ht="14.1" customHeight="1">
      <c r="A64" s="2719"/>
      <c r="B64" s="2773">
        <f t="shared" ref="B64:B69" si="4">D64*C64*(1+$B$28)</f>
        <v>0.47250000000000003</v>
      </c>
      <c r="C64" s="2815">
        <f>VLOOKUP(AB64,'SDK3'!B24:O92,13,FALSE)</f>
        <v>0.35</v>
      </c>
      <c r="D64" s="2814">
        <v>0.9</v>
      </c>
      <c r="E64" s="2781" t="str">
        <f t="shared" ref="E64:E69" si="5">IF(D64&gt;0,"x","")</f>
        <v>x</v>
      </c>
      <c r="F64" s="2780" t="str">
        <f>VLOOKUP(AB64,'SDK3'!$B$24:$C$92,2,FALSE)</f>
        <v>Kreiselwender 5,5m</v>
      </c>
      <c r="G64" s="2780"/>
      <c r="H64" s="2780"/>
      <c r="I64" s="2779"/>
      <c r="J64" s="2779"/>
      <c r="K64" s="1837"/>
      <c r="L64" s="2813">
        <f>VLOOKUP(AB64,'SDK3'!$B$24:$O$92,14,FALSE)</f>
        <v>6.9750572117647049</v>
      </c>
      <c r="M64" s="4172">
        <f t="shared" ref="M64:M69" si="6">D64*L64</f>
        <v>6.2775514905882348</v>
      </c>
      <c r="N64" s="4172"/>
      <c r="O64" s="2777"/>
      <c r="P64" s="2776"/>
      <c r="Q64" s="2775"/>
      <c r="R64" s="2758"/>
      <c r="S64" s="2766"/>
      <c r="T64" s="2774"/>
      <c r="U64" s="2719"/>
      <c r="V64" s="2651"/>
      <c r="W64" s="2651"/>
      <c r="X64" s="2651"/>
      <c r="Y64" s="2651"/>
      <c r="AB64" s="1969">
        <v>40</v>
      </c>
    </row>
    <row r="65" spans="1:34" ht="14.1" customHeight="1">
      <c r="A65" s="2719"/>
      <c r="B65" s="2773">
        <f t="shared" si="4"/>
        <v>0.35100000000000003</v>
      </c>
      <c r="C65" s="2815">
        <f>VLOOKUP(AB65,'SDK3'!B24:O92,13,FALSE)</f>
        <v>0.26</v>
      </c>
      <c r="D65" s="2814">
        <v>0.9</v>
      </c>
      <c r="E65" s="2781" t="str">
        <f t="shared" si="5"/>
        <v>x</v>
      </c>
      <c r="F65" s="2780" t="str">
        <f>VLOOKUP(AB65,'SDK3'!$B$24:$C$92,2,FALSE)</f>
        <v>Kreiselschwader 7,5m Seitenablage</v>
      </c>
      <c r="G65" s="2780"/>
      <c r="H65" s="2780"/>
      <c r="I65" s="2779"/>
      <c r="J65" s="2779"/>
      <c r="K65" s="1837"/>
      <c r="L65" s="2813">
        <f>VLOOKUP(AB65,'SDK3'!$B$24:$O$92,14,FALSE)</f>
        <v>7.0596525512605046</v>
      </c>
      <c r="M65" s="4172">
        <f t="shared" si="6"/>
        <v>6.3536872961344546</v>
      </c>
      <c r="N65" s="4172"/>
      <c r="O65" s="2777"/>
      <c r="P65" s="2776"/>
      <c r="Q65" s="2775"/>
      <c r="R65" s="2758"/>
      <c r="S65" s="2766"/>
      <c r="T65" s="2774"/>
      <c r="U65" s="2719"/>
      <c r="V65" s="2651"/>
      <c r="W65" s="2651"/>
      <c r="X65" s="2651"/>
      <c r="Y65" s="2651"/>
      <c r="AB65" s="1969">
        <v>41</v>
      </c>
    </row>
    <row r="66" spans="1:34" ht="14.1" customHeight="1">
      <c r="A66" s="2719"/>
      <c r="B66" s="2773">
        <f t="shared" si="4"/>
        <v>0</v>
      </c>
      <c r="C66" s="2815">
        <f>VLOOKUP(AB66,'SDK3'!B24:O92,13,FALSE)</f>
        <v>1.46</v>
      </c>
      <c r="D66" s="2814"/>
      <c r="E66" s="2781" t="str">
        <f t="shared" si="5"/>
        <v/>
      </c>
      <c r="F66" s="2780" t="str">
        <f>VLOOKUP(AB66,'SDK3'!$B$24:$C$92,2,FALSE)</f>
        <v>Drehpflug 2,10 m</v>
      </c>
      <c r="G66" s="2780"/>
      <c r="H66" s="2780"/>
      <c r="I66" s="2779"/>
      <c r="J66" s="2779"/>
      <c r="K66" s="1837"/>
      <c r="L66" s="2813">
        <f>VLOOKUP(AB66,'SDK3'!$B$24:$O$92,14,FALSE)</f>
        <v>56.986584941176474</v>
      </c>
      <c r="M66" s="4172">
        <f t="shared" si="6"/>
        <v>0</v>
      </c>
      <c r="N66" s="4172"/>
      <c r="O66" s="2777"/>
      <c r="P66" s="2776"/>
      <c r="Q66" s="2775"/>
      <c r="R66" s="2758"/>
      <c r="S66" s="2766"/>
      <c r="T66" s="2774"/>
      <c r="U66" s="2719"/>
      <c r="V66" s="2651"/>
      <c r="W66" s="2651"/>
      <c r="X66" s="2651"/>
      <c r="Y66" s="2651"/>
      <c r="AB66" s="1969">
        <v>1</v>
      </c>
    </row>
    <row r="67" spans="1:34" ht="14.1" customHeight="1">
      <c r="A67" s="2719"/>
      <c r="B67" s="2773">
        <f t="shared" si="4"/>
        <v>0</v>
      </c>
      <c r="C67" s="2815">
        <f>VLOOKUP(AB67,'SDK3'!B24:O92,13,FALSE)</f>
        <v>1.46</v>
      </c>
      <c r="D67" s="2814"/>
      <c r="E67" s="2781" t="str">
        <f t="shared" si="5"/>
        <v/>
      </c>
      <c r="F67" s="2780" t="str">
        <f>VLOOKUP(AB67,'SDK3'!$B$24:$C$92,2,FALSE)</f>
        <v>Drehpflug 2,10 m</v>
      </c>
      <c r="G67" s="2780"/>
      <c r="H67" s="2780"/>
      <c r="I67" s="2779"/>
      <c r="J67" s="2779"/>
      <c r="K67" s="1837"/>
      <c r="L67" s="2813">
        <f>VLOOKUP(AB67,'SDK3'!$B$24:$O$92,14,FALSE)</f>
        <v>56.986584941176474</v>
      </c>
      <c r="M67" s="4172">
        <f t="shared" si="6"/>
        <v>0</v>
      </c>
      <c r="N67" s="4172"/>
      <c r="O67" s="2777"/>
      <c r="P67" s="2776"/>
      <c r="Q67" s="2775"/>
      <c r="R67" s="2758"/>
      <c r="S67" s="2766"/>
      <c r="T67" s="2774"/>
      <c r="U67" s="2719"/>
      <c r="V67" s="2651"/>
      <c r="W67" s="2651"/>
      <c r="X67" s="2651"/>
      <c r="Y67" s="2651"/>
      <c r="AB67" s="1969">
        <v>1</v>
      </c>
    </row>
    <row r="68" spans="1:34" ht="14.1" customHeight="1">
      <c r="A68" s="2719"/>
      <c r="B68" s="2773">
        <f t="shared" si="4"/>
        <v>0</v>
      </c>
      <c r="C68" s="2815">
        <f>VLOOKUP(AB68,'SDK3'!B24:O92,13,FALSE)</f>
        <v>1.46</v>
      </c>
      <c r="D68" s="2814"/>
      <c r="E68" s="2781" t="str">
        <f t="shared" si="5"/>
        <v/>
      </c>
      <c r="F68" s="2780" t="str">
        <f>VLOOKUP(AB68,'SDK3'!$B$24:$C$92,2,FALSE)</f>
        <v>Drehpflug 2,10 m</v>
      </c>
      <c r="G68" s="2780"/>
      <c r="H68" s="2780"/>
      <c r="I68" s="2779"/>
      <c r="J68" s="2779"/>
      <c r="K68" s="1837"/>
      <c r="L68" s="2813">
        <f>VLOOKUP(AB68,'SDK3'!$B$24:$O$92,14,FALSE)</f>
        <v>56.986584941176474</v>
      </c>
      <c r="M68" s="4172">
        <f t="shared" si="6"/>
        <v>0</v>
      </c>
      <c r="N68" s="4172"/>
      <c r="O68" s="2777"/>
      <c r="P68" s="2776"/>
      <c r="Q68" s="2775"/>
      <c r="R68" s="2758"/>
      <c r="S68" s="2766"/>
      <c r="T68" s="2774"/>
      <c r="U68" s="2719"/>
      <c r="V68" s="2651"/>
      <c r="W68" s="2651"/>
      <c r="X68" s="2651"/>
      <c r="Y68" s="2651"/>
      <c r="AB68" s="1969">
        <v>1</v>
      </c>
    </row>
    <row r="69" spans="1:34" ht="14.1" customHeight="1">
      <c r="A69" s="2719"/>
      <c r="B69" s="2773">
        <f t="shared" si="4"/>
        <v>0</v>
      </c>
      <c r="C69" s="2815">
        <f>VLOOKUP(AB69,'SDK3'!B24:O92,13,FALSE)</f>
        <v>0.36</v>
      </c>
      <c r="D69" s="2823"/>
      <c r="E69" s="2822" t="str">
        <f t="shared" si="5"/>
        <v/>
      </c>
      <c r="F69" s="2821" t="str">
        <f>VLOOKUP(AB69,'SDK3'!$B$24:$C$92,2,FALSE)</f>
        <v>Pflanzenschutzspritze 12 m, 300 l/ha</v>
      </c>
      <c r="G69" s="2821"/>
      <c r="H69" s="2821"/>
      <c r="I69" s="2820"/>
      <c r="J69" s="2820"/>
      <c r="K69" s="2770"/>
      <c r="L69" s="2819">
        <f>VLOOKUP(AB69,'SDK3'!$B$24:$O$92,14,FALSE)</f>
        <v>5.7672017035294116</v>
      </c>
      <c r="M69" s="4185">
        <f t="shared" si="6"/>
        <v>0</v>
      </c>
      <c r="N69" s="4185"/>
      <c r="O69" s="2769"/>
      <c r="P69" s="2768"/>
      <c r="Q69" s="2767"/>
      <c r="R69" s="2758"/>
      <c r="S69" s="2766"/>
      <c r="T69" s="2765"/>
      <c r="U69" s="2719"/>
      <c r="V69" s="2651"/>
      <c r="W69" s="2651"/>
      <c r="X69" s="2651"/>
      <c r="Y69" s="2651"/>
      <c r="AB69" s="1969">
        <v>22</v>
      </c>
    </row>
    <row r="70" spans="1:34" ht="17.649999999999999" customHeight="1">
      <c r="A70" s="2719"/>
      <c r="B70" s="2818"/>
      <c r="C70" s="2817"/>
      <c r="D70" s="2802" t="s">
        <v>1138</v>
      </c>
      <c r="E70" s="2799"/>
      <c r="F70" s="2799"/>
      <c r="G70" s="1837"/>
      <c r="H70" s="1837"/>
      <c r="I70" s="1837"/>
      <c r="J70" s="1837"/>
      <c r="K70" s="1837"/>
      <c r="L70" s="1837"/>
      <c r="M70" s="1837"/>
      <c r="N70" s="1837"/>
      <c r="O70" s="2816"/>
      <c r="P70" s="2776">
        <f>SUM(M71:N73)</f>
        <v>166</v>
      </c>
      <c r="Q70" s="2775">
        <f>P70/((100+'SDK1'!$O$11)/100)</f>
        <v>166</v>
      </c>
      <c r="R70" s="2758"/>
      <c r="S70" s="2766"/>
      <c r="T70" s="2774">
        <f>P70</f>
        <v>166</v>
      </c>
      <c r="U70" s="2719"/>
      <c r="V70" s="2651"/>
      <c r="W70" s="2651"/>
      <c r="X70" s="2651"/>
      <c r="Y70" s="2651"/>
    </row>
    <row r="71" spans="1:34" ht="14.1" customHeight="1">
      <c r="A71" s="2719"/>
      <c r="B71" s="2773">
        <f>D71*C71*(1+$B$28)</f>
        <v>0</v>
      </c>
      <c r="C71" s="2815"/>
      <c r="D71" s="2814">
        <v>1</v>
      </c>
      <c r="E71" s="2781" t="str">
        <f>IF(D71&gt;0,"x","")</f>
        <v>x</v>
      </c>
      <c r="F71" s="2780" t="str">
        <f>VLOOKUP(AB71,'SDK3'!$B$97:$C$118,2,FALSE)</f>
        <v>Silomais Häckseln (im Lohn)</v>
      </c>
      <c r="G71" s="2780"/>
      <c r="H71" s="2780"/>
      <c r="I71" s="2779"/>
      <c r="J71" s="2779"/>
      <c r="K71" s="1837"/>
      <c r="L71" s="2813">
        <f>VLOOKUP(AB71,'SDK3'!$B$97:$D$118,3,FALSE)</f>
        <v>166</v>
      </c>
      <c r="M71" s="4172">
        <f>D71*L71*(100+'SDK1'!$O$11)/100</f>
        <v>166</v>
      </c>
      <c r="N71" s="4172"/>
      <c r="O71" s="2777"/>
      <c r="P71" s="2776"/>
      <c r="Q71" s="2775"/>
      <c r="R71" s="2758"/>
      <c r="S71" s="2766"/>
      <c r="T71" s="2774"/>
      <c r="U71" s="2719"/>
      <c r="V71" s="2651"/>
      <c r="W71" s="2651"/>
      <c r="X71" s="2651"/>
      <c r="Y71" s="2651"/>
      <c r="AB71" s="1969">
        <v>18</v>
      </c>
    </row>
    <row r="72" spans="1:34" ht="14.1" customHeight="1">
      <c r="A72" s="2719"/>
      <c r="B72" s="2773">
        <f>D72*C72*(1+$B$28)</f>
        <v>0</v>
      </c>
      <c r="C72" s="2815"/>
      <c r="D72" s="2814"/>
      <c r="E72" s="2781" t="str">
        <f>IF(D72&gt;0,"x","")</f>
        <v/>
      </c>
      <c r="F72" s="2780">
        <f>VLOOKUP(AB72,'SDK3'!$B$97:$C$118,2,FALSE)</f>
        <v>0</v>
      </c>
      <c r="G72" s="2780"/>
      <c r="H72" s="2780"/>
      <c r="I72" s="2779"/>
      <c r="J72" s="2779"/>
      <c r="K72" s="1837"/>
      <c r="L72" s="2813">
        <f>VLOOKUP(AB72,'SDK3'!$B$97:$D$118,3,FALSE)</f>
        <v>0</v>
      </c>
      <c r="M72" s="4172">
        <f>D72*L72*(100+'SDK1'!$O$11)/100</f>
        <v>0</v>
      </c>
      <c r="N72" s="4172"/>
      <c r="O72" s="2777"/>
      <c r="P72" s="2776"/>
      <c r="Q72" s="2775"/>
      <c r="R72" s="2758"/>
      <c r="S72" s="2766"/>
      <c r="T72" s="2774"/>
      <c r="U72" s="2719"/>
      <c r="V72" s="2651"/>
      <c r="W72" s="2651"/>
      <c r="X72" s="2651"/>
      <c r="Y72" s="2651"/>
      <c r="AB72" s="1969">
        <v>1</v>
      </c>
    </row>
    <row r="73" spans="1:34" ht="14.1" customHeight="1">
      <c r="A73" s="2719"/>
      <c r="B73" s="2773">
        <f>D73*C73*(1+$B$28)</f>
        <v>0</v>
      </c>
      <c r="C73" s="2815"/>
      <c r="D73" s="2814"/>
      <c r="E73" s="2781" t="str">
        <f>IF(D73&gt;0,"x","")</f>
        <v/>
      </c>
      <c r="F73" s="2780">
        <f>VLOOKUP(AB73,'SDK3'!$B$97:$C$118,2,FALSE)</f>
        <v>0</v>
      </c>
      <c r="G73" s="2780"/>
      <c r="H73" s="2780"/>
      <c r="I73" s="2779"/>
      <c r="J73" s="2779"/>
      <c r="K73" s="1837"/>
      <c r="L73" s="2813">
        <f>VLOOKUP(AB73,'SDK3'!$B$97:$D$118,3,FALSE)</f>
        <v>0</v>
      </c>
      <c r="M73" s="4172">
        <f>D73*L73*(100+'SDK1'!$O$11)/100</f>
        <v>0</v>
      </c>
      <c r="N73" s="4172"/>
      <c r="O73" s="2777"/>
      <c r="P73" s="2776"/>
      <c r="Q73" s="2775"/>
      <c r="R73" s="2758"/>
      <c r="S73" s="2766"/>
      <c r="T73" s="2774"/>
      <c r="U73" s="2719"/>
      <c r="V73" s="2651"/>
      <c r="W73" s="2651"/>
      <c r="X73" s="2651"/>
      <c r="Y73" s="2651"/>
      <c r="AB73" s="1969">
        <v>1</v>
      </c>
    </row>
    <row r="74" spans="1:34" s="2754" customFormat="1" ht="17.649999999999999" customHeight="1">
      <c r="A74" s="2755"/>
      <c r="B74" s="2744">
        <f>SUM(B64:B69)+SUM(B71:B73)</f>
        <v>0.82350000000000012</v>
      </c>
      <c r="C74" s="2764"/>
      <c r="D74" s="2812" t="s">
        <v>1829</v>
      </c>
      <c r="E74" s="2811"/>
      <c r="F74" s="2811"/>
      <c r="G74" s="2811"/>
      <c r="H74" s="2811"/>
      <c r="I74" s="2811"/>
      <c r="J74" s="2811"/>
      <c r="K74" s="2811"/>
      <c r="L74" s="2811"/>
      <c r="M74" s="2811"/>
      <c r="N74" s="2811"/>
      <c r="O74" s="2810"/>
      <c r="P74" s="2809">
        <f>B74*$D$16</f>
        <v>13.862250000000001</v>
      </c>
      <c r="Q74" s="2808">
        <f>P74</f>
        <v>13.862250000000001</v>
      </c>
      <c r="R74" s="2807"/>
      <c r="S74" s="2806"/>
      <c r="T74" s="2805">
        <f>P74</f>
        <v>13.862250000000001</v>
      </c>
      <c r="U74" s="2755"/>
      <c r="V74" s="2651"/>
      <c r="W74" s="2651"/>
      <c r="X74" s="2651"/>
      <c r="Y74" s="2651"/>
      <c r="Z74" s="136"/>
      <c r="AA74" s="136"/>
      <c r="AB74" s="136"/>
      <c r="AC74" s="136"/>
      <c r="AD74" s="136"/>
      <c r="AE74" s="136"/>
      <c r="AF74" s="136"/>
      <c r="AG74" s="136"/>
      <c r="AH74" s="136"/>
    </row>
    <row r="75" spans="1:34" ht="18.75">
      <c r="A75" s="2719"/>
      <c r="B75" s="2735"/>
      <c r="C75" s="2734"/>
      <c r="D75" s="2752" t="s">
        <v>1828</v>
      </c>
      <c r="E75" s="2751"/>
      <c r="F75" s="2751"/>
      <c r="G75" s="2751"/>
      <c r="H75" s="2751"/>
      <c r="I75" s="2751"/>
      <c r="J75" s="2751"/>
      <c r="K75" s="2751"/>
      <c r="L75" s="2751"/>
      <c r="M75" s="2751"/>
      <c r="N75" s="2751"/>
      <c r="O75" s="2750"/>
      <c r="P75" s="2749" t="e">
        <f>SUM(P62:P74)+P55</f>
        <v>#N/A</v>
      </c>
      <c r="Q75" s="2748" t="e">
        <f>SUM(Q62:Q74)+Q55</f>
        <v>#N/A</v>
      </c>
      <c r="R75" s="2747"/>
      <c r="S75" s="2746"/>
      <c r="T75" s="2745" t="e">
        <f>SUM(T62:T74)+T55</f>
        <v>#N/A</v>
      </c>
      <c r="U75" s="2719"/>
      <c r="V75" s="2651"/>
      <c r="W75" s="2651"/>
      <c r="X75" s="2651"/>
      <c r="Y75" s="2651"/>
    </row>
    <row r="76" spans="1:34" ht="15" customHeight="1">
      <c r="A76" s="2719"/>
      <c r="B76" s="2735"/>
      <c r="C76" s="2734"/>
      <c r="D76" s="2743"/>
      <c r="E76" s="2742"/>
      <c r="F76" s="2742"/>
      <c r="G76" s="2742"/>
      <c r="H76" s="2742"/>
      <c r="I76" s="2742"/>
      <c r="J76" s="2742"/>
      <c r="K76" s="2742"/>
      <c r="L76" s="2742"/>
      <c r="M76" s="2742"/>
      <c r="N76" s="2742"/>
      <c r="O76" s="2741" t="s">
        <v>1827</v>
      </c>
      <c r="P76" s="2740" t="e">
        <f>IF($X$10=0,"        Ertrag ?",P75/$X$10)</f>
        <v>#N/A</v>
      </c>
      <c r="Q76" s="2739" t="e">
        <f>IF($X$10=0,"        Ertrag ?",Q75/$X$10)</f>
        <v>#N/A</v>
      </c>
      <c r="R76" s="2738"/>
      <c r="S76" s="2737"/>
      <c r="T76" s="2736" t="e">
        <f>IF($X$10=0,"     Ertrag ?",T75/$X$10)</f>
        <v>#N/A</v>
      </c>
      <c r="U76" s="2719"/>
      <c r="V76" s="2651"/>
      <c r="W76" s="2651"/>
      <c r="X76" s="2651"/>
      <c r="Y76" s="2651"/>
    </row>
    <row r="77" spans="1:34" ht="18.75">
      <c r="A77" s="2719"/>
      <c r="B77" s="2735"/>
      <c r="C77" s="2734"/>
      <c r="D77" s="4173" t="str">
        <f>"Voller Preis( incl. "&amp;P16*100&amp;"% Wagniszuschlag) (incl. Einlagern)"</f>
        <v>Voller Preis( incl. 10% Wagniszuschlag) (incl. Einlagern)</v>
      </c>
      <c r="E77" s="4174"/>
      <c r="F77" s="4174"/>
      <c r="G77" s="4174"/>
      <c r="H77" s="4174"/>
      <c r="I77" s="4174"/>
      <c r="J77" s="4174"/>
      <c r="K77" s="4174"/>
      <c r="L77" s="4174"/>
      <c r="M77" s="4174"/>
      <c r="N77" s="4174"/>
      <c r="O77" s="4175" t="str">
        <f>"Voller Preis( incl. "&amp;P16*100&amp;"% Wagniszuschlag) (incl. Einsilieren)"</f>
        <v>Voller Preis( incl. 10% Wagniszuschlag) (incl. Einsilieren)</v>
      </c>
      <c r="P77" s="2733" t="e">
        <f>P75*(1+$P$16)</f>
        <v>#N/A</v>
      </c>
      <c r="Q77" s="2732" t="e">
        <f>Q75*(1+$P$16)</f>
        <v>#N/A</v>
      </c>
      <c r="R77" s="2731"/>
      <c r="S77" s="2730"/>
      <c r="T77" s="2729"/>
      <c r="U77" s="2719"/>
      <c r="V77" s="2651"/>
      <c r="W77" s="2651"/>
      <c r="X77" s="2651"/>
      <c r="Y77" s="2651"/>
    </row>
    <row r="78" spans="1:34" ht="15" customHeight="1">
      <c r="A78" s="2719"/>
      <c r="B78" s="2735"/>
      <c r="C78" s="2734"/>
      <c r="D78" s="4180"/>
      <c r="E78" s="4181"/>
      <c r="F78" s="4181"/>
      <c r="G78" s="4181"/>
      <c r="H78" s="4181"/>
      <c r="I78" s="4181"/>
      <c r="J78" s="4181"/>
      <c r="K78" s="4181"/>
      <c r="L78" s="4181"/>
      <c r="M78" s="4181"/>
      <c r="N78" s="4181"/>
      <c r="O78" s="4182"/>
      <c r="P78" s="2796" t="e">
        <f>IF($X$10=0,"        Ertrag ?",P76*(1+$P$16))</f>
        <v>#N/A</v>
      </c>
      <c r="Q78" s="2795" t="e">
        <f>IF($X$10=0,"        Ertrag ?",Q76*(1+$P$16))</f>
        <v>#N/A</v>
      </c>
      <c r="R78" s="2794"/>
      <c r="S78" s="2793"/>
      <c r="T78" s="2792"/>
      <c r="U78" s="2719"/>
      <c r="V78" s="2651"/>
      <c r="W78" s="2651"/>
      <c r="X78" s="2651"/>
      <c r="Y78" s="2651"/>
    </row>
    <row r="79" spans="1:34" ht="17.649999999999999" customHeight="1">
      <c r="A79" s="2719"/>
      <c r="B79" s="2804"/>
      <c r="C79" s="2803"/>
      <c r="D79" s="2802" t="s">
        <v>1826</v>
      </c>
      <c r="E79" s="1837"/>
      <c r="F79" s="1837"/>
      <c r="G79" s="1837"/>
      <c r="H79" s="1837"/>
      <c r="I79" s="1837"/>
      <c r="J79" s="1837"/>
      <c r="K79" s="1837"/>
      <c r="L79" s="2801">
        <v>3</v>
      </c>
      <c r="M79" s="2800"/>
      <c r="N79" s="2799" t="s">
        <v>1825</v>
      </c>
      <c r="O79" s="2798"/>
      <c r="P79" s="2797">
        <f>D13*L79</f>
        <v>220.77922077922074</v>
      </c>
      <c r="Q79" s="2775">
        <f>P79/((100+'SDK1'!$O$11)/100)</f>
        <v>220.77922077922074</v>
      </c>
      <c r="R79" s="2758"/>
      <c r="S79" s="2766"/>
      <c r="T79" s="2774">
        <f>P79</f>
        <v>220.77922077922074</v>
      </c>
      <c r="U79" s="2719"/>
      <c r="V79" s="2651"/>
      <c r="W79" s="2651"/>
      <c r="X79" s="2651"/>
      <c r="Y79" s="2651"/>
    </row>
    <row r="80" spans="1:34" ht="18.75">
      <c r="A80" s="2719"/>
      <c r="B80" s="2735"/>
      <c r="C80" s="2734"/>
      <c r="D80" s="2752" t="s">
        <v>1824</v>
      </c>
      <c r="E80" s="2751"/>
      <c r="F80" s="2751"/>
      <c r="G80" s="2751"/>
      <c r="H80" s="2751"/>
      <c r="I80" s="2751"/>
      <c r="J80" s="2751"/>
      <c r="K80" s="2751"/>
      <c r="L80" s="2751"/>
      <c r="M80" s="2751"/>
      <c r="N80" s="2751"/>
      <c r="O80" s="2750"/>
      <c r="P80" s="2749" t="e">
        <f>P75+P79</f>
        <v>#N/A</v>
      </c>
      <c r="Q80" s="2748" t="e">
        <f>Q75+Q79</f>
        <v>#N/A</v>
      </c>
      <c r="R80" s="2747"/>
      <c r="S80" s="2746"/>
      <c r="T80" s="2745" t="e">
        <f>T75+T79</f>
        <v>#N/A</v>
      </c>
      <c r="U80" s="2719"/>
      <c r="V80" s="2651"/>
      <c r="W80" s="2651"/>
      <c r="X80" s="2651"/>
      <c r="Y80" s="2651"/>
    </row>
    <row r="81" spans="1:34" ht="15" customHeight="1">
      <c r="A81" s="2719"/>
      <c r="B81" s="2735"/>
      <c r="C81" s="2734"/>
      <c r="D81" s="2743"/>
      <c r="E81" s="2742"/>
      <c r="F81" s="2742"/>
      <c r="G81" s="2742"/>
      <c r="H81" s="2742"/>
      <c r="I81" s="2742"/>
      <c r="J81" s="2742"/>
      <c r="K81" s="2742"/>
      <c r="L81" s="2742"/>
      <c r="M81" s="2742"/>
      <c r="N81" s="2742"/>
      <c r="O81" s="2741" t="s">
        <v>1823</v>
      </c>
      <c r="P81" s="2740" t="e">
        <f>IF($X$10=0,"        Ertrag ?",P80/$X$10)</f>
        <v>#N/A</v>
      </c>
      <c r="Q81" s="2739" t="e">
        <f>IF($X$10=0,"        Ertrag ?",Q80/$X$10)</f>
        <v>#N/A</v>
      </c>
      <c r="R81" s="2738"/>
      <c r="S81" s="2737"/>
      <c r="T81" s="2736" t="e">
        <f>IF($X$10=0,"     Ertrag ?",T80/$X$10)</f>
        <v>#N/A</v>
      </c>
      <c r="U81" s="2719"/>
      <c r="V81" s="2651"/>
      <c r="W81" s="2651"/>
      <c r="X81" s="2651"/>
      <c r="Y81" s="2651"/>
    </row>
    <row r="82" spans="1:34" ht="18.75">
      <c r="A82" s="2719"/>
      <c r="B82" s="2735"/>
      <c r="C82" s="2734"/>
      <c r="D82" s="4173" t="str">
        <f>"Voller Preis( incl. "&amp;P16*100&amp;"% Wagniszuschlag) (incl. Einsilieren+ Festk. Silo)"</f>
        <v>Voller Preis( incl. 10% Wagniszuschlag) (incl. Einsilieren+ Festk. Silo)</v>
      </c>
      <c r="E82" s="4174"/>
      <c r="F82" s="4174"/>
      <c r="G82" s="4174"/>
      <c r="H82" s="4174"/>
      <c r="I82" s="4174"/>
      <c r="J82" s="4174"/>
      <c r="K82" s="4174"/>
      <c r="L82" s="4174"/>
      <c r="M82" s="4174"/>
      <c r="N82" s="4174"/>
      <c r="O82" s="4175" t="str">
        <f>"Voller Preis( incl. "&amp;P16*100&amp;"% Wagniszuschlag) (incl. Einsilieren + Festk.Silo)"</f>
        <v>Voller Preis( incl. 10% Wagniszuschlag) (incl. Einsilieren + Festk.Silo)</v>
      </c>
      <c r="P82" s="2733" t="e">
        <f>P80*(1+$P$16)</f>
        <v>#N/A</v>
      </c>
      <c r="Q82" s="2732" t="e">
        <f>Q80*(1+$P$16)</f>
        <v>#N/A</v>
      </c>
      <c r="R82" s="2731"/>
      <c r="S82" s="2730"/>
      <c r="T82" s="2729"/>
      <c r="U82" s="2719"/>
      <c r="V82" s="2651"/>
      <c r="W82" s="2651"/>
      <c r="X82" s="2651"/>
      <c r="Y82" s="2651"/>
    </row>
    <row r="83" spans="1:34" ht="15" customHeight="1">
      <c r="A83" s="2719"/>
      <c r="B83" s="2735"/>
      <c r="C83" s="2734"/>
      <c r="D83" s="4180"/>
      <c r="E83" s="4181"/>
      <c r="F83" s="4181"/>
      <c r="G83" s="4181"/>
      <c r="H83" s="4181"/>
      <c r="I83" s="4181"/>
      <c r="J83" s="4181"/>
      <c r="K83" s="4181"/>
      <c r="L83" s="4181"/>
      <c r="M83" s="4181"/>
      <c r="N83" s="4181"/>
      <c r="O83" s="4182"/>
      <c r="P83" s="2796" t="e">
        <f>IF($X$10=0,"        Ertrag ?",P81*(1+$P$16))</f>
        <v>#N/A</v>
      </c>
      <c r="Q83" s="2795" t="e">
        <f>IF($X$10=0,"        Ertrag ?",Q81*(1+$P$16))</f>
        <v>#N/A</v>
      </c>
      <c r="R83" s="2794"/>
      <c r="S83" s="2793"/>
      <c r="T83" s="2792"/>
      <c r="U83" s="2719"/>
      <c r="V83" s="2651"/>
      <c r="W83" s="2651"/>
      <c r="X83" s="2651"/>
      <c r="Y83" s="2651"/>
    </row>
    <row r="84" spans="1:34" s="2754" customFormat="1" ht="17.649999999999999" customHeight="1">
      <c r="A84" s="2755"/>
      <c r="B84" s="2791"/>
      <c r="C84" s="2790"/>
      <c r="D84" s="2789" t="s">
        <v>1822</v>
      </c>
      <c r="E84" s="323"/>
      <c r="F84" s="323"/>
      <c r="G84" s="323"/>
      <c r="H84" s="323"/>
      <c r="I84" s="323"/>
      <c r="J84" s="323"/>
      <c r="K84" s="323"/>
      <c r="L84" s="2788" t="s">
        <v>1821</v>
      </c>
      <c r="M84" s="4171" t="s">
        <v>772</v>
      </c>
      <c r="N84" s="4171" t="s">
        <v>772</v>
      </c>
      <c r="O84" s="2787"/>
      <c r="P84" s="2786">
        <f>SUM(M86:N88)</f>
        <v>52.251082251082245</v>
      </c>
      <c r="Q84" s="2785">
        <f>P84/((100+'SDK1'!$O$11)/100)</f>
        <v>52.251082251082245</v>
      </c>
      <c r="R84" s="2758"/>
      <c r="S84" s="2766"/>
      <c r="T84" s="2774">
        <f>P84</f>
        <v>52.251082251082245</v>
      </c>
      <c r="U84" s="2755"/>
      <c r="V84" s="2651"/>
      <c r="W84" s="2651"/>
      <c r="X84" s="2651"/>
      <c r="Y84" s="2651"/>
      <c r="Z84" s="136"/>
      <c r="AA84" s="136"/>
      <c r="AB84" s="136"/>
      <c r="AC84" s="136"/>
      <c r="AD84" s="136"/>
      <c r="AE84" s="136"/>
      <c r="AF84" s="136"/>
      <c r="AG84" s="136"/>
      <c r="AH84" s="136"/>
    </row>
    <row r="85" spans="1:34" s="2754" customFormat="1" ht="17.649999999999999" customHeight="1">
      <c r="A85" s="2755"/>
      <c r="B85" s="2791"/>
      <c r="C85" s="2790"/>
      <c r="D85" s="2789" t="s">
        <v>1820</v>
      </c>
      <c r="E85" s="323"/>
      <c r="F85" s="323"/>
      <c r="G85" s="323"/>
      <c r="H85" s="323"/>
      <c r="I85" s="323"/>
      <c r="J85" s="323"/>
      <c r="K85" s="323"/>
      <c r="L85" s="2788" t="s">
        <v>1819</v>
      </c>
      <c r="M85" s="4183" t="s">
        <v>1818</v>
      </c>
      <c r="N85" s="4183"/>
      <c r="O85" s="2787"/>
      <c r="P85" s="2786"/>
      <c r="Q85" s="2785"/>
      <c r="R85" s="2758"/>
      <c r="S85" s="2766"/>
      <c r="T85" s="2774"/>
      <c r="U85" s="2755"/>
      <c r="V85" s="2651"/>
      <c r="W85" s="2651"/>
      <c r="X85" s="2651"/>
      <c r="Y85" s="2651"/>
      <c r="Z85" s="136"/>
      <c r="AA85" s="136"/>
      <c r="AB85" s="136"/>
      <c r="AC85" s="136"/>
      <c r="AD85" s="136"/>
      <c r="AE85" s="136"/>
      <c r="AF85" s="136"/>
      <c r="AG85" s="136"/>
      <c r="AH85" s="136"/>
    </row>
    <row r="86" spans="1:34" s="2754" customFormat="1" ht="14.1" customHeight="1">
      <c r="A86" s="2755"/>
      <c r="B86" s="2773">
        <f>IF(C86&gt;0,C86*(1+$B$28),0)</f>
        <v>3</v>
      </c>
      <c r="C86" s="2772">
        <v>2</v>
      </c>
      <c r="D86" s="2782" t="s">
        <v>1817</v>
      </c>
      <c r="E86" s="2781"/>
      <c r="F86" s="2780"/>
      <c r="G86" s="2780"/>
      <c r="H86" s="2780"/>
      <c r="I86" s="2784"/>
      <c r="J86" s="4218">
        <f>D13</f>
        <v>73.593073593073584</v>
      </c>
      <c r="K86" s="4218"/>
      <c r="L86" s="2783">
        <v>0.6</v>
      </c>
      <c r="M86" s="4172">
        <f>D13*L86</f>
        <v>44.15584415584415</v>
      </c>
      <c r="N86" s="4172"/>
      <c r="O86" s="2777"/>
      <c r="P86" s="2776"/>
      <c r="Q86" s="2775"/>
      <c r="R86" s="2758"/>
      <c r="S86" s="2766"/>
      <c r="T86" s="2774"/>
      <c r="U86" s="2755"/>
      <c r="V86" s="2651"/>
      <c r="W86" s="2651"/>
      <c r="X86" s="2651"/>
      <c r="Y86" s="2651"/>
      <c r="Z86" s="136"/>
      <c r="AA86" s="136"/>
      <c r="AB86" s="1969">
        <v>44</v>
      </c>
      <c r="AC86" s="136"/>
      <c r="AD86" s="136"/>
      <c r="AE86" s="136"/>
      <c r="AF86" s="136"/>
      <c r="AG86" s="136"/>
      <c r="AH86" s="136"/>
    </row>
    <row r="87" spans="1:34" s="2754" customFormat="1" ht="14.1" customHeight="1">
      <c r="A87" s="2755"/>
      <c r="B87" s="2773">
        <f>IF(C87&gt;0,C87*(1+$B$28),0)</f>
        <v>3</v>
      </c>
      <c r="C87" s="2772">
        <v>2</v>
      </c>
      <c r="D87" s="2782" t="s">
        <v>1816</v>
      </c>
      <c r="E87" s="2781"/>
      <c r="F87" s="2780"/>
      <c r="G87" s="2780"/>
      <c r="H87" s="2780"/>
      <c r="I87" s="2779"/>
      <c r="J87" s="4222">
        <v>0.2</v>
      </c>
      <c r="K87" s="4223"/>
      <c r="L87" s="2778">
        <v>0.55000000000000004</v>
      </c>
      <c r="M87" s="4172">
        <f>D13*J87*L87</f>
        <v>8.0952380952380949</v>
      </c>
      <c r="N87" s="4172"/>
      <c r="O87" s="2777"/>
      <c r="P87" s="2776"/>
      <c r="Q87" s="2775"/>
      <c r="R87" s="2758"/>
      <c r="S87" s="2766"/>
      <c r="T87" s="2774"/>
      <c r="U87" s="2755"/>
      <c r="V87" s="2651"/>
      <c r="W87" s="2651"/>
      <c r="X87" s="2651"/>
      <c r="Y87" s="2651"/>
      <c r="Z87" s="136"/>
      <c r="AA87" s="136"/>
      <c r="AB87" s="1969">
        <v>45</v>
      </c>
      <c r="AC87" s="136"/>
      <c r="AD87" s="136"/>
      <c r="AE87" s="136"/>
      <c r="AF87" s="136"/>
      <c r="AG87" s="136"/>
      <c r="AH87" s="136"/>
    </row>
    <row r="88" spans="1:34" s="2754" customFormat="1" ht="14.1" customHeight="1">
      <c r="A88" s="2755"/>
      <c r="B88" s="2773">
        <f>IF(C88&gt;0,C88*(1+$B$28),0)</f>
        <v>0</v>
      </c>
      <c r="C88" s="2772"/>
      <c r="D88" s="2771"/>
      <c r="E88" s="4219" t="s">
        <v>600</v>
      </c>
      <c r="F88" s="4219"/>
      <c r="G88" s="4219"/>
      <c r="H88" s="4219"/>
      <c r="I88" s="4219"/>
      <c r="J88" s="2770"/>
      <c r="K88" s="2770"/>
      <c r="L88" s="2770"/>
      <c r="M88" s="4217"/>
      <c r="N88" s="4217"/>
      <c r="O88" s="2769"/>
      <c r="P88" s="2768"/>
      <c r="Q88" s="2767"/>
      <c r="R88" s="2758"/>
      <c r="S88" s="2766"/>
      <c r="T88" s="2765"/>
      <c r="U88" s="2755"/>
      <c r="V88" s="2651"/>
      <c r="W88" s="2651"/>
      <c r="X88" s="2651"/>
      <c r="Y88" s="2651"/>
      <c r="Z88" s="136"/>
      <c r="AA88" s="136"/>
      <c r="AB88" s="1969">
        <v>46</v>
      </c>
      <c r="AC88" s="136"/>
      <c r="AD88" s="136"/>
      <c r="AE88" s="136"/>
      <c r="AF88" s="136"/>
      <c r="AG88" s="136"/>
      <c r="AH88" s="136"/>
    </row>
    <row r="89" spans="1:34" s="2754" customFormat="1" ht="17.649999999999999" customHeight="1">
      <c r="A89" s="2755"/>
      <c r="B89" s="2744">
        <f>SUM(B86:B88)</f>
        <v>6</v>
      </c>
      <c r="C89" s="2764"/>
      <c r="D89" s="2763" t="s">
        <v>1815</v>
      </c>
      <c r="E89" s="2762"/>
      <c r="F89" s="2762"/>
      <c r="G89" s="2762"/>
      <c r="H89" s="2762"/>
      <c r="I89" s="2762"/>
      <c r="J89" s="2762"/>
      <c r="K89" s="2762"/>
      <c r="L89" s="2762"/>
      <c r="M89" s="2762"/>
      <c r="N89" s="2762"/>
      <c r="O89" s="2761"/>
      <c r="P89" s="2760">
        <f>B89*$D$16</f>
        <v>101</v>
      </c>
      <c r="Q89" s="2759">
        <f>P89</f>
        <v>101</v>
      </c>
      <c r="R89" s="2758"/>
      <c r="S89" s="2757"/>
      <c r="T89" s="2756">
        <f>P89</f>
        <v>101</v>
      </c>
      <c r="U89" s="2755"/>
      <c r="V89" s="2651"/>
      <c r="W89" s="2651"/>
      <c r="X89" s="2651"/>
      <c r="Y89" s="2651"/>
      <c r="Z89" s="136"/>
      <c r="AA89" s="136"/>
      <c r="AB89" s="136"/>
      <c r="AC89" s="136"/>
      <c r="AD89" s="136"/>
      <c r="AE89" s="136"/>
      <c r="AF89" s="136"/>
      <c r="AG89" s="136"/>
      <c r="AH89" s="136"/>
    </row>
    <row r="90" spans="1:34" ht="18.75">
      <c r="A90" s="2719"/>
      <c r="B90" s="2735"/>
      <c r="C90" s="2753"/>
      <c r="D90" s="2752" t="s">
        <v>1814</v>
      </c>
      <c r="E90" s="2751"/>
      <c r="F90" s="2751"/>
      <c r="G90" s="2751"/>
      <c r="H90" s="2751"/>
      <c r="I90" s="2751"/>
      <c r="J90" s="2751"/>
      <c r="K90" s="2751"/>
      <c r="L90" s="2751"/>
      <c r="M90" s="2751"/>
      <c r="N90" s="2751"/>
      <c r="O90" s="2750"/>
      <c r="P90" s="2749" t="e">
        <f>P80+P84+P89</f>
        <v>#N/A</v>
      </c>
      <c r="Q90" s="2748" t="e">
        <f>Q80+Q84+Q89</f>
        <v>#N/A</v>
      </c>
      <c r="R90" s="2747"/>
      <c r="S90" s="2746"/>
      <c r="T90" s="2745" t="e">
        <f>T80+T84+T89</f>
        <v>#N/A</v>
      </c>
      <c r="U90" s="2719"/>
      <c r="V90" s="2651"/>
      <c r="W90" s="2651"/>
      <c r="X90" s="2651"/>
      <c r="Y90" s="2651"/>
    </row>
    <row r="91" spans="1:34" ht="15" customHeight="1">
      <c r="A91" s="2719"/>
      <c r="B91" s="2744" t="e">
        <f>B44+B74+B859</f>
        <v>#N/A</v>
      </c>
      <c r="C91" s="2734"/>
      <c r="D91" s="2743"/>
      <c r="E91" s="2742"/>
      <c r="F91" s="2742"/>
      <c r="G91" s="2742"/>
      <c r="H91" s="2742"/>
      <c r="I91" s="2742"/>
      <c r="J91" s="2742"/>
      <c r="K91" s="2742"/>
      <c r="L91" s="2742"/>
      <c r="M91" s="2742"/>
      <c r="N91" s="2742"/>
      <c r="O91" s="2741" t="s">
        <v>1813</v>
      </c>
      <c r="P91" s="2740" t="e">
        <f>IF($X$10=0,"        Ertrag ?",P90/$X$10)</f>
        <v>#N/A</v>
      </c>
      <c r="Q91" s="2739" t="e">
        <f>IF($X$10=0,"        Ertrag ?",Q90/$X$10)</f>
        <v>#N/A</v>
      </c>
      <c r="R91" s="2738"/>
      <c r="S91" s="2737"/>
      <c r="T91" s="2736" t="e">
        <f>IF($X$10=0,"     Ertrag ?",T90/$X$10)</f>
        <v>#N/A</v>
      </c>
      <c r="U91" s="2719"/>
      <c r="V91" s="2651"/>
      <c r="W91" s="2651"/>
      <c r="X91" s="2651"/>
      <c r="Y91" s="2651"/>
    </row>
    <row r="92" spans="1:34" ht="18.75">
      <c r="A92" s="2719"/>
      <c r="B92" s="2735"/>
      <c r="C92" s="2734"/>
      <c r="D92" s="4173" t="str">
        <f>"Voller Preis( incl. "&amp;P16*100&amp;"% Wagniszuschlag) (frei Fermenter)"</f>
        <v>Voller Preis( incl. 10% Wagniszuschlag) (frei Fermenter)</v>
      </c>
      <c r="E92" s="4174"/>
      <c r="F92" s="4174"/>
      <c r="G92" s="4174"/>
      <c r="H92" s="4174"/>
      <c r="I92" s="4174"/>
      <c r="J92" s="4174"/>
      <c r="K92" s="4174"/>
      <c r="L92" s="4174"/>
      <c r="M92" s="4174"/>
      <c r="N92" s="4174"/>
      <c r="O92" s="4175" t="str">
        <f>"Voller Preis( incl. "&amp;P16*100&amp;"% Wagniszuschlag) (frei Fermenter)"</f>
        <v>Voller Preis( incl. 10% Wagniszuschlag) (frei Fermenter)</v>
      </c>
      <c r="P92" s="2733" t="e">
        <f>P90*(1+$P$16)</f>
        <v>#N/A</v>
      </c>
      <c r="Q92" s="2732" t="e">
        <f>Q90*(1+$P$16)</f>
        <v>#N/A</v>
      </c>
      <c r="R92" s="2731"/>
      <c r="S92" s="2730"/>
      <c r="T92" s="2729"/>
      <c r="U92" s="2719"/>
      <c r="V92" s="2651"/>
      <c r="W92" s="2651"/>
      <c r="X92" s="2651"/>
      <c r="Y92" s="2651"/>
    </row>
    <row r="93" spans="1:34" ht="15" customHeight="1" thickBot="1">
      <c r="A93" s="2719"/>
      <c r="B93" s="2728"/>
      <c r="C93" s="2727"/>
      <c r="D93" s="4176"/>
      <c r="E93" s="4177"/>
      <c r="F93" s="4177"/>
      <c r="G93" s="4177"/>
      <c r="H93" s="4177"/>
      <c r="I93" s="4177"/>
      <c r="J93" s="4177"/>
      <c r="K93" s="4177"/>
      <c r="L93" s="4177"/>
      <c r="M93" s="4177"/>
      <c r="N93" s="4177"/>
      <c r="O93" s="4178"/>
      <c r="P93" s="2726" t="e">
        <f>IF($X$10=0,"        Ertrag ?",P91*(1+$P$16))</f>
        <v>#N/A</v>
      </c>
      <c r="Q93" s="2725" t="e">
        <f>IF($X$10=0,"        Ertrag ?",Q91*(1+$P$16))</f>
        <v>#N/A</v>
      </c>
      <c r="R93" s="2724"/>
      <c r="S93" s="2723"/>
      <c r="T93" s="2722"/>
      <c r="U93" s="2719"/>
      <c r="V93" s="2651"/>
      <c r="W93" s="2651"/>
      <c r="X93" s="2651"/>
      <c r="Y93" s="2651"/>
    </row>
    <row r="94" spans="1:34">
      <c r="A94" s="2719"/>
      <c r="B94" s="2721"/>
      <c r="C94" s="2720"/>
      <c r="D94" s="2720"/>
      <c r="E94" s="2720"/>
      <c r="F94" s="2720"/>
      <c r="G94" s="2720"/>
      <c r="H94" s="2720"/>
      <c r="I94" s="2720"/>
      <c r="J94" s="2720"/>
      <c r="K94" s="2720"/>
      <c r="L94" s="2720"/>
      <c r="M94" s="2720"/>
      <c r="N94" s="2720"/>
      <c r="O94" s="2720"/>
      <c r="P94" s="2719"/>
      <c r="Q94" s="2719"/>
      <c r="R94" s="2719"/>
      <c r="S94" s="2719"/>
      <c r="T94" s="2719"/>
      <c r="U94" s="2719"/>
      <c r="V94" s="2651"/>
      <c r="W94" s="2651"/>
      <c r="X94" s="2651"/>
      <c r="Y94" s="2651"/>
    </row>
    <row r="95" spans="1:34" ht="10.15" customHeight="1" thickBot="1">
      <c r="B95" s="2718"/>
      <c r="C95" s="2717"/>
      <c r="D95" s="2717"/>
      <c r="E95" s="2717"/>
      <c r="F95" s="2717"/>
      <c r="G95" s="2717"/>
      <c r="H95" s="2717"/>
      <c r="I95" s="2717"/>
      <c r="J95" s="2717"/>
      <c r="K95" s="2717"/>
      <c r="L95" s="2717"/>
      <c r="M95" s="2717"/>
      <c r="N95" s="2717"/>
      <c r="O95" s="2717"/>
      <c r="U95" s="2716"/>
      <c r="V95" s="2651"/>
      <c r="W95" s="2651"/>
      <c r="X95" s="2651"/>
      <c r="Y95" s="2651"/>
    </row>
    <row r="96" spans="1:34" ht="6" customHeight="1" thickBot="1">
      <c r="A96" s="2715"/>
      <c r="B96" s="2714"/>
      <c r="C96" s="2713"/>
      <c r="D96" s="2713"/>
      <c r="E96" s="2713"/>
      <c r="F96" s="2713"/>
      <c r="G96" s="2713"/>
      <c r="H96" s="2713"/>
      <c r="I96" s="2713"/>
      <c r="J96" s="2713"/>
      <c r="K96" s="2713"/>
      <c r="L96" s="2713"/>
      <c r="M96" s="2713"/>
      <c r="N96" s="2713"/>
      <c r="O96" s="2713"/>
      <c r="P96" s="2712"/>
      <c r="Q96" s="2712"/>
      <c r="R96" s="2712"/>
      <c r="S96" s="2712"/>
      <c r="T96" s="2712"/>
      <c r="U96" s="2711"/>
      <c r="V96" s="2651"/>
      <c r="W96" s="2651"/>
      <c r="X96" s="2651"/>
      <c r="Y96" s="2651"/>
    </row>
    <row r="97" spans="1:25" ht="20.100000000000001" customHeight="1" thickBot="1">
      <c r="A97" s="2668"/>
      <c r="B97" s="2710" t="s">
        <v>1812</v>
      </c>
      <c r="C97" s="2709"/>
      <c r="D97" s="2709"/>
      <c r="E97" s="2709"/>
      <c r="F97" s="2709"/>
      <c r="G97" s="2709"/>
      <c r="H97" s="2709"/>
      <c r="I97" s="2709"/>
      <c r="J97" s="2709"/>
      <c r="K97" s="2709"/>
      <c r="L97" s="2704"/>
      <c r="M97" s="2704"/>
      <c r="N97" s="2704"/>
      <c r="O97" s="2704"/>
      <c r="P97" s="2708"/>
      <c r="Q97" s="2707"/>
      <c r="R97" s="2707"/>
      <c r="S97" s="2706" t="s">
        <v>1811</v>
      </c>
      <c r="T97" s="2705" t="str">
        <f>B5</f>
        <v>Silomais 170 dt TM</v>
      </c>
      <c r="U97" s="2657"/>
      <c r="V97" s="2651"/>
      <c r="W97" s="2651"/>
      <c r="X97" s="2651"/>
      <c r="Y97" s="2651"/>
    </row>
    <row r="98" spans="1:25" ht="15" customHeight="1">
      <c r="A98" s="2668"/>
      <c r="B98" s="2694"/>
      <c r="C98" s="2704"/>
      <c r="D98" s="2704"/>
      <c r="E98" s="2704"/>
      <c r="F98" s="2704"/>
      <c r="G98" s="2704"/>
      <c r="H98" s="2704"/>
      <c r="I98" s="2704"/>
      <c r="J98" s="2704"/>
      <c r="K98" s="2704"/>
      <c r="L98" s="2704"/>
      <c r="M98" s="2704"/>
      <c r="N98" s="2704"/>
      <c r="O98" s="2704"/>
      <c r="P98" s="2694"/>
      <c r="Q98" s="2694"/>
      <c r="R98" s="2694"/>
      <c r="S98" s="2694"/>
      <c r="T98" s="2694"/>
      <c r="U98" s="2657"/>
      <c r="V98" s="2651"/>
      <c r="W98" s="2651"/>
      <c r="X98" s="2651"/>
      <c r="Y98" s="2651"/>
    </row>
    <row r="99" spans="1:25" ht="15" customHeight="1">
      <c r="A99" s="2668"/>
      <c r="B99" s="2703" t="s">
        <v>1810</v>
      </c>
      <c r="C99" s="4220">
        <f>W8</f>
        <v>17</v>
      </c>
      <c r="D99" s="4220"/>
      <c r="E99" s="4220"/>
      <c r="F99" s="2702"/>
      <c r="G99" s="1837"/>
      <c r="H99" s="1837"/>
      <c r="I99" s="2690" t="s">
        <v>1809</v>
      </c>
      <c r="J99" s="2690" t="s">
        <v>1808</v>
      </c>
      <c r="K99" s="2700" t="str">
        <f>IF(W5=1,"x","")</f>
        <v>x</v>
      </c>
      <c r="L99" s="2694"/>
      <c r="M99" s="2694"/>
      <c r="N99" s="1837" t="s">
        <v>1807</v>
      </c>
      <c r="O99" s="1837"/>
      <c r="P99" s="1837"/>
      <c r="Q99" s="1837"/>
      <c r="R99" s="2697"/>
      <c r="S99" s="2696" t="s">
        <v>1800</v>
      </c>
      <c r="T99" s="2695">
        <f>L12</f>
        <v>1.6033333333333331</v>
      </c>
      <c r="U99" s="2657"/>
      <c r="V99" s="2651"/>
      <c r="W99" s="2651"/>
      <c r="X99" s="2651"/>
      <c r="Y99" s="2651"/>
    </row>
    <row r="100" spans="1:25" ht="15" customHeight="1">
      <c r="A100" s="2668"/>
      <c r="B100" s="1837"/>
      <c r="C100" s="4221">
        <f>W9</f>
        <v>51.515151515151516</v>
      </c>
      <c r="D100" s="4221"/>
      <c r="E100" s="4221"/>
      <c r="F100" s="2701"/>
      <c r="G100" s="1837"/>
      <c r="H100" s="1837"/>
      <c r="I100" s="2690"/>
      <c r="J100" s="2690" t="s">
        <v>1806</v>
      </c>
      <c r="K100" s="2700" t="str">
        <f>IF(W5=2,"x","")</f>
        <v/>
      </c>
      <c r="L100" s="2694"/>
      <c r="M100" s="2694"/>
      <c r="N100" s="1837"/>
      <c r="O100" s="1837"/>
      <c r="P100" s="1837"/>
      <c r="Q100" s="1837"/>
      <c r="R100" s="2697"/>
      <c r="S100" s="2696" t="s">
        <v>1798</v>
      </c>
      <c r="T100" s="2695">
        <f>L13</f>
        <v>1.0999999999999999</v>
      </c>
      <c r="U100" s="2657"/>
      <c r="V100" s="2651"/>
      <c r="W100" s="2651"/>
      <c r="X100" s="2651"/>
      <c r="Y100" s="2651"/>
    </row>
    <row r="101" spans="1:25" ht="15" customHeight="1">
      <c r="A101" s="2668"/>
      <c r="B101" s="2694"/>
      <c r="C101" s="2699"/>
      <c r="D101" s="2699"/>
      <c r="E101" s="2699"/>
      <c r="F101" s="2699"/>
      <c r="G101" s="2694"/>
      <c r="H101" s="2694"/>
      <c r="I101" s="2698"/>
      <c r="J101" s="2698"/>
      <c r="K101" s="2698"/>
      <c r="L101" s="2694"/>
      <c r="M101" s="2694"/>
      <c r="N101" s="1837"/>
      <c r="O101" s="1837"/>
      <c r="P101" s="1837"/>
      <c r="Q101" s="1837"/>
      <c r="R101" s="2697"/>
      <c r="S101" s="2696" t="s">
        <v>1805</v>
      </c>
      <c r="T101" s="2695">
        <f>L14</f>
        <v>1.02</v>
      </c>
      <c r="U101" s="2657"/>
      <c r="V101" s="2651"/>
      <c r="W101" s="2651"/>
      <c r="X101" s="2651"/>
      <c r="Y101" s="2651"/>
    </row>
    <row r="102" spans="1:25" ht="15" customHeight="1">
      <c r="A102" s="2668"/>
      <c r="B102" s="2694"/>
      <c r="C102" s="2694"/>
      <c r="D102" s="2694"/>
      <c r="E102" s="2694"/>
      <c r="F102" s="2694"/>
      <c r="G102" s="2694"/>
      <c r="H102" s="2694"/>
      <c r="I102" s="2694"/>
      <c r="J102" s="2694"/>
      <c r="K102" s="2694"/>
      <c r="L102" s="2694"/>
      <c r="M102" s="2694"/>
      <c r="N102" s="1837"/>
      <c r="O102" s="1837"/>
      <c r="P102" s="1837"/>
      <c r="Q102" s="1837"/>
      <c r="R102" s="2697"/>
      <c r="S102" s="2696" t="s">
        <v>1794</v>
      </c>
      <c r="T102" s="2695">
        <f>L15</f>
        <v>0.68666666666666676</v>
      </c>
      <c r="U102" s="2657"/>
      <c r="V102" s="2651"/>
      <c r="W102" s="2651"/>
      <c r="X102" s="2651"/>
      <c r="Y102" s="2651"/>
    </row>
    <row r="103" spans="1:25" ht="6" customHeight="1">
      <c r="A103" s="2668"/>
      <c r="B103" s="2694"/>
      <c r="C103" s="2694"/>
      <c r="D103" s="2694"/>
      <c r="E103" s="2694"/>
      <c r="F103" s="2694"/>
      <c r="G103" s="2694"/>
      <c r="H103" s="2694"/>
      <c r="I103" s="2694"/>
      <c r="J103" s="2694"/>
      <c r="K103" s="2694"/>
      <c r="L103" s="2694"/>
      <c r="M103" s="2694"/>
      <c r="N103" s="2694"/>
      <c r="O103" s="2694"/>
      <c r="P103" s="2694"/>
      <c r="Q103" s="2694"/>
      <c r="R103" s="2694"/>
      <c r="S103" s="2694"/>
      <c r="T103" s="2694"/>
      <c r="U103" s="2657"/>
      <c r="V103" s="2651"/>
      <c r="W103" s="2651"/>
      <c r="X103" s="2651"/>
      <c r="Y103" s="2651"/>
    </row>
    <row r="104" spans="1:25" ht="15" customHeight="1">
      <c r="A104" s="2668"/>
      <c r="B104" s="1837"/>
      <c r="C104" s="2666"/>
      <c r="D104" s="2691"/>
      <c r="E104" s="2666"/>
      <c r="F104" s="2666"/>
      <c r="G104" s="2693"/>
      <c r="H104" s="2693"/>
      <c r="I104" s="2666"/>
      <c r="J104" s="2666"/>
      <c r="K104" s="2666"/>
      <c r="L104" s="2666"/>
      <c r="M104" s="2666"/>
      <c r="N104" s="2692" t="s">
        <v>1804</v>
      </c>
      <c r="O104" s="2692"/>
      <c r="P104" s="1837"/>
      <c r="Q104" s="1837"/>
      <c r="R104" s="145"/>
      <c r="S104" s="145"/>
      <c r="T104" s="145"/>
      <c r="U104" s="2657"/>
      <c r="V104" s="2651"/>
      <c r="W104" s="2651"/>
      <c r="X104" s="2651"/>
      <c r="Y104" s="2651"/>
    </row>
    <row r="105" spans="1:25" ht="15" customHeight="1">
      <c r="A105" s="2668"/>
      <c r="B105" s="1837"/>
      <c r="C105" s="2691" t="s">
        <v>1803</v>
      </c>
      <c r="D105" s="1837"/>
      <c r="E105" s="2691"/>
      <c r="F105" s="2691"/>
      <c r="G105" s="145"/>
      <c r="H105" s="145"/>
      <c r="I105" s="4216" t="s">
        <v>1801</v>
      </c>
      <c r="J105" s="4216"/>
      <c r="K105" s="2666"/>
      <c r="L105" s="1837"/>
      <c r="M105" s="1837"/>
      <c r="N105" s="1837" t="s">
        <v>1802</v>
      </c>
      <c r="O105" s="1837"/>
      <c r="P105" s="2690" t="s">
        <v>1801</v>
      </c>
      <c r="Q105" s="2690"/>
      <c r="S105" s="1837"/>
      <c r="T105" s="2689"/>
      <c r="U105" s="2657"/>
      <c r="V105" s="2651"/>
      <c r="W105" s="2651"/>
      <c r="X105" s="2651"/>
      <c r="Y105" s="2651"/>
    </row>
    <row r="106" spans="1:25" ht="15" customHeight="1">
      <c r="A106" s="2668"/>
      <c r="B106" s="2686" t="s">
        <v>1800</v>
      </c>
      <c r="C106" s="2688">
        <f>L6</f>
        <v>1.4</v>
      </c>
      <c r="D106" s="2683" t="str">
        <f>IF($K$99="x","kg/dt TM",IF($K$100="x","kg/dt FM",""))</f>
        <v>kg/dt TM</v>
      </c>
      <c r="E106" s="2685"/>
      <c r="F106" s="2685"/>
      <c r="G106" s="2681"/>
      <c r="H106" s="2681"/>
      <c r="I106" s="2684">
        <f>IF($K$99="x",C106*$C$99*10,IF($K$100="x",C106*$C$100*10,0))</f>
        <v>237.99999999999997</v>
      </c>
      <c r="J106" s="2683" t="s">
        <v>1799</v>
      </c>
      <c r="K106" s="2682"/>
      <c r="L106" s="2681"/>
      <c r="M106" s="2681"/>
      <c r="N106" s="2687">
        <v>0.28000000000000003</v>
      </c>
      <c r="O106" s="2680"/>
      <c r="P106" s="2679">
        <f>I106*(1-N106)*T99</f>
        <v>274.74719999999991</v>
      </c>
      <c r="Q106" s="2678"/>
      <c r="S106" s="1837"/>
      <c r="T106" s="1837"/>
      <c r="U106" s="2657"/>
      <c r="V106" s="2651"/>
      <c r="W106" s="2651"/>
      <c r="X106" s="2651"/>
      <c r="Y106" s="2651"/>
    </row>
    <row r="107" spans="1:25" ht="15" customHeight="1">
      <c r="A107" s="2668"/>
      <c r="B107" s="2686" t="s">
        <v>1798</v>
      </c>
      <c r="C107" s="2686">
        <f>L8</f>
        <v>0.59</v>
      </c>
      <c r="D107" s="2683" t="str">
        <f>IF($K$99="x","kg/dt TM",IF($K$100="x","kg/dt FM",""))</f>
        <v>kg/dt TM</v>
      </c>
      <c r="E107" s="2685"/>
      <c r="F107" s="2685"/>
      <c r="G107" s="2681"/>
      <c r="H107" s="2681"/>
      <c r="I107" s="2684">
        <f>IF($K$99="x",C107*$C$99*10,IF($K$100="x",C107*$C$100*10,0))</f>
        <v>100.3</v>
      </c>
      <c r="J107" s="2683" t="s">
        <v>1797</v>
      </c>
      <c r="K107" s="2682"/>
      <c r="L107" s="2681"/>
      <c r="M107" s="2681"/>
      <c r="N107" s="2680">
        <v>0</v>
      </c>
      <c r="O107" s="2680"/>
      <c r="P107" s="2679">
        <f>I107*(1-N107)*T100</f>
        <v>110.32999999999998</v>
      </c>
      <c r="Q107" s="2678"/>
      <c r="S107" s="1837"/>
      <c r="T107" s="1837"/>
      <c r="U107" s="2657"/>
      <c r="V107" s="2651"/>
      <c r="W107" s="2651"/>
      <c r="X107" s="2651"/>
      <c r="Y107" s="2651"/>
    </row>
    <row r="108" spans="1:25" ht="15" customHeight="1">
      <c r="A108" s="2668"/>
      <c r="B108" s="2686" t="s">
        <v>1796</v>
      </c>
      <c r="C108" s="2686">
        <f>L9</f>
        <v>1.67</v>
      </c>
      <c r="D108" s="2683" t="str">
        <f>IF($K$99="x","kg/dt TM",IF($K$100="x","kg/dt FM",""))</f>
        <v>kg/dt TM</v>
      </c>
      <c r="E108" s="2685"/>
      <c r="F108" s="2685"/>
      <c r="G108" s="2681"/>
      <c r="H108" s="2681"/>
      <c r="I108" s="2684">
        <f>IF($K$99="x",C108*$C$99*10,IF($K$100="x",C108*$C$100*10,0))</f>
        <v>283.89999999999998</v>
      </c>
      <c r="J108" s="2683" t="s">
        <v>1795</v>
      </c>
      <c r="K108" s="2682"/>
      <c r="L108" s="2681"/>
      <c r="M108" s="2681"/>
      <c r="N108" s="2680">
        <v>0</v>
      </c>
      <c r="O108" s="2680"/>
      <c r="P108" s="2679">
        <f>I108*(1-N108)*T101</f>
        <v>289.57799999999997</v>
      </c>
      <c r="Q108" s="2678"/>
      <c r="S108" s="1837"/>
      <c r="T108" s="1837"/>
      <c r="U108" s="2657"/>
      <c r="V108" s="2651"/>
      <c r="W108" s="2651"/>
      <c r="X108" s="2651"/>
      <c r="Y108" s="2651"/>
    </row>
    <row r="109" spans="1:25" ht="15" customHeight="1">
      <c r="A109" s="2668"/>
      <c r="B109" s="2677" t="s">
        <v>1794</v>
      </c>
      <c r="C109" s="2677">
        <f>L10</f>
        <v>0.23</v>
      </c>
      <c r="D109" s="2674" t="str">
        <f>IF($K$99="x","kg/dt TM",IF($K$100="x","kg/dt FM",""))</f>
        <v>kg/dt TM</v>
      </c>
      <c r="E109" s="2676"/>
      <c r="F109" s="2676"/>
      <c r="G109" s="2672"/>
      <c r="H109" s="2672"/>
      <c r="I109" s="2675">
        <f>IF($K$99="x",C109*$C$99*10,IF($K$100="x",C109*$C$100*10,0))</f>
        <v>39.1</v>
      </c>
      <c r="J109" s="2674" t="s">
        <v>1793</v>
      </c>
      <c r="K109" s="2673"/>
      <c r="L109" s="2672"/>
      <c r="M109" s="2672"/>
      <c r="N109" s="2671">
        <v>0</v>
      </c>
      <c r="O109" s="2671"/>
      <c r="P109" s="2670">
        <f>I109*(1-N109)*T102</f>
        <v>26.84866666666667</v>
      </c>
      <c r="Q109" s="2669"/>
      <c r="R109" s="2496"/>
      <c r="S109" s="2496"/>
      <c r="T109" s="2496"/>
      <c r="U109" s="2657"/>
      <c r="V109" s="2651"/>
      <c r="W109" s="2651"/>
      <c r="X109" s="2651"/>
      <c r="Y109" s="2651"/>
    </row>
    <row r="110" spans="1:25" ht="20.100000000000001" customHeight="1" thickBot="1">
      <c r="A110" s="2668"/>
      <c r="B110" s="2667"/>
      <c r="C110" s="2667"/>
      <c r="D110" s="2664"/>
      <c r="E110" s="2666"/>
      <c r="F110" s="2666"/>
      <c r="G110" s="1837"/>
      <c r="H110" s="1837"/>
      <c r="I110" s="2665"/>
      <c r="J110" s="2664"/>
      <c r="K110" s="2663"/>
      <c r="L110" s="1837"/>
      <c r="M110" s="1837"/>
      <c r="N110" s="2662"/>
      <c r="O110" s="2660" t="s">
        <v>1792</v>
      </c>
      <c r="P110" s="2661">
        <f>SUM(P106:P109)</f>
        <v>701.50386666666657</v>
      </c>
      <c r="Q110" s="2660"/>
      <c r="S110" s="2659" t="s">
        <v>1791</v>
      </c>
      <c r="T110" s="2658">
        <f>IF($X$10=0,"        Ertrag ?",P110/X10)</f>
        <v>13.617427999999999</v>
      </c>
      <c r="U110" s="2657"/>
      <c r="V110" s="2651"/>
      <c r="W110" s="2651"/>
      <c r="X110" s="2651"/>
      <c r="Y110" s="2651"/>
    </row>
    <row r="111" spans="1:25" ht="6" customHeight="1" thickTop="1" thickBot="1">
      <c r="A111" s="2656"/>
      <c r="B111" s="2654"/>
      <c r="C111" s="2654"/>
      <c r="D111" s="2654"/>
      <c r="E111" s="2654"/>
      <c r="F111" s="2654"/>
      <c r="G111" s="2654"/>
      <c r="H111" s="2654"/>
      <c r="I111" s="2654"/>
      <c r="J111" s="2654"/>
      <c r="K111" s="2654"/>
      <c r="L111" s="2654"/>
      <c r="M111" s="2654"/>
      <c r="N111" s="2654"/>
      <c r="O111" s="2654"/>
      <c r="P111" s="2654"/>
      <c r="Q111" s="2654"/>
      <c r="R111" s="2655"/>
      <c r="S111" s="2654"/>
      <c r="T111" s="2654"/>
      <c r="U111" s="2653"/>
      <c r="V111" s="2651"/>
      <c r="W111" s="2651"/>
      <c r="X111" s="2651"/>
      <c r="Y111" s="2651"/>
    </row>
    <row r="112" spans="1:25">
      <c r="A112" s="2651"/>
      <c r="B112" s="2651"/>
      <c r="C112" s="2651"/>
      <c r="D112" s="2651"/>
      <c r="E112" s="2651"/>
      <c r="F112" s="2651"/>
      <c r="G112" s="2651"/>
      <c r="H112" s="2651"/>
      <c r="I112" s="2651"/>
      <c r="J112" s="2651"/>
      <c r="K112" s="2651"/>
      <c r="L112" s="2651"/>
      <c r="M112" s="2651"/>
      <c r="N112" s="2651"/>
      <c r="O112" s="2651"/>
      <c r="P112" s="2651"/>
      <c r="Q112" s="2651"/>
      <c r="R112" s="2651"/>
      <c r="S112" s="2651"/>
      <c r="T112" s="2651"/>
      <c r="U112" s="2652"/>
      <c r="V112" s="2651"/>
      <c r="W112" s="2651"/>
      <c r="X112" s="2651"/>
      <c r="Y112" s="2651"/>
    </row>
    <row r="113" spans="1:25">
      <c r="A113" s="2651"/>
      <c r="B113" s="2651"/>
      <c r="C113" s="2651"/>
      <c r="D113" s="2651"/>
      <c r="E113" s="2651"/>
      <c r="F113" s="2651"/>
      <c r="G113" s="2651"/>
      <c r="H113" s="2651"/>
      <c r="I113" s="2651"/>
      <c r="J113" s="2651"/>
      <c r="K113" s="2651"/>
      <c r="L113" s="2651"/>
      <c r="M113" s="2651"/>
      <c r="N113" s="2651"/>
      <c r="O113" s="2651"/>
      <c r="P113" s="2651"/>
      <c r="Q113" s="2651"/>
      <c r="R113" s="2651"/>
      <c r="S113" s="2651"/>
      <c r="T113" s="2651"/>
      <c r="U113" s="2651"/>
      <c r="V113" s="2651"/>
      <c r="W113" s="2651"/>
      <c r="X113" s="2651"/>
      <c r="Y113" s="2651"/>
    </row>
    <row r="114" spans="1:25">
      <c r="A114" s="2651"/>
      <c r="B114" s="2651"/>
      <c r="C114" s="2651"/>
      <c r="D114" s="2651"/>
      <c r="E114" s="2651"/>
      <c r="F114" s="2651"/>
      <c r="G114" s="2651"/>
      <c r="H114" s="2651"/>
      <c r="I114" s="2651"/>
      <c r="J114" s="2651"/>
      <c r="K114" s="2651"/>
      <c r="L114" s="2651"/>
      <c r="M114" s="2651"/>
      <c r="N114" s="2651"/>
      <c r="O114" s="2651"/>
      <c r="P114" s="2651"/>
      <c r="Q114" s="2651"/>
      <c r="R114" s="2651"/>
      <c r="S114" s="2651"/>
      <c r="T114" s="2651"/>
      <c r="U114" s="2651"/>
      <c r="V114" s="2651"/>
      <c r="W114" s="2651"/>
      <c r="X114" s="2651"/>
      <c r="Y114" s="2651"/>
    </row>
    <row r="115" spans="1:25">
      <c r="A115" s="2651"/>
      <c r="B115" s="2651"/>
      <c r="C115" s="2651"/>
      <c r="D115" s="2651"/>
      <c r="E115" s="2651"/>
      <c r="F115" s="2651"/>
      <c r="G115" s="2651"/>
      <c r="H115" s="2651"/>
      <c r="I115" s="2651"/>
      <c r="J115" s="2651"/>
      <c r="K115" s="2651"/>
      <c r="L115" s="2651"/>
      <c r="M115" s="2651"/>
      <c r="N115" s="2651"/>
      <c r="O115" s="2651"/>
      <c r="P115" s="2651"/>
      <c r="Q115" s="2651"/>
      <c r="R115" s="2651"/>
      <c r="S115" s="2651"/>
      <c r="T115" s="2651"/>
      <c r="U115" s="2651"/>
      <c r="V115" s="2651"/>
      <c r="W115" s="2651"/>
      <c r="X115" s="2651"/>
      <c r="Y115" s="2651"/>
    </row>
    <row r="116" spans="1:25">
      <c r="A116" s="2651"/>
      <c r="B116" s="2651"/>
      <c r="C116" s="2651"/>
      <c r="D116" s="2651"/>
      <c r="E116" s="2651"/>
      <c r="F116" s="2651"/>
      <c r="G116" s="2651"/>
      <c r="H116" s="2651"/>
      <c r="I116" s="2651"/>
      <c r="J116" s="2651"/>
      <c r="K116" s="2651"/>
      <c r="L116" s="2651"/>
      <c r="M116" s="2651"/>
      <c r="N116" s="2651"/>
      <c r="O116" s="2651"/>
      <c r="P116" s="2651"/>
      <c r="Q116" s="2651"/>
      <c r="R116" s="2651"/>
      <c r="S116" s="2651"/>
      <c r="T116" s="2651"/>
      <c r="U116" s="2651"/>
      <c r="V116" s="2651"/>
      <c r="W116" s="2651"/>
      <c r="X116" s="2651"/>
      <c r="Y116" s="2651"/>
    </row>
    <row r="117" spans="1:25">
      <c r="A117" s="2651"/>
      <c r="B117" s="2651"/>
      <c r="C117" s="2651"/>
      <c r="D117" s="2651"/>
      <c r="E117" s="2651"/>
      <c r="F117" s="2651"/>
      <c r="G117" s="2651"/>
      <c r="H117" s="2651"/>
      <c r="I117" s="2651"/>
      <c r="J117" s="2651"/>
      <c r="K117" s="2651"/>
      <c r="L117" s="2651"/>
      <c r="M117" s="2651"/>
      <c r="N117" s="2651"/>
      <c r="O117" s="2651"/>
      <c r="P117" s="2651"/>
      <c r="Q117" s="2651"/>
      <c r="R117" s="2651"/>
      <c r="S117" s="2651"/>
      <c r="T117" s="2651"/>
      <c r="U117" s="2651"/>
      <c r="V117" s="2651"/>
      <c r="W117" s="2651"/>
      <c r="X117" s="2651"/>
      <c r="Y117" s="2651"/>
    </row>
    <row r="118" spans="1:25">
      <c r="A118" s="136"/>
      <c r="B118" s="136"/>
      <c r="C118" s="136"/>
      <c r="D118" s="136"/>
      <c r="E118" s="136"/>
      <c r="F118" s="136"/>
      <c r="G118" s="136"/>
      <c r="H118" s="136"/>
      <c r="I118" s="136"/>
      <c r="J118" s="136"/>
      <c r="K118" s="136"/>
      <c r="L118" s="136"/>
      <c r="M118" s="136"/>
      <c r="N118" s="136"/>
      <c r="O118" s="136"/>
      <c r="P118" s="136"/>
      <c r="Q118" s="136"/>
      <c r="R118" s="136"/>
      <c r="S118" s="136"/>
      <c r="T118" s="136"/>
      <c r="U118" s="136"/>
    </row>
    <row r="119" spans="1:25">
      <c r="A119" s="136"/>
      <c r="B119" s="136"/>
      <c r="C119" s="136"/>
      <c r="D119" s="136"/>
      <c r="E119" s="136"/>
      <c r="F119" s="136"/>
      <c r="G119" s="136"/>
      <c r="H119" s="136"/>
      <c r="I119" s="136"/>
      <c r="J119" s="136"/>
      <c r="K119" s="136"/>
      <c r="L119" s="136"/>
      <c r="M119" s="136"/>
      <c r="N119" s="136"/>
      <c r="O119" s="136"/>
      <c r="P119" s="136"/>
      <c r="Q119" s="136"/>
      <c r="R119" s="136"/>
      <c r="S119" s="136"/>
      <c r="T119" s="136"/>
      <c r="U119" s="136"/>
    </row>
    <row r="120" spans="1:25">
      <c r="A120" s="136"/>
      <c r="B120" s="136"/>
      <c r="C120" s="136"/>
      <c r="D120" s="136"/>
      <c r="E120" s="136"/>
      <c r="F120" s="136"/>
      <c r="G120" s="136"/>
      <c r="H120" s="136"/>
      <c r="I120" s="136"/>
      <c r="J120" s="136"/>
      <c r="K120" s="136"/>
      <c r="L120" s="136"/>
      <c r="M120" s="136"/>
      <c r="N120" s="136"/>
      <c r="O120" s="136"/>
      <c r="P120" s="136"/>
      <c r="Q120" s="136"/>
      <c r="R120" s="136"/>
      <c r="S120" s="136"/>
      <c r="T120" s="136"/>
      <c r="U120" s="136"/>
    </row>
    <row r="121" spans="1:25">
      <c r="A121" s="136"/>
      <c r="B121" s="136"/>
      <c r="C121" s="136"/>
      <c r="D121" s="136"/>
      <c r="E121" s="136"/>
      <c r="F121" s="136"/>
      <c r="G121" s="136"/>
      <c r="H121" s="136"/>
      <c r="I121" s="136"/>
      <c r="J121" s="136"/>
      <c r="K121" s="136"/>
      <c r="L121" s="136"/>
      <c r="M121" s="136"/>
      <c r="N121" s="136"/>
      <c r="O121" s="136"/>
      <c r="P121" s="136"/>
      <c r="Q121" s="136"/>
      <c r="R121" s="136"/>
      <c r="S121" s="136"/>
      <c r="T121" s="136"/>
      <c r="U121" s="136"/>
    </row>
    <row r="122" spans="1:25">
      <c r="A122" s="136"/>
      <c r="B122" s="136"/>
      <c r="C122" s="136"/>
      <c r="D122" s="136"/>
      <c r="E122" s="136"/>
      <c r="F122" s="136"/>
      <c r="G122" s="136"/>
      <c r="H122" s="136"/>
      <c r="I122" s="136"/>
      <c r="J122" s="136"/>
      <c r="K122" s="136"/>
      <c r="L122" s="136"/>
      <c r="M122" s="136"/>
      <c r="N122" s="136"/>
      <c r="O122" s="136"/>
      <c r="P122" s="136"/>
      <c r="Q122" s="136"/>
      <c r="R122" s="136"/>
      <c r="S122" s="136"/>
      <c r="T122" s="136"/>
      <c r="U122" s="136"/>
    </row>
    <row r="123" spans="1:25">
      <c r="A123" s="136"/>
      <c r="B123" s="136"/>
      <c r="C123" s="136"/>
      <c r="D123" s="136"/>
      <c r="E123" s="136"/>
      <c r="F123" s="136"/>
      <c r="G123" s="136"/>
      <c r="H123" s="136"/>
      <c r="I123" s="136"/>
      <c r="J123" s="136"/>
      <c r="K123" s="136"/>
      <c r="L123" s="136"/>
      <c r="M123" s="136"/>
      <c r="N123" s="136"/>
      <c r="O123" s="136"/>
      <c r="P123" s="136"/>
      <c r="Q123" s="136"/>
      <c r="R123" s="136"/>
      <c r="S123" s="136"/>
      <c r="T123" s="136"/>
      <c r="U123" s="136"/>
    </row>
    <row r="124" spans="1:25">
      <c r="A124" s="136"/>
      <c r="B124" s="136"/>
      <c r="C124" s="136"/>
      <c r="D124" s="136"/>
      <c r="E124" s="136"/>
      <c r="F124" s="136"/>
      <c r="G124" s="136"/>
      <c r="H124" s="136"/>
      <c r="I124" s="136"/>
      <c r="J124" s="136"/>
      <c r="K124" s="136"/>
      <c r="L124" s="136"/>
      <c r="M124" s="136"/>
      <c r="N124" s="136"/>
      <c r="O124" s="136"/>
      <c r="P124" s="136"/>
      <c r="Q124" s="136"/>
      <c r="R124" s="136"/>
      <c r="S124" s="136"/>
      <c r="T124" s="136"/>
      <c r="U124" s="136"/>
    </row>
    <row r="125" spans="1:25">
      <c r="A125" s="136"/>
      <c r="B125" s="136"/>
      <c r="C125" s="136"/>
      <c r="D125" s="136"/>
      <c r="E125" s="136"/>
      <c r="F125" s="136"/>
      <c r="G125" s="136"/>
      <c r="H125" s="136"/>
      <c r="I125" s="136"/>
      <c r="J125" s="136"/>
      <c r="K125" s="136"/>
      <c r="L125" s="136"/>
      <c r="M125" s="136"/>
      <c r="N125" s="136"/>
      <c r="O125" s="136"/>
      <c r="P125" s="136"/>
      <c r="Q125" s="136"/>
      <c r="R125" s="136"/>
      <c r="S125" s="136"/>
      <c r="T125" s="136"/>
      <c r="U125" s="136"/>
    </row>
    <row r="126" spans="1:25">
      <c r="A126" s="136"/>
      <c r="B126" s="136"/>
      <c r="C126" s="136"/>
      <c r="D126" s="136"/>
      <c r="E126" s="136"/>
      <c r="F126" s="136"/>
      <c r="G126" s="136"/>
      <c r="H126" s="136"/>
      <c r="I126" s="136"/>
      <c r="J126" s="136"/>
      <c r="K126" s="136"/>
      <c r="L126" s="136"/>
      <c r="M126" s="136"/>
      <c r="N126" s="136"/>
      <c r="O126" s="136"/>
      <c r="P126" s="136"/>
      <c r="Q126" s="136"/>
      <c r="R126" s="136"/>
      <c r="S126" s="136"/>
      <c r="T126" s="136"/>
      <c r="U126" s="136"/>
    </row>
    <row r="127" spans="1:25">
      <c r="A127" s="136"/>
      <c r="B127" s="136"/>
      <c r="C127" s="136"/>
      <c r="D127" s="136"/>
      <c r="E127" s="136"/>
      <c r="F127" s="136"/>
      <c r="G127" s="136"/>
      <c r="H127" s="136"/>
      <c r="I127" s="136"/>
      <c r="J127" s="136"/>
      <c r="K127" s="136"/>
      <c r="L127" s="136"/>
      <c r="M127" s="136"/>
      <c r="N127" s="136"/>
      <c r="O127" s="136"/>
      <c r="P127" s="136"/>
      <c r="Q127" s="136"/>
      <c r="R127" s="136"/>
      <c r="S127" s="136"/>
      <c r="T127" s="136"/>
      <c r="U127" s="136"/>
    </row>
    <row r="128" spans="1:25">
      <c r="A128" s="136"/>
      <c r="B128" s="136"/>
      <c r="C128" s="136"/>
      <c r="D128" s="136"/>
      <c r="E128" s="136"/>
      <c r="F128" s="136"/>
      <c r="G128" s="136"/>
      <c r="H128" s="136"/>
      <c r="I128" s="136"/>
      <c r="J128" s="136"/>
      <c r="K128" s="136"/>
      <c r="L128" s="136"/>
      <c r="M128" s="136"/>
      <c r="N128" s="136"/>
      <c r="O128" s="136"/>
      <c r="P128" s="136"/>
      <c r="Q128" s="136"/>
      <c r="R128" s="136"/>
      <c r="S128" s="136"/>
      <c r="T128" s="136"/>
      <c r="U128" s="136"/>
    </row>
    <row r="129" spans="1:21">
      <c r="A129" s="136"/>
      <c r="B129" s="136"/>
      <c r="C129" s="136"/>
      <c r="D129" s="136"/>
      <c r="E129" s="136"/>
      <c r="F129" s="136"/>
      <c r="G129" s="136"/>
      <c r="H129" s="136"/>
      <c r="I129" s="136"/>
      <c r="J129" s="136"/>
      <c r="K129" s="136"/>
      <c r="L129" s="136"/>
      <c r="M129" s="136"/>
      <c r="N129" s="136"/>
      <c r="O129" s="136"/>
      <c r="P129" s="136"/>
      <c r="Q129" s="136"/>
      <c r="R129" s="136"/>
      <c r="S129" s="136"/>
      <c r="T129" s="136"/>
      <c r="U129" s="136"/>
    </row>
    <row r="130" spans="1:21">
      <c r="A130" s="136"/>
      <c r="B130" s="136"/>
      <c r="C130" s="136"/>
      <c r="D130" s="136"/>
      <c r="E130" s="136"/>
      <c r="F130" s="136"/>
      <c r="G130" s="136"/>
      <c r="H130" s="136"/>
      <c r="I130" s="136"/>
      <c r="J130" s="136"/>
      <c r="K130" s="136"/>
      <c r="L130" s="136"/>
      <c r="M130" s="136"/>
      <c r="N130" s="136"/>
      <c r="O130" s="136"/>
      <c r="P130" s="136"/>
      <c r="Q130" s="136"/>
      <c r="R130" s="136"/>
      <c r="S130" s="136"/>
      <c r="T130" s="136"/>
      <c r="U130" s="136"/>
    </row>
    <row r="131" spans="1:21">
      <c r="A131" s="136"/>
      <c r="B131" s="136"/>
      <c r="C131" s="136"/>
      <c r="D131" s="136"/>
      <c r="E131" s="136"/>
      <c r="F131" s="136"/>
      <c r="G131" s="136"/>
      <c r="H131" s="136"/>
      <c r="I131" s="136"/>
      <c r="J131" s="136"/>
      <c r="K131" s="136"/>
      <c r="L131" s="136"/>
      <c r="M131" s="136"/>
      <c r="N131" s="136"/>
      <c r="O131" s="136"/>
      <c r="P131" s="136"/>
      <c r="Q131" s="136"/>
      <c r="R131" s="136"/>
      <c r="S131" s="136"/>
      <c r="T131" s="136"/>
      <c r="U131" s="136"/>
    </row>
    <row r="132" spans="1:21">
      <c r="A132" s="136"/>
      <c r="B132" s="136"/>
      <c r="C132" s="136"/>
      <c r="D132" s="136"/>
      <c r="E132" s="136"/>
      <c r="F132" s="136"/>
      <c r="G132" s="136"/>
      <c r="H132" s="136"/>
      <c r="I132" s="136"/>
      <c r="J132" s="136"/>
      <c r="K132" s="136"/>
      <c r="L132" s="136"/>
      <c r="M132" s="136"/>
      <c r="N132" s="136"/>
      <c r="O132" s="136"/>
      <c r="P132" s="136"/>
      <c r="Q132" s="136"/>
      <c r="R132" s="136"/>
      <c r="S132" s="136"/>
      <c r="T132" s="136"/>
      <c r="U132" s="136"/>
    </row>
    <row r="133" spans="1:21">
      <c r="A133" s="136"/>
      <c r="B133" s="136"/>
      <c r="C133" s="136"/>
      <c r="D133" s="136"/>
      <c r="E133" s="136"/>
      <c r="F133" s="136"/>
      <c r="G133" s="136"/>
      <c r="H133" s="136"/>
      <c r="I133" s="136"/>
      <c r="J133" s="136"/>
      <c r="K133" s="136"/>
      <c r="L133" s="136"/>
      <c r="M133" s="136"/>
      <c r="N133" s="136"/>
      <c r="O133" s="136"/>
      <c r="P133" s="136"/>
      <c r="Q133" s="136"/>
      <c r="R133" s="136"/>
      <c r="S133" s="136"/>
      <c r="T133" s="136"/>
      <c r="U133" s="136"/>
    </row>
    <row r="134" spans="1:21">
      <c r="A134" s="136"/>
      <c r="B134" s="136"/>
      <c r="C134" s="136"/>
      <c r="D134" s="136"/>
      <c r="E134" s="136"/>
      <c r="F134" s="136"/>
      <c r="G134" s="136"/>
      <c r="H134" s="136"/>
      <c r="I134" s="136"/>
      <c r="J134" s="136"/>
      <c r="K134" s="136"/>
      <c r="L134" s="136"/>
      <c r="M134" s="136"/>
      <c r="N134" s="136"/>
      <c r="O134" s="136"/>
      <c r="P134" s="136"/>
      <c r="Q134" s="136"/>
      <c r="R134" s="136"/>
      <c r="S134" s="136"/>
      <c r="T134" s="136"/>
      <c r="U134" s="136"/>
    </row>
    <row r="135" spans="1:21">
      <c r="A135" s="136"/>
      <c r="B135" s="136"/>
      <c r="C135" s="136"/>
      <c r="D135" s="136"/>
      <c r="E135" s="136"/>
      <c r="F135" s="136"/>
      <c r="G135" s="136"/>
      <c r="H135" s="136"/>
      <c r="I135" s="136"/>
      <c r="J135" s="136"/>
      <c r="K135" s="136"/>
      <c r="L135" s="136"/>
      <c r="M135" s="136"/>
      <c r="N135" s="136"/>
      <c r="O135" s="136"/>
      <c r="P135" s="136"/>
      <c r="Q135" s="136"/>
      <c r="R135" s="136"/>
      <c r="S135" s="136"/>
      <c r="T135" s="136"/>
      <c r="U135" s="136"/>
    </row>
    <row r="136" spans="1:21">
      <c r="A136" s="136"/>
      <c r="B136" s="136"/>
      <c r="C136" s="136"/>
      <c r="D136" s="136"/>
      <c r="E136" s="136"/>
      <c r="F136" s="136"/>
      <c r="G136" s="136"/>
      <c r="H136" s="136"/>
      <c r="I136" s="136"/>
      <c r="J136" s="136"/>
      <c r="K136" s="136"/>
      <c r="L136" s="136"/>
      <c r="M136" s="136"/>
      <c r="N136" s="136"/>
      <c r="O136" s="136"/>
      <c r="P136" s="136"/>
      <c r="Q136" s="136"/>
      <c r="R136" s="136"/>
      <c r="S136" s="136"/>
      <c r="T136" s="136"/>
      <c r="U136" s="136"/>
    </row>
    <row r="137" spans="1:21">
      <c r="A137" s="136"/>
      <c r="B137" s="136"/>
      <c r="C137" s="136"/>
      <c r="D137" s="136"/>
      <c r="E137" s="136"/>
      <c r="F137" s="136"/>
      <c r="G137" s="136"/>
      <c r="H137" s="136"/>
      <c r="I137" s="136"/>
      <c r="J137" s="136"/>
      <c r="K137" s="136"/>
      <c r="L137" s="136"/>
      <c r="M137" s="136"/>
      <c r="N137" s="136"/>
      <c r="O137" s="136"/>
      <c r="P137" s="136"/>
      <c r="Q137" s="136"/>
      <c r="R137" s="136"/>
      <c r="S137" s="136"/>
      <c r="T137" s="136"/>
      <c r="U137" s="136"/>
    </row>
    <row r="138" spans="1:21">
      <c r="A138" s="136"/>
      <c r="B138" s="136"/>
      <c r="C138" s="136"/>
      <c r="D138" s="136"/>
      <c r="E138" s="136"/>
      <c r="F138" s="136"/>
      <c r="G138" s="136"/>
      <c r="H138" s="136"/>
      <c r="I138" s="136"/>
      <c r="J138" s="136"/>
      <c r="K138" s="136"/>
      <c r="L138" s="136"/>
      <c r="M138" s="136"/>
      <c r="N138" s="136"/>
      <c r="O138" s="136"/>
      <c r="P138" s="136"/>
      <c r="Q138" s="136"/>
      <c r="R138" s="136"/>
      <c r="S138" s="136"/>
      <c r="T138" s="136"/>
      <c r="U138" s="136"/>
    </row>
    <row r="139" spans="1:21">
      <c r="A139" s="136"/>
      <c r="B139" s="136"/>
      <c r="C139" s="136"/>
      <c r="D139" s="136"/>
      <c r="E139" s="136"/>
      <c r="F139" s="136"/>
      <c r="G139" s="136"/>
      <c r="H139" s="136"/>
      <c r="I139" s="136"/>
      <c r="J139" s="136"/>
      <c r="K139" s="136"/>
      <c r="L139" s="136"/>
      <c r="M139" s="136"/>
      <c r="N139" s="136"/>
      <c r="O139" s="136"/>
      <c r="P139" s="136"/>
      <c r="Q139" s="136"/>
      <c r="R139" s="136"/>
      <c r="S139" s="136"/>
      <c r="T139" s="136"/>
      <c r="U139" s="136"/>
    </row>
    <row r="140" spans="1:21">
      <c r="A140" s="136"/>
      <c r="B140" s="136"/>
      <c r="C140" s="136"/>
      <c r="D140" s="136"/>
      <c r="E140" s="136"/>
      <c r="F140" s="136"/>
      <c r="G140" s="136"/>
      <c r="H140" s="136"/>
      <c r="I140" s="136"/>
      <c r="J140" s="136"/>
      <c r="K140" s="136"/>
      <c r="L140" s="136"/>
      <c r="M140" s="136"/>
      <c r="N140" s="136"/>
      <c r="O140" s="136"/>
      <c r="P140" s="136"/>
      <c r="Q140" s="136"/>
      <c r="R140" s="136"/>
      <c r="S140" s="136"/>
      <c r="T140" s="136"/>
      <c r="U140" s="136"/>
    </row>
    <row r="141" spans="1:21">
      <c r="A141" s="136"/>
      <c r="B141" s="136"/>
      <c r="C141" s="136"/>
      <c r="D141" s="136"/>
      <c r="E141" s="136"/>
      <c r="F141" s="136"/>
      <c r="G141" s="136"/>
      <c r="H141" s="136"/>
      <c r="I141" s="136"/>
      <c r="J141" s="136"/>
      <c r="K141" s="136"/>
      <c r="L141" s="136"/>
      <c r="M141" s="136"/>
      <c r="N141" s="136"/>
      <c r="O141" s="136"/>
      <c r="P141" s="136"/>
      <c r="Q141" s="136"/>
      <c r="R141" s="136"/>
      <c r="S141" s="136"/>
      <c r="T141" s="136"/>
      <c r="U141" s="136"/>
    </row>
    <row r="142" spans="1:21">
      <c r="A142" s="136"/>
      <c r="B142" s="136"/>
      <c r="C142" s="136"/>
      <c r="D142" s="136"/>
      <c r="E142" s="136"/>
      <c r="F142" s="136"/>
      <c r="G142" s="136"/>
      <c r="H142" s="136"/>
      <c r="I142" s="136"/>
      <c r="J142" s="136"/>
      <c r="K142" s="136"/>
      <c r="L142" s="136"/>
      <c r="M142" s="136"/>
      <c r="N142" s="136"/>
      <c r="O142" s="136"/>
      <c r="P142" s="136"/>
      <c r="Q142" s="136"/>
      <c r="R142" s="136"/>
      <c r="S142" s="136"/>
      <c r="T142" s="136"/>
      <c r="U142" s="136"/>
    </row>
    <row r="143" spans="1:21">
      <c r="A143" s="136"/>
      <c r="B143" s="136"/>
      <c r="C143" s="136"/>
      <c r="D143" s="136"/>
      <c r="E143" s="136"/>
      <c r="F143" s="136"/>
      <c r="G143" s="136"/>
      <c r="H143" s="136"/>
      <c r="I143" s="136"/>
      <c r="J143" s="136"/>
      <c r="K143" s="136"/>
      <c r="L143" s="136"/>
      <c r="M143" s="136"/>
      <c r="N143" s="136"/>
      <c r="O143" s="136"/>
      <c r="P143" s="136"/>
      <c r="Q143" s="136"/>
      <c r="R143" s="136"/>
      <c r="S143" s="136"/>
      <c r="T143" s="136"/>
      <c r="U143" s="136"/>
    </row>
    <row r="144" spans="1:21">
      <c r="A144" s="136"/>
      <c r="B144" s="136"/>
      <c r="C144" s="136"/>
      <c r="D144" s="136"/>
      <c r="E144" s="136"/>
      <c r="F144" s="136"/>
      <c r="G144" s="136"/>
      <c r="H144" s="136"/>
      <c r="I144" s="136"/>
      <c r="J144" s="136"/>
      <c r="K144" s="136"/>
      <c r="L144" s="136"/>
      <c r="M144" s="136"/>
      <c r="N144" s="136"/>
      <c r="O144" s="136"/>
      <c r="P144" s="136"/>
      <c r="Q144" s="136"/>
      <c r="R144" s="136"/>
      <c r="S144" s="136"/>
      <c r="T144" s="136"/>
      <c r="U144" s="136"/>
    </row>
    <row r="145" spans="1:21">
      <c r="A145" s="136"/>
      <c r="B145" s="136"/>
      <c r="C145" s="136"/>
      <c r="D145" s="136"/>
      <c r="E145" s="136"/>
      <c r="F145" s="136"/>
      <c r="G145" s="136"/>
      <c r="H145" s="136"/>
      <c r="I145" s="136"/>
      <c r="J145" s="136"/>
      <c r="K145" s="136"/>
      <c r="L145" s="136"/>
      <c r="M145" s="136"/>
      <c r="N145" s="136"/>
      <c r="O145" s="136"/>
      <c r="P145" s="136"/>
      <c r="Q145" s="136"/>
      <c r="R145" s="136"/>
      <c r="S145" s="136"/>
      <c r="T145" s="136"/>
      <c r="U145" s="136"/>
    </row>
    <row r="146" spans="1:21">
      <c r="A146" s="136"/>
      <c r="B146" s="136"/>
      <c r="C146" s="136"/>
      <c r="D146" s="136"/>
      <c r="E146" s="136"/>
      <c r="F146" s="136"/>
      <c r="G146" s="136"/>
      <c r="H146" s="136"/>
      <c r="I146" s="136"/>
      <c r="J146" s="136"/>
      <c r="K146" s="136"/>
      <c r="L146" s="136"/>
      <c r="M146" s="136"/>
      <c r="N146" s="136"/>
      <c r="O146" s="136"/>
      <c r="P146" s="136"/>
      <c r="Q146" s="136"/>
      <c r="R146" s="136"/>
      <c r="S146" s="136"/>
      <c r="T146" s="136"/>
      <c r="U146" s="136"/>
    </row>
    <row r="147" spans="1:21">
      <c r="A147" s="136"/>
      <c r="B147" s="136"/>
      <c r="C147" s="136"/>
      <c r="D147" s="136"/>
      <c r="E147" s="136"/>
      <c r="F147" s="136"/>
      <c r="G147" s="136"/>
      <c r="H147" s="136"/>
      <c r="I147" s="136"/>
      <c r="J147" s="136"/>
      <c r="K147" s="136"/>
      <c r="L147" s="136"/>
      <c r="M147" s="136"/>
      <c r="N147" s="136"/>
      <c r="O147" s="136"/>
      <c r="P147" s="136"/>
      <c r="Q147" s="136"/>
      <c r="R147" s="136"/>
      <c r="S147" s="136"/>
      <c r="T147" s="136"/>
      <c r="U147" s="136"/>
    </row>
    <row r="148" spans="1:21">
      <c r="A148" s="136"/>
      <c r="B148" s="136"/>
      <c r="C148" s="136"/>
      <c r="D148" s="136"/>
      <c r="E148" s="136"/>
      <c r="F148" s="136"/>
      <c r="G148" s="136"/>
      <c r="H148" s="136"/>
      <c r="I148" s="136"/>
      <c r="J148" s="136"/>
      <c r="K148" s="136"/>
      <c r="L148" s="136"/>
      <c r="M148" s="136"/>
      <c r="N148" s="136"/>
      <c r="O148" s="136"/>
      <c r="P148" s="136"/>
      <c r="Q148" s="136"/>
      <c r="R148" s="136"/>
      <c r="S148" s="136"/>
      <c r="T148" s="136"/>
      <c r="U148" s="136"/>
    </row>
    <row r="149" spans="1:21">
      <c r="A149" s="136"/>
      <c r="B149" s="136"/>
      <c r="C149" s="136"/>
      <c r="D149" s="136"/>
      <c r="E149" s="136"/>
      <c r="F149" s="136"/>
      <c r="G149" s="136"/>
      <c r="H149" s="136"/>
      <c r="I149" s="136"/>
      <c r="J149" s="136"/>
      <c r="K149" s="136"/>
      <c r="L149" s="136"/>
      <c r="M149" s="136"/>
      <c r="N149" s="136"/>
      <c r="O149" s="136"/>
      <c r="P149" s="136"/>
      <c r="Q149" s="136"/>
      <c r="R149" s="136"/>
      <c r="S149" s="136"/>
      <c r="T149" s="136"/>
      <c r="U149" s="136"/>
    </row>
    <row r="150" spans="1:21">
      <c r="A150" s="136"/>
      <c r="B150" s="136"/>
      <c r="C150" s="136"/>
      <c r="D150" s="136"/>
      <c r="E150" s="136"/>
      <c r="F150" s="136"/>
      <c r="G150" s="136"/>
      <c r="H150" s="136"/>
      <c r="I150" s="136"/>
      <c r="J150" s="136"/>
      <c r="K150" s="136"/>
      <c r="L150" s="136"/>
      <c r="M150" s="136"/>
      <c r="N150" s="136"/>
      <c r="O150" s="136"/>
      <c r="P150" s="136"/>
      <c r="Q150" s="136"/>
      <c r="R150" s="136"/>
      <c r="S150" s="136"/>
      <c r="T150" s="136"/>
      <c r="U150" s="136"/>
    </row>
    <row r="151" spans="1:21">
      <c r="A151" s="136"/>
      <c r="B151" s="136"/>
      <c r="C151" s="136"/>
      <c r="D151" s="136"/>
      <c r="E151" s="136"/>
      <c r="F151" s="136"/>
      <c r="G151" s="136"/>
      <c r="H151" s="136"/>
      <c r="I151" s="136"/>
      <c r="J151" s="136"/>
      <c r="K151" s="136"/>
      <c r="L151" s="136"/>
      <c r="M151" s="136"/>
      <c r="N151" s="136"/>
      <c r="O151" s="136"/>
      <c r="P151" s="136"/>
      <c r="Q151" s="136"/>
      <c r="R151" s="136"/>
      <c r="S151" s="136"/>
      <c r="T151" s="136"/>
      <c r="U151" s="136"/>
    </row>
    <row r="152" spans="1:21">
      <c r="A152" s="136"/>
      <c r="B152" s="136"/>
      <c r="C152" s="136"/>
      <c r="D152" s="136"/>
      <c r="E152" s="136"/>
      <c r="F152" s="136"/>
      <c r="G152" s="136"/>
      <c r="H152" s="136"/>
      <c r="I152" s="136"/>
      <c r="J152" s="136"/>
      <c r="K152" s="136"/>
      <c r="L152" s="136"/>
      <c r="M152" s="136"/>
      <c r="N152" s="136"/>
      <c r="O152" s="136"/>
      <c r="P152" s="136"/>
      <c r="Q152" s="136"/>
      <c r="R152" s="136"/>
      <c r="S152" s="136"/>
      <c r="T152" s="136"/>
      <c r="U152" s="136"/>
    </row>
    <row r="153" spans="1:21">
      <c r="A153" s="136"/>
      <c r="B153" s="136"/>
      <c r="C153" s="136"/>
      <c r="D153" s="136"/>
      <c r="E153" s="136"/>
      <c r="F153" s="136"/>
      <c r="G153" s="136"/>
      <c r="H153" s="136"/>
      <c r="I153" s="136"/>
      <c r="J153" s="136"/>
      <c r="K153" s="136"/>
      <c r="L153" s="136"/>
      <c r="M153" s="136"/>
      <c r="N153" s="136"/>
      <c r="O153" s="136"/>
      <c r="P153" s="136"/>
      <c r="Q153" s="136"/>
      <c r="R153" s="136"/>
      <c r="S153" s="136"/>
      <c r="T153" s="136"/>
      <c r="U153" s="136"/>
    </row>
    <row r="154" spans="1:21">
      <c r="A154" s="136"/>
      <c r="B154" s="136"/>
      <c r="C154" s="136"/>
      <c r="D154" s="136"/>
      <c r="E154" s="136"/>
      <c r="F154" s="136"/>
      <c r="G154" s="136"/>
      <c r="H154" s="136"/>
      <c r="I154" s="136"/>
      <c r="J154" s="136"/>
      <c r="K154" s="136"/>
      <c r="L154" s="136"/>
      <c r="M154" s="136"/>
      <c r="N154" s="136"/>
      <c r="O154" s="136"/>
      <c r="P154" s="136"/>
      <c r="Q154" s="136"/>
      <c r="R154" s="136"/>
      <c r="S154" s="136"/>
      <c r="T154" s="136"/>
      <c r="U154" s="136"/>
    </row>
    <row r="155" spans="1:21">
      <c r="A155" s="136"/>
      <c r="B155" s="136"/>
      <c r="C155" s="136"/>
      <c r="D155" s="136"/>
      <c r="E155" s="136"/>
      <c r="F155" s="136"/>
      <c r="G155" s="136"/>
      <c r="H155" s="136"/>
      <c r="I155" s="136"/>
      <c r="J155" s="136"/>
      <c r="K155" s="136"/>
      <c r="L155" s="136"/>
      <c r="M155" s="136"/>
      <c r="N155" s="136"/>
      <c r="O155" s="136"/>
      <c r="P155" s="136"/>
      <c r="Q155" s="136"/>
      <c r="R155" s="136"/>
      <c r="S155" s="136"/>
      <c r="T155" s="136"/>
      <c r="U155" s="136"/>
    </row>
    <row r="156" spans="1:21">
      <c r="A156" s="136"/>
      <c r="B156" s="136"/>
      <c r="C156" s="136"/>
      <c r="D156" s="136"/>
      <c r="E156" s="136"/>
      <c r="F156" s="136"/>
      <c r="G156" s="136"/>
      <c r="H156" s="136"/>
      <c r="I156" s="136"/>
      <c r="J156" s="136"/>
      <c r="K156" s="136"/>
      <c r="L156" s="136"/>
      <c r="M156" s="136"/>
      <c r="N156" s="136"/>
      <c r="O156" s="136"/>
      <c r="P156" s="136"/>
      <c r="Q156" s="136"/>
      <c r="R156" s="136"/>
      <c r="S156" s="136"/>
      <c r="T156" s="136"/>
      <c r="U156" s="136"/>
    </row>
    <row r="157" spans="1:21">
      <c r="A157" s="136"/>
      <c r="B157" s="136"/>
      <c r="C157" s="136"/>
      <c r="D157" s="136"/>
      <c r="E157" s="136"/>
      <c r="F157" s="136"/>
      <c r="G157" s="136"/>
      <c r="H157" s="136"/>
      <c r="I157" s="136"/>
      <c r="J157" s="136"/>
      <c r="K157" s="136"/>
      <c r="L157" s="136"/>
      <c r="M157" s="136"/>
      <c r="N157" s="136"/>
      <c r="O157" s="136"/>
      <c r="P157" s="136"/>
      <c r="Q157" s="136"/>
      <c r="R157" s="136"/>
      <c r="S157" s="136"/>
      <c r="T157" s="136"/>
      <c r="U157" s="136"/>
    </row>
    <row r="158" spans="1:21">
      <c r="A158" s="136"/>
      <c r="B158" s="136"/>
      <c r="C158" s="136"/>
      <c r="D158" s="136"/>
      <c r="E158" s="136"/>
      <c r="F158" s="136"/>
      <c r="G158" s="136"/>
      <c r="H158" s="136"/>
      <c r="I158" s="136"/>
      <c r="J158" s="136"/>
      <c r="K158" s="136"/>
      <c r="L158" s="136"/>
      <c r="M158" s="136"/>
      <c r="N158" s="136"/>
      <c r="O158" s="136"/>
      <c r="P158" s="136"/>
      <c r="Q158" s="136"/>
      <c r="R158" s="136"/>
      <c r="S158" s="136"/>
      <c r="T158" s="136"/>
      <c r="U158" s="136"/>
    </row>
    <row r="159" spans="1:21">
      <c r="A159" s="136"/>
      <c r="B159" s="136"/>
      <c r="C159" s="136"/>
      <c r="D159" s="136"/>
      <c r="E159" s="136"/>
      <c r="F159" s="136"/>
      <c r="G159" s="136"/>
      <c r="H159" s="136"/>
      <c r="I159" s="136"/>
      <c r="J159" s="136"/>
      <c r="K159" s="136"/>
      <c r="L159" s="136"/>
      <c r="M159" s="136"/>
      <c r="N159" s="136"/>
      <c r="O159" s="136"/>
      <c r="P159" s="136"/>
      <c r="Q159" s="136"/>
      <c r="R159" s="136"/>
      <c r="S159" s="136"/>
      <c r="T159" s="136"/>
      <c r="U159" s="136"/>
    </row>
    <row r="160" spans="1:21">
      <c r="A160" s="136"/>
      <c r="B160" s="136"/>
      <c r="C160" s="136"/>
      <c r="D160" s="136"/>
      <c r="E160" s="136"/>
      <c r="F160" s="136"/>
      <c r="G160" s="136"/>
      <c r="H160" s="136"/>
      <c r="I160" s="136"/>
      <c r="J160" s="136"/>
      <c r="K160" s="136"/>
      <c r="L160" s="136"/>
      <c r="M160" s="136"/>
      <c r="N160" s="136"/>
      <c r="O160" s="136"/>
      <c r="P160" s="136"/>
      <c r="Q160" s="136"/>
      <c r="R160" s="136"/>
      <c r="S160" s="136"/>
      <c r="T160" s="136"/>
      <c r="U160" s="136"/>
    </row>
    <row r="161" spans="1:21">
      <c r="A161" s="136"/>
      <c r="B161" s="136"/>
      <c r="C161" s="136"/>
      <c r="D161" s="136"/>
      <c r="E161" s="136"/>
      <c r="F161" s="136"/>
      <c r="G161" s="136"/>
      <c r="H161" s="136"/>
      <c r="I161" s="136"/>
      <c r="J161" s="136"/>
      <c r="K161" s="136"/>
      <c r="L161" s="136"/>
      <c r="M161" s="136"/>
      <c r="N161" s="136"/>
      <c r="O161" s="136"/>
      <c r="P161" s="136"/>
      <c r="Q161" s="136"/>
      <c r="R161" s="136"/>
      <c r="S161" s="136"/>
      <c r="T161" s="136"/>
      <c r="U161" s="136"/>
    </row>
    <row r="162" spans="1:21">
      <c r="A162" s="136"/>
      <c r="B162" s="136"/>
      <c r="C162" s="136"/>
      <c r="D162" s="136"/>
      <c r="E162" s="136"/>
      <c r="F162" s="136"/>
      <c r="G162" s="136"/>
      <c r="H162" s="136"/>
      <c r="I162" s="136"/>
      <c r="J162" s="136"/>
      <c r="K162" s="136"/>
      <c r="L162" s="136"/>
      <c r="M162" s="136"/>
      <c r="N162" s="136"/>
      <c r="O162" s="136"/>
      <c r="P162" s="136"/>
      <c r="Q162" s="136"/>
      <c r="R162" s="136"/>
      <c r="S162" s="136"/>
      <c r="T162" s="136"/>
      <c r="U162" s="136"/>
    </row>
    <row r="163" spans="1:21">
      <c r="A163" s="136"/>
      <c r="B163" s="136"/>
      <c r="C163" s="136"/>
      <c r="D163" s="136"/>
      <c r="E163" s="136"/>
      <c r="F163" s="136"/>
      <c r="G163" s="136"/>
      <c r="H163" s="136"/>
      <c r="I163" s="136"/>
      <c r="J163" s="136"/>
      <c r="K163" s="136"/>
      <c r="L163" s="136"/>
      <c r="M163" s="136"/>
      <c r="N163" s="136"/>
      <c r="O163" s="136"/>
      <c r="P163" s="136"/>
      <c r="Q163" s="136"/>
      <c r="R163" s="136"/>
      <c r="S163" s="136"/>
      <c r="T163" s="136"/>
      <c r="U163" s="136"/>
    </row>
    <row r="164" spans="1:21">
      <c r="A164" s="136"/>
      <c r="B164" s="136"/>
      <c r="C164" s="136"/>
      <c r="D164" s="136"/>
      <c r="E164" s="136"/>
      <c r="F164" s="136"/>
      <c r="G164" s="136"/>
      <c r="H164" s="136"/>
      <c r="I164" s="136"/>
      <c r="J164" s="136"/>
      <c r="K164" s="136"/>
      <c r="L164" s="136"/>
      <c r="M164" s="136"/>
      <c r="N164" s="136"/>
      <c r="O164" s="136"/>
      <c r="P164" s="136"/>
      <c r="Q164" s="136"/>
      <c r="R164" s="136"/>
      <c r="S164" s="136"/>
      <c r="T164" s="136"/>
      <c r="U164" s="136"/>
    </row>
    <row r="165" spans="1:21">
      <c r="A165" s="136"/>
      <c r="B165" s="136"/>
      <c r="C165" s="136"/>
      <c r="D165" s="136"/>
      <c r="E165" s="136"/>
      <c r="F165" s="136"/>
      <c r="G165" s="136"/>
      <c r="H165" s="136"/>
      <c r="I165" s="136"/>
      <c r="J165" s="136"/>
      <c r="K165" s="136"/>
      <c r="L165" s="136"/>
      <c r="M165" s="136"/>
      <c r="N165" s="136"/>
      <c r="O165" s="136"/>
      <c r="P165" s="136"/>
      <c r="Q165" s="136"/>
      <c r="R165" s="136"/>
      <c r="S165" s="136"/>
      <c r="T165" s="136"/>
      <c r="U165" s="136"/>
    </row>
    <row r="166" spans="1:21">
      <c r="A166" s="136"/>
      <c r="B166" s="136"/>
      <c r="C166" s="136"/>
      <c r="D166" s="136"/>
      <c r="E166" s="136"/>
      <c r="F166" s="136"/>
      <c r="G166" s="136"/>
      <c r="H166" s="136"/>
      <c r="I166" s="136"/>
      <c r="J166" s="136"/>
      <c r="K166" s="136"/>
      <c r="L166" s="136"/>
      <c r="M166" s="136"/>
      <c r="N166" s="136"/>
      <c r="O166" s="136"/>
      <c r="P166" s="136"/>
      <c r="Q166" s="136"/>
      <c r="R166" s="136"/>
      <c r="S166" s="136"/>
      <c r="T166" s="136"/>
      <c r="U166" s="136"/>
    </row>
    <row r="167" spans="1:21">
      <c r="A167" s="136"/>
      <c r="B167" s="136"/>
      <c r="C167" s="136"/>
      <c r="D167" s="136"/>
      <c r="E167" s="136"/>
      <c r="F167" s="136"/>
      <c r="G167" s="136"/>
      <c r="H167" s="136"/>
      <c r="I167" s="136"/>
      <c r="J167" s="136"/>
      <c r="K167" s="136"/>
      <c r="L167" s="136"/>
      <c r="M167" s="136"/>
      <c r="N167" s="136"/>
      <c r="O167" s="136"/>
      <c r="P167" s="136"/>
      <c r="Q167" s="136"/>
      <c r="R167" s="136"/>
      <c r="S167" s="136"/>
      <c r="T167" s="136"/>
      <c r="U167" s="136"/>
    </row>
    <row r="168" spans="1:21">
      <c r="A168" s="136"/>
      <c r="B168" s="136"/>
      <c r="C168" s="136"/>
      <c r="D168" s="136"/>
      <c r="E168" s="136"/>
      <c r="F168" s="136"/>
      <c r="G168" s="136"/>
      <c r="H168" s="136"/>
      <c r="I168" s="136"/>
      <c r="J168" s="136"/>
      <c r="K168" s="136"/>
      <c r="L168" s="136"/>
      <c r="M168" s="136"/>
      <c r="N168" s="136"/>
      <c r="O168" s="136"/>
      <c r="P168" s="136"/>
      <c r="Q168" s="136"/>
      <c r="R168" s="136"/>
      <c r="S168" s="136"/>
      <c r="T168" s="136"/>
      <c r="U168" s="136"/>
    </row>
    <row r="169" spans="1:21">
      <c r="A169" s="136"/>
      <c r="B169" s="136"/>
      <c r="C169" s="136"/>
      <c r="D169" s="136"/>
      <c r="E169" s="136"/>
      <c r="F169" s="136"/>
      <c r="G169" s="136"/>
      <c r="H169" s="136"/>
      <c r="I169" s="136"/>
      <c r="J169" s="136"/>
      <c r="K169" s="136"/>
      <c r="L169" s="136"/>
      <c r="M169" s="136"/>
      <c r="N169" s="136"/>
      <c r="O169" s="136"/>
      <c r="P169" s="136"/>
      <c r="Q169" s="136"/>
      <c r="R169" s="136"/>
      <c r="S169" s="136"/>
      <c r="T169" s="136"/>
      <c r="U169" s="136"/>
    </row>
    <row r="170" spans="1:21">
      <c r="A170" s="136"/>
      <c r="B170" s="136"/>
      <c r="C170" s="136"/>
      <c r="D170" s="136"/>
      <c r="E170" s="136"/>
      <c r="F170" s="136"/>
      <c r="G170" s="136"/>
      <c r="H170" s="136"/>
      <c r="I170" s="136"/>
      <c r="J170" s="136"/>
      <c r="K170" s="136"/>
      <c r="L170" s="136"/>
      <c r="M170" s="136"/>
      <c r="N170" s="136"/>
      <c r="O170" s="136"/>
      <c r="P170" s="136"/>
      <c r="Q170" s="136"/>
      <c r="R170" s="136"/>
      <c r="S170" s="136"/>
      <c r="T170" s="136"/>
      <c r="U170" s="136"/>
    </row>
    <row r="171" spans="1:21">
      <c r="A171" s="136"/>
      <c r="B171" s="136"/>
      <c r="C171" s="136"/>
      <c r="D171" s="136"/>
      <c r="E171" s="136"/>
      <c r="F171" s="136"/>
      <c r="G171" s="136"/>
      <c r="H171" s="136"/>
      <c r="I171" s="136"/>
      <c r="J171" s="136"/>
      <c r="K171" s="136"/>
      <c r="L171" s="136"/>
      <c r="M171" s="136"/>
      <c r="N171" s="136"/>
      <c r="O171" s="136"/>
      <c r="P171" s="136"/>
      <c r="Q171" s="136"/>
      <c r="R171" s="136"/>
      <c r="S171" s="136"/>
      <c r="T171" s="136"/>
      <c r="U171" s="136"/>
    </row>
    <row r="172" spans="1:21">
      <c r="A172" s="136"/>
      <c r="B172" s="136"/>
      <c r="C172" s="136"/>
      <c r="D172" s="136"/>
      <c r="E172" s="136"/>
      <c r="F172" s="136"/>
      <c r="G172" s="136"/>
      <c r="H172" s="136"/>
      <c r="I172" s="136"/>
      <c r="J172" s="136"/>
      <c r="K172" s="136"/>
      <c r="L172" s="136"/>
      <c r="M172" s="136"/>
      <c r="N172" s="136"/>
      <c r="O172" s="136"/>
      <c r="P172" s="136"/>
      <c r="Q172" s="136"/>
      <c r="R172" s="136"/>
      <c r="S172" s="136"/>
      <c r="T172" s="136"/>
      <c r="U172" s="136"/>
    </row>
    <row r="173" spans="1:21">
      <c r="A173" s="136"/>
      <c r="B173" s="136"/>
      <c r="C173" s="136"/>
      <c r="D173" s="136"/>
      <c r="E173" s="136"/>
      <c r="F173" s="136"/>
      <c r="G173" s="136"/>
      <c r="H173" s="136"/>
      <c r="I173" s="136"/>
      <c r="J173" s="136"/>
      <c r="K173" s="136"/>
      <c r="L173" s="136"/>
      <c r="M173" s="136"/>
      <c r="N173" s="136"/>
      <c r="O173" s="136"/>
      <c r="P173" s="136"/>
      <c r="Q173" s="136"/>
      <c r="R173" s="136"/>
      <c r="S173" s="136"/>
      <c r="T173" s="136"/>
      <c r="U173" s="136"/>
    </row>
    <row r="174" spans="1:21">
      <c r="A174" s="136"/>
      <c r="B174" s="136"/>
      <c r="C174" s="136"/>
      <c r="D174" s="136"/>
      <c r="E174" s="136"/>
      <c r="F174" s="136"/>
      <c r="G174" s="136"/>
      <c r="H174" s="136"/>
      <c r="I174" s="136"/>
      <c r="J174" s="136"/>
      <c r="K174" s="136"/>
      <c r="L174" s="136"/>
      <c r="M174" s="136"/>
      <c r="N174" s="136"/>
      <c r="O174" s="136"/>
      <c r="P174" s="136"/>
      <c r="Q174" s="136"/>
      <c r="R174" s="136"/>
      <c r="S174" s="136"/>
      <c r="T174" s="136"/>
      <c r="U174" s="136"/>
    </row>
    <row r="175" spans="1:21">
      <c r="A175" s="136"/>
      <c r="B175" s="136"/>
      <c r="C175" s="136"/>
      <c r="D175" s="136"/>
      <c r="E175" s="136"/>
      <c r="F175" s="136"/>
      <c r="G175" s="136"/>
      <c r="H175" s="136"/>
      <c r="I175" s="136"/>
      <c r="J175" s="136"/>
      <c r="K175" s="136"/>
      <c r="L175" s="136"/>
      <c r="M175" s="136"/>
      <c r="N175" s="136"/>
      <c r="O175" s="136"/>
      <c r="P175" s="136"/>
      <c r="Q175" s="136"/>
      <c r="R175" s="136"/>
      <c r="S175" s="136"/>
      <c r="T175" s="136"/>
      <c r="U175" s="136"/>
    </row>
    <row r="176" spans="1:21">
      <c r="A176" s="136"/>
      <c r="B176" s="136"/>
      <c r="C176" s="136"/>
      <c r="D176" s="136"/>
      <c r="E176" s="136"/>
      <c r="F176" s="136"/>
      <c r="G176" s="136"/>
      <c r="H176" s="136"/>
      <c r="I176" s="136"/>
      <c r="J176" s="136"/>
      <c r="K176" s="136"/>
      <c r="L176" s="136"/>
      <c r="M176" s="136"/>
      <c r="N176" s="136"/>
      <c r="O176" s="136"/>
      <c r="P176" s="136"/>
      <c r="Q176" s="136"/>
      <c r="R176" s="136"/>
      <c r="S176" s="136"/>
      <c r="T176" s="136"/>
      <c r="U176" s="136"/>
    </row>
    <row r="177" spans="1:21">
      <c r="A177" s="136"/>
      <c r="B177" s="136"/>
      <c r="C177" s="136"/>
      <c r="D177" s="136"/>
      <c r="E177" s="136"/>
      <c r="F177" s="136"/>
      <c r="G177" s="136"/>
      <c r="H177" s="136"/>
      <c r="I177" s="136"/>
      <c r="J177" s="136"/>
      <c r="K177" s="136"/>
      <c r="L177" s="136"/>
      <c r="M177" s="136"/>
      <c r="N177" s="136"/>
      <c r="O177" s="136"/>
      <c r="P177" s="136"/>
      <c r="Q177" s="136"/>
      <c r="R177" s="136"/>
      <c r="S177" s="136"/>
      <c r="T177" s="136"/>
      <c r="U177" s="136"/>
    </row>
    <row r="178" spans="1:21">
      <c r="A178" s="136"/>
      <c r="B178" s="136"/>
      <c r="C178" s="136"/>
      <c r="D178" s="136"/>
      <c r="E178" s="136"/>
      <c r="F178" s="136"/>
      <c r="G178" s="136"/>
      <c r="H178" s="136"/>
      <c r="I178" s="136"/>
      <c r="J178" s="136"/>
      <c r="K178" s="136"/>
      <c r="L178" s="136"/>
      <c r="M178" s="136"/>
      <c r="N178" s="136"/>
      <c r="O178" s="136"/>
      <c r="P178" s="136"/>
      <c r="Q178" s="136"/>
      <c r="R178" s="136"/>
      <c r="S178" s="136"/>
      <c r="T178" s="136"/>
      <c r="U178" s="136"/>
    </row>
    <row r="179" spans="1:21">
      <c r="A179" s="136"/>
      <c r="B179" s="136"/>
      <c r="C179" s="136"/>
      <c r="D179" s="136"/>
      <c r="E179" s="136"/>
      <c r="F179" s="136"/>
      <c r="G179" s="136"/>
      <c r="H179" s="136"/>
      <c r="I179" s="136"/>
      <c r="J179" s="136"/>
      <c r="K179" s="136"/>
      <c r="L179" s="136"/>
      <c r="M179" s="136"/>
      <c r="N179" s="136"/>
      <c r="O179" s="136"/>
      <c r="P179" s="136"/>
      <c r="Q179" s="136"/>
      <c r="R179" s="136"/>
      <c r="S179" s="136"/>
      <c r="T179" s="136"/>
      <c r="U179" s="136"/>
    </row>
    <row r="180" spans="1:21">
      <c r="A180" s="136"/>
      <c r="B180" s="136"/>
      <c r="C180" s="136"/>
      <c r="D180" s="136"/>
      <c r="E180" s="136"/>
      <c r="F180" s="136"/>
      <c r="G180" s="136"/>
      <c r="H180" s="136"/>
      <c r="I180" s="136"/>
      <c r="J180" s="136"/>
      <c r="K180" s="136"/>
      <c r="L180" s="136"/>
      <c r="M180" s="136"/>
      <c r="N180" s="136"/>
      <c r="O180" s="136"/>
      <c r="P180" s="136"/>
      <c r="Q180" s="136"/>
      <c r="R180" s="136"/>
      <c r="S180" s="136"/>
      <c r="T180" s="136"/>
      <c r="U180" s="136"/>
    </row>
    <row r="181" spans="1:21">
      <c r="A181" s="136"/>
      <c r="B181" s="136"/>
      <c r="C181" s="136"/>
      <c r="D181" s="136"/>
      <c r="E181" s="136"/>
      <c r="F181" s="136"/>
      <c r="G181" s="136"/>
      <c r="H181" s="136"/>
      <c r="I181" s="136"/>
      <c r="J181" s="136"/>
      <c r="K181" s="136"/>
      <c r="L181" s="136"/>
      <c r="M181" s="136"/>
      <c r="N181" s="136"/>
      <c r="O181" s="136"/>
      <c r="P181" s="136"/>
      <c r="Q181" s="136"/>
      <c r="R181" s="136"/>
      <c r="S181" s="136"/>
      <c r="T181" s="136"/>
      <c r="U181" s="136"/>
    </row>
    <row r="182" spans="1:21">
      <c r="A182" s="136"/>
      <c r="B182" s="136"/>
      <c r="C182" s="136"/>
      <c r="D182" s="136"/>
      <c r="E182" s="136"/>
      <c r="F182" s="136"/>
      <c r="G182" s="136"/>
      <c r="H182" s="136"/>
      <c r="I182" s="136"/>
      <c r="J182" s="136"/>
      <c r="K182" s="136"/>
      <c r="L182" s="136"/>
      <c r="M182" s="136"/>
      <c r="N182" s="136"/>
      <c r="O182" s="136"/>
      <c r="P182" s="136"/>
      <c r="Q182" s="136"/>
      <c r="R182" s="136"/>
      <c r="S182" s="136"/>
      <c r="T182" s="136"/>
      <c r="U182" s="136"/>
    </row>
    <row r="183" spans="1:21">
      <c r="A183" s="136"/>
      <c r="B183" s="136"/>
      <c r="C183" s="136"/>
      <c r="D183" s="136"/>
      <c r="E183" s="136"/>
      <c r="F183" s="136"/>
      <c r="G183" s="136"/>
      <c r="H183" s="136"/>
      <c r="I183" s="136"/>
      <c r="J183" s="136"/>
      <c r="K183" s="136"/>
      <c r="L183" s="136"/>
      <c r="M183" s="136"/>
      <c r="N183" s="136"/>
      <c r="O183" s="136"/>
      <c r="P183" s="136"/>
      <c r="Q183" s="136"/>
      <c r="R183" s="136"/>
      <c r="S183" s="136"/>
      <c r="T183" s="136"/>
      <c r="U183" s="136"/>
    </row>
    <row r="184" spans="1:21">
      <c r="A184" s="136"/>
      <c r="B184" s="136"/>
      <c r="C184" s="136"/>
      <c r="D184" s="136"/>
      <c r="E184" s="136"/>
      <c r="F184" s="136"/>
      <c r="G184" s="136"/>
      <c r="H184" s="136"/>
      <c r="I184" s="136"/>
      <c r="J184" s="136"/>
      <c r="K184" s="136"/>
      <c r="L184" s="136"/>
      <c r="M184" s="136"/>
      <c r="N184" s="136"/>
      <c r="O184" s="136"/>
      <c r="P184" s="136"/>
      <c r="Q184" s="136"/>
      <c r="R184" s="136"/>
      <c r="S184" s="136"/>
      <c r="T184" s="136"/>
      <c r="U184" s="136"/>
    </row>
    <row r="185" spans="1:21">
      <c r="A185" s="136"/>
      <c r="B185" s="136"/>
      <c r="C185" s="136"/>
      <c r="D185" s="136"/>
      <c r="E185" s="136"/>
      <c r="F185" s="136"/>
      <c r="G185" s="136"/>
      <c r="H185" s="136"/>
      <c r="I185" s="136"/>
      <c r="J185" s="136"/>
      <c r="K185" s="136"/>
      <c r="L185" s="136"/>
      <c r="M185" s="136"/>
      <c r="N185" s="136"/>
      <c r="O185" s="136"/>
      <c r="P185" s="136"/>
      <c r="Q185" s="136"/>
      <c r="R185" s="136"/>
      <c r="S185" s="136"/>
      <c r="T185" s="136"/>
      <c r="U185" s="136"/>
    </row>
    <row r="186" spans="1:21">
      <c r="A186" s="136"/>
      <c r="B186" s="136"/>
      <c r="C186" s="136"/>
      <c r="D186" s="136"/>
      <c r="E186" s="136"/>
      <c r="F186" s="136"/>
      <c r="G186" s="136"/>
      <c r="H186" s="136"/>
      <c r="I186" s="136"/>
      <c r="J186" s="136"/>
      <c r="K186" s="136"/>
      <c r="L186" s="136"/>
      <c r="M186" s="136"/>
      <c r="N186" s="136"/>
      <c r="O186" s="136"/>
      <c r="P186" s="136"/>
      <c r="Q186" s="136"/>
      <c r="R186" s="136"/>
      <c r="S186" s="136"/>
      <c r="T186" s="136"/>
      <c r="U186" s="136"/>
    </row>
    <row r="187" spans="1:21">
      <c r="A187" s="136"/>
      <c r="B187" s="136"/>
      <c r="C187" s="136"/>
      <c r="D187" s="136"/>
      <c r="E187" s="136"/>
      <c r="F187" s="136"/>
      <c r="G187" s="136"/>
      <c r="H187" s="136"/>
      <c r="I187" s="136"/>
      <c r="J187" s="136"/>
      <c r="K187" s="136"/>
      <c r="L187" s="136"/>
      <c r="M187" s="136"/>
      <c r="N187" s="136"/>
      <c r="O187" s="136"/>
      <c r="P187" s="136"/>
      <c r="Q187" s="136"/>
      <c r="R187" s="136"/>
      <c r="S187" s="136"/>
      <c r="T187" s="136"/>
      <c r="U187" s="136"/>
    </row>
    <row r="188" spans="1:21">
      <c r="A188" s="136"/>
      <c r="B188" s="136"/>
      <c r="C188" s="136"/>
      <c r="D188" s="136"/>
      <c r="E188" s="136"/>
      <c r="F188" s="136"/>
      <c r="G188" s="136"/>
      <c r="H188" s="136"/>
      <c r="I188" s="136"/>
      <c r="J188" s="136"/>
      <c r="K188" s="136"/>
      <c r="L188" s="136"/>
      <c r="M188" s="136"/>
      <c r="N188" s="136"/>
      <c r="O188" s="136"/>
      <c r="P188" s="136"/>
      <c r="Q188" s="136"/>
      <c r="R188" s="136"/>
      <c r="S188" s="136"/>
      <c r="T188" s="136"/>
      <c r="U188" s="136"/>
    </row>
    <row r="189" spans="1:21">
      <c r="A189" s="136"/>
      <c r="B189" s="136"/>
      <c r="C189" s="136"/>
      <c r="D189" s="136"/>
      <c r="E189" s="136"/>
      <c r="F189" s="136"/>
      <c r="G189" s="136"/>
      <c r="H189" s="136"/>
      <c r="I189" s="136"/>
      <c r="J189" s="136"/>
      <c r="K189" s="136"/>
      <c r="L189" s="136"/>
      <c r="M189" s="136"/>
      <c r="N189" s="136"/>
      <c r="O189" s="136"/>
      <c r="P189" s="136"/>
      <c r="Q189" s="136"/>
      <c r="R189" s="136"/>
      <c r="S189" s="136"/>
      <c r="T189" s="136"/>
      <c r="U189" s="136"/>
    </row>
    <row r="190" spans="1:21">
      <c r="A190" s="136"/>
      <c r="B190" s="136"/>
      <c r="C190" s="136"/>
      <c r="D190" s="136"/>
      <c r="E190" s="136"/>
      <c r="F190" s="136"/>
      <c r="G190" s="136"/>
      <c r="H190" s="136"/>
      <c r="I190" s="136"/>
      <c r="J190" s="136"/>
      <c r="K190" s="136"/>
      <c r="L190" s="136"/>
      <c r="M190" s="136"/>
      <c r="N190" s="136"/>
      <c r="O190" s="136"/>
      <c r="P190" s="136"/>
      <c r="Q190" s="136"/>
      <c r="R190" s="136"/>
      <c r="S190" s="136"/>
      <c r="T190" s="136"/>
      <c r="U190" s="136"/>
    </row>
    <row r="191" spans="1:21">
      <c r="A191" s="136"/>
      <c r="B191" s="136"/>
      <c r="C191" s="136"/>
      <c r="D191" s="136"/>
      <c r="E191" s="136"/>
      <c r="F191" s="136"/>
      <c r="G191" s="136"/>
      <c r="H191" s="136"/>
      <c r="I191" s="136"/>
      <c r="J191" s="136"/>
      <c r="K191" s="136"/>
      <c r="L191" s="136"/>
      <c r="M191" s="136"/>
      <c r="N191" s="136"/>
      <c r="O191" s="136"/>
      <c r="P191" s="136"/>
      <c r="Q191" s="136"/>
      <c r="R191" s="136"/>
      <c r="S191" s="136"/>
      <c r="T191" s="136"/>
      <c r="U191" s="136"/>
    </row>
  </sheetData>
  <mergeCells count="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84:N84"/>
    <mergeCell ref="M41:N41"/>
    <mergeCell ref="D57:O58"/>
    <mergeCell ref="F35:J35"/>
    <mergeCell ref="D77:O78"/>
    <mergeCell ref="D82:O83"/>
    <mergeCell ref="M63:N63"/>
    <mergeCell ref="M73:N73"/>
    <mergeCell ref="M72:N72"/>
    <mergeCell ref="F37:J37"/>
    <mergeCell ref="M40:N40"/>
    <mergeCell ref="M39:N39"/>
    <mergeCell ref="M37:N37"/>
    <mergeCell ref="C23:C28"/>
    <mergeCell ref="B23:B27"/>
    <mergeCell ref="P15:Q15"/>
    <mergeCell ref="P16:Q16"/>
    <mergeCell ref="P19:Q19"/>
    <mergeCell ref="P20:Q20"/>
    <mergeCell ref="P21:Q21"/>
    <mergeCell ref="B20:C20"/>
    <mergeCell ref="B19:C19"/>
    <mergeCell ref="D16:G16"/>
  </mergeCells>
  <conditionalFormatting sqref="F10:G10">
    <cfRule type="expression" dxfId="11" priority="1" stopIfTrue="1">
      <formula>$W$5=2</formula>
    </cfRule>
  </conditionalFormatting>
  <conditionalFormatting sqref="D10:E10">
    <cfRule type="expression" dxfId="10" priority="2" stopIfTrue="1">
      <formula>$W$5=2</formula>
    </cfRule>
  </conditionalFormatting>
  <conditionalFormatting sqref="D11:G11">
    <cfRule type="expression" dxfId="9" priority="3" stopIfTrue="1">
      <formula>$W$5=1</formula>
    </cfRule>
  </conditionalFormatting>
  <conditionalFormatting sqref="J25">
    <cfRule type="expression" dxfId="8" priority="4" stopIfTrue="1">
      <formula>$W$25=2</formula>
    </cfRule>
  </conditionalFormatting>
  <dataValidations count="3">
    <dataValidation type="custom" allowBlank="1" showInputMessage="1" showErrorMessage="1" error="Ja !   ist bereits angekreuzt !_x000a__x000a_oder_x000a__x000a_Bitte mit x ankreuzen!_x000a_" sqref="M25">
      <formula1>AND(M25="X",K25&lt;&gt;"x")</formula1>
    </dataValidation>
    <dataValidation type="custom" allowBlank="1" showInputMessage="1" showErrorMessage="1" error="Nein !   ist bereits angekreuzt !_x000a__x000a_oder_x000a__x000a_Bitte mit x ankreuzen!_x000a_" sqref="K25">
      <formula1>AND(K25="X",M25&lt;&gt;"x")</formula1>
    </dataValidation>
    <dataValidation type="custom" allowBlank="1" showInputMessage="1" showErrorMessage="1" error="TM? wurde bereits angekreuzt ! _x000a__x000a_oder_x000a__x000a_Bitte mit x ankreuzen!_x000a_" sqref="K101">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1"/>
  <headerFooter alignWithMargins="0">
    <oddFooter>&amp;L&amp;12LEL Schwäbisch Gmünd&amp;C&amp;12Kalkulationsdaten Marktfrüchte 2007&amp;F&amp;R&amp;"Arial,Fett"&amp;14 &amp;16 1</oddFooter>
  </headerFooter>
  <rowBreaks count="1" manualBreakCount="1">
    <brk id="58"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Option Button 1">
              <controlPr defaultSize="0" autoFill="0" autoLine="0" autoPict="0">
                <anchor moveWithCells="1">
                  <from>
                    <xdr:col>10</xdr:col>
                    <xdr:colOff>47625</xdr:colOff>
                    <xdr:row>24</xdr:row>
                    <xdr:rowOff>0</xdr:rowOff>
                  </from>
                  <to>
                    <xdr:col>11</xdr:col>
                    <xdr:colOff>114300</xdr:colOff>
                    <xdr:row>25</xdr:row>
                    <xdr:rowOff>9525</xdr:rowOff>
                  </to>
                </anchor>
              </controlPr>
            </control>
          </mc:Choice>
        </mc:AlternateContent>
        <mc:AlternateContent xmlns:mc="http://schemas.openxmlformats.org/markup-compatibility/2006">
          <mc:Choice Requires="x14">
            <control shapeId="98306" r:id="rId5" name="Option Button 2">
              <controlPr defaultSize="0" autoFill="0" autoLine="0" autoPict="0">
                <anchor moveWithCells="1">
                  <from>
                    <xdr:col>12</xdr:col>
                    <xdr:colOff>19050</xdr:colOff>
                    <xdr:row>23</xdr:row>
                    <xdr:rowOff>209550</xdr:rowOff>
                  </from>
                  <to>
                    <xdr:col>13</xdr:col>
                    <xdr:colOff>76200</xdr:colOff>
                    <xdr:row>24</xdr:row>
                    <xdr:rowOff>209550</xdr:rowOff>
                  </to>
                </anchor>
              </controlPr>
            </control>
          </mc:Choice>
        </mc:AlternateContent>
        <mc:AlternateContent xmlns:mc="http://schemas.openxmlformats.org/markup-compatibility/2006">
          <mc:Choice Requires="x14">
            <control shapeId="98307" r:id="rId6" name="Option Button 3">
              <controlPr defaultSize="0" autoFill="0" autoLine="0" autoPict="0">
                <anchor moveWithCells="1">
                  <from>
                    <xdr:col>2</xdr:col>
                    <xdr:colOff>133350</xdr:colOff>
                    <xdr:row>8</xdr:row>
                    <xdr:rowOff>171450</xdr:rowOff>
                  </from>
                  <to>
                    <xdr:col>2</xdr:col>
                    <xdr:colOff>457200</xdr:colOff>
                    <xdr:row>10</xdr:row>
                    <xdr:rowOff>9525</xdr:rowOff>
                  </to>
                </anchor>
              </controlPr>
            </control>
          </mc:Choice>
        </mc:AlternateContent>
        <mc:AlternateContent xmlns:mc="http://schemas.openxmlformats.org/markup-compatibility/2006">
          <mc:Choice Requires="x14">
            <control shapeId="98308" r:id="rId7" name="Option Button 4">
              <controlPr defaultSize="0" autoFill="0" autoLine="0" autoPict="0">
                <anchor moveWithCells="1">
                  <from>
                    <xdr:col>2</xdr:col>
                    <xdr:colOff>133350</xdr:colOff>
                    <xdr:row>9</xdr:row>
                    <xdr:rowOff>180975</xdr:rowOff>
                  </from>
                  <to>
                    <xdr:col>2</xdr:col>
                    <xdr:colOff>457200</xdr:colOff>
                    <xdr:row>11</xdr:row>
                    <xdr:rowOff>19050</xdr:rowOff>
                  </to>
                </anchor>
              </controlPr>
            </control>
          </mc:Choice>
        </mc:AlternateContent>
        <mc:AlternateContent xmlns:mc="http://schemas.openxmlformats.org/markup-compatibility/2006">
          <mc:Choice Requires="x14">
            <control shapeId="98309" r:id="rId8" name="Group Box 5">
              <controlPr defaultSize="0" autoFill="0" autoPict="0">
                <anchor moveWithCells="1">
                  <from>
                    <xdr:col>1</xdr:col>
                    <xdr:colOff>9525</xdr:colOff>
                    <xdr:row>8</xdr:row>
                    <xdr:rowOff>0</xdr:rowOff>
                  </from>
                  <to>
                    <xdr:col>7</xdr:col>
                    <xdr:colOff>0</xdr:colOff>
                    <xdr:row>11</xdr:row>
                    <xdr:rowOff>180975</xdr:rowOff>
                  </to>
                </anchor>
              </controlPr>
            </control>
          </mc:Choice>
        </mc:AlternateContent>
        <mc:AlternateContent xmlns:mc="http://schemas.openxmlformats.org/markup-compatibility/2006">
          <mc:Choice Requires="x14">
            <control shapeId="98310" r:id="rId9" name="Drop Down 6">
              <controlPr defaultSize="0" print="0" autoLine="0" autoPict="0">
                <anchor moveWithCells="1">
                  <from>
                    <xdr:col>5</xdr:col>
                    <xdr:colOff>0</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98311" r:id="rId10" name="Drop Down 7">
              <controlPr defaultSize="0" print="0" autoLine="0" autoPict="0">
                <anchor moveWithCells="1">
                  <from>
                    <xdr:col>5</xdr:col>
                    <xdr:colOff>0</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98312" r:id="rId11" name="Drop Down 8">
              <controlPr defaultSize="0" print="0" autoLine="0" autoPict="0">
                <anchor moveWithCells="1">
                  <from>
                    <xdr:col>5</xdr:col>
                    <xdr:colOff>0</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98313" r:id="rId12" name="Drop Down 9">
              <controlPr defaultSize="0" print="0" autoLine="0" autoPict="0">
                <anchor moveWithCells="1">
                  <from>
                    <xdr:col>5</xdr:col>
                    <xdr:colOff>0</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98314" r:id="rId13" name="Drop Down 10">
              <controlPr defaultSize="0" print="0" autoLine="0" autoPict="0">
                <anchor moveWithCells="1">
                  <from>
                    <xdr:col>5</xdr:col>
                    <xdr:colOff>0</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98315" r:id="rId14" name="Drop Down 11">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16" r:id="rId15"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6" name="Drop Down 13">
              <controlPr defaultSize="0" print="0" autoLine="0" autoPict="0">
                <anchor moveWithCells="1">
                  <from>
                    <xdr:col>5</xdr:col>
                    <xdr:colOff>0</xdr:colOff>
                    <xdr:row>39</xdr:row>
                    <xdr:rowOff>0</xdr:rowOff>
                  </from>
                  <to>
                    <xdr:col>10</xdr:col>
                    <xdr:colOff>0</xdr:colOff>
                    <xdr:row>40</xdr:row>
                    <xdr:rowOff>19050</xdr:rowOff>
                  </to>
                </anchor>
              </controlPr>
            </control>
          </mc:Choice>
        </mc:AlternateContent>
        <mc:AlternateContent xmlns:mc="http://schemas.openxmlformats.org/markup-compatibility/2006">
          <mc:Choice Requires="x14">
            <control shapeId="98318" r:id="rId17" name="Drop Down 14">
              <controlPr defaultSize="0" print="0" autoLine="0" autoPict="0">
                <anchor moveWithCells="1">
                  <from>
                    <xdr:col>5</xdr:col>
                    <xdr:colOff>0</xdr:colOff>
                    <xdr:row>63</xdr:row>
                    <xdr:rowOff>0</xdr:rowOff>
                  </from>
                  <to>
                    <xdr:col>10</xdr:col>
                    <xdr:colOff>19050</xdr:colOff>
                    <xdr:row>64</xdr:row>
                    <xdr:rowOff>19050</xdr:rowOff>
                  </to>
                </anchor>
              </controlPr>
            </control>
          </mc:Choice>
        </mc:AlternateContent>
        <mc:AlternateContent xmlns:mc="http://schemas.openxmlformats.org/markup-compatibility/2006">
          <mc:Choice Requires="x14">
            <control shapeId="98319" r:id="rId18" name="Drop Down 15">
              <controlPr defaultSize="0" print="0" autoLine="0" autoPict="0">
                <anchor moveWithCells="1">
                  <from>
                    <xdr:col>5</xdr:col>
                    <xdr:colOff>0</xdr:colOff>
                    <xdr:row>70</xdr:row>
                    <xdr:rowOff>0</xdr:rowOff>
                  </from>
                  <to>
                    <xdr:col>10</xdr:col>
                    <xdr:colOff>0</xdr:colOff>
                    <xdr:row>71</xdr:row>
                    <xdr:rowOff>19050</xdr:rowOff>
                  </to>
                </anchor>
              </controlPr>
            </control>
          </mc:Choice>
        </mc:AlternateContent>
        <mc:AlternateContent xmlns:mc="http://schemas.openxmlformats.org/markup-compatibility/2006">
          <mc:Choice Requires="x14">
            <control shapeId="98320" r:id="rId19" name="Drop Down 16">
              <controlPr defaultSize="0" print="0" autoLine="0" autoPict="0">
                <anchor moveWithCells="1">
                  <from>
                    <xdr:col>5</xdr:col>
                    <xdr:colOff>0</xdr:colOff>
                    <xdr:row>71</xdr:row>
                    <xdr:rowOff>0</xdr:rowOff>
                  </from>
                  <to>
                    <xdr:col>10</xdr:col>
                    <xdr:colOff>0</xdr:colOff>
                    <xdr:row>72</xdr:row>
                    <xdr:rowOff>19050</xdr:rowOff>
                  </to>
                </anchor>
              </controlPr>
            </control>
          </mc:Choice>
        </mc:AlternateContent>
        <mc:AlternateContent xmlns:mc="http://schemas.openxmlformats.org/markup-compatibility/2006">
          <mc:Choice Requires="x14">
            <control shapeId="98321" r:id="rId20" name="Drop Down 17">
              <controlPr defaultSize="0" print="0" autoLine="0" autoPict="0">
                <anchor moveWithCells="1">
                  <from>
                    <xdr:col>5</xdr:col>
                    <xdr:colOff>0</xdr:colOff>
                    <xdr:row>72</xdr:row>
                    <xdr:rowOff>0</xdr:rowOff>
                  </from>
                  <to>
                    <xdr:col>10</xdr:col>
                    <xdr:colOff>0</xdr:colOff>
                    <xdr:row>73</xdr:row>
                    <xdr:rowOff>19050</xdr:rowOff>
                  </to>
                </anchor>
              </controlPr>
            </control>
          </mc:Choice>
        </mc:AlternateContent>
        <mc:AlternateContent xmlns:mc="http://schemas.openxmlformats.org/markup-compatibility/2006">
          <mc:Choice Requires="x14">
            <control shapeId="98322" r:id="rId21" name="Drop Down 18">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3" r:id="rId22" name="Drop Down 19">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24" r:id="rId23" name="Drop Down 20">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5" r:id="rId24" name="Drop Down 21">
              <controlPr defaultSize="0" print="0" autoLine="0" autoPict="0">
                <anchor moveWithCells="1">
                  <from>
                    <xdr:col>5</xdr:col>
                    <xdr:colOff>0</xdr:colOff>
                    <xdr:row>64</xdr:row>
                    <xdr:rowOff>0</xdr:rowOff>
                  </from>
                  <to>
                    <xdr:col>10</xdr:col>
                    <xdr:colOff>19050</xdr:colOff>
                    <xdr:row>65</xdr:row>
                    <xdr:rowOff>19050</xdr:rowOff>
                  </to>
                </anchor>
              </controlPr>
            </control>
          </mc:Choice>
        </mc:AlternateContent>
        <mc:AlternateContent xmlns:mc="http://schemas.openxmlformats.org/markup-compatibility/2006">
          <mc:Choice Requires="x14">
            <control shapeId="98326" r:id="rId25" name="Drop Down 22">
              <controlPr defaultSize="0" print="0" autoLine="0" autoPict="0">
                <anchor moveWithCells="1">
                  <from>
                    <xdr:col>5</xdr:col>
                    <xdr:colOff>0</xdr:colOff>
                    <xdr:row>65</xdr:row>
                    <xdr:rowOff>0</xdr:rowOff>
                  </from>
                  <to>
                    <xdr:col>10</xdr:col>
                    <xdr:colOff>19050</xdr:colOff>
                    <xdr:row>66</xdr:row>
                    <xdr:rowOff>19050</xdr:rowOff>
                  </to>
                </anchor>
              </controlPr>
            </control>
          </mc:Choice>
        </mc:AlternateContent>
        <mc:AlternateContent xmlns:mc="http://schemas.openxmlformats.org/markup-compatibility/2006">
          <mc:Choice Requires="x14">
            <control shapeId="98327" r:id="rId26" name="Drop Down 23">
              <controlPr defaultSize="0" print="0" autoLine="0" autoPict="0">
                <anchor moveWithCells="1">
                  <from>
                    <xdr:col>5</xdr:col>
                    <xdr:colOff>0</xdr:colOff>
                    <xdr:row>66</xdr:row>
                    <xdr:rowOff>0</xdr:rowOff>
                  </from>
                  <to>
                    <xdr:col>10</xdr:col>
                    <xdr:colOff>19050</xdr:colOff>
                    <xdr:row>67</xdr:row>
                    <xdr:rowOff>19050</xdr:rowOff>
                  </to>
                </anchor>
              </controlPr>
            </control>
          </mc:Choice>
        </mc:AlternateContent>
        <mc:AlternateContent xmlns:mc="http://schemas.openxmlformats.org/markup-compatibility/2006">
          <mc:Choice Requires="x14">
            <control shapeId="98328" r:id="rId27" name="Drop Down 24">
              <controlPr defaultSize="0" print="0" autoLine="0" autoPict="0">
                <anchor moveWithCells="1">
                  <from>
                    <xdr:col>5</xdr:col>
                    <xdr:colOff>0</xdr:colOff>
                    <xdr:row>67</xdr:row>
                    <xdr:rowOff>0</xdr:rowOff>
                  </from>
                  <to>
                    <xdr:col>10</xdr:col>
                    <xdr:colOff>19050</xdr:colOff>
                    <xdr:row>68</xdr:row>
                    <xdr:rowOff>19050</xdr:rowOff>
                  </to>
                </anchor>
              </controlPr>
            </control>
          </mc:Choice>
        </mc:AlternateContent>
        <mc:AlternateContent xmlns:mc="http://schemas.openxmlformats.org/markup-compatibility/2006">
          <mc:Choice Requires="x14">
            <control shapeId="98329" r:id="rId28" name="Drop Down 25">
              <controlPr defaultSize="0" print="0" autoLine="0" autoPict="0">
                <anchor moveWithCells="1">
                  <from>
                    <xdr:col>5</xdr:col>
                    <xdr:colOff>0</xdr:colOff>
                    <xdr:row>68</xdr:row>
                    <xdr:rowOff>0</xdr:rowOff>
                  </from>
                  <to>
                    <xdr:col>10</xdr:col>
                    <xdr:colOff>19050</xdr:colOff>
                    <xdr:row>69</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sheetPr>
  <dimension ref="A1:J387"/>
  <sheetViews>
    <sheetView workbookViewId="0"/>
  </sheetViews>
  <sheetFormatPr baseColWidth="10" defaultColWidth="11.25" defaultRowHeight="12.75"/>
  <cols>
    <col min="1" max="2" width="11.25" style="33"/>
    <col min="3" max="3" width="29.75" style="33" bestFit="1" customWidth="1"/>
    <col min="4" max="4" width="11.25" style="33"/>
    <col min="5" max="5" width="11.25" style="630"/>
    <col min="6" max="16384" width="11.25" style="33"/>
  </cols>
  <sheetData>
    <row r="1" spans="1:10">
      <c r="C1" s="15" t="s">
        <v>1900</v>
      </c>
    </row>
    <row r="3" spans="1:10">
      <c r="A3" s="15" t="s">
        <v>1899</v>
      </c>
      <c r="B3" s="15" t="s">
        <v>1898</v>
      </c>
      <c r="C3" s="15" t="s">
        <v>990</v>
      </c>
      <c r="D3" s="15" t="s">
        <v>1897</v>
      </c>
      <c r="E3" s="2196" t="s">
        <v>114</v>
      </c>
    </row>
    <row r="4" spans="1:10" s="2996" customFormat="1">
      <c r="A4" s="2998">
        <v>46</v>
      </c>
      <c r="B4" s="2998" t="s">
        <v>97</v>
      </c>
      <c r="C4" s="2996" t="str">
        <f t="shared" ref="C4:C67" ca="1" si="0">INDIRECT("'"&amp;B4&amp;"'!$K$2")</f>
        <v>Winterweizen (Futter-)</v>
      </c>
      <c r="D4" s="2996" t="str">
        <f t="shared" ref="D4:D67" ca="1" si="1">INDIRECT("'"&amp;B4&amp;"'!C"&amp;A4)</f>
        <v>Drehpflug 2,10 m</v>
      </c>
      <c r="E4" s="2997">
        <f t="shared" ref="E4:E67" ca="1" si="2">INDIRECT("'"&amp;B4&amp;"'!Q"&amp;A4)</f>
        <v>0</v>
      </c>
      <c r="J4" s="631"/>
    </row>
    <row r="5" spans="1:10" s="2996" customFormat="1">
      <c r="A5" s="2996">
        <v>47</v>
      </c>
      <c r="B5" s="2998" t="s">
        <v>97</v>
      </c>
      <c r="C5" s="2996" t="str">
        <f t="shared" ca="1" si="0"/>
        <v>Winterweizen (Futter-)</v>
      </c>
      <c r="D5" s="2996" t="str">
        <f t="shared" ca="1" si="1"/>
        <v>Kreiselegge-Säkomb. 3 m</v>
      </c>
      <c r="E5" s="2997">
        <f t="shared" ca="1" si="2"/>
        <v>0</v>
      </c>
      <c r="J5" s="631"/>
    </row>
    <row r="6" spans="1:10" s="2996" customFormat="1">
      <c r="A6" s="2998">
        <v>48</v>
      </c>
      <c r="B6" s="2998" t="s">
        <v>97</v>
      </c>
      <c r="C6" s="2996" t="str">
        <f t="shared" ca="1" si="0"/>
        <v>Winterweizen (Futter-)</v>
      </c>
      <c r="D6" s="2996" t="str">
        <f t="shared" ca="1" si="1"/>
        <v xml:space="preserve">Düngerstreuer ab Hof 12 m, 400 kg/ha </v>
      </c>
      <c r="E6" s="2997">
        <f t="shared" ca="1" si="2"/>
        <v>0</v>
      </c>
      <c r="J6" s="631"/>
    </row>
    <row r="7" spans="1:10" s="2996" customFormat="1">
      <c r="A7" s="2996">
        <v>49</v>
      </c>
      <c r="B7" s="2998" t="s">
        <v>97</v>
      </c>
      <c r="C7" s="2996" t="str">
        <f t="shared" ca="1" si="0"/>
        <v>Winterweizen (Futter-)</v>
      </c>
      <c r="D7" s="2996" t="str">
        <f t="shared" ca="1" si="1"/>
        <v>Pflanzenschutzspritze 12 m, 300 l/ha</v>
      </c>
      <c r="E7" s="2997">
        <f t="shared" ca="1" si="2"/>
        <v>0</v>
      </c>
      <c r="J7" s="631"/>
    </row>
    <row r="8" spans="1:10" s="2996" customFormat="1">
      <c r="A8" s="2998">
        <v>50</v>
      </c>
      <c r="B8" s="2998" t="s">
        <v>97</v>
      </c>
      <c r="C8" s="2996" t="str">
        <f t="shared" ca="1" si="0"/>
        <v>Winterweizen (Futter-)</v>
      </c>
      <c r="D8" s="2996" t="str">
        <f t="shared" ca="1" si="1"/>
        <v>Transp. u. Abkip. Getr. 6 t/ha (5,7 t Ki.)</v>
      </c>
      <c r="E8" s="2997">
        <f t="shared" ca="1" si="2"/>
        <v>0</v>
      </c>
      <c r="J8" s="631"/>
    </row>
    <row r="9" spans="1:10" s="2996" customFormat="1">
      <c r="A9" s="2996">
        <v>51</v>
      </c>
      <c r="B9" s="2998" t="s">
        <v>97</v>
      </c>
      <c r="C9" s="2996" t="str">
        <f t="shared" ca="1" si="0"/>
        <v>Winterweizen (Futter-)</v>
      </c>
      <c r="D9" s="2996" t="str">
        <f t="shared" ca="1" si="1"/>
        <v>Schwergrubber 3 m</v>
      </c>
      <c r="E9" s="2997">
        <f t="shared" ca="1" si="2"/>
        <v>0</v>
      </c>
      <c r="J9" s="631"/>
    </row>
    <row r="10" spans="1:10" s="2996" customFormat="1">
      <c r="A10" s="2998">
        <v>52</v>
      </c>
      <c r="B10" s="2998" t="s">
        <v>97</v>
      </c>
      <c r="C10" s="2996" t="str">
        <f t="shared" ca="1" si="0"/>
        <v>Winterweizen (Futter-)</v>
      </c>
      <c r="D10" s="2996">
        <f t="shared" ca="1" si="1"/>
        <v>0</v>
      </c>
      <c r="E10" s="2997">
        <f t="shared" ca="1" si="2"/>
        <v>0</v>
      </c>
      <c r="J10" s="631"/>
    </row>
    <row r="11" spans="1:10" s="2996" customFormat="1">
      <c r="A11" s="2996">
        <v>53</v>
      </c>
      <c r="B11" s="2998" t="s">
        <v>97</v>
      </c>
      <c r="C11" s="2996" t="str">
        <f t="shared" ca="1" si="0"/>
        <v>Winterweizen (Futter-)</v>
      </c>
      <c r="D11" s="2996">
        <f t="shared" ca="1" si="1"/>
        <v>0</v>
      </c>
      <c r="E11" s="2997">
        <f t="shared" ca="1" si="2"/>
        <v>0</v>
      </c>
      <c r="J11" s="631"/>
    </row>
    <row r="12" spans="1:10" s="2996" customFormat="1">
      <c r="A12" s="2998">
        <v>54</v>
      </c>
      <c r="B12" s="2998" t="s">
        <v>97</v>
      </c>
      <c r="C12" s="2996" t="str">
        <f t="shared" ca="1" si="0"/>
        <v>Winterweizen (Futter-)</v>
      </c>
      <c r="D12" s="2996">
        <f t="shared" ca="1" si="1"/>
        <v>0</v>
      </c>
      <c r="E12" s="2997">
        <f t="shared" ca="1" si="2"/>
        <v>0</v>
      </c>
      <c r="J12" s="631"/>
    </row>
    <row r="13" spans="1:10" s="2996" customFormat="1">
      <c r="A13" s="2996">
        <v>55</v>
      </c>
      <c r="B13" s="2998" t="s">
        <v>97</v>
      </c>
      <c r="C13" s="2996" t="str">
        <f t="shared" ca="1" si="0"/>
        <v>Winterweizen (Futter-)</v>
      </c>
      <c r="D13" s="2996">
        <f t="shared" ca="1" si="1"/>
        <v>0</v>
      </c>
      <c r="E13" s="2997">
        <f t="shared" ca="1" si="2"/>
        <v>0</v>
      </c>
      <c r="J13" s="631"/>
    </row>
    <row r="14" spans="1:10" s="2996" customFormat="1">
      <c r="A14" s="2998">
        <v>56</v>
      </c>
      <c r="B14" s="2998" t="s">
        <v>97</v>
      </c>
      <c r="C14" s="2996" t="str">
        <f t="shared" ca="1" si="0"/>
        <v>Winterweizen (Futter-)</v>
      </c>
      <c r="D14" s="2996">
        <f t="shared" ca="1" si="1"/>
        <v>0</v>
      </c>
      <c r="E14" s="2997">
        <f t="shared" ca="1" si="2"/>
        <v>0</v>
      </c>
      <c r="J14" s="631"/>
    </row>
    <row r="15" spans="1:10" s="2996" customFormat="1">
      <c r="A15" s="2996">
        <v>57</v>
      </c>
      <c r="B15" s="2998" t="s">
        <v>97</v>
      </c>
      <c r="C15" s="2996" t="str">
        <f t="shared" ca="1" si="0"/>
        <v>Winterweizen (Futter-)</v>
      </c>
      <c r="D15" s="2996" t="str">
        <f t="shared" ca="1" si="1"/>
        <v>Stroh-Rundballen 4 t/ha laden, abfahren, stapeln, 3-S-Kipp.</v>
      </c>
      <c r="E15" s="2997">
        <f t="shared" ca="1" si="2"/>
        <v>65</v>
      </c>
      <c r="J15" s="631"/>
    </row>
    <row r="16" spans="1:10">
      <c r="A16" s="15">
        <v>46</v>
      </c>
      <c r="B16" s="2998" t="s">
        <v>95</v>
      </c>
      <c r="C16" s="33" t="str">
        <f t="shared" ca="1" si="0"/>
        <v>Winterweizen (Brot-)</v>
      </c>
      <c r="D16" s="33" t="str">
        <f t="shared" ca="1" si="1"/>
        <v>Drehpflug 2,10 m</v>
      </c>
      <c r="E16" s="630">
        <f t="shared" ca="1" si="2"/>
        <v>0</v>
      </c>
      <c r="G16" s="2996"/>
      <c r="I16" s="2996"/>
      <c r="J16" s="631"/>
    </row>
    <row r="17" spans="1:10">
      <c r="A17" s="33">
        <v>47</v>
      </c>
      <c r="B17" s="2998" t="s">
        <v>95</v>
      </c>
      <c r="C17" s="33" t="str">
        <f t="shared" ca="1" si="0"/>
        <v>Winterweizen (Brot-)</v>
      </c>
      <c r="D17" s="33" t="str">
        <f t="shared" ca="1" si="1"/>
        <v>Kreiselegge-Säkomb. 3 m</v>
      </c>
      <c r="E17" s="630">
        <f t="shared" ca="1" si="2"/>
        <v>0</v>
      </c>
      <c r="G17" s="2996"/>
      <c r="I17" s="2996"/>
      <c r="J17" s="631"/>
    </row>
    <row r="18" spans="1:10">
      <c r="A18" s="15">
        <v>48</v>
      </c>
      <c r="B18" s="2998" t="s">
        <v>95</v>
      </c>
      <c r="C18" s="33" t="str">
        <f t="shared" ca="1" si="0"/>
        <v>Winterweizen (Brot-)</v>
      </c>
      <c r="D18" s="33" t="str">
        <f t="shared" ca="1" si="1"/>
        <v xml:space="preserve">Düngerstreuer ab Hof 12 m, 400 kg/ha </v>
      </c>
      <c r="E18" s="630">
        <f t="shared" ca="1" si="2"/>
        <v>0</v>
      </c>
      <c r="G18" s="2996"/>
      <c r="I18" s="2996"/>
      <c r="J18" s="631"/>
    </row>
    <row r="19" spans="1:10">
      <c r="A19" s="33">
        <v>49</v>
      </c>
      <c r="B19" s="2998" t="s">
        <v>95</v>
      </c>
      <c r="C19" s="33" t="str">
        <f t="shared" ca="1" si="0"/>
        <v>Winterweizen (Brot-)</v>
      </c>
      <c r="D19" s="33" t="str">
        <f t="shared" ca="1" si="1"/>
        <v>Pflanzenschutzspritze 12 m, 300 l/ha</v>
      </c>
      <c r="E19" s="630">
        <f t="shared" ca="1" si="2"/>
        <v>0</v>
      </c>
      <c r="G19" s="2996"/>
      <c r="I19" s="2996"/>
      <c r="J19" s="631"/>
    </row>
    <row r="20" spans="1:10">
      <c r="A20" s="15">
        <v>50</v>
      </c>
      <c r="B20" s="2998" t="s">
        <v>95</v>
      </c>
      <c r="C20" s="33" t="str">
        <f t="shared" ca="1" si="0"/>
        <v>Winterweizen (Brot-)</v>
      </c>
      <c r="D20" s="33" t="str">
        <f t="shared" ca="1" si="1"/>
        <v>Transp. u. Abkip. Getr. 6 t/ha (5,7 t Ki.)</v>
      </c>
      <c r="E20" s="630">
        <f t="shared" ca="1" si="2"/>
        <v>0</v>
      </c>
      <c r="G20" s="2996"/>
      <c r="I20" s="2996"/>
      <c r="J20" s="631"/>
    </row>
    <row r="21" spans="1:10">
      <c r="A21" s="33">
        <v>51</v>
      </c>
      <c r="B21" s="2998" t="s">
        <v>95</v>
      </c>
      <c r="C21" s="33" t="str">
        <f t="shared" ca="1" si="0"/>
        <v>Winterweizen (Brot-)</v>
      </c>
      <c r="D21" s="33" t="str">
        <f t="shared" ca="1" si="1"/>
        <v>Schwergrubber 3 m</v>
      </c>
      <c r="E21" s="630">
        <f t="shared" ca="1" si="2"/>
        <v>0</v>
      </c>
      <c r="G21" s="2996"/>
      <c r="I21" s="2996"/>
      <c r="J21" s="631"/>
    </row>
    <row r="22" spans="1:10">
      <c r="A22" s="15">
        <v>52</v>
      </c>
      <c r="B22" s="2998" t="s">
        <v>95</v>
      </c>
      <c r="C22" s="33" t="str">
        <f t="shared" ca="1" si="0"/>
        <v>Winterweizen (Brot-)</v>
      </c>
      <c r="D22" s="33">
        <f t="shared" ca="1" si="1"/>
        <v>0</v>
      </c>
      <c r="E22" s="630">
        <f t="shared" ca="1" si="2"/>
        <v>0</v>
      </c>
      <c r="G22" s="2996"/>
      <c r="I22" s="2996"/>
      <c r="J22" s="631"/>
    </row>
    <row r="23" spans="1:10">
      <c r="A23" s="33">
        <v>53</v>
      </c>
      <c r="B23" s="2998" t="s">
        <v>95</v>
      </c>
      <c r="C23" s="33" t="str">
        <f t="shared" ca="1" si="0"/>
        <v>Winterweizen (Brot-)</v>
      </c>
      <c r="D23" s="33">
        <f t="shared" ca="1" si="1"/>
        <v>0</v>
      </c>
      <c r="E23" s="630">
        <f t="shared" ca="1" si="2"/>
        <v>0</v>
      </c>
      <c r="G23" s="2996"/>
      <c r="I23" s="2996"/>
      <c r="J23" s="631"/>
    </row>
    <row r="24" spans="1:10">
      <c r="A24" s="15">
        <v>54</v>
      </c>
      <c r="B24" s="2998" t="s">
        <v>95</v>
      </c>
      <c r="C24" s="33" t="str">
        <f t="shared" ca="1" si="0"/>
        <v>Winterweizen (Brot-)</v>
      </c>
      <c r="D24" s="33">
        <f t="shared" ca="1" si="1"/>
        <v>0</v>
      </c>
      <c r="E24" s="630">
        <f t="shared" ca="1" si="2"/>
        <v>0</v>
      </c>
      <c r="G24" s="2996"/>
      <c r="I24" s="2996"/>
      <c r="J24" s="631"/>
    </row>
    <row r="25" spans="1:10">
      <c r="A25" s="33">
        <v>55</v>
      </c>
      <c r="B25" s="2998" t="s">
        <v>95</v>
      </c>
      <c r="C25" s="33" t="str">
        <f t="shared" ca="1" si="0"/>
        <v>Winterweizen (Brot-)</v>
      </c>
      <c r="D25" s="33">
        <f t="shared" ca="1" si="1"/>
        <v>0</v>
      </c>
      <c r="E25" s="630">
        <f t="shared" ca="1" si="2"/>
        <v>0</v>
      </c>
      <c r="G25" s="2996"/>
      <c r="I25" s="2996"/>
      <c r="J25" s="631"/>
    </row>
    <row r="26" spans="1:10">
      <c r="A26" s="15">
        <v>56</v>
      </c>
      <c r="B26" s="2998" t="s">
        <v>95</v>
      </c>
      <c r="C26" s="33" t="str">
        <f t="shared" ca="1" si="0"/>
        <v>Winterweizen (Brot-)</v>
      </c>
      <c r="D26" s="33">
        <f t="shared" ca="1" si="1"/>
        <v>0</v>
      </c>
      <c r="E26" s="630">
        <f t="shared" ca="1" si="2"/>
        <v>0</v>
      </c>
      <c r="G26" s="2996"/>
      <c r="I26" s="2996"/>
      <c r="J26" s="631"/>
    </row>
    <row r="27" spans="1:10">
      <c r="A27" s="33">
        <v>57</v>
      </c>
      <c r="B27" s="2998" t="s">
        <v>95</v>
      </c>
      <c r="C27" s="33" t="str">
        <f t="shared" ca="1" si="0"/>
        <v>Winterweizen (Brot-)</v>
      </c>
      <c r="D27" s="33" t="str">
        <f t="shared" ca="1" si="1"/>
        <v>Stroh-Rundballen 4 t/ha laden, abfahren, stapeln, 3-S-Kipp.</v>
      </c>
      <c r="E27" s="630">
        <f t="shared" ca="1" si="2"/>
        <v>0</v>
      </c>
      <c r="G27" s="2996"/>
      <c r="I27" s="2996"/>
      <c r="J27" s="631"/>
    </row>
    <row r="28" spans="1:10" s="2996" customFormat="1">
      <c r="A28" s="2998">
        <v>46</v>
      </c>
      <c r="B28" s="2998" t="s">
        <v>93</v>
      </c>
      <c r="C28" s="2996" t="str">
        <f t="shared" ca="1" si="0"/>
        <v>Winterweizen (Aufmisch-; A-Sort.)</v>
      </c>
      <c r="D28" s="2996" t="str">
        <f t="shared" ca="1" si="1"/>
        <v>Drehpflug 2,10 m</v>
      </c>
      <c r="E28" s="2997">
        <f t="shared" ca="1" si="2"/>
        <v>0</v>
      </c>
      <c r="J28" s="631"/>
    </row>
    <row r="29" spans="1:10" s="2996" customFormat="1">
      <c r="A29" s="2996">
        <v>47</v>
      </c>
      <c r="B29" s="2998" t="s">
        <v>93</v>
      </c>
      <c r="C29" s="2996" t="str">
        <f t="shared" ca="1" si="0"/>
        <v>Winterweizen (Aufmisch-; A-Sort.)</v>
      </c>
      <c r="D29" s="2996" t="str">
        <f t="shared" ca="1" si="1"/>
        <v>Kreiselegge-Säkomb. 3 m</v>
      </c>
      <c r="E29" s="2997">
        <f t="shared" ca="1" si="2"/>
        <v>0</v>
      </c>
      <c r="J29" s="631"/>
    </row>
    <row r="30" spans="1:10" s="2996" customFormat="1">
      <c r="A30" s="2998">
        <v>48</v>
      </c>
      <c r="B30" s="2998" t="s">
        <v>93</v>
      </c>
      <c r="C30" s="2996" t="str">
        <f t="shared" ca="1" si="0"/>
        <v>Winterweizen (Aufmisch-; A-Sort.)</v>
      </c>
      <c r="D30" s="2996" t="str">
        <f t="shared" ca="1" si="1"/>
        <v xml:space="preserve">Düngerstreuer ab Hof 12 m, 400 kg/ha </v>
      </c>
      <c r="E30" s="2997">
        <f t="shared" ca="1" si="2"/>
        <v>0</v>
      </c>
      <c r="J30" s="631"/>
    </row>
    <row r="31" spans="1:10" s="2996" customFormat="1">
      <c r="A31" s="2996">
        <v>49</v>
      </c>
      <c r="B31" s="2998" t="s">
        <v>93</v>
      </c>
      <c r="C31" s="2996" t="str">
        <f t="shared" ca="1" si="0"/>
        <v>Winterweizen (Aufmisch-; A-Sort.)</v>
      </c>
      <c r="D31" s="2996" t="str">
        <f t="shared" ca="1" si="1"/>
        <v>Pflanzenschutzspritze 12 m, 300 l/ha</v>
      </c>
      <c r="E31" s="2997">
        <f t="shared" ca="1" si="2"/>
        <v>0</v>
      </c>
      <c r="J31" s="631"/>
    </row>
    <row r="32" spans="1:10" s="2996" customFormat="1">
      <c r="A32" s="2998">
        <v>50</v>
      </c>
      <c r="B32" s="2998" t="s">
        <v>93</v>
      </c>
      <c r="C32" s="2996" t="str">
        <f t="shared" ca="1" si="0"/>
        <v>Winterweizen (Aufmisch-; A-Sort.)</v>
      </c>
      <c r="D32" s="2996" t="str">
        <f t="shared" ca="1" si="1"/>
        <v>Transp. u. Abkip. Getr. 6 t/ha (5,7 t Ki.)</v>
      </c>
      <c r="E32" s="2997">
        <f t="shared" ca="1" si="2"/>
        <v>0</v>
      </c>
      <c r="J32" s="631"/>
    </row>
    <row r="33" spans="1:10" s="2996" customFormat="1">
      <c r="A33" s="2996">
        <v>51</v>
      </c>
      <c r="B33" s="2998" t="s">
        <v>93</v>
      </c>
      <c r="C33" s="2996" t="str">
        <f t="shared" ca="1" si="0"/>
        <v>Winterweizen (Aufmisch-; A-Sort.)</v>
      </c>
      <c r="D33" s="2996" t="str">
        <f t="shared" ca="1" si="1"/>
        <v>Schwergrubber 3 m</v>
      </c>
      <c r="E33" s="2997">
        <f t="shared" ca="1" si="2"/>
        <v>0</v>
      </c>
      <c r="J33" s="631"/>
    </row>
    <row r="34" spans="1:10" s="2996" customFormat="1">
      <c r="A34" s="2998">
        <v>52</v>
      </c>
      <c r="B34" s="2998" t="s">
        <v>93</v>
      </c>
      <c r="C34" s="2996" t="str">
        <f t="shared" ca="1" si="0"/>
        <v>Winterweizen (Aufmisch-; A-Sort.)</v>
      </c>
      <c r="D34" s="2996">
        <f t="shared" ca="1" si="1"/>
        <v>0</v>
      </c>
      <c r="E34" s="2997">
        <f t="shared" ca="1" si="2"/>
        <v>0</v>
      </c>
      <c r="J34" s="631"/>
    </row>
    <row r="35" spans="1:10" s="2996" customFormat="1">
      <c r="A35" s="2996">
        <v>53</v>
      </c>
      <c r="B35" s="2998" t="s">
        <v>93</v>
      </c>
      <c r="C35" s="2996" t="str">
        <f t="shared" ca="1" si="0"/>
        <v>Winterweizen (Aufmisch-; A-Sort.)</v>
      </c>
      <c r="D35" s="2996">
        <f t="shared" ca="1" si="1"/>
        <v>0</v>
      </c>
      <c r="E35" s="2997">
        <f t="shared" ca="1" si="2"/>
        <v>0</v>
      </c>
    </row>
    <row r="36" spans="1:10" s="2996" customFormat="1">
      <c r="A36" s="2998">
        <v>54</v>
      </c>
      <c r="B36" s="2998" t="s">
        <v>93</v>
      </c>
      <c r="C36" s="2996" t="str">
        <f t="shared" ca="1" si="0"/>
        <v>Winterweizen (Aufmisch-; A-Sort.)</v>
      </c>
      <c r="D36" s="2996">
        <f t="shared" ca="1" si="1"/>
        <v>0</v>
      </c>
      <c r="E36" s="2997">
        <f t="shared" ca="1" si="2"/>
        <v>0</v>
      </c>
    </row>
    <row r="37" spans="1:10" s="2996" customFormat="1">
      <c r="A37" s="2996">
        <v>55</v>
      </c>
      <c r="B37" s="2998" t="s">
        <v>93</v>
      </c>
      <c r="C37" s="2996" t="str">
        <f t="shared" ca="1" si="0"/>
        <v>Winterweizen (Aufmisch-; A-Sort.)</v>
      </c>
      <c r="D37" s="2996">
        <f t="shared" ca="1" si="1"/>
        <v>0</v>
      </c>
      <c r="E37" s="2997">
        <f t="shared" ca="1" si="2"/>
        <v>0</v>
      </c>
    </row>
    <row r="38" spans="1:10" s="2996" customFormat="1">
      <c r="A38" s="2998">
        <v>56</v>
      </c>
      <c r="B38" s="2998" t="s">
        <v>93</v>
      </c>
      <c r="C38" s="2996" t="str">
        <f t="shared" ca="1" si="0"/>
        <v>Winterweizen (Aufmisch-; A-Sort.)</v>
      </c>
      <c r="D38" s="2996">
        <f t="shared" ca="1" si="1"/>
        <v>0</v>
      </c>
      <c r="E38" s="2997">
        <f t="shared" ca="1" si="2"/>
        <v>0</v>
      </c>
    </row>
    <row r="39" spans="1:10" s="2996" customFormat="1">
      <c r="A39" s="2996">
        <v>57</v>
      </c>
      <c r="B39" s="2998" t="s">
        <v>93</v>
      </c>
      <c r="C39" s="2996" t="str">
        <f t="shared" ca="1" si="0"/>
        <v>Winterweizen (Aufmisch-; A-Sort.)</v>
      </c>
      <c r="D39" s="2996" t="str">
        <f t="shared" ca="1" si="1"/>
        <v>Stroh-Rundballen 4 t/ha laden, abfahren, stapeln, 3-S-Kipp.</v>
      </c>
      <c r="E39" s="2997">
        <f t="shared" ca="1" si="2"/>
        <v>0</v>
      </c>
    </row>
    <row r="40" spans="1:10">
      <c r="A40" s="15">
        <v>46</v>
      </c>
      <c r="B40" s="2998" t="s">
        <v>91</v>
      </c>
      <c r="C40" s="33" t="str">
        <f t="shared" ca="1" si="0"/>
        <v>Winterweizen (Qualität-; E-Sorte)</v>
      </c>
      <c r="D40" s="33" t="str">
        <f t="shared" ca="1" si="1"/>
        <v>Drehpflug 2,10 m</v>
      </c>
      <c r="E40" s="630">
        <f t="shared" ca="1" si="2"/>
        <v>0</v>
      </c>
      <c r="G40" s="2996"/>
    </row>
    <row r="41" spans="1:10">
      <c r="A41" s="33">
        <v>47</v>
      </c>
      <c r="B41" s="2998" t="s">
        <v>91</v>
      </c>
      <c r="C41" s="33" t="str">
        <f t="shared" ca="1" si="0"/>
        <v>Winterweizen (Qualität-; E-Sorte)</v>
      </c>
      <c r="D41" s="33" t="str">
        <f t="shared" ca="1" si="1"/>
        <v>Kreiselegge-Säkomb. 3 m</v>
      </c>
      <c r="E41" s="630">
        <f t="shared" ca="1" si="2"/>
        <v>0</v>
      </c>
      <c r="G41" s="2996"/>
    </row>
    <row r="42" spans="1:10">
      <c r="A42" s="15">
        <v>48</v>
      </c>
      <c r="B42" s="2998" t="s">
        <v>91</v>
      </c>
      <c r="C42" s="33" t="str">
        <f t="shared" ca="1" si="0"/>
        <v>Winterweizen (Qualität-; E-Sorte)</v>
      </c>
      <c r="D42" s="33" t="str">
        <f t="shared" ca="1" si="1"/>
        <v xml:space="preserve">Düngerstreuer ab Hof 12 m, 400 kg/ha </v>
      </c>
      <c r="E42" s="630">
        <f t="shared" ca="1" si="2"/>
        <v>0</v>
      </c>
      <c r="G42" s="2996"/>
    </row>
    <row r="43" spans="1:10">
      <c r="A43" s="33">
        <v>49</v>
      </c>
      <c r="B43" s="2998" t="s">
        <v>91</v>
      </c>
      <c r="C43" s="33" t="str">
        <f t="shared" ca="1" si="0"/>
        <v>Winterweizen (Qualität-; E-Sorte)</v>
      </c>
      <c r="D43" s="33" t="str">
        <f t="shared" ca="1" si="1"/>
        <v>Pflanzenschutzspritze 12 m, 300 l/ha</v>
      </c>
      <c r="E43" s="630">
        <f t="shared" ca="1" si="2"/>
        <v>0</v>
      </c>
      <c r="G43" s="2996"/>
    </row>
    <row r="44" spans="1:10">
      <c r="A44" s="15">
        <v>50</v>
      </c>
      <c r="B44" s="2998" t="s">
        <v>91</v>
      </c>
      <c r="C44" s="33" t="str">
        <f t="shared" ca="1" si="0"/>
        <v>Winterweizen (Qualität-; E-Sorte)</v>
      </c>
      <c r="D44" s="33" t="str">
        <f t="shared" ca="1" si="1"/>
        <v>Transp. u. Abkip. Getr. 6 t/ha (5,7 t Ki.)</v>
      </c>
      <c r="E44" s="630">
        <f t="shared" ca="1" si="2"/>
        <v>0</v>
      </c>
      <c r="G44" s="2996"/>
    </row>
    <row r="45" spans="1:10">
      <c r="A45" s="33">
        <v>51</v>
      </c>
      <c r="B45" s="2998" t="s">
        <v>91</v>
      </c>
      <c r="C45" s="33" t="str">
        <f t="shared" ca="1" si="0"/>
        <v>Winterweizen (Qualität-; E-Sorte)</v>
      </c>
      <c r="D45" s="33" t="str">
        <f t="shared" ca="1" si="1"/>
        <v>Schwergrubber 3 m</v>
      </c>
      <c r="E45" s="630">
        <f t="shared" ca="1" si="2"/>
        <v>0</v>
      </c>
      <c r="G45" s="2996"/>
    </row>
    <row r="46" spans="1:10">
      <c r="A46" s="15">
        <v>52</v>
      </c>
      <c r="B46" s="2998" t="s">
        <v>91</v>
      </c>
      <c r="C46" s="33" t="str">
        <f t="shared" ca="1" si="0"/>
        <v>Winterweizen (Qualität-; E-Sorte)</v>
      </c>
      <c r="D46" s="33">
        <f t="shared" ca="1" si="1"/>
        <v>0</v>
      </c>
      <c r="E46" s="630">
        <f t="shared" ca="1" si="2"/>
        <v>0</v>
      </c>
      <c r="G46" s="2996"/>
    </row>
    <row r="47" spans="1:10">
      <c r="A47" s="33">
        <v>53</v>
      </c>
      <c r="B47" s="2998" t="s">
        <v>91</v>
      </c>
      <c r="C47" s="33" t="str">
        <f t="shared" ca="1" si="0"/>
        <v>Winterweizen (Qualität-; E-Sorte)</v>
      </c>
      <c r="D47" s="33">
        <f t="shared" ca="1" si="1"/>
        <v>0</v>
      </c>
      <c r="E47" s="630">
        <f t="shared" ca="1" si="2"/>
        <v>0</v>
      </c>
      <c r="G47" s="2996"/>
    </row>
    <row r="48" spans="1:10">
      <c r="A48" s="15">
        <v>54</v>
      </c>
      <c r="B48" s="2998" t="s">
        <v>91</v>
      </c>
      <c r="C48" s="33" t="str">
        <f t="shared" ca="1" si="0"/>
        <v>Winterweizen (Qualität-; E-Sorte)</v>
      </c>
      <c r="D48" s="33">
        <f t="shared" ca="1" si="1"/>
        <v>0</v>
      </c>
      <c r="E48" s="630">
        <f t="shared" ca="1" si="2"/>
        <v>0</v>
      </c>
      <c r="G48" s="2996"/>
    </row>
    <row r="49" spans="1:7">
      <c r="A49" s="33">
        <v>55</v>
      </c>
      <c r="B49" s="2998" t="s">
        <v>91</v>
      </c>
      <c r="C49" s="33" t="str">
        <f t="shared" ca="1" si="0"/>
        <v>Winterweizen (Qualität-; E-Sorte)</v>
      </c>
      <c r="D49" s="33">
        <f t="shared" ca="1" si="1"/>
        <v>0</v>
      </c>
      <c r="E49" s="630">
        <f t="shared" ca="1" si="2"/>
        <v>0</v>
      </c>
      <c r="G49" s="2996"/>
    </row>
    <row r="50" spans="1:7">
      <c r="A50" s="15">
        <v>56</v>
      </c>
      <c r="B50" s="2998" t="s">
        <v>91</v>
      </c>
      <c r="C50" s="33" t="str">
        <f t="shared" ca="1" si="0"/>
        <v>Winterweizen (Qualität-; E-Sorte)</v>
      </c>
      <c r="D50" s="33">
        <f t="shared" ca="1" si="1"/>
        <v>0</v>
      </c>
      <c r="E50" s="630">
        <f t="shared" ca="1" si="2"/>
        <v>0</v>
      </c>
      <c r="G50" s="2996"/>
    </row>
    <row r="51" spans="1:7">
      <c r="A51" s="33">
        <v>57</v>
      </c>
      <c r="B51" s="2998" t="s">
        <v>91</v>
      </c>
      <c r="C51" s="33" t="str">
        <f t="shared" ca="1" si="0"/>
        <v>Winterweizen (Qualität-; E-Sorte)</v>
      </c>
      <c r="D51" s="33" t="str">
        <f t="shared" ca="1" si="1"/>
        <v>Stroh-Rundballen 4 t/ha laden, abfahren, stapeln, 3-S-Kipp.</v>
      </c>
      <c r="E51" s="630">
        <f t="shared" ca="1" si="2"/>
        <v>0</v>
      </c>
      <c r="G51" s="2996"/>
    </row>
    <row r="52" spans="1:7" s="2996" customFormat="1">
      <c r="A52" s="2998">
        <v>46</v>
      </c>
      <c r="B52" s="2998" t="s">
        <v>89</v>
      </c>
      <c r="C52" s="2996" t="str">
        <f t="shared" ca="1" si="0"/>
        <v>Winterroggen</v>
      </c>
      <c r="D52" s="2996" t="str">
        <f t="shared" ca="1" si="1"/>
        <v>Drehpflug 2,10 m</v>
      </c>
      <c r="E52" s="2997">
        <f t="shared" ca="1" si="2"/>
        <v>0</v>
      </c>
    </row>
    <row r="53" spans="1:7" s="2996" customFormat="1">
      <c r="A53" s="2996">
        <v>47</v>
      </c>
      <c r="B53" s="2998" t="s">
        <v>89</v>
      </c>
      <c r="C53" s="2996" t="str">
        <f t="shared" ca="1" si="0"/>
        <v>Winterroggen</v>
      </c>
      <c r="D53" s="2996" t="str">
        <f t="shared" ca="1" si="1"/>
        <v>Kreiselegge-Säkomb. 3 m</v>
      </c>
      <c r="E53" s="2997">
        <f t="shared" ca="1" si="2"/>
        <v>0</v>
      </c>
    </row>
    <row r="54" spans="1:7" s="2996" customFormat="1">
      <c r="A54" s="2998">
        <v>48</v>
      </c>
      <c r="B54" s="2998" t="s">
        <v>89</v>
      </c>
      <c r="C54" s="2996" t="str">
        <f t="shared" ca="1" si="0"/>
        <v>Winterroggen</v>
      </c>
      <c r="D54" s="2996" t="str">
        <f t="shared" ca="1" si="1"/>
        <v xml:space="preserve">Düngerstreuer ab Hof 12 m, 400 kg/ha </v>
      </c>
      <c r="E54" s="2997">
        <f t="shared" ca="1" si="2"/>
        <v>0</v>
      </c>
    </row>
    <row r="55" spans="1:7" s="2996" customFormat="1">
      <c r="A55" s="2996">
        <v>49</v>
      </c>
      <c r="B55" s="2998" t="s">
        <v>89</v>
      </c>
      <c r="C55" s="2996" t="str">
        <f t="shared" ca="1" si="0"/>
        <v>Winterroggen</v>
      </c>
      <c r="D55" s="2996" t="str">
        <f t="shared" ca="1" si="1"/>
        <v>Pflanzenschutzspritze 12 m, 300 l/ha</v>
      </c>
      <c r="E55" s="2997">
        <f t="shared" ca="1" si="2"/>
        <v>0</v>
      </c>
    </row>
    <row r="56" spans="1:7" s="2996" customFormat="1">
      <c r="A56" s="2998">
        <v>50</v>
      </c>
      <c r="B56" s="2998" t="s">
        <v>89</v>
      </c>
      <c r="C56" s="2996" t="str">
        <f t="shared" ca="1" si="0"/>
        <v>Winterroggen</v>
      </c>
      <c r="D56" s="2996" t="str">
        <f t="shared" ca="1" si="1"/>
        <v>Transp. u. Abkip. Getr. 6 t/ha (5,7 t Ki.)</v>
      </c>
      <c r="E56" s="2997">
        <f t="shared" ca="1" si="2"/>
        <v>0</v>
      </c>
    </row>
    <row r="57" spans="1:7" s="2996" customFormat="1">
      <c r="A57" s="2996">
        <v>51</v>
      </c>
      <c r="B57" s="2998" t="s">
        <v>89</v>
      </c>
      <c r="C57" s="2996" t="str">
        <f t="shared" ca="1" si="0"/>
        <v>Winterroggen</v>
      </c>
      <c r="D57" s="2996" t="str">
        <f t="shared" ca="1" si="1"/>
        <v>Schwergrubber 3 m</v>
      </c>
      <c r="E57" s="2997">
        <f t="shared" ca="1" si="2"/>
        <v>0</v>
      </c>
    </row>
    <row r="58" spans="1:7" s="2996" customFormat="1">
      <c r="A58" s="2998">
        <v>52</v>
      </c>
      <c r="B58" s="2998" t="s">
        <v>89</v>
      </c>
      <c r="C58" s="2996" t="str">
        <f t="shared" ca="1" si="0"/>
        <v>Winterroggen</v>
      </c>
      <c r="D58" s="2996">
        <f t="shared" ca="1" si="1"/>
        <v>0</v>
      </c>
      <c r="E58" s="2997">
        <f t="shared" ca="1" si="2"/>
        <v>0</v>
      </c>
    </row>
    <row r="59" spans="1:7" s="2996" customFormat="1">
      <c r="A59" s="2996">
        <v>53</v>
      </c>
      <c r="B59" s="2998" t="s">
        <v>89</v>
      </c>
      <c r="C59" s="2996" t="str">
        <f t="shared" ca="1" si="0"/>
        <v>Winterroggen</v>
      </c>
      <c r="D59" s="2996">
        <f t="shared" ca="1" si="1"/>
        <v>0</v>
      </c>
      <c r="E59" s="2997">
        <f t="shared" ca="1" si="2"/>
        <v>0</v>
      </c>
    </row>
    <row r="60" spans="1:7" s="2996" customFormat="1">
      <c r="A60" s="2998">
        <v>54</v>
      </c>
      <c r="B60" s="2998" t="s">
        <v>89</v>
      </c>
      <c r="C60" s="2996" t="str">
        <f t="shared" ca="1" si="0"/>
        <v>Winterroggen</v>
      </c>
      <c r="D60" s="2996">
        <f t="shared" ca="1" si="1"/>
        <v>0</v>
      </c>
      <c r="E60" s="2997">
        <f t="shared" ca="1" si="2"/>
        <v>0</v>
      </c>
    </row>
    <row r="61" spans="1:7" s="2996" customFormat="1">
      <c r="A61" s="2996">
        <v>55</v>
      </c>
      <c r="B61" s="2998" t="s">
        <v>89</v>
      </c>
      <c r="C61" s="2996" t="str">
        <f t="shared" ca="1" si="0"/>
        <v>Winterroggen</v>
      </c>
      <c r="D61" s="2996">
        <f t="shared" ca="1" si="1"/>
        <v>0</v>
      </c>
      <c r="E61" s="2997">
        <f t="shared" ca="1" si="2"/>
        <v>0</v>
      </c>
    </row>
    <row r="62" spans="1:7" s="2996" customFormat="1">
      <c r="A62" s="2998">
        <v>56</v>
      </c>
      <c r="B62" s="2998" t="s">
        <v>89</v>
      </c>
      <c r="C62" s="2996" t="str">
        <f t="shared" ca="1" si="0"/>
        <v>Winterroggen</v>
      </c>
      <c r="D62" s="2996">
        <f t="shared" ca="1" si="1"/>
        <v>0</v>
      </c>
      <c r="E62" s="2997">
        <f t="shared" ca="1" si="2"/>
        <v>0</v>
      </c>
    </row>
    <row r="63" spans="1:7" s="2996" customFormat="1">
      <c r="A63" s="2996">
        <v>57</v>
      </c>
      <c r="B63" s="2998" t="s">
        <v>89</v>
      </c>
      <c r="C63" s="2996" t="str">
        <f t="shared" ca="1" si="0"/>
        <v>Winterroggen</v>
      </c>
      <c r="D63" s="2996" t="str">
        <f t="shared" ca="1" si="1"/>
        <v>Stroh-Rundballen 4 t/ha laden, abfahren, stapeln, 3-S-Kipp.</v>
      </c>
      <c r="E63" s="2997">
        <f t="shared" ca="1" si="2"/>
        <v>0</v>
      </c>
    </row>
    <row r="64" spans="1:7">
      <c r="A64" s="15">
        <v>46</v>
      </c>
      <c r="B64" s="2998" t="s">
        <v>87</v>
      </c>
      <c r="C64" s="33" t="str">
        <f t="shared" ca="1" si="0"/>
        <v>Triticale</v>
      </c>
      <c r="D64" s="33" t="str">
        <f t="shared" ca="1" si="1"/>
        <v>Drehpflug 2,10 m</v>
      </c>
      <c r="E64" s="630">
        <f t="shared" ca="1" si="2"/>
        <v>0</v>
      </c>
      <c r="G64" s="2996"/>
    </row>
    <row r="65" spans="1:7">
      <c r="A65" s="33">
        <v>47</v>
      </c>
      <c r="B65" s="2998" t="s">
        <v>87</v>
      </c>
      <c r="C65" s="33" t="str">
        <f t="shared" ca="1" si="0"/>
        <v>Triticale</v>
      </c>
      <c r="D65" s="33" t="str">
        <f t="shared" ca="1" si="1"/>
        <v>Kreiselegge-Säkomb. 3 m</v>
      </c>
      <c r="E65" s="630">
        <f t="shared" ca="1" si="2"/>
        <v>0</v>
      </c>
      <c r="G65" s="2996"/>
    </row>
    <row r="66" spans="1:7">
      <c r="A66" s="15">
        <v>48</v>
      </c>
      <c r="B66" s="2998" t="s">
        <v>87</v>
      </c>
      <c r="C66" s="33" t="str">
        <f t="shared" ca="1" si="0"/>
        <v>Triticale</v>
      </c>
      <c r="D66" s="33" t="str">
        <f t="shared" ca="1" si="1"/>
        <v xml:space="preserve">Düngerstreuer ab Hof 12 m, 400 kg/ha </v>
      </c>
      <c r="E66" s="630">
        <f t="shared" ca="1" si="2"/>
        <v>0</v>
      </c>
      <c r="G66" s="2996"/>
    </row>
    <row r="67" spans="1:7">
      <c r="A67" s="33">
        <v>49</v>
      </c>
      <c r="B67" s="2998" t="s">
        <v>87</v>
      </c>
      <c r="C67" s="33" t="str">
        <f t="shared" ca="1" si="0"/>
        <v>Triticale</v>
      </c>
      <c r="D67" s="33" t="str">
        <f t="shared" ca="1" si="1"/>
        <v>Pflanzenschutzspritze 12 m, 300 l/ha</v>
      </c>
      <c r="E67" s="630">
        <f t="shared" ca="1" si="2"/>
        <v>0</v>
      </c>
      <c r="G67" s="2996"/>
    </row>
    <row r="68" spans="1:7">
      <c r="A68" s="15">
        <v>50</v>
      </c>
      <c r="B68" s="2998" t="s">
        <v>87</v>
      </c>
      <c r="C68" s="33" t="str">
        <f t="shared" ref="C68:C131" ca="1" si="3">INDIRECT("'"&amp;B68&amp;"'!$K$2")</f>
        <v>Triticale</v>
      </c>
      <c r="D68" s="33" t="str">
        <f t="shared" ref="D68:D131" ca="1" si="4">INDIRECT("'"&amp;B68&amp;"'!C"&amp;A68)</f>
        <v>Transp. u. Abkip. Getr. 6 t/ha (5,7 t Ki.)</v>
      </c>
      <c r="E68" s="630">
        <f t="shared" ref="E68:E131" ca="1" si="5">INDIRECT("'"&amp;B68&amp;"'!Q"&amp;A68)</f>
        <v>0</v>
      </c>
      <c r="G68" s="2996"/>
    </row>
    <row r="69" spans="1:7">
      <c r="A69" s="33">
        <v>51</v>
      </c>
      <c r="B69" s="2998" t="s">
        <v>87</v>
      </c>
      <c r="C69" s="33" t="str">
        <f t="shared" ca="1" si="3"/>
        <v>Triticale</v>
      </c>
      <c r="D69" s="33" t="str">
        <f t="shared" ca="1" si="4"/>
        <v>Schwergrubber 3 m</v>
      </c>
      <c r="E69" s="630">
        <f t="shared" ca="1" si="5"/>
        <v>0</v>
      </c>
      <c r="G69" s="2996"/>
    </row>
    <row r="70" spans="1:7">
      <c r="A70" s="15">
        <v>52</v>
      </c>
      <c r="B70" s="2998" t="s">
        <v>87</v>
      </c>
      <c r="C70" s="33" t="str">
        <f t="shared" ca="1" si="3"/>
        <v>Triticale</v>
      </c>
      <c r="D70" s="33">
        <f t="shared" ca="1" si="4"/>
        <v>0</v>
      </c>
      <c r="E70" s="630">
        <f t="shared" ca="1" si="5"/>
        <v>0</v>
      </c>
      <c r="G70" s="2996"/>
    </row>
    <row r="71" spans="1:7">
      <c r="A71" s="33">
        <v>53</v>
      </c>
      <c r="B71" s="2998" t="s">
        <v>87</v>
      </c>
      <c r="C71" s="33" t="str">
        <f t="shared" ca="1" si="3"/>
        <v>Triticale</v>
      </c>
      <c r="D71" s="33">
        <f t="shared" ca="1" si="4"/>
        <v>0</v>
      </c>
      <c r="E71" s="630">
        <f t="shared" ca="1" si="5"/>
        <v>0</v>
      </c>
      <c r="G71" s="2996"/>
    </row>
    <row r="72" spans="1:7">
      <c r="A72" s="15">
        <v>54</v>
      </c>
      <c r="B72" s="2998" t="s">
        <v>87</v>
      </c>
      <c r="C72" s="33" t="str">
        <f t="shared" ca="1" si="3"/>
        <v>Triticale</v>
      </c>
      <c r="D72" s="33">
        <f t="shared" ca="1" si="4"/>
        <v>0</v>
      </c>
      <c r="E72" s="630">
        <f t="shared" ca="1" si="5"/>
        <v>0</v>
      </c>
      <c r="G72" s="2996"/>
    </row>
    <row r="73" spans="1:7">
      <c r="A73" s="33">
        <v>55</v>
      </c>
      <c r="B73" s="2998" t="s">
        <v>87</v>
      </c>
      <c r="C73" s="33" t="str">
        <f t="shared" ca="1" si="3"/>
        <v>Triticale</v>
      </c>
      <c r="D73" s="33">
        <f t="shared" ca="1" si="4"/>
        <v>0</v>
      </c>
      <c r="E73" s="630">
        <f t="shared" ca="1" si="5"/>
        <v>0</v>
      </c>
      <c r="G73" s="2996"/>
    </row>
    <row r="74" spans="1:7">
      <c r="A74" s="15">
        <v>56</v>
      </c>
      <c r="B74" s="2998" t="s">
        <v>87</v>
      </c>
      <c r="C74" s="33" t="str">
        <f t="shared" ca="1" si="3"/>
        <v>Triticale</v>
      </c>
      <c r="D74" s="33">
        <f t="shared" ca="1" si="4"/>
        <v>0</v>
      </c>
      <c r="E74" s="630">
        <f t="shared" ca="1" si="5"/>
        <v>0</v>
      </c>
      <c r="G74" s="2996"/>
    </row>
    <row r="75" spans="1:7">
      <c r="A75" s="33">
        <v>57</v>
      </c>
      <c r="B75" s="2998" t="s">
        <v>87</v>
      </c>
      <c r="C75" s="33" t="str">
        <f t="shared" ca="1" si="3"/>
        <v>Triticale</v>
      </c>
      <c r="D75" s="33" t="str">
        <f t="shared" ca="1" si="4"/>
        <v>Stroh-Rundballen 4 t/ha laden, abfahren, stapeln, 3-S-Kipp.</v>
      </c>
      <c r="E75" s="630">
        <f t="shared" ca="1" si="5"/>
        <v>0</v>
      </c>
      <c r="G75" s="2996"/>
    </row>
    <row r="76" spans="1:7" s="2996" customFormat="1">
      <c r="A76" s="2998">
        <v>46</v>
      </c>
      <c r="B76" s="2998" t="s">
        <v>85</v>
      </c>
      <c r="C76" s="2996" t="str">
        <f t="shared" ca="1" si="3"/>
        <v>Wintergerste</v>
      </c>
      <c r="D76" s="2996" t="str">
        <f t="shared" ca="1" si="4"/>
        <v>Drehpflug 2,10 m</v>
      </c>
      <c r="E76" s="2997">
        <f t="shared" ca="1" si="5"/>
        <v>30</v>
      </c>
    </row>
    <row r="77" spans="1:7" s="2996" customFormat="1">
      <c r="A77" s="2996">
        <v>47</v>
      </c>
      <c r="B77" s="2998" t="s">
        <v>85</v>
      </c>
      <c r="C77" s="2996" t="str">
        <f t="shared" ca="1" si="3"/>
        <v>Wintergerste</v>
      </c>
      <c r="D77" s="2996" t="str">
        <f t="shared" ca="1" si="4"/>
        <v>Kreiselegge-Säkomb. 3 m</v>
      </c>
      <c r="E77" s="2997">
        <f t="shared" ca="1" si="5"/>
        <v>0</v>
      </c>
    </row>
    <row r="78" spans="1:7" s="2996" customFormat="1">
      <c r="A78" s="2998">
        <v>48</v>
      </c>
      <c r="B78" s="2998" t="s">
        <v>85</v>
      </c>
      <c r="C78" s="2996" t="str">
        <f t="shared" ca="1" si="3"/>
        <v>Wintergerste</v>
      </c>
      <c r="D78" s="2996" t="str">
        <f t="shared" ca="1" si="4"/>
        <v xml:space="preserve">Düngerstreuer ab Hof 12 m, 400 kg/ha </v>
      </c>
      <c r="E78" s="2997">
        <f t="shared" ca="1" si="5"/>
        <v>0</v>
      </c>
    </row>
    <row r="79" spans="1:7" s="2996" customFormat="1">
      <c r="A79" s="2996">
        <v>49</v>
      </c>
      <c r="B79" s="2998" t="s">
        <v>85</v>
      </c>
      <c r="C79" s="2996" t="str">
        <f t="shared" ca="1" si="3"/>
        <v>Wintergerste</v>
      </c>
      <c r="D79" s="2996" t="str">
        <f t="shared" ca="1" si="4"/>
        <v>Pflanzenschutzspritze 12 m, 300 l/ha</v>
      </c>
      <c r="E79" s="2997">
        <f t="shared" ca="1" si="5"/>
        <v>0</v>
      </c>
    </row>
    <row r="80" spans="1:7" s="2996" customFormat="1">
      <c r="A80" s="2998">
        <v>50</v>
      </c>
      <c r="B80" s="2998" t="s">
        <v>85</v>
      </c>
      <c r="C80" s="2996" t="str">
        <f t="shared" ca="1" si="3"/>
        <v>Wintergerste</v>
      </c>
      <c r="D80" s="2996" t="str">
        <f t="shared" ca="1" si="4"/>
        <v>Transp. u. Abkip. Getr. 6 t/ha (5,7 t Ki.)</v>
      </c>
      <c r="E80" s="2997">
        <f t="shared" ca="1" si="5"/>
        <v>0</v>
      </c>
    </row>
    <row r="81" spans="1:7" s="2996" customFormat="1">
      <c r="A81" s="2996">
        <v>51</v>
      </c>
      <c r="B81" s="2998" t="s">
        <v>85</v>
      </c>
      <c r="C81" s="2996" t="str">
        <f t="shared" ca="1" si="3"/>
        <v>Wintergerste</v>
      </c>
      <c r="D81" s="2996" t="str">
        <f t="shared" ca="1" si="4"/>
        <v>Schwergrubber 3 m</v>
      </c>
      <c r="E81" s="2997">
        <f t="shared" ca="1" si="5"/>
        <v>0</v>
      </c>
    </row>
    <row r="82" spans="1:7" s="2996" customFormat="1">
      <c r="A82" s="2998">
        <v>52</v>
      </c>
      <c r="B82" s="2998" t="s">
        <v>85</v>
      </c>
      <c r="C82" s="2996" t="str">
        <f t="shared" ca="1" si="3"/>
        <v>Wintergerste</v>
      </c>
      <c r="D82" s="2996">
        <f t="shared" ca="1" si="4"/>
        <v>0</v>
      </c>
      <c r="E82" s="2997">
        <f t="shared" ca="1" si="5"/>
        <v>0</v>
      </c>
    </row>
    <row r="83" spans="1:7" s="2996" customFormat="1">
      <c r="A83" s="2996">
        <v>53</v>
      </c>
      <c r="B83" s="2998" t="s">
        <v>85</v>
      </c>
      <c r="C83" s="2996" t="str">
        <f t="shared" ca="1" si="3"/>
        <v>Wintergerste</v>
      </c>
      <c r="D83" s="2996">
        <f t="shared" ca="1" si="4"/>
        <v>0</v>
      </c>
      <c r="E83" s="2997">
        <f t="shared" ca="1" si="5"/>
        <v>0</v>
      </c>
    </row>
    <row r="84" spans="1:7" s="2996" customFormat="1">
      <c r="A84" s="2998">
        <v>54</v>
      </c>
      <c r="B84" s="2998" t="s">
        <v>85</v>
      </c>
      <c r="C84" s="2996" t="str">
        <f t="shared" ca="1" si="3"/>
        <v>Wintergerste</v>
      </c>
      <c r="D84" s="2996">
        <f t="shared" ca="1" si="4"/>
        <v>0</v>
      </c>
      <c r="E84" s="2997">
        <f t="shared" ca="1" si="5"/>
        <v>0</v>
      </c>
    </row>
    <row r="85" spans="1:7" s="2996" customFormat="1">
      <c r="A85" s="2996">
        <v>55</v>
      </c>
      <c r="B85" s="2998" t="s">
        <v>85</v>
      </c>
      <c r="C85" s="2996" t="str">
        <f t="shared" ca="1" si="3"/>
        <v>Wintergerste</v>
      </c>
      <c r="D85" s="2996">
        <f t="shared" ca="1" si="4"/>
        <v>0</v>
      </c>
      <c r="E85" s="2997">
        <f t="shared" ca="1" si="5"/>
        <v>0</v>
      </c>
    </row>
    <row r="86" spans="1:7" s="2996" customFormat="1">
      <c r="A86" s="2998">
        <v>56</v>
      </c>
      <c r="B86" s="2998" t="s">
        <v>85</v>
      </c>
      <c r="C86" s="2996" t="str">
        <f t="shared" ca="1" si="3"/>
        <v>Wintergerste</v>
      </c>
      <c r="D86" s="2996">
        <f t="shared" ca="1" si="4"/>
        <v>0</v>
      </c>
      <c r="E86" s="2997">
        <f t="shared" ca="1" si="5"/>
        <v>0</v>
      </c>
    </row>
    <row r="87" spans="1:7" s="2996" customFormat="1">
      <c r="A87" s="2996">
        <v>57</v>
      </c>
      <c r="B87" s="2998" t="s">
        <v>85</v>
      </c>
      <c r="C87" s="2996" t="str">
        <f t="shared" ca="1" si="3"/>
        <v>Wintergerste</v>
      </c>
      <c r="D87" s="2996" t="str">
        <f t="shared" ca="1" si="4"/>
        <v>Stroh-Rundballen 4 t/ha laden, abfahren, stapeln, 3-S-Kipp.</v>
      </c>
      <c r="E87" s="2997">
        <f t="shared" ca="1" si="5"/>
        <v>0</v>
      </c>
    </row>
    <row r="88" spans="1:7">
      <c r="A88" s="15">
        <v>46</v>
      </c>
      <c r="B88" s="2998" t="s">
        <v>83</v>
      </c>
      <c r="C88" s="33" t="str">
        <f t="shared" ca="1" si="3"/>
        <v>Dinkel</v>
      </c>
      <c r="D88" s="33" t="str">
        <f t="shared" ca="1" si="4"/>
        <v>Drehpflug 2,10 m</v>
      </c>
      <c r="E88" s="630">
        <f t="shared" ca="1" si="5"/>
        <v>0</v>
      </c>
      <c r="G88" s="2996"/>
    </row>
    <row r="89" spans="1:7">
      <c r="A89" s="33">
        <v>47</v>
      </c>
      <c r="B89" s="2998" t="s">
        <v>83</v>
      </c>
      <c r="C89" s="33" t="str">
        <f t="shared" ca="1" si="3"/>
        <v>Dinkel</v>
      </c>
      <c r="D89" s="33" t="str">
        <f t="shared" ca="1" si="4"/>
        <v>Kreiselegge-Säkomb. 3 m</v>
      </c>
      <c r="E89" s="630">
        <f t="shared" ca="1" si="5"/>
        <v>0</v>
      </c>
      <c r="G89" s="2996"/>
    </row>
    <row r="90" spans="1:7">
      <c r="A90" s="15">
        <v>48</v>
      </c>
      <c r="B90" s="2998" t="s">
        <v>83</v>
      </c>
      <c r="C90" s="33" t="str">
        <f t="shared" ca="1" si="3"/>
        <v>Dinkel</v>
      </c>
      <c r="D90" s="33" t="str">
        <f t="shared" ca="1" si="4"/>
        <v xml:space="preserve">Düngerstreuer ab Hof 12 m, 400 kg/ha </v>
      </c>
      <c r="E90" s="630">
        <f t="shared" ca="1" si="5"/>
        <v>0</v>
      </c>
      <c r="G90" s="2996"/>
    </row>
    <row r="91" spans="1:7">
      <c r="A91" s="33">
        <v>49</v>
      </c>
      <c r="B91" s="2998" t="s">
        <v>83</v>
      </c>
      <c r="C91" s="33" t="str">
        <f t="shared" ca="1" si="3"/>
        <v>Dinkel</v>
      </c>
      <c r="D91" s="33" t="str">
        <f t="shared" ca="1" si="4"/>
        <v>Pflanzenschutzspritze 12 m, 300 l/ha</v>
      </c>
      <c r="E91" s="630">
        <f t="shared" ca="1" si="5"/>
        <v>0</v>
      </c>
      <c r="G91" s="2996"/>
    </row>
    <row r="92" spans="1:7">
      <c r="A92" s="15">
        <v>50</v>
      </c>
      <c r="B92" s="2998" t="s">
        <v>83</v>
      </c>
      <c r="C92" s="33" t="str">
        <f t="shared" ca="1" si="3"/>
        <v>Dinkel</v>
      </c>
      <c r="D92" s="33" t="str">
        <f t="shared" ca="1" si="4"/>
        <v>Transp. u. Abkip. Getr. 6 t/ha (5,7 t Ki.)</v>
      </c>
      <c r="E92" s="630">
        <f t="shared" ca="1" si="5"/>
        <v>0</v>
      </c>
      <c r="G92" s="2996"/>
    </row>
    <row r="93" spans="1:7">
      <c r="A93" s="33">
        <v>51</v>
      </c>
      <c r="B93" s="2998" t="s">
        <v>83</v>
      </c>
      <c r="C93" s="33" t="str">
        <f t="shared" ca="1" si="3"/>
        <v>Dinkel</v>
      </c>
      <c r="D93" s="33" t="str">
        <f t="shared" ca="1" si="4"/>
        <v>Schwergrubber 3 m</v>
      </c>
      <c r="E93" s="630">
        <f t="shared" ca="1" si="5"/>
        <v>0</v>
      </c>
      <c r="G93" s="2996"/>
    </row>
    <row r="94" spans="1:7">
      <c r="A94" s="15">
        <v>52</v>
      </c>
      <c r="B94" s="2998" t="s">
        <v>83</v>
      </c>
      <c r="C94" s="33" t="str">
        <f t="shared" ca="1" si="3"/>
        <v>Dinkel</v>
      </c>
      <c r="D94" s="33">
        <f t="shared" ca="1" si="4"/>
        <v>0</v>
      </c>
      <c r="E94" s="630">
        <f t="shared" ca="1" si="5"/>
        <v>0</v>
      </c>
      <c r="G94" s="2996"/>
    </row>
    <row r="95" spans="1:7">
      <c r="A95" s="33">
        <v>53</v>
      </c>
      <c r="B95" s="2998" t="s">
        <v>83</v>
      </c>
      <c r="C95" s="33" t="str">
        <f t="shared" ca="1" si="3"/>
        <v>Dinkel</v>
      </c>
      <c r="D95" s="33">
        <f t="shared" ca="1" si="4"/>
        <v>0</v>
      </c>
      <c r="E95" s="630">
        <f t="shared" ca="1" si="5"/>
        <v>0</v>
      </c>
      <c r="G95" s="2996"/>
    </row>
    <row r="96" spans="1:7">
      <c r="A96" s="15">
        <v>54</v>
      </c>
      <c r="B96" s="2998" t="s">
        <v>83</v>
      </c>
      <c r="C96" s="33" t="str">
        <f t="shared" ca="1" si="3"/>
        <v>Dinkel</v>
      </c>
      <c r="D96" s="33">
        <f t="shared" ca="1" si="4"/>
        <v>0</v>
      </c>
      <c r="E96" s="630">
        <f t="shared" ca="1" si="5"/>
        <v>0</v>
      </c>
      <c r="G96" s="2996"/>
    </row>
    <row r="97" spans="1:7">
      <c r="A97" s="33">
        <v>55</v>
      </c>
      <c r="B97" s="2998" t="s">
        <v>83</v>
      </c>
      <c r="C97" s="33" t="str">
        <f t="shared" ca="1" si="3"/>
        <v>Dinkel</v>
      </c>
      <c r="D97" s="33">
        <f t="shared" ca="1" si="4"/>
        <v>0</v>
      </c>
      <c r="E97" s="630">
        <f t="shared" ca="1" si="5"/>
        <v>0</v>
      </c>
      <c r="G97" s="2996"/>
    </row>
    <row r="98" spans="1:7">
      <c r="A98" s="15">
        <v>56</v>
      </c>
      <c r="B98" s="2998" t="s">
        <v>83</v>
      </c>
      <c r="C98" s="33" t="str">
        <f t="shared" ca="1" si="3"/>
        <v>Dinkel</v>
      </c>
      <c r="D98" s="33">
        <f t="shared" ca="1" si="4"/>
        <v>0</v>
      </c>
      <c r="E98" s="630">
        <f t="shared" ca="1" si="5"/>
        <v>0</v>
      </c>
      <c r="G98" s="2996"/>
    </row>
    <row r="99" spans="1:7">
      <c r="A99" s="33">
        <v>57</v>
      </c>
      <c r="B99" s="2998" t="s">
        <v>83</v>
      </c>
      <c r="C99" s="33" t="str">
        <f t="shared" ca="1" si="3"/>
        <v>Dinkel</v>
      </c>
      <c r="D99" s="33" t="str">
        <f t="shared" ca="1" si="4"/>
        <v>Stroh-Rundballen 4 t/ha laden, abfahren, stapeln, 3-S-Kipp.</v>
      </c>
      <c r="E99" s="630">
        <f t="shared" ca="1" si="5"/>
        <v>0</v>
      </c>
      <c r="G99" s="2996"/>
    </row>
    <row r="100" spans="1:7" s="2996" customFormat="1">
      <c r="A100" s="2998">
        <v>46</v>
      </c>
      <c r="B100" s="2998" t="s">
        <v>80</v>
      </c>
      <c r="C100" s="2996" t="str">
        <f t="shared" ca="1" si="3"/>
        <v xml:space="preserve">Sommerweizen </v>
      </c>
      <c r="D100" s="2996" t="str">
        <f t="shared" ca="1" si="4"/>
        <v>Drehpflug 2,10 m</v>
      </c>
      <c r="E100" s="2997">
        <f t="shared" ca="1" si="5"/>
        <v>0</v>
      </c>
    </row>
    <row r="101" spans="1:7" s="2996" customFormat="1">
      <c r="A101" s="2996">
        <v>47</v>
      </c>
      <c r="B101" s="2998" t="s">
        <v>80</v>
      </c>
      <c r="C101" s="2996" t="str">
        <f t="shared" ca="1" si="3"/>
        <v xml:space="preserve">Sommerweizen </v>
      </c>
      <c r="D101" s="2996" t="str">
        <f t="shared" ca="1" si="4"/>
        <v>Kreiselegge-Säkomb. 3 m</v>
      </c>
      <c r="E101" s="2997">
        <f t="shared" ca="1" si="5"/>
        <v>0</v>
      </c>
    </row>
    <row r="102" spans="1:7" s="2996" customFormat="1">
      <c r="A102" s="2998">
        <v>48</v>
      </c>
      <c r="B102" s="2998" t="s">
        <v>80</v>
      </c>
      <c r="C102" s="2996" t="str">
        <f t="shared" ca="1" si="3"/>
        <v xml:space="preserve">Sommerweizen </v>
      </c>
      <c r="D102" s="2996" t="str">
        <f t="shared" ca="1" si="4"/>
        <v xml:space="preserve">Düngerstreuer ab Hof 12 m, 400 kg/ha </v>
      </c>
      <c r="E102" s="2997">
        <f t="shared" ca="1" si="5"/>
        <v>0</v>
      </c>
    </row>
    <row r="103" spans="1:7" s="2996" customFormat="1">
      <c r="A103" s="2996">
        <v>49</v>
      </c>
      <c r="B103" s="2998" t="s">
        <v>80</v>
      </c>
      <c r="C103" s="2996" t="str">
        <f t="shared" ca="1" si="3"/>
        <v xml:space="preserve">Sommerweizen </v>
      </c>
      <c r="D103" s="2996" t="str">
        <f t="shared" ca="1" si="4"/>
        <v>Pflanzenschutzspritze 12 m, 300 l/ha</v>
      </c>
      <c r="E103" s="2997">
        <f t="shared" ca="1" si="5"/>
        <v>0</v>
      </c>
    </row>
    <row r="104" spans="1:7" s="2996" customFormat="1">
      <c r="A104" s="2998">
        <v>50</v>
      </c>
      <c r="B104" s="2998" t="s">
        <v>80</v>
      </c>
      <c r="C104" s="2996" t="str">
        <f t="shared" ca="1" si="3"/>
        <v xml:space="preserve">Sommerweizen </v>
      </c>
      <c r="D104" s="2996" t="str">
        <f t="shared" ca="1" si="4"/>
        <v>Transp. u. Abkip. Getr. 6 t/ha (5,7 t Ki.)</v>
      </c>
      <c r="E104" s="2997">
        <f t="shared" ca="1" si="5"/>
        <v>0</v>
      </c>
    </row>
    <row r="105" spans="1:7" s="2996" customFormat="1">
      <c r="A105" s="2996">
        <v>51</v>
      </c>
      <c r="B105" s="2998" t="s">
        <v>80</v>
      </c>
      <c r="C105" s="2996" t="str">
        <f t="shared" ca="1" si="3"/>
        <v xml:space="preserve">Sommerweizen </v>
      </c>
      <c r="D105" s="2996" t="str">
        <f t="shared" ca="1" si="4"/>
        <v>Schwergrubber 3 m</v>
      </c>
      <c r="E105" s="2997">
        <f t="shared" ca="1" si="5"/>
        <v>0</v>
      </c>
    </row>
    <row r="106" spans="1:7" s="2996" customFormat="1">
      <c r="A106" s="2998">
        <v>52</v>
      </c>
      <c r="B106" s="2998" t="s">
        <v>80</v>
      </c>
      <c r="C106" s="2996" t="str">
        <f t="shared" ca="1" si="3"/>
        <v xml:space="preserve">Sommerweizen </v>
      </c>
      <c r="D106" s="2996">
        <f t="shared" ca="1" si="4"/>
        <v>0</v>
      </c>
      <c r="E106" s="2997">
        <f t="shared" ca="1" si="5"/>
        <v>0</v>
      </c>
    </row>
    <row r="107" spans="1:7" s="2996" customFormat="1">
      <c r="A107" s="2996">
        <v>53</v>
      </c>
      <c r="B107" s="2998" t="s">
        <v>80</v>
      </c>
      <c r="C107" s="2996" t="str">
        <f t="shared" ca="1" si="3"/>
        <v xml:space="preserve">Sommerweizen </v>
      </c>
      <c r="D107" s="2996">
        <f t="shared" ca="1" si="4"/>
        <v>0</v>
      </c>
      <c r="E107" s="2997">
        <f t="shared" ca="1" si="5"/>
        <v>0</v>
      </c>
    </row>
    <row r="108" spans="1:7" s="2996" customFormat="1">
      <c r="A108" s="2998">
        <v>54</v>
      </c>
      <c r="B108" s="2998" t="s">
        <v>80</v>
      </c>
      <c r="C108" s="2996" t="str">
        <f t="shared" ca="1" si="3"/>
        <v xml:space="preserve">Sommerweizen </v>
      </c>
      <c r="D108" s="2996">
        <f t="shared" ca="1" si="4"/>
        <v>0</v>
      </c>
      <c r="E108" s="2997">
        <f t="shared" ca="1" si="5"/>
        <v>0</v>
      </c>
    </row>
    <row r="109" spans="1:7" s="2996" customFormat="1">
      <c r="A109" s="2996">
        <v>55</v>
      </c>
      <c r="B109" s="2998" t="s">
        <v>80</v>
      </c>
      <c r="C109" s="2996" t="str">
        <f t="shared" ca="1" si="3"/>
        <v xml:space="preserve">Sommerweizen </v>
      </c>
      <c r="D109" s="2996">
        <f t="shared" ca="1" si="4"/>
        <v>0</v>
      </c>
      <c r="E109" s="2997">
        <f t="shared" ca="1" si="5"/>
        <v>0</v>
      </c>
    </row>
    <row r="110" spans="1:7" s="2996" customFormat="1">
      <c r="A110" s="2998">
        <v>56</v>
      </c>
      <c r="B110" s="2998" t="s">
        <v>80</v>
      </c>
      <c r="C110" s="2996" t="str">
        <f t="shared" ca="1" si="3"/>
        <v xml:space="preserve">Sommerweizen </v>
      </c>
      <c r="D110" s="2996">
        <f t="shared" ca="1" si="4"/>
        <v>0</v>
      </c>
      <c r="E110" s="2997">
        <f t="shared" ca="1" si="5"/>
        <v>0</v>
      </c>
    </row>
    <row r="111" spans="1:7" s="2996" customFormat="1">
      <c r="A111" s="2996">
        <v>57</v>
      </c>
      <c r="B111" s="2998" t="s">
        <v>80</v>
      </c>
      <c r="C111" s="2996" t="str">
        <f t="shared" ca="1" si="3"/>
        <v xml:space="preserve">Sommerweizen </v>
      </c>
      <c r="D111" s="2996" t="str">
        <f t="shared" ca="1" si="4"/>
        <v>Stroh-Rundballen 4 t/ha laden, abfahren, stapeln, 3-S-Kipp.</v>
      </c>
      <c r="E111" s="2997">
        <f t="shared" ca="1" si="5"/>
        <v>0</v>
      </c>
    </row>
    <row r="112" spans="1:7">
      <c r="A112" s="15">
        <v>46</v>
      </c>
      <c r="B112" s="2998" t="s">
        <v>78</v>
      </c>
      <c r="C112" s="33" t="str">
        <f t="shared" ca="1" si="3"/>
        <v xml:space="preserve">Sommerfuttergerste </v>
      </c>
      <c r="D112" s="33" t="str">
        <f t="shared" ca="1" si="4"/>
        <v>Drehpflug 2,10 m</v>
      </c>
      <c r="E112" s="630">
        <f t="shared" ca="1" si="5"/>
        <v>0</v>
      </c>
      <c r="G112" s="2996"/>
    </row>
    <row r="113" spans="1:7">
      <c r="A113" s="33">
        <v>47</v>
      </c>
      <c r="B113" s="2998" t="s">
        <v>78</v>
      </c>
      <c r="C113" s="33" t="str">
        <f t="shared" ca="1" si="3"/>
        <v xml:space="preserve">Sommerfuttergerste </v>
      </c>
      <c r="D113" s="33" t="str">
        <f t="shared" ca="1" si="4"/>
        <v>Kreiselegge-Säkomb. 3 m</v>
      </c>
      <c r="E113" s="630">
        <f t="shared" ca="1" si="5"/>
        <v>0</v>
      </c>
      <c r="G113" s="2996"/>
    </row>
    <row r="114" spans="1:7">
      <c r="A114" s="15">
        <v>48</v>
      </c>
      <c r="B114" s="2998" t="s">
        <v>78</v>
      </c>
      <c r="C114" s="33" t="str">
        <f t="shared" ca="1" si="3"/>
        <v xml:space="preserve">Sommerfuttergerste </v>
      </c>
      <c r="D114" s="33" t="str">
        <f t="shared" ca="1" si="4"/>
        <v xml:space="preserve">Düngerstreuer ab Hof 12 m, 400 kg/ha </v>
      </c>
      <c r="E114" s="630">
        <f t="shared" ca="1" si="5"/>
        <v>0</v>
      </c>
      <c r="G114" s="2996"/>
    </row>
    <row r="115" spans="1:7">
      <c r="A115" s="33">
        <v>49</v>
      </c>
      <c r="B115" s="2998" t="s">
        <v>78</v>
      </c>
      <c r="C115" s="33" t="str">
        <f t="shared" ca="1" si="3"/>
        <v xml:space="preserve">Sommerfuttergerste </v>
      </c>
      <c r="D115" s="33" t="str">
        <f t="shared" ca="1" si="4"/>
        <v>Pflanzenschutzspritze 12 m, 300 l/ha</v>
      </c>
      <c r="E115" s="630">
        <f t="shared" ca="1" si="5"/>
        <v>0</v>
      </c>
      <c r="G115" s="2996"/>
    </row>
    <row r="116" spans="1:7">
      <c r="A116" s="15">
        <v>50</v>
      </c>
      <c r="B116" s="2998" t="s">
        <v>78</v>
      </c>
      <c r="C116" s="33" t="str">
        <f t="shared" ca="1" si="3"/>
        <v xml:space="preserve">Sommerfuttergerste </v>
      </c>
      <c r="D116" s="33" t="str">
        <f t="shared" ca="1" si="4"/>
        <v>Transp. u. Abkip. Getr. 6 t/ha (5,7 t Ki.)</v>
      </c>
      <c r="E116" s="630">
        <f t="shared" ca="1" si="5"/>
        <v>0</v>
      </c>
      <c r="G116" s="2996"/>
    </row>
    <row r="117" spans="1:7">
      <c r="A117" s="33">
        <v>51</v>
      </c>
      <c r="B117" s="2998" t="s">
        <v>78</v>
      </c>
      <c r="C117" s="33" t="str">
        <f t="shared" ca="1" si="3"/>
        <v xml:space="preserve">Sommerfuttergerste </v>
      </c>
      <c r="D117" s="33" t="str">
        <f t="shared" ca="1" si="4"/>
        <v>Schwergrubber 3 m</v>
      </c>
      <c r="E117" s="630">
        <f t="shared" ca="1" si="5"/>
        <v>0</v>
      </c>
      <c r="G117" s="2996"/>
    </row>
    <row r="118" spans="1:7">
      <c r="A118" s="15">
        <v>52</v>
      </c>
      <c r="B118" s="2998" t="s">
        <v>78</v>
      </c>
      <c r="C118" s="33" t="str">
        <f t="shared" ca="1" si="3"/>
        <v xml:space="preserve">Sommerfuttergerste </v>
      </c>
      <c r="D118" s="33">
        <f t="shared" ca="1" si="4"/>
        <v>0</v>
      </c>
      <c r="E118" s="630">
        <f t="shared" ca="1" si="5"/>
        <v>0</v>
      </c>
      <c r="G118" s="2996"/>
    </row>
    <row r="119" spans="1:7">
      <c r="A119" s="33">
        <v>53</v>
      </c>
      <c r="B119" s="2998" t="s">
        <v>78</v>
      </c>
      <c r="C119" s="33" t="str">
        <f t="shared" ca="1" si="3"/>
        <v xml:space="preserve">Sommerfuttergerste </v>
      </c>
      <c r="D119" s="33">
        <f t="shared" ca="1" si="4"/>
        <v>0</v>
      </c>
      <c r="E119" s="630">
        <f t="shared" ca="1" si="5"/>
        <v>0</v>
      </c>
      <c r="G119" s="2996"/>
    </row>
    <row r="120" spans="1:7">
      <c r="A120" s="15">
        <v>54</v>
      </c>
      <c r="B120" s="2998" t="s">
        <v>78</v>
      </c>
      <c r="C120" s="33" t="str">
        <f t="shared" ca="1" si="3"/>
        <v xml:space="preserve">Sommerfuttergerste </v>
      </c>
      <c r="D120" s="33">
        <f t="shared" ca="1" si="4"/>
        <v>0</v>
      </c>
      <c r="E120" s="630">
        <f t="shared" ca="1" si="5"/>
        <v>0</v>
      </c>
      <c r="G120" s="2996"/>
    </row>
    <row r="121" spans="1:7">
      <c r="A121" s="33">
        <v>55</v>
      </c>
      <c r="B121" s="2998" t="s">
        <v>78</v>
      </c>
      <c r="C121" s="33" t="str">
        <f t="shared" ca="1" si="3"/>
        <v xml:space="preserve">Sommerfuttergerste </v>
      </c>
      <c r="D121" s="33">
        <f t="shared" ca="1" si="4"/>
        <v>0</v>
      </c>
      <c r="E121" s="630">
        <f t="shared" ca="1" si="5"/>
        <v>0</v>
      </c>
      <c r="G121" s="2996"/>
    </row>
    <row r="122" spans="1:7">
      <c r="A122" s="15">
        <v>56</v>
      </c>
      <c r="B122" s="2998" t="s">
        <v>78</v>
      </c>
      <c r="C122" s="33" t="str">
        <f t="shared" ca="1" si="3"/>
        <v xml:space="preserve">Sommerfuttergerste </v>
      </c>
      <c r="D122" s="33">
        <f t="shared" ca="1" si="4"/>
        <v>0</v>
      </c>
      <c r="E122" s="630">
        <f t="shared" ca="1" si="5"/>
        <v>0</v>
      </c>
      <c r="G122" s="2996"/>
    </row>
    <row r="123" spans="1:7">
      <c r="A123" s="33">
        <v>57</v>
      </c>
      <c r="B123" s="2998" t="s">
        <v>78</v>
      </c>
      <c r="C123" s="33" t="str">
        <f t="shared" ca="1" si="3"/>
        <v xml:space="preserve">Sommerfuttergerste </v>
      </c>
      <c r="D123" s="33" t="str">
        <f t="shared" ca="1" si="4"/>
        <v>Stroh-Rundballen 4 t/ha laden, abfahren, stapeln, 3-S-Kipp.</v>
      </c>
      <c r="E123" s="630">
        <f t="shared" ca="1" si="5"/>
        <v>0</v>
      </c>
      <c r="G123" s="2996"/>
    </row>
    <row r="124" spans="1:7" s="2996" customFormat="1">
      <c r="A124" s="2998">
        <v>46</v>
      </c>
      <c r="B124" s="2998" t="s">
        <v>76</v>
      </c>
      <c r="C124" s="2996" t="str">
        <f t="shared" ca="1" si="3"/>
        <v>Braugerste</v>
      </c>
      <c r="D124" s="2996" t="str">
        <f t="shared" ca="1" si="4"/>
        <v>Schwergrubber 3 m</v>
      </c>
      <c r="E124" s="2997">
        <f t="shared" ca="1" si="5"/>
        <v>0</v>
      </c>
    </row>
    <row r="125" spans="1:7" s="2996" customFormat="1">
      <c r="A125" s="2996">
        <v>47</v>
      </c>
      <c r="B125" s="2998" t="s">
        <v>76</v>
      </c>
      <c r="C125" s="2996" t="str">
        <f t="shared" ca="1" si="3"/>
        <v>Braugerste</v>
      </c>
      <c r="D125" s="2996" t="str">
        <f t="shared" ca="1" si="4"/>
        <v>Drehpflug 2,10 m</v>
      </c>
      <c r="E125" s="2997">
        <f t="shared" ca="1" si="5"/>
        <v>0</v>
      </c>
    </row>
    <row r="126" spans="1:7" s="2996" customFormat="1">
      <c r="A126" s="2998">
        <v>48</v>
      </c>
      <c r="B126" s="2998" t="s">
        <v>76</v>
      </c>
      <c r="C126" s="2996" t="str">
        <f t="shared" ca="1" si="3"/>
        <v>Braugerste</v>
      </c>
      <c r="D126" s="2996" t="str">
        <f t="shared" ca="1" si="4"/>
        <v>Kreiselegge-Säkomb. 3 m</v>
      </c>
      <c r="E126" s="2997">
        <f t="shared" ca="1" si="5"/>
        <v>0</v>
      </c>
    </row>
    <row r="127" spans="1:7" s="2996" customFormat="1">
      <c r="A127" s="2996">
        <v>49</v>
      </c>
      <c r="B127" s="2998" t="s">
        <v>76</v>
      </c>
      <c r="C127" s="2996" t="str">
        <f t="shared" ca="1" si="3"/>
        <v>Braugerste</v>
      </c>
      <c r="D127" s="2996" t="str">
        <f t="shared" ca="1" si="4"/>
        <v xml:space="preserve">Düngerstreuer ab Hof 12 m, 400 kg/ha </v>
      </c>
      <c r="E127" s="2997">
        <f t="shared" ca="1" si="5"/>
        <v>0</v>
      </c>
    </row>
    <row r="128" spans="1:7" s="2996" customFormat="1">
      <c r="A128" s="2998">
        <v>50</v>
      </c>
      <c r="B128" s="2998" t="s">
        <v>76</v>
      </c>
      <c r="C128" s="2996" t="str">
        <f t="shared" ca="1" si="3"/>
        <v>Braugerste</v>
      </c>
      <c r="D128" s="2996" t="str">
        <f t="shared" ca="1" si="4"/>
        <v>Pflanzenschutzspritze 12 m, 300 l/ha</v>
      </c>
      <c r="E128" s="2997">
        <f t="shared" ca="1" si="5"/>
        <v>0</v>
      </c>
    </row>
    <row r="129" spans="1:7" s="2996" customFormat="1">
      <c r="A129" s="2996">
        <v>51</v>
      </c>
      <c r="B129" s="2998" t="s">
        <v>76</v>
      </c>
      <c r="C129" s="2996" t="str">
        <f t="shared" ca="1" si="3"/>
        <v>Braugerste</v>
      </c>
      <c r="D129" s="2996" t="str">
        <f t="shared" ca="1" si="4"/>
        <v>Transp. u. Abkip. Getr. 6 t/ha (5,7 t Ki.)</v>
      </c>
      <c r="E129" s="2997">
        <f t="shared" ca="1" si="5"/>
        <v>0</v>
      </c>
    </row>
    <row r="130" spans="1:7" s="2996" customFormat="1">
      <c r="A130" s="2998">
        <v>52</v>
      </c>
      <c r="B130" s="2998" t="s">
        <v>76</v>
      </c>
      <c r="C130" s="2996" t="str">
        <f t="shared" ca="1" si="3"/>
        <v>Braugerste</v>
      </c>
      <c r="D130" s="2996">
        <f t="shared" ca="1" si="4"/>
        <v>0</v>
      </c>
      <c r="E130" s="2997">
        <f t="shared" ca="1" si="5"/>
        <v>0</v>
      </c>
    </row>
    <row r="131" spans="1:7" s="2996" customFormat="1">
      <c r="A131" s="2996">
        <v>53</v>
      </c>
      <c r="B131" s="2998" t="s">
        <v>76</v>
      </c>
      <c r="C131" s="2996" t="str">
        <f t="shared" ca="1" si="3"/>
        <v>Braugerste</v>
      </c>
      <c r="D131" s="2996">
        <f t="shared" ca="1" si="4"/>
        <v>0</v>
      </c>
      <c r="E131" s="2997">
        <f t="shared" ca="1" si="5"/>
        <v>0</v>
      </c>
    </row>
    <row r="132" spans="1:7" s="2996" customFormat="1">
      <c r="A132" s="2998">
        <v>54</v>
      </c>
      <c r="B132" s="2998" t="s">
        <v>76</v>
      </c>
      <c r="C132" s="2996" t="str">
        <f t="shared" ref="C132:C195" ca="1" si="6">INDIRECT("'"&amp;B132&amp;"'!$K$2")</f>
        <v>Braugerste</v>
      </c>
      <c r="D132" s="2996">
        <f t="shared" ref="D132:D195" ca="1" si="7">INDIRECT("'"&amp;B132&amp;"'!C"&amp;A132)</f>
        <v>0</v>
      </c>
      <c r="E132" s="2997">
        <f t="shared" ref="E132:E195" ca="1" si="8">INDIRECT("'"&amp;B132&amp;"'!Q"&amp;A132)</f>
        <v>0</v>
      </c>
    </row>
    <row r="133" spans="1:7" s="2996" customFormat="1">
      <c r="A133" s="2996">
        <v>55</v>
      </c>
      <c r="B133" s="2998" t="s">
        <v>76</v>
      </c>
      <c r="C133" s="2996" t="str">
        <f t="shared" ca="1" si="6"/>
        <v>Braugerste</v>
      </c>
      <c r="D133" s="2996">
        <f t="shared" ca="1" si="7"/>
        <v>0</v>
      </c>
      <c r="E133" s="2997">
        <f t="shared" ca="1" si="8"/>
        <v>0</v>
      </c>
    </row>
    <row r="134" spans="1:7" s="2996" customFormat="1">
      <c r="A134" s="2998">
        <v>56</v>
      </c>
      <c r="B134" s="2998" t="s">
        <v>76</v>
      </c>
      <c r="C134" s="2996" t="str">
        <f t="shared" ca="1" si="6"/>
        <v>Braugerste</v>
      </c>
      <c r="D134" s="2996">
        <f t="shared" ca="1" si="7"/>
        <v>0</v>
      </c>
      <c r="E134" s="2997">
        <f t="shared" ca="1" si="8"/>
        <v>0</v>
      </c>
    </row>
    <row r="135" spans="1:7" s="2996" customFormat="1">
      <c r="A135" s="2996">
        <v>57</v>
      </c>
      <c r="B135" s="2998" t="s">
        <v>76</v>
      </c>
      <c r="C135" s="2996" t="str">
        <f t="shared" ca="1" si="6"/>
        <v>Braugerste</v>
      </c>
      <c r="D135" s="2996" t="str">
        <f t="shared" ca="1" si="7"/>
        <v>Stroh-Rundballen 4 t/ha laden, abfahren, stapeln, 3-S-Kipp.</v>
      </c>
      <c r="E135" s="2997">
        <f t="shared" ca="1" si="8"/>
        <v>0</v>
      </c>
    </row>
    <row r="136" spans="1:7">
      <c r="A136" s="15">
        <v>46</v>
      </c>
      <c r="B136" s="2998" t="s">
        <v>74</v>
      </c>
      <c r="C136" s="33" t="str">
        <f t="shared" ca="1" si="6"/>
        <v xml:space="preserve">Hafer </v>
      </c>
      <c r="D136" s="33" t="str">
        <f t="shared" ca="1" si="7"/>
        <v>Drehpflug 2,10 m</v>
      </c>
      <c r="E136" s="630">
        <f t="shared" ca="1" si="8"/>
        <v>0</v>
      </c>
      <c r="G136" s="2996"/>
    </row>
    <row r="137" spans="1:7">
      <c r="A137" s="33">
        <v>47</v>
      </c>
      <c r="B137" s="2998" t="s">
        <v>74</v>
      </c>
      <c r="C137" s="33" t="str">
        <f t="shared" ca="1" si="6"/>
        <v xml:space="preserve">Hafer </v>
      </c>
      <c r="D137" s="33" t="str">
        <f t="shared" ca="1" si="7"/>
        <v>Kreiselegge-Säkomb. 3 m</v>
      </c>
      <c r="E137" s="630">
        <f t="shared" ca="1" si="8"/>
        <v>0</v>
      </c>
      <c r="G137" s="2996"/>
    </row>
    <row r="138" spans="1:7">
      <c r="A138" s="15">
        <v>48</v>
      </c>
      <c r="B138" s="2998" t="s">
        <v>74</v>
      </c>
      <c r="C138" s="33" t="str">
        <f t="shared" ca="1" si="6"/>
        <v xml:space="preserve">Hafer </v>
      </c>
      <c r="D138" s="33" t="str">
        <f t="shared" ca="1" si="7"/>
        <v xml:space="preserve">Düngerstreuer ab Hof 12 m, 400 kg/ha </v>
      </c>
      <c r="E138" s="630">
        <f t="shared" ca="1" si="8"/>
        <v>0</v>
      </c>
      <c r="G138" s="2996"/>
    </row>
    <row r="139" spans="1:7">
      <c r="A139" s="33">
        <v>49</v>
      </c>
      <c r="B139" s="2998" t="s">
        <v>74</v>
      </c>
      <c r="C139" s="33" t="str">
        <f t="shared" ca="1" si="6"/>
        <v xml:space="preserve">Hafer </v>
      </c>
      <c r="D139" s="33" t="str">
        <f t="shared" ca="1" si="7"/>
        <v>Pflanzenschutzspritze 12 m, 300 l/ha</v>
      </c>
      <c r="E139" s="630">
        <f t="shared" ca="1" si="8"/>
        <v>0</v>
      </c>
      <c r="G139" s="2996"/>
    </row>
    <row r="140" spans="1:7">
      <c r="A140" s="15">
        <v>50</v>
      </c>
      <c r="B140" s="2998" t="s">
        <v>74</v>
      </c>
      <c r="C140" s="33" t="str">
        <f t="shared" ca="1" si="6"/>
        <v xml:space="preserve">Hafer </v>
      </c>
      <c r="D140" s="33" t="str">
        <f t="shared" ca="1" si="7"/>
        <v>Transp. u. Abkip. Getr. 6 t/ha (5,7 t Ki.)</v>
      </c>
      <c r="E140" s="630">
        <f t="shared" ca="1" si="8"/>
        <v>0</v>
      </c>
      <c r="G140" s="2996"/>
    </row>
    <row r="141" spans="1:7">
      <c r="A141" s="33">
        <v>51</v>
      </c>
      <c r="B141" s="2998" t="s">
        <v>74</v>
      </c>
      <c r="C141" s="33" t="str">
        <f t="shared" ca="1" si="6"/>
        <v xml:space="preserve">Hafer </v>
      </c>
      <c r="D141" s="33" t="str">
        <f t="shared" ca="1" si="7"/>
        <v>Schwergrubber 3 m</v>
      </c>
      <c r="E141" s="630">
        <f t="shared" ca="1" si="8"/>
        <v>0</v>
      </c>
      <c r="G141" s="2996"/>
    </row>
    <row r="142" spans="1:7">
      <c r="A142" s="15">
        <v>52</v>
      </c>
      <c r="B142" s="2998" t="s">
        <v>74</v>
      </c>
      <c r="C142" s="33" t="str">
        <f t="shared" ca="1" si="6"/>
        <v xml:space="preserve">Hafer </v>
      </c>
      <c r="D142" s="33">
        <f t="shared" ca="1" si="7"/>
        <v>0</v>
      </c>
      <c r="E142" s="630">
        <f t="shared" ca="1" si="8"/>
        <v>0</v>
      </c>
      <c r="G142" s="2996"/>
    </row>
    <row r="143" spans="1:7">
      <c r="A143" s="33">
        <v>53</v>
      </c>
      <c r="B143" s="2998" t="s">
        <v>74</v>
      </c>
      <c r="C143" s="33" t="str">
        <f t="shared" ca="1" si="6"/>
        <v xml:space="preserve">Hafer </v>
      </c>
      <c r="D143" s="33">
        <f t="shared" ca="1" si="7"/>
        <v>0</v>
      </c>
      <c r="E143" s="630">
        <f t="shared" ca="1" si="8"/>
        <v>0</v>
      </c>
      <c r="G143" s="2996"/>
    </row>
    <row r="144" spans="1:7">
      <c r="A144" s="15">
        <v>54</v>
      </c>
      <c r="B144" s="2998" t="s">
        <v>74</v>
      </c>
      <c r="C144" s="33" t="str">
        <f t="shared" ca="1" si="6"/>
        <v xml:space="preserve">Hafer </v>
      </c>
      <c r="D144" s="33">
        <f t="shared" ca="1" si="7"/>
        <v>0</v>
      </c>
      <c r="E144" s="630">
        <f t="shared" ca="1" si="8"/>
        <v>0</v>
      </c>
      <c r="G144" s="2996"/>
    </row>
    <row r="145" spans="1:7">
      <c r="A145" s="33">
        <v>55</v>
      </c>
      <c r="B145" s="2998" t="s">
        <v>74</v>
      </c>
      <c r="C145" s="33" t="str">
        <f t="shared" ca="1" si="6"/>
        <v xml:space="preserve">Hafer </v>
      </c>
      <c r="D145" s="33">
        <f t="shared" ca="1" si="7"/>
        <v>0</v>
      </c>
      <c r="E145" s="630">
        <f t="shared" ca="1" si="8"/>
        <v>0</v>
      </c>
      <c r="G145" s="2996"/>
    </row>
    <row r="146" spans="1:7">
      <c r="A146" s="15">
        <v>56</v>
      </c>
      <c r="B146" s="2998" t="s">
        <v>74</v>
      </c>
      <c r="C146" s="33" t="str">
        <f t="shared" ca="1" si="6"/>
        <v xml:space="preserve">Hafer </v>
      </c>
      <c r="D146" s="33">
        <f t="shared" ca="1" si="7"/>
        <v>0</v>
      </c>
      <c r="E146" s="630">
        <f t="shared" ca="1" si="8"/>
        <v>0</v>
      </c>
      <c r="G146" s="2996"/>
    </row>
    <row r="147" spans="1:7">
      <c r="A147" s="33">
        <v>57</v>
      </c>
      <c r="B147" s="2998" t="s">
        <v>74</v>
      </c>
      <c r="C147" s="33" t="str">
        <f t="shared" ca="1" si="6"/>
        <v xml:space="preserve">Hafer </v>
      </c>
      <c r="D147" s="33" t="str">
        <f t="shared" ca="1" si="7"/>
        <v>Stroh-Rundballen 4 t/ha laden, abfahren, stapeln, 3-S-Kipp.</v>
      </c>
      <c r="E147" s="630">
        <f t="shared" ca="1" si="8"/>
        <v>0</v>
      </c>
      <c r="G147" s="2996"/>
    </row>
    <row r="148" spans="1:7" s="2996" customFormat="1">
      <c r="A148" s="2998">
        <v>46</v>
      </c>
      <c r="B148" s="2998" t="s">
        <v>72</v>
      </c>
      <c r="C148" s="2996" t="str">
        <f t="shared" ca="1" si="6"/>
        <v>Durum</v>
      </c>
      <c r="D148" s="2996" t="str">
        <f t="shared" ca="1" si="7"/>
        <v>Drehpflug 2,10 m</v>
      </c>
      <c r="E148" s="2997">
        <f t="shared" ca="1" si="8"/>
        <v>0</v>
      </c>
    </row>
    <row r="149" spans="1:7" s="2996" customFormat="1">
      <c r="A149" s="2996">
        <v>47</v>
      </c>
      <c r="B149" s="2998" t="s">
        <v>72</v>
      </c>
      <c r="C149" s="2996" t="str">
        <f t="shared" ca="1" si="6"/>
        <v>Durum</v>
      </c>
      <c r="D149" s="2996" t="str">
        <f t="shared" ca="1" si="7"/>
        <v>Kreiselegge-Säkomb. 3 m</v>
      </c>
      <c r="E149" s="2997">
        <f t="shared" ca="1" si="8"/>
        <v>0</v>
      </c>
    </row>
    <row r="150" spans="1:7" s="2996" customFormat="1">
      <c r="A150" s="2998">
        <v>48</v>
      </c>
      <c r="B150" s="2998" t="s">
        <v>72</v>
      </c>
      <c r="C150" s="2996" t="str">
        <f t="shared" ca="1" si="6"/>
        <v>Durum</v>
      </c>
      <c r="D150" s="2996" t="str">
        <f t="shared" ca="1" si="7"/>
        <v>Hackstriegel 9 m</v>
      </c>
      <c r="E150" s="2997">
        <f t="shared" ca="1" si="8"/>
        <v>0</v>
      </c>
    </row>
    <row r="151" spans="1:7" s="2996" customFormat="1">
      <c r="A151" s="2996">
        <v>49</v>
      </c>
      <c r="B151" s="2998" t="s">
        <v>72</v>
      </c>
      <c r="C151" s="2996" t="str">
        <f t="shared" ca="1" si="6"/>
        <v>Durum</v>
      </c>
      <c r="D151" s="2996" t="str">
        <f t="shared" ca="1" si="7"/>
        <v xml:space="preserve">Düngerstreuer ab Hof 12 m, 400 kg/ha </v>
      </c>
      <c r="E151" s="2997">
        <f t="shared" ca="1" si="8"/>
        <v>0</v>
      </c>
    </row>
    <row r="152" spans="1:7" s="2996" customFormat="1">
      <c r="A152" s="2998">
        <v>50</v>
      </c>
      <c r="B152" s="2998" t="s">
        <v>72</v>
      </c>
      <c r="C152" s="2996" t="str">
        <f t="shared" ca="1" si="6"/>
        <v>Durum</v>
      </c>
      <c r="D152" s="2996" t="str">
        <f t="shared" ca="1" si="7"/>
        <v>Pflanzenschutzspritze 12 m, 300 l/ha</v>
      </c>
      <c r="E152" s="2997">
        <f t="shared" ca="1" si="8"/>
        <v>0</v>
      </c>
    </row>
    <row r="153" spans="1:7" s="2996" customFormat="1">
      <c r="A153" s="2996">
        <v>51</v>
      </c>
      <c r="B153" s="2998" t="s">
        <v>72</v>
      </c>
      <c r="C153" s="2996" t="str">
        <f t="shared" ca="1" si="6"/>
        <v>Durum</v>
      </c>
      <c r="D153" s="2996" t="str">
        <f t="shared" ca="1" si="7"/>
        <v>Transp. u. Abkip. Getr. 6 t/ha (5,7 t Ki.)</v>
      </c>
      <c r="E153" s="2997">
        <f t="shared" ca="1" si="8"/>
        <v>0</v>
      </c>
    </row>
    <row r="154" spans="1:7" s="2996" customFormat="1">
      <c r="A154" s="2998">
        <v>52</v>
      </c>
      <c r="B154" s="2998" t="s">
        <v>72</v>
      </c>
      <c r="C154" s="2996" t="str">
        <f t="shared" ca="1" si="6"/>
        <v>Durum</v>
      </c>
      <c r="D154" s="2996" t="str">
        <f t="shared" ca="1" si="7"/>
        <v>Schwergrubber 3 m</v>
      </c>
      <c r="E154" s="2997">
        <f t="shared" ca="1" si="8"/>
        <v>0</v>
      </c>
    </row>
    <row r="155" spans="1:7" s="2996" customFormat="1">
      <c r="A155" s="2996">
        <v>53</v>
      </c>
      <c r="B155" s="2998" t="s">
        <v>72</v>
      </c>
      <c r="C155" s="2996" t="str">
        <f t="shared" ca="1" si="6"/>
        <v>Durum</v>
      </c>
      <c r="D155" s="2996">
        <f t="shared" ca="1" si="7"/>
        <v>0</v>
      </c>
      <c r="E155" s="2997">
        <f t="shared" ca="1" si="8"/>
        <v>0</v>
      </c>
    </row>
    <row r="156" spans="1:7" s="2996" customFormat="1">
      <c r="A156" s="2998">
        <v>54</v>
      </c>
      <c r="B156" s="2998" t="s">
        <v>72</v>
      </c>
      <c r="C156" s="2996" t="str">
        <f t="shared" ca="1" si="6"/>
        <v>Durum</v>
      </c>
      <c r="D156" s="2996">
        <f t="shared" ca="1" si="7"/>
        <v>0</v>
      </c>
      <c r="E156" s="2997">
        <f t="shared" ca="1" si="8"/>
        <v>0</v>
      </c>
    </row>
    <row r="157" spans="1:7" s="2996" customFormat="1">
      <c r="A157" s="2996">
        <v>55</v>
      </c>
      <c r="B157" s="2998" t="s">
        <v>72</v>
      </c>
      <c r="C157" s="2996" t="str">
        <f t="shared" ca="1" si="6"/>
        <v>Durum</v>
      </c>
      <c r="D157" s="2996">
        <f t="shared" ca="1" si="7"/>
        <v>0</v>
      </c>
      <c r="E157" s="2997">
        <f t="shared" ca="1" si="8"/>
        <v>0</v>
      </c>
    </row>
    <row r="158" spans="1:7" s="2996" customFormat="1">
      <c r="A158" s="2998">
        <v>56</v>
      </c>
      <c r="B158" s="2998" t="s">
        <v>72</v>
      </c>
      <c r="C158" s="2996" t="str">
        <f t="shared" ca="1" si="6"/>
        <v>Durum</v>
      </c>
      <c r="D158" s="2996">
        <f t="shared" ca="1" si="7"/>
        <v>0</v>
      </c>
      <c r="E158" s="2997">
        <f t="shared" ca="1" si="8"/>
        <v>0</v>
      </c>
    </row>
    <row r="159" spans="1:7" s="2996" customFormat="1">
      <c r="A159" s="2996">
        <v>57</v>
      </c>
      <c r="B159" s="2998" t="s">
        <v>72</v>
      </c>
      <c r="C159" s="2996" t="str">
        <f t="shared" ca="1" si="6"/>
        <v>Durum</v>
      </c>
      <c r="D159" s="2996" t="str">
        <f t="shared" ca="1" si="7"/>
        <v>Stroh-Rundballen 4 t/ha laden, abfahren, stapeln, 3-S-Kipp.</v>
      </c>
      <c r="E159" s="2997">
        <f t="shared" ca="1" si="8"/>
        <v>0</v>
      </c>
    </row>
    <row r="160" spans="1:7">
      <c r="A160" s="15">
        <v>46</v>
      </c>
      <c r="B160" s="2998" t="s">
        <v>69</v>
      </c>
      <c r="C160" s="33" t="str">
        <f t="shared" ca="1" si="6"/>
        <v xml:space="preserve">Körnermais </v>
      </c>
      <c r="D160" s="33" t="str">
        <f t="shared" ca="1" si="7"/>
        <v>Drehpflug 2,10 m</v>
      </c>
      <c r="E160" s="630">
        <f t="shared" ca="1" si="8"/>
        <v>30</v>
      </c>
      <c r="G160" s="2996"/>
    </row>
    <row r="161" spans="1:7">
      <c r="A161" s="33">
        <v>47</v>
      </c>
      <c r="B161" s="2998" t="s">
        <v>69</v>
      </c>
      <c r="C161" s="33" t="str">
        <f t="shared" ca="1" si="6"/>
        <v xml:space="preserve">Körnermais </v>
      </c>
      <c r="D161" s="33" t="str">
        <f t="shared" ca="1" si="7"/>
        <v>Kreiselegge 3 m</v>
      </c>
      <c r="E161" s="630">
        <f t="shared" ca="1" si="8"/>
        <v>0</v>
      </c>
      <c r="G161" s="2996"/>
    </row>
    <row r="162" spans="1:7">
      <c r="A162" s="15">
        <v>48</v>
      </c>
      <c r="B162" s="2998" t="s">
        <v>69</v>
      </c>
      <c r="C162" s="33" t="str">
        <f t="shared" ca="1" si="6"/>
        <v xml:space="preserve">Körnermais </v>
      </c>
      <c r="D162" s="33" t="str">
        <f t="shared" ca="1" si="7"/>
        <v>Einzelkornsaat 8 r (Mais)</v>
      </c>
      <c r="E162" s="630">
        <f t="shared" ca="1" si="8"/>
        <v>0</v>
      </c>
      <c r="G162" s="2996"/>
    </row>
    <row r="163" spans="1:7">
      <c r="A163" s="33">
        <v>49</v>
      </c>
      <c r="B163" s="2998" t="s">
        <v>69</v>
      </c>
      <c r="C163" s="33" t="str">
        <f t="shared" ca="1" si="6"/>
        <v xml:space="preserve">Körnermais </v>
      </c>
      <c r="D163" s="33" t="str">
        <f t="shared" ca="1" si="7"/>
        <v xml:space="preserve">Düngerstreuer ab Hof 12 m, 400 kg/ha </v>
      </c>
      <c r="E163" s="630">
        <f t="shared" ca="1" si="8"/>
        <v>0</v>
      </c>
      <c r="G163" s="2996"/>
    </row>
    <row r="164" spans="1:7">
      <c r="A164" s="15">
        <v>50</v>
      </c>
      <c r="B164" s="2998" t="s">
        <v>69</v>
      </c>
      <c r="C164" s="33" t="str">
        <f t="shared" ca="1" si="6"/>
        <v xml:space="preserve">Körnermais </v>
      </c>
      <c r="D164" s="33" t="str">
        <f t="shared" ca="1" si="7"/>
        <v>Pflanzenschutzspritze 12 m, 300 l/ha</v>
      </c>
      <c r="E164" s="630">
        <f t="shared" ca="1" si="8"/>
        <v>0</v>
      </c>
      <c r="G164" s="2996"/>
    </row>
    <row r="165" spans="1:7">
      <c r="A165" s="33">
        <v>51</v>
      </c>
      <c r="B165" s="2998" t="s">
        <v>69</v>
      </c>
      <c r="C165" s="33" t="str">
        <f t="shared" ca="1" si="6"/>
        <v xml:space="preserve">Körnermais </v>
      </c>
      <c r="D165" s="33" t="str">
        <f t="shared" ca="1" si="7"/>
        <v>Transp. u. Abkip. Getr. 6 t/ha (5,7 t Ki.)</v>
      </c>
      <c r="E165" s="630">
        <f t="shared" ca="1" si="8"/>
        <v>0</v>
      </c>
      <c r="G165" s="2996"/>
    </row>
    <row r="166" spans="1:7">
      <c r="A166" s="15">
        <v>52</v>
      </c>
      <c r="B166" s="2998" t="s">
        <v>69</v>
      </c>
      <c r="C166" s="33" t="str">
        <f t="shared" ca="1" si="6"/>
        <v xml:space="preserve">Körnermais </v>
      </c>
      <c r="D166" s="33">
        <f t="shared" ca="1" si="7"/>
        <v>0</v>
      </c>
      <c r="E166" s="630">
        <f t="shared" ca="1" si="8"/>
        <v>0</v>
      </c>
      <c r="G166" s="2996"/>
    </row>
    <row r="167" spans="1:7">
      <c r="A167" s="33">
        <v>53</v>
      </c>
      <c r="B167" s="2998" t="s">
        <v>69</v>
      </c>
      <c r="C167" s="33" t="str">
        <f t="shared" ca="1" si="6"/>
        <v xml:space="preserve">Körnermais </v>
      </c>
      <c r="D167" s="33">
        <f t="shared" ca="1" si="7"/>
        <v>0</v>
      </c>
      <c r="E167" s="630">
        <f t="shared" ca="1" si="8"/>
        <v>0</v>
      </c>
      <c r="G167" s="2996"/>
    </row>
    <row r="168" spans="1:7">
      <c r="A168" s="15">
        <v>54</v>
      </c>
      <c r="B168" s="2998" t="s">
        <v>69</v>
      </c>
      <c r="C168" s="33" t="str">
        <f t="shared" ca="1" si="6"/>
        <v xml:space="preserve">Körnermais </v>
      </c>
      <c r="D168" s="33">
        <f t="shared" ca="1" si="7"/>
        <v>0</v>
      </c>
      <c r="E168" s="630">
        <f t="shared" ca="1" si="8"/>
        <v>0</v>
      </c>
      <c r="G168" s="2996"/>
    </row>
    <row r="169" spans="1:7">
      <c r="A169" s="33">
        <v>55</v>
      </c>
      <c r="B169" s="2998" t="s">
        <v>69</v>
      </c>
      <c r="C169" s="33" t="str">
        <f t="shared" ca="1" si="6"/>
        <v xml:space="preserve">Körnermais </v>
      </c>
      <c r="D169" s="33">
        <f t="shared" ca="1" si="7"/>
        <v>0</v>
      </c>
      <c r="E169" s="630">
        <f t="shared" ca="1" si="8"/>
        <v>0</v>
      </c>
      <c r="G169" s="2996"/>
    </row>
    <row r="170" spans="1:7">
      <c r="A170" s="15">
        <v>56</v>
      </c>
      <c r="B170" s="2998" t="s">
        <v>69</v>
      </c>
      <c r="C170" s="33" t="str">
        <f t="shared" ca="1" si="6"/>
        <v xml:space="preserve">Körnermais </v>
      </c>
      <c r="D170" s="33">
        <f t="shared" ca="1" si="7"/>
        <v>0</v>
      </c>
      <c r="E170" s="630">
        <f t="shared" ca="1" si="8"/>
        <v>0</v>
      </c>
      <c r="G170" s="2996"/>
    </row>
    <row r="171" spans="1:7">
      <c r="A171" s="33">
        <v>57</v>
      </c>
      <c r="B171" s="2998" t="s">
        <v>69</v>
      </c>
      <c r="C171" s="33" t="str">
        <f t="shared" ca="1" si="6"/>
        <v xml:space="preserve">Körnermais </v>
      </c>
      <c r="D171" s="33">
        <f t="shared" ca="1" si="7"/>
        <v>0</v>
      </c>
      <c r="E171" s="630">
        <f t="shared" ca="1" si="8"/>
        <v>0</v>
      </c>
      <c r="G171" s="2996"/>
    </row>
    <row r="172" spans="1:7" s="2996" customFormat="1">
      <c r="A172" s="2998">
        <v>46</v>
      </c>
      <c r="B172" s="2998" t="s">
        <v>66</v>
      </c>
      <c r="C172" s="2996" t="str">
        <f t="shared" ca="1" si="6"/>
        <v>Körnerhirse (Lebens-/Futtermittel)</v>
      </c>
      <c r="D172" s="2996" t="str">
        <f t="shared" ca="1" si="7"/>
        <v>Drehpflug 2,10 m</v>
      </c>
      <c r="E172" s="2997">
        <f t="shared" ca="1" si="8"/>
        <v>0</v>
      </c>
    </row>
    <row r="173" spans="1:7" s="2996" customFormat="1">
      <c r="A173" s="2996">
        <v>47</v>
      </c>
      <c r="B173" s="2998" t="s">
        <v>66</v>
      </c>
      <c r="C173" s="2996" t="str">
        <f t="shared" ca="1" si="6"/>
        <v>Körnerhirse (Lebens-/Futtermittel)</v>
      </c>
      <c r="D173" s="2996" t="str">
        <f t="shared" ca="1" si="7"/>
        <v>Kreiselegge-Säkomb. 3 m</v>
      </c>
      <c r="E173" s="2997">
        <f t="shared" ca="1" si="8"/>
        <v>0</v>
      </c>
    </row>
    <row r="174" spans="1:7" s="2996" customFormat="1">
      <c r="A174" s="2998">
        <v>48</v>
      </c>
      <c r="B174" s="2998" t="s">
        <v>66</v>
      </c>
      <c r="C174" s="2996" t="str">
        <f t="shared" ca="1" si="6"/>
        <v>Körnerhirse (Lebens-/Futtermittel)</v>
      </c>
      <c r="D174" s="2996" t="str">
        <f t="shared" ca="1" si="7"/>
        <v xml:space="preserve">Düngerstreuer ab Hof 12 m, 400 kg/ha </v>
      </c>
      <c r="E174" s="2997">
        <f t="shared" ca="1" si="8"/>
        <v>0</v>
      </c>
    </row>
    <row r="175" spans="1:7" s="2996" customFormat="1">
      <c r="A175" s="2996">
        <v>49</v>
      </c>
      <c r="B175" s="2998" t="s">
        <v>66</v>
      </c>
      <c r="C175" s="2996" t="str">
        <f t="shared" ca="1" si="6"/>
        <v>Körnerhirse (Lebens-/Futtermittel)</v>
      </c>
      <c r="D175" s="2996" t="str">
        <f t="shared" ca="1" si="7"/>
        <v>Pflanzenschutzspritze 12 m, 300 l/ha</v>
      </c>
      <c r="E175" s="2997">
        <f t="shared" ca="1" si="8"/>
        <v>0</v>
      </c>
    </row>
    <row r="176" spans="1:7" s="2996" customFormat="1">
      <c r="A176" s="2998">
        <v>50</v>
      </c>
      <c r="B176" s="2998" t="s">
        <v>66</v>
      </c>
      <c r="C176" s="2996" t="str">
        <f t="shared" ca="1" si="6"/>
        <v>Körnerhirse (Lebens-/Futtermittel)</v>
      </c>
      <c r="D176" s="2996" t="str">
        <f t="shared" ca="1" si="7"/>
        <v>Transp. u. Abkip. Getr. 6 t/ha (5,7 t Ki.)</v>
      </c>
      <c r="E176" s="2997">
        <f t="shared" ca="1" si="8"/>
        <v>0</v>
      </c>
    </row>
    <row r="177" spans="1:7" s="2996" customFormat="1">
      <c r="A177" s="2996">
        <v>51</v>
      </c>
      <c r="B177" s="2998" t="s">
        <v>66</v>
      </c>
      <c r="C177" s="2996" t="str">
        <f t="shared" ca="1" si="6"/>
        <v>Körnerhirse (Lebens-/Futtermittel)</v>
      </c>
      <c r="D177" s="2996" t="str">
        <f t="shared" ca="1" si="7"/>
        <v>Schwergrubber 3 m</v>
      </c>
      <c r="E177" s="2997">
        <f t="shared" ca="1" si="8"/>
        <v>0</v>
      </c>
    </row>
    <row r="178" spans="1:7" s="2996" customFormat="1">
      <c r="A178" s="2998">
        <v>52</v>
      </c>
      <c r="B178" s="2998" t="s">
        <v>66</v>
      </c>
      <c r="C178" s="2996" t="str">
        <f t="shared" ca="1" si="6"/>
        <v>Körnerhirse (Lebens-/Futtermittel)</v>
      </c>
      <c r="D178" s="2996">
        <f t="shared" ca="1" si="7"/>
        <v>0</v>
      </c>
      <c r="E178" s="2997">
        <f t="shared" ca="1" si="8"/>
        <v>0</v>
      </c>
    </row>
    <row r="179" spans="1:7" s="2996" customFormat="1">
      <c r="A179" s="2996">
        <v>53</v>
      </c>
      <c r="B179" s="2998" t="s">
        <v>66</v>
      </c>
      <c r="C179" s="2996" t="str">
        <f t="shared" ca="1" si="6"/>
        <v>Körnerhirse (Lebens-/Futtermittel)</v>
      </c>
      <c r="D179" s="2996">
        <f t="shared" ca="1" si="7"/>
        <v>0</v>
      </c>
      <c r="E179" s="2997">
        <f t="shared" ca="1" si="8"/>
        <v>0</v>
      </c>
    </row>
    <row r="180" spans="1:7" s="2996" customFormat="1">
      <c r="A180" s="2998">
        <v>54</v>
      </c>
      <c r="B180" s="2998" t="s">
        <v>66</v>
      </c>
      <c r="C180" s="2996" t="str">
        <f t="shared" ca="1" si="6"/>
        <v>Körnerhirse (Lebens-/Futtermittel)</v>
      </c>
      <c r="D180" s="2996">
        <f t="shared" ca="1" si="7"/>
        <v>0</v>
      </c>
      <c r="E180" s="2997">
        <f t="shared" ca="1" si="8"/>
        <v>0</v>
      </c>
    </row>
    <row r="181" spans="1:7" s="2996" customFormat="1">
      <c r="A181" s="2996">
        <v>55</v>
      </c>
      <c r="B181" s="2998" t="s">
        <v>66</v>
      </c>
      <c r="C181" s="2996" t="str">
        <f t="shared" ca="1" si="6"/>
        <v>Körnerhirse (Lebens-/Futtermittel)</v>
      </c>
      <c r="D181" s="2996">
        <f t="shared" ca="1" si="7"/>
        <v>0</v>
      </c>
      <c r="E181" s="2997">
        <f t="shared" ca="1" si="8"/>
        <v>0</v>
      </c>
    </row>
    <row r="182" spans="1:7" s="2996" customFormat="1">
      <c r="A182" s="2998">
        <v>56</v>
      </c>
      <c r="B182" s="2998" t="s">
        <v>66</v>
      </c>
      <c r="C182" s="2996" t="str">
        <f t="shared" ca="1" si="6"/>
        <v>Körnerhirse (Lebens-/Futtermittel)</v>
      </c>
      <c r="D182" s="2996">
        <f t="shared" ca="1" si="7"/>
        <v>0</v>
      </c>
      <c r="E182" s="2997">
        <f t="shared" ca="1" si="8"/>
        <v>0</v>
      </c>
    </row>
    <row r="183" spans="1:7" s="2996" customFormat="1">
      <c r="A183" s="2996">
        <v>57</v>
      </c>
      <c r="B183" s="2998" t="s">
        <v>66</v>
      </c>
      <c r="C183" s="2996" t="str">
        <f t="shared" ca="1" si="6"/>
        <v>Körnerhirse (Lebens-/Futtermittel)</v>
      </c>
      <c r="D183" s="2996">
        <f t="shared" ca="1" si="7"/>
        <v>0</v>
      </c>
      <c r="E183" s="2997">
        <f t="shared" ca="1" si="8"/>
        <v>0</v>
      </c>
    </row>
    <row r="184" spans="1:7">
      <c r="A184" s="15">
        <v>46</v>
      </c>
      <c r="B184" s="2998" t="s">
        <v>63</v>
      </c>
      <c r="C184" s="33" t="str">
        <f t="shared" ca="1" si="6"/>
        <v>Winterraps</v>
      </c>
      <c r="D184" s="33" t="str">
        <f t="shared" ca="1" si="7"/>
        <v>Drehpflug 2,10 m</v>
      </c>
      <c r="E184" s="630">
        <f t="shared" ca="1" si="8"/>
        <v>20</v>
      </c>
      <c r="G184" s="2996"/>
    </row>
    <row r="185" spans="1:7">
      <c r="A185" s="33">
        <v>47</v>
      </c>
      <c r="B185" s="2998" t="s">
        <v>63</v>
      </c>
      <c r="C185" s="33" t="str">
        <f t="shared" ca="1" si="6"/>
        <v>Winterraps</v>
      </c>
      <c r="D185" s="33" t="str">
        <f t="shared" ca="1" si="7"/>
        <v>Kreiselegge-Säkomb. 3 m</v>
      </c>
      <c r="E185" s="630">
        <f t="shared" ca="1" si="8"/>
        <v>0</v>
      </c>
      <c r="G185" s="2996"/>
    </row>
    <row r="186" spans="1:7">
      <c r="A186" s="15">
        <v>48</v>
      </c>
      <c r="B186" s="2998" t="s">
        <v>63</v>
      </c>
      <c r="C186" s="33" t="str">
        <f t="shared" ca="1" si="6"/>
        <v>Winterraps</v>
      </c>
      <c r="D186" s="33" t="str">
        <f t="shared" ca="1" si="7"/>
        <v xml:space="preserve">Düngerstreuer ab Hof 12 m, 400 kg/ha </v>
      </c>
      <c r="E186" s="630">
        <f t="shared" ca="1" si="8"/>
        <v>0</v>
      </c>
      <c r="G186" s="2996"/>
    </row>
    <row r="187" spans="1:7">
      <c r="A187" s="33">
        <v>49</v>
      </c>
      <c r="B187" s="2998" t="s">
        <v>63</v>
      </c>
      <c r="C187" s="33" t="str">
        <f t="shared" ca="1" si="6"/>
        <v>Winterraps</v>
      </c>
      <c r="D187" s="33" t="str">
        <f t="shared" ca="1" si="7"/>
        <v>Pflanzenschutzspritze 12 m, 300 l/ha</v>
      </c>
      <c r="E187" s="630">
        <f t="shared" ca="1" si="8"/>
        <v>0</v>
      </c>
      <c r="G187" s="2996"/>
    </row>
    <row r="188" spans="1:7">
      <c r="A188" s="15">
        <v>50</v>
      </c>
      <c r="B188" s="2998" t="s">
        <v>63</v>
      </c>
      <c r="C188" s="33" t="str">
        <f t="shared" ca="1" si="6"/>
        <v>Winterraps</v>
      </c>
      <c r="D188" s="33" t="str">
        <f t="shared" ca="1" si="7"/>
        <v>Transp. u. Abkip. Getr. 6 t/ha (5,7 t Ki.)</v>
      </c>
      <c r="E188" s="630">
        <f t="shared" ca="1" si="8"/>
        <v>0</v>
      </c>
      <c r="G188" s="2996"/>
    </row>
    <row r="189" spans="1:7">
      <c r="A189" s="33">
        <v>51</v>
      </c>
      <c r="B189" s="2998" t="s">
        <v>63</v>
      </c>
      <c r="C189" s="33" t="str">
        <f t="shared" ca="1" si="6"/>
        <v>Winterraps</v>
      </c>
      <c r="D189" s="33" t="str">
        <f t="shared" ca="1" si="7"/>
        <v>Schwergrubber 3 m</v>
      </c>
      <c r="E189" s="630">
        <f t="shared" ca="1" si="8"/>
        <v>0</v>
      </c>
      <c r="G189" s="2996"/>
    </row>
    <row r="190" spans="1:7">
      <c r="A190" s="15">
        <v>52</v>
      </c>
      <c r="B190" s="2998" t="s">
        <v>63</v>
      </c>
      <c r="C190" s="33" t="str">
        <f t="shared" ca="1" si="6"/>
        <v>Winterraps</v>
      </c>
      <c r="D190" s="33">
        <f t="shared" ca="1" si="7"/>
        <v>0</v>
      </c>
      <c r="E190" s="630">
        <f t="shared" ca="1" si="8"/>
        <v>0</v>
      </c>
      <c r="G190" s="2996"/>
    </row>
    <row r="191" spans="1:7">
      <c r="A191" s="33">
        <v>53</v>
      </c>
      <c r="B191" s="2998" t="s">
        <v>63</v>
      </c>
      <c r="C191" s="33" t="str">
        <f t="shared" ca="1" si="6"/>
        <v>Winterraps</v>
      </c>
      <c r="D191" s="33">
        <f t="shared" ca="1" si="7"/>
        <v>0</v>
      </c>
      <c r="E191" s="630">
        <f t="shared" ca="1" si="8"/>
        <v>0</v>
      </c>
      <c r="G191" s="2996"/>
    </row>
    <row r="192" spans="1:7">
      <c r="A192" s="15">
        <v>54</v>
      </c>
      <c r="B192" s="2998" t="s">
        <v>63</v>
      </c>
      <c r="C192" s="33" t="str">
        <f t="shared" ca="1" si="6"/>
        <v>Winterraps</v>
      </c>
      <c r="D192" s="33">
        <f t="shared" ca="1" si="7"/>
        <v>0</v>
      </c>
      <c r="E192" s="630">
        <f t="shared" ca="1" si="8"/>
        <v>0</v>
      </c>
      <c r="G192" s="2996"/>
    </row>
    <row r="193" spans="1:7">
      <c r="A193" s="33">
        <v>55</v>
      </c>
      <c r="B193" s="2998" t="s">
        <v>63</v>
      </c>
      <c r="C193" s="33" t="str">
        <f t="shared" ca="1" si="6"/>
        <v>Winterraps</v>
      </c>
      <c r="D193" s="33">
        <f t="shared" ca="1" si="7"/>
        <v>0</v>
      </c>
      <c r="E193" s="630">
        <f t="shared" ca="1" si="8"/>
        <v>0</v>
      </c>
      <c r="G193" s="2996"/>
    </row>
    <row r="194" spans="1:7">
      <c r="A194" s="15">
        <v>56</v>
      </c>
      <c r="B194" s="2998" t="s">
        <v>63</v>
      </c>
      <c r="C194" s="33" t="str">
        <f t="shared" ca="1" si="6"/>
        <v>Winterraps</v>
      </c>
      <c r="D194" s="33">
        <f t="shared" ca="1" si="7"/>
        <v>0</v>
      </c>
      <c r="E194" s="630">
        <f t="shared" ca="1" si="8"/>
        <v>0</v>
      </c>
      <c r="G194" s="2996"/>
    </row>
    <row r="195" spans="1:7">
      <c r="A195" s="33">
        <v>57</v>
      </c>
      <c r="B195" s="2998" t="s">
        <v>63</v>
      </c>
      <c r="C195" s="33" t="str">
        <f t="shared" ca="1" si="6"/>
        <v>Winterraps</v>
      </c>
      <c r="D195" s="33">
        <f t="shared" ca="1" si="7"/>
        <v>0</v>
      </c>
      <c r="E195" s="630">
        <f t="shared" ca="1" si="8"/>
        <v>0</v>
      </c>
      <c r="G195" s="2996"/>
    </row>
    <row r="196" spans="1:7" s="2996" customFormat="1">
      <c r="A196" s="2998">
        <v>46</v>
      </c>
      <c r="B196" s="2998" t="s">
        <v>61</v>
      </c>
      <c r="C196" s="2996" t="str">
        <f t="shared" ref="C196:C259" ca="1" si="9">INDIRECT("'"&amp;B196&amp;"'!$K$2")</f>
        <v xml:space="preserve">Sommerraps </v>
      </c>
      <c r="D196" s="2996" t="str">
        <f t="shared" ref="D196:D259" ca="1" si="10">INDIRECT("'"&amp;B196&amp;"'!C"&amp;A196)</f>
        <v>Drehpflug 2,10 m</v>
      </c>
      <c r="E196" s="2997">
        <f t="shared" ref="E196:E259" ca="1" si="11">INDIRECT("'"&amp;B196&amp;"'!Q"&amp;A196)</f>
        <v>0</v>
      </c>
    </row>
    <row r="197" spans="1:7" s="2996" customFormat="1">
      <c r="A197" s="2996">
        <v>47</v>
      </c>
      <c r="B197" s="2998" t="s">
        <v>61</v>
      </c>
      <c r="C197" s="2996" t="str">
        <f t="shared" ca="1" si="9"/>
        <v xml:space="preserve">Sommerraps </v>
      </c>
      <c r="D197" s="2996" t="str">
        <f t="shared" ca="1" si="10"/>
        <v>Kreiselegge-Säkomb. 3 m</v>
      </c>
      <c r="E197" s="2997">
        <f t="shared" ca="1" si="11"/>
        <v>0</v>
      </c>
    </row>
    <row r="198" spans="1:7" s="2996" customFormat="1">
      <c r="A198" s="2998">
        <v>48</v>
      </c>
      <c r="B198" s="2998" t="s">
        <v>61</v>
      </c>
      <c r="C198" s="2996" t="str">
        <f t="shared" ca="1" si="9"/>
        <v xml:space="preserve">Sommerraps </v>
      </c>
      <c r="D198" s="2996" t="str">
        <f t="shared" ca="1" si="10"/>
        <v xml:space="preserve">Düngerstreuer ab Hof 12 m, 400 kg/ha </v>
      </c>
      <c r="E198" s="2997">
        <f t="shared" ca="1" si="11"/>
        <v>0</v>
      </c>
    </row>
    <row r="199" spans="1:7" s="2996" customFormat="1">
      <c r="A199" s="2996">
        <v>49</v>
      </c>
      <c r="B199" s="2998" t="s">
        <v>61</v>
      </c>
      <c r="C199" s="2996" t="str">
        <f t="shared" ca="1" si="9"/>
        <v xml:space="preserve">Sommerraps </v>
      </c>
      <c r="D199" s="2996" t="str">
        <f t="shared" ca="1" si="10"/>
        <v>Pflanzenschutzspritze 12 m, 300 l/ha</v>
      </c>
      <c r="E199" s="2997">
        <f t="shared" ca="1" si="11"/>
        <v>0</v>
      </c>
    </row>
    <row r="200" spans="1:7" s="2996" customFormat="1">
      <c r="A200" s="2998">
        <v>50</v>
      </c>
      <c r="B200" s="2998" t="s">
        <v>61</v>
      </c>
      <c r="C200" s="2996" t="str">
        <f t="shared" ca="1" si="9"/>
        <v xml:space="preserve">Sommerraps </v>
      </c>
      <c r="D200" s="2996" t="str">
        <f t="shared" ca="1" si="10"/>
        <v>Transp. u. Abkip. Getr. 6 t/ha (5,7 t Ki.)</v>
      </c>
      <c r="E200" s="2997">
        <f t="shared" ca="1" si="11"/>
        <v>0</v>
      </c>
    </row>
    <row r="201" spans="1:7" s="2996" customFormat="1">
      <c r="A201" s="2996">
        <v>51</v>
      </c>
      <c r="B201" s="2998" t="s">
        <v>61</v>
      </c>
      <c r="C201" s="2996" t="str">
        <f t="shared" ca="1" si="9"/>
        <v xml:space="preserve">Sommerraps </v>
      </c>
      <c r="D201" s="2996" t="str">
        <f t="shared" ca="1" si="10"/>
        <v>Schwergrubber 3 m</v>
      </c>
      <c r="E201" s="2997">
        <f t="shared" ca="1" si="11"/>
        <v>0</v>
      </c>
    </row>
    <row r="202" spans="1:7" s="2996" customFormat="1">
      <c r="A202" s="2998">
        <v>52</v>
      </c>
      <c r="B202" s="2998" t="s">
        <v>61</v>
      </c>
      <c r="C202" s="2996" t="str">
        <f t="shared" ca="1" si="9"/>
        <v xml:space="preserve">Sommerraps </v>
      </c>
      <c r="D202" s="2996">
        <f t="shared" ca="1" si="10"/>
        <v>0</v>
      </c>
      <c r="E202" s="2997">
        <f t="shared" ca="1" si="11"/>
        <v>0</v>
      </c>
    </row>
    <row r="203" spans="1:7" s="2996" customFormat="1">
      <c r="A203" s="2996">
        <v>53</v>
      </c>
      <c r="B203" s="2998" t="s">
        <v>61</v>
      </c>
      <c r="C203" s="2996" t="str">
        <f t="shared" ca="1" si="9"/>
        <v xml:space="preserve">Sommerraps </v>
      </c>
      <c r="D203" s="2996">
        <f t="shared" ca="1" si="10"/>
        <v>0</v>
      </c>
      <c r="E203" s="2997">
        <f t="shared" ca="1" si="11"/>
        <v>0</v>
      </c>
    </row>
    <row r="204" spans="1:7" s="2996" customFormat="1">
      <c r="A204" s="2998">
        <v>54</v>
      </c>
      <c r="B204" s="2998" t="s">
        <v>61</v>
      </c>
      <c r="C204" s="2996" t="str">
        <f t="shared" ca="1" si="9"/>
        <v xml:space="preserve">Sommerraps </v>
      </c>
      <c r="D204" s="2996">
        <f t="shared" ca="1" si="10"/>
        <v>0</v>
      </c>
      <c r="E204" s="2997">
        <f t="shared" ca="1" si="11"/>
        <v>0</v>
      </c>
    </row>
    <row r="205" spans="1:7" s="2996" customFormat="1">
      <c r="A205" s="2996">
        <v>55</v>
      </c>
      <c r="B205" s="2998" t="s">
        <v>61</v>
      </c>
      <c r="C205" s="2996" t="str">
        <f t="shared" ca="1" si="9"/>
        <v xml:space="preserve">Sommerraps </v>
      </c>
      <c r="D205" s="2996">
        <f t="shared" ca="1" si="10"/>
        <v>0</v>
      </c>
      <c r="E205" s="2997">
        <f t="shared" ca="1" si="11"/>
        <v>0</v>
      </c>
    </row>
    <row r="206" spans="1:7" s="2996" customFormat="1">
      <c r="A206" s="2998">
        <v>56</v>
      </c>
      <c r="B206" s="2998" t="s">
        <v>61</v>
      </c>
      <c r="C206" s="2996" t="str">
        <f t="shared" ca="1" si="9"/>
        <v xml:space="preserve">Sommerraps </v>
      </c>
      <c r="D206" s="2996">
        <f t="shared" ca="1" si="10"/>
        <v>0</v>
      </c>
      <c r="E206" s="2997">
        <f t="shared" ca="1" si="11"/>
        <v>0</v>
      </c>
    </row>
    <row r="207" spans="1:7" s="2996" customFormat="1">
      <c r="A207" s="2996">
        <v>57</v>
      </c>
      <c r="B207" s="2998" t="s">
        <v>61</v>
      </c>
      <c r="C207" s="2996" t="str">
        <f t="shared" ca="1" si="9"/>
        <v xml:space="preserve">Sommerraps </v>
      </c>
      <c r="D207" s="2996" t="str">
        <f t="shared" ca="1" si="10"/>
        <v>Stroh-Rundballen 4 t/ha laden, abfahren, stapeln, 3-S-Kipp.</v>
      </c>
      <c r="E207" s="2997">
        <f t="shared" ca="1" si="11"/>
        <v>0</v>
      </c>
    </row>
    <row r="208" spans="1:7">
      <c r="A208" s="15">
        <v>46</v>
      </c>
      <c r="B208" s="2998" t="s">
        <v>59</v>
      </c>
      <c r="C208" s="33" t="str">
        <f t="shared" ca="1" si="9"/>
        <v xml:space="preserve">Sonnenblumen </v>
      </c>
      <c r="D208" s="33" t="str">
        <f t="shared" ca="1" si="10"/>
        <v>Drehpflug 2,10 m</v>
      </c>
      <c r="E208" s="630">
        <f t="shared" ca="1" si="11"/>
        <v>0</v>
      </c>
      <c r="G208" s="2996"/>
    </row>
    <row r="209" spans="1:7">
      <c r="A209" s="33">
        <v>47</v>
      </c>
      <c r="B209" s="2998" t="s">
        <v>59</v>
      </c>
      <c r="C209" s="33" t="str">
        <f t="shared" ca="1" si="9"/>
        <v xml:space="preserve">Sonnenblumen </v>
      </c>
      <c r="D209" s="33" t="str">
        <f t="shared" ca="1" si="10"/>
        <v>Kreiselegge 3 m</v>
      </c>
      <c r="E209" s="630">
        <f t="shared" ca="1" si="11"/>
        <v>0</v>
      </c>
      <c r="G209" s="2996"/>
    </row>
    <row r="210" spans="1:7">
      <c r="A210" s="15">
        <v>48</v>
      </c>
      <c r="B210" s="2998" t="s">
        <v>59</v>
      </c>
      <c r="C210" s="33" t="str">
        <f t="shared" ca="1" si="9"/>
        <v xml:space="preserve">Sonnenblumen </v>
      </c>
      <c r="D210" s="33" t="str">
        <f t="shared" ca="1" si="10"/>
        <v>Einzelkornsaat 4 r (Mais, Sonnenblume)</v>
      </c>
      <c r="E210" s="630">
        <f t="shared" ca="1" si="11"/>
        <v>0</v>
      </c>
      <c r="G210" s="2996"/>
    </row>
    <row r="211" spans="1:7">
      <c r="A211" s="33">
        <v>49</v>
      </c>
      <c r="B211" s="2998" t="s">
        <v>59</v>
      </c>
      <c r="C211" s="33" t="str">
        <f t="shared" ca="1" si="9"/>
        <v xml:space="preserve">Sonnenblumen </v>
      </c>
      <c r="D211" s="33" t="str">
        <f t="shared" ca="1" si="10"/>
        <v xml:space="preserve">Düngerstreuer ab Hof 12 m, 400 kg/ha </v>
      </c>
      <c r="E211" s="630">
        <f t="shared" ca="1" si="11"/>
        <v>0</v>
      </c>
      <c r="G211" s="2996"/>
    </row>
    <row r="212" spans="1:7">
      <c r="A212" s="15">
        <v>50</v>
      </c>
      <c r="B212" s="2998" t="s">
        <v>59</v>
      </c>
      <c r="C212" s="33" t="str">
        <f t="shared" ca="1" si="9"/>
        <v xml:space="preserve">Sonnenblumen </v>
      </c>
      <c r="D212" s="33" t="str">
        <f t="shared" ca="1" si="10"/>
        <v>Pflanzenschutzspritze 12 m, 300 l/ha</v>
      </c>
      <c r="E212" s="630">
        <f t="shared" ca="1" si="11"/>
        <v>0</v>
      </c>
      <c r="G212" s="2996"/>
    </row>
    <row r="213" spans="1:7">
      <c r="A213" s="33">
        <v>51</v>
      </c>
      <c r="B213" s="2998" t="s">
        <v>59</v>
      </c>
      <c r="C213" s="33" t="str">
        <f t="shared" ca="1" si="9"/>
        <v xml:space="preserve">Sonnenblumen </v>
      </c>
      <c r="D213" s="33" t="str">
        <f t="shared" ca="1" si="10"/>
        <v>Transp. u. Abkip. Getr. 6 t/ha (5,7 t Ki.)</v>
      </c>
      <c r="E213" s="630">
        <f t="shared" ca="1" si="11"/>
        <v>0</v>
      </c>
      <c r="G213" s="2996"/>
    </row>
    <row r="214" spans="1:7">
      <c r="A214" s="15">
        <v>52</v>
      </c>
      <c r="B214" s="2998" t="s">
        <v>59</v>
      </c>
      <c r="C214" s="33" t="str">
        <f t="shared" ca="1" si="9"/>
        <v xml:space="preserve">Sonnenblumen </v>
      </c>
      <c r="D214" s="33" t="str">
        <f t="shared" ca="1" si="10"/>
        <v>Schwergrubber 3 m</v>
      </c>
      <c r="E214" s="630">
        <f t="shared" ca="1" si="11"/>
        <v>0</v>
      </c>
      <c r="G214" s="2996"/>
    </row>
    <row r="215" spans="1:7">
      <c r="A215" s="33">
        <v>53</v>
      </c>
      <c r="B215" s="2998" t="s">
        <v>59</v>
      </c>
      <c r="C215" s="33" t="str">
        <f t="shared" ca="1" si="9"/>
        <v xml:space="preserve">Sonnenblumen </v>
      </c>
      <c r="D215" s="33">
        <f t="shared" ca="1" si="10"/>
        <v>0</v>
      </c>
      <c r="E215" s="630">
        <f t="shared" ca="1" si="11"/>
        <v>0</v>
      </c>
      <c r="G215" s="2996"/>
    </row>
    <row r="216" spans="1:7">
      <c r="A216" s="15">
        <v>54</v>
      </c>
      <c r="B216" s="2998" t="s">
        <v>59</v>
      </c>
      <c r="C216" s="33" t="str">
        <f t="shared" ca="1" si="9"/>
        <v xml:space="preserve">Sonnenblumen </v>
      </c>
      <c r="D216" s="33">
        <f t="shared" ca="1" si="10"/>
        <v>0</v>
      </c>
      <c r="E216" s="630">
        <f t="shared" ca="1" si="11"/>
        <v>0</v>
      </c>
      <c r="G216" s="2996"/>
    </row>
    <row r="217" spans="1:7">
      <c r="A217" s="33">
        <v>55</v>
      </c>
      <c r="B217" s="2998" t="s">
        <v>59</v>
      </c>
      <c r="C217" s="33" t="str">
        <f t="shared" ca="1" si="9"/>
        <v xml:space="preserve">Sonnenblumen </v>
      </c>
      <c r="D217" s="33">
        <f t="shared" ca="1" si="10"/>
        <v>0</v>
      </c>
      <c r="E217" s="630">
        <f t="shared" ca="1" si="11"/>
        <v>0</v>
      </c>
      <c r="G217" s="2996"/>
    </row>
    <row r="218" spans="1:7">
      <c r="A218" s="15">
        <v>56</v>
      </c>
      <c r="B218" s="2998" t="s">
        <v>59</v>
      </c>
      <c r="C218" s="33" t="str">
        <f t="shared" ca="1" si="9"/>
        <v xml:space="preserve">Sonnenblumen </v>
      </c>
      <c r="D218" s="33">
        <f t="shared" ca="1" si="10"/>
        <v>0</v>
      </c>
      <c r="E218" s="630">
        <f t="shared" ca="1" si="11"/>
        <v>0</v>
      </c>
      <c r="G218" s="2996"/>
    </row>
    <row r="219" spans="1:7">
      <c r="A219" s="33">
        <v>57</v>
      </c>
      <c r="B219" s="2998" t="s">
        <v>59</v>
      </c>
      <c r="C219" s="33" t="str">
        <f t="shared" ca="1" si="9"/>
        <v xml:space="preserve">Sonnenblumen </v>
      </c>
      <c r="D219" s="33" t="str">
        <f t="shared" ca="1" si="10"/>
        <v>Stroh-Rundballen 4 t/ha laden, abfahren, stapeln, 3-S-Kipp.</v>
      </c>
      <c r="E219" s="630">
        <f t="shared" ca="1" si="11"/>
        <v>0</v>
      </c>
      <c r="G219" s="2996"/>
    </row>
    <row r="220" spans="1:7" s="2996" customFormat="1">
      <c r="A220" s="2998">
        <v>46</v>
      </c>
      <c r="B220" s="2998" t="s">
        <v>58</v>
      </c>
      <c r="C220" s="2996" t="str">
        <f t="shared" ca="1" si="9"/>
        <v xml:space="preserve">Sojabohne </v>
      </c>
      <c r="D220" s="2996" t="str">
        <f t="shared" ca="1" si="10"/>
        <v>Drehpflug 2,10 m</v>
      </c>
      <c r="E220" s="2997">
        <f t="shared" ca="1" si="11"/>
        <v>0</v>
      </c>
    </row>
    <row r="221" spans="1:7" s="2996" customFormat="1">
      <c r="A221" s="2996">
        <v>47</v>
      </c>
      <c r="B221" s="2998" t="s">
        <v>58</v>
      </c>
      <c r="C221" s="2996" t="str">
        <f t="shared" ca="1" si="9"/>
        <v xml:space="preserve">Sojabohne </v>
      </c>
      <c r="D221" s="2996" t="str">
        <f t="shared" ca="1" si="10"/>
        <v>Kreiselegge-Säkomb. 3 m</v>
      </c>
      <c r="E221" s="2997">
        <f t="shared" ca="1" si="11"/>
        <v>0</v>
      </c>
    </row>
    <row r="222" spans="1:7" s="2996" customFormat="1">
      <c r="A222" s="2998">
        <v>48</v>
      </c>
      <c r="B222" s="2998" t="s">
        <v>58</v>
      </c>
      <c r="C222" s="2996" t="str">
        <f t="shared" ca="1" si="9"/>
        <v xml:space="preserve">Sojabohne </v>
      </c>
      <c r="D222" s="2996" t="str">
        <f t="shared" ca="1" si="10"/>
        <v xml:space="preserve">Düngerstreuer ab Hof 12 m, 400 kg/ha </v>
      </c>
      <c r="E222" s="2997">
        <f t="shared" ca="1" si="11"/>
        <v>0</v>
      </c>
    </row>
    <row r="223" spans="1:7" s="2996" customFormat="1">
      <c r="A223" s="2996">
        <v>49</v>
      </c>
      <c r="B223" s="2998" t="s">
        <v>58</v>
      </c>
      <c r="C223" s="2996" t="str">
        <f t="shared" ca="1" si="9"/>
        <v xml:space="preserve">Sojabohne </v>
      </c>
      <c r="D223" s="2996" t="str">
        <f t="shared" ca="1" si="10"/>
        <v>Pflanzenschutzspritze 12 m, 300 l/ha</v>
      </c>
      <c r="E223" s="2997">
        <f t="shared" ca="1" si="11"/>
        <v>0</v>
      </c>
    </row>
    <row r="224" spans="1:7" s="2996" customFormat="1">
      <c r="A224" s="2998">
        <v>50</v>
      </c>
      <c r="B224" s="2998" t="s">
        <v>58</v>
      </c>
      <c r="C224" s="2996" t="str">
        <f t="shared" ca="1" si="9"/>
        <v xml:space="preserve">Sojabohne </v>
      </c>
      <c r="D224" s="2996" t="str">
        <f t="shared" ca="1" si="10"/>
        <v>Transp. u. Abkip. Getr. 6 t/ha (5,7 t Ki.)</v>
      </c>
      <c r="E224" s="2997">
        <f t="shared" ca="1" si="11"/>
        <v>0</v>
      </c>
    </row>
    <row r="225" spans="1:7" s="2996" customFormat="1">
      <c r="A225" s="2996">
        <v>51</v>
      </c>
      <c r="B225" s="2998" t="s">
        <v>58</v>
      </c>
      <c r="C225" s="2996" t="str">
        <f t="shared" ca="1" si="9"/>
        <v xml:space="preserve">Sojabohne </v>
      </c>
      <c r="D225" s="2996" t="str">
        <f t="shared" ca="1" si="10"/>
        <v>Schwergrubber 3 m</v>
      </c>
      <c r="E225" s="2997">
        <f t="shared" ca="1" si="11"/>
        <v>0</v>
      </c>
    </row>
    <row r="226" spans="1:7" s="2996" customFormat="1">
      <c r="A226" s="2998">
        <v>52</v>
      </c>
      <c r="B226" s="2998" t="s">
        <v>58</v>
      </c>
      <c r="C226" s="2996" t="str">
        <f t="shared" ca="1" si="9"/>
        <v xml:space="preserve">Sojabohne </v>
      </c>
      <c r="D226" s="2996">
        <f t="shared" ca="1" si="10"/>
        <v>0</v>
      </c>
      <c r="E226" s="2997">
        <f t="shared" ca="1" si="11"/>
        <v>0</v>
      </c>
    </row>
    <row r="227" spans="1:7" s="2996" customFormat="1">
      <c r="A227" s="2996">
        <v>53</v>
      </c>
      <c r="B227" s="2998" t="s">
        <v>58</v>
      </c>
      <c r="C227" s="2996" t="str">
        <f t="shared" ca="1" si="9"/>
        <v xml:space="preserve">Sojabohne </v>
      </c>
      <c r="D227" s="2996">
        <f t="shared" ca="1" si="10"/>
        <v>0</v>
      </c>
      <c r="E227" s="2997">
        <f t="shared" ca="1" si="11"/>
        <v>0</v>
      </c>
    </row>
    <row r="228" spans="1:7" s="2996" customFormat="1">
      <c r="A228" s="2998">
        <v>54</v>
      </c>
      <c r="B228" s="2998" t="s">
        <v>58</v>
      </c>
      <c r="C228" s="2996" t="str">
        <f t="shared" ca="1" si="9"/>
        <v xml:space="preserve">Sojabohne </v>
      </c>
      <c r="D228" s="2996">
        <f t="shared" ca="1" si="10"/>
        <v>0</v>
      </c>
      <c r="E228" s="2997">
        <f t="shared" ca="1" si="11"/>
        <v>0</v>
      </c>
    </row>
    <row r="229" spans="1:7" s="2996" customFormat="1">
      <c r="A229" s="2996">
        <v>55</v>
      </c>
      <c r="B229" s="2998" t="s">
        <v>58</v>
      </c>
      <c r="C229" s="2996" t="str">
        <f t="shared" ca="1" si="9"/>
        <v xml:space="preserve">Sojabohne </v>
      </c>
      <c r="D229" s="2996">
        <f t="shared" ca="1" si="10"/>
        <v>0</v>
      </c>
      <c r="E229" s="2997">
        <f t="shared" ca="1" si="11"/>
        <v>0</v>
      </c>
    </row>
    <row r="230" spans="1:7" s="2996" customFormat="1">
      <c r="A230" s="2998">
        <v>56</v>
      </c>
      <c r="B230" s="2998" t="s">
        <v>58</v>
      </c>
      <c r="C230" s="2996" t="str">
        <f t="shared" ca="1" si="9"/>
        <v xml:space="preserve">Sojabohne </v>
      </c>
      <c r="D230" s="2996">
        <f t="shared" ca="1" si="10"/>
        <v>0</v>
      </c>
      <c r="E230" s="2997">
        <f t="shared" ca="1" si="11"/>
        <v>0</v>
      </c>
    </row>
    <row r="231" spans="1:7" s="2996" customFormat="1">
      <c r="A231" s="2996">
        <v>57</v>
      </c>
      <c r="B231" s="2998" t="s">
        <v>58</v>
      </c>
      <c r="C231" s="2996" t="str">
        <f t="shared" ca="1" si="9"/>
        <v xml:space="preserve">Sojabohne </v>
      </c>
      <c r="D231" s="2996" t="str">
        <f t="shared" ca="1" si="10"/>
        <v>Stroh-Rundballen 4 t/ha laden, abfahren, stapeln, 3-S-Kipp.</v>
      </c>
      <c r="E231" s="2997">
        <f t="shared" ca="1" si="11"/>
        <v>0</v>
      </c>
    </row>
    <row r="232" spans="1:7">
      <c r="A232" s="15">
        <v>46</v>
      </c>
      <c r="B232" s="2998" t="s">
        <v>56</v>
      </c>
      <c r="C232" s="33" t="str">
        <f t="shared" ca="1" si="9"/>
        <v xml:space="preserve">Öllein (Industrie) </v>
      </c>
      <c r="D232" s="33" t="str">
        <f t="shared" ca="1" si="10"/>
        <v>Drehpflug 2,10 m</v>
      </c>
      <c r="E232" s="630">
        <f t="shared" ca="1" si="11"/>
        <v>0</v>
      </c>
      <c r="G232" s="2996"/>
    </row>
    <row r="233" spans="1:7">
      <c r="A233" s="33">
        <v>47</v>
      </c>
      <c r="B233" s="2998" t="s">
        <v>56</v>
      </c>
      <c r="C233" s="33" t="str">
        <f t="shared" ca="1" si="9"/>
        <v xml:space="preserve">Öllein (Industrie) </v>
      </c>
      <c r="D233" s="33">
        <f t="shared" ca="1" si="10"/>
        <v>0</v>
      </c>
      <c r="E233" s="630">
        <f t="shared" ca="1" si="11"/>
        <v>0</v>
      </c>
      <c r="G233" s="2996"/>
    </row>
    <row r="234" spans="1:7">
      <c r="A234" s="15">
        <v>48</v>
      </c>
      <c r="B234" s="2998" t="s">
        <v>56</v>
      </c>
      <c r="C234" s="33" t="str">
        <f t="shared" ca="1" si="9"/>
        <v xml:space="preserve">Öllein (Industrie) </v>
      </c>
      <c r="D234" s="33" t="str">
        <f t="shared" ca="1" si="10"/>
        <v>Kreiselegge-Säkomb. 3 m</v>
      </c>
      <c r="E234" s="630">
        <f t="shared" ca="1" si="11"/>
        <v>0</v>
      </c>
      <c r="G234" s="2996"/>
    </row>
    <row r="235" spans="1:7">
      <c r="A235" s="33">
        <v>49</v>
      </c>
      <c r="B235" s="2998" t="s">
        <v>56</v>
      </c>
      <c r="C235" s="33" t="str">
        <f t="shared" ca="1" si="9"/>
        <v xml:space="preserve">Öllein (Industrie) </v>
      </c>
      <c r="D235" s="33" t="str">
        <f t="shared" ca="1" si="10"/>
        <v>Cambridgewalze 4,5 m</v>
      </c>
      <c r="E235" s="630">
        <f t="shared" ca="1" si="11"/>
        <v>0</v>
      </c>
      <c r="G235" s="2996"/>
    </row>
    <row r="236" spans="1:7">
      <c r="A236" s="15">
        <v>50</v>
      </c>
      <c r="B236" s="2998" t="s">
        <v>56</v>
      </c>
      <c r="C236" s="33" t="str">
        <f t="shared" ca="1" si="9"/>
        <v xml:space="preserve">Öllein (Industrie) </v>
      </c>
      <c r="D236" s="33" t="str">
        <f t="shared" ca="1" si="10"/>
        <v>Hackstriegel 9 m</v>
      </c>
      <c r="E236" s="630">
        <f t="shared" ca="1" si="11"/>
        <v>0</v>
      </c>
      <c r="G236" s="2996"/>
    </row>
    <row r="237" spans="1:7">
      <c r="A237" s="33">
        <v>51</v>
      </c>
      <c r="B237" s="2998" t="s">
        <v>56</v>
      </c>
      <c r="C237" s="33" t="str">
        <f t="shared" ca="1" si="9"/>
        <v xml:space="preserve">Öllein (Industrie) </v>
      </c>
      <c r="D237" s="33" t="str">
        <f t="shared" ca="1" si="10"/>
        <v>Pflanzenschutzspritze 12 m, 300 l/ha</v>
      </c>
      <c r="E237" s="630">
        <f t="shared" ca="1" si="11"/>
        <v>0</v>
      </c>
      <c r="G237" s="2996"/>
    </row>
    <row r="238" spans="1:7">
      <c r="A238" s="15">
        <v>52</v>
      </c>
      <c r="B238" s="2998" t="s">
        <v>56</v>
      </c>
      <c r="C238" s="33" t="str">
        <f t="shared" ca="1" si="9"/>
        <v xml:space="preserve">Öllein (Industrie) </v>
      </c>
      <c r="D238" s="33" t="str">
        <f t="shared" ca="1" si="10"/>
        <v xml:space="preserve">Düngerstreuer ab Hof 12 m, 400 kg/ha </v>
      </c>
      <c r="E238" s="630">
        <f t="shared" ca="1" si="11"/>
        <v>0</v>
      </c>
      <c r="G238" s="2996"/>
    </row>
    <row r="239" spans="1:7">
      <c r="A239" s="33">
        <v>53</v>
      </c>
      <c r="B239" s="2998" t="s">
        <v>56</v>
      </c>
      <c r="C239" s="33" t="str">
        <f t="shared" ca="1" si="9"/>
        <v xml:space="preserve">Öllein (Industrie) </v>
      </c>
      <c r="D239" s="33" t="str">
        <f t="shared" ca="1" si="10"/>
        <v>Transp. u. Abkip. Getr. 6 t/ha (5,7 t Ki.)</v>
      </c>
      <c r="E239" s="630">
        <f t="shared" ca="1" si="11"/>
        <v>0</v>
      </c>
      <c r="G239" s="2996"/>
    </row>
    <row r="240" spans="1:7">
      <c r="A240" s="15">
        <v>54</v>
      </c>
      <c r="B240" s="2998" t="s">
        <v>56</v>
      </c>
      <c r="C240" s="33" t="str">
        <f t="shared" ca="1" si="9"/>
        <v xml:space="preserve">Öllein (Industrie) </v>
      </c>
      <c r="D240" s="33" t="str">
        <f t="shared" ca="1" si="10"/>
        <v>Schwergrubber 3 m</v>
      </c>
      <c r="E240" s="630">
        <f t="shared" ca="1" si="11"/>
        <v>0</v>
      </c>
      <c r="G240" s="2996"/>
    </row>
    <row r="241" spans="1:7">
      <c r="A241" s="33">
        <v>55</v>
      </c>
      <c r="B241" s="2998" t="s">
        <v>56</v>
      </c>
      <c r="C241" s="33" t="str">
        <f t="shared" ca="1" si="9"/>
        <v xml:space="preserve">Öllein (Industrie) </v>
      </c>
      <c r="D241" s="33">
        <f t="shared" ca="1" si="10"/>
        <v>0</v>
      </c>
      <c r="E241" s="630">
        <f t="shared" ca="1" si="11"/>
        <v>0</v>
      </c>
      <c r="G241" s="2996"/>
    </row>
    <row r="242" spans="1:7">
      <c r="A242" s="15">
        <v>56</v>
      </c>
      <c r="B242" s="2998" t="s">
        <v>56</v>
      </c>
      <c r="C242" s="33" t="str">
        <f t="shared" ca="1" si="9"/>
        <v xml:space="preserve">Öllein (Industrie) </v>
      </c>
      <c r="D242" s="33">
        <f t="shared" ca="1" si="10"/>
        <v>0</v>
      </c>
      <c r="E242" s="630">
        <f t="shared" ca="1" si="11"/>
        <v>0</v>
      </c>
      <c r="G242" s="2996"/>
    </row>
    <row r="243" spans="1:7">
      <c r="A243" s="33">
        <v>57</v>
      </c>
      <c r="B243" s="2998" t="s">
        <v>56</v>
      </c>
      <c r="C243" s="33" t="str">
        <f t="shared" ca="1" si="9"/>
        <v xml:space="preserve">Öllein (Industrie) </v>
      </c>
      <c r="D243" s="33" t="str">
        <f t="shared" ca="1" si="10"/>
        <v>Stroh-Rundballen 4 t/ha laden, abfahren, stapeln, 3-S-Kipp.</v>
      </c>
      <c r="E243" s="630">
        <f t="shared" ca="1" si="11"/>
        <v>0</v>
      </c>
      <c r="G243" s="2996"/>
    </row>
    <row r="244" spans="1:7" s="2996" customFormat="1">
      <c r="A244" s="2998">
        <v>46</v>
      </c>
      <c r="B244" s="2998" t="s">
        <v>53</v>
      </c>
      <c r="C244" s="2996" t="str">
        <f t="shared" ca="1" si="9"/>
        <v xml:space="preserve">Futtererbsen </v>
      </c>
      <c r="D244" s="2996" t="str">
        <f t="shared" ca="1" si="10"/>
        <v>Drehpflug 2,10 m</v>
      </c>
      <c r="E244" s="2997">
        <f t="shared" ca="1" si="11"/>
        <v>10</v>
      </c>
    </row>
    <row r="245" spans="1:7" s="2996" customFormat="1">
      <c r="A245" s="2996">
        <v>47</v>
      </c>
      <c r="B245" s="2998" t="s">
        <v>53</v>
      </c>
      <c r="C245" s="2996" t="str">
        <f t="shared" ca="1" si="9"/>
        <v xml:space="preserve">Futtererbsen </v>
      </c>
      <c r="D245" s="2996" t="str">
        <f t="shared" ca="1" si="10"/>
        <v>Kreiselegge-Säkomb. 3 m</v>
      </c>
      <c r="E245" s="2997">
        <f t="shared" ca="1" si="11"/>
        <v>0</v>
      </c>
    </row>
    <row r="246" spans="1:7" s="2996" customFormat="1">
      <c r="A246" s="2998">
        <v>48</v>
      </c>
      <c r="B246" s="2998" t="s">
        <v>53</v>
      </c>
      <c r="C246" s="2996" t="str">
        <f t="shared" ca="1" si="9"/>
        <v xml:space="preserve">Futtererbsen </v>
      </c>
      <c r="D246" s="2996" t="str">
        <f t="shared" ca="1" si="10"/>
        <v xml:space="preserve">Düngerstreuer ab Hof 12 m, 400 kg/ha </v>
      </c>
      <c r="E246" s="2997">
        <f t="shared" ca="1" si="11"/>
        <v>0</v>
      </c>
    </row>
    <row r="247" spans="1:7" s="2996" customFormat="1">
      <c r="A247" s="2996">
        <v>49</v>
      </c>
      <c r="B247" s="2998" t="s">
        <v>53</v>
      </c>
      <c r="C247" s="2996" t="str">
        <f t="shared" ca="1" si="9"/>
        <v xml:space="preserve">Futtererbsen </v>
      </c>
      <c r="D247" s="2996" t="str">
        <f t="shared" ca="1" si="10"/>
        <v>Pflanzenschutzspritze 12 m, 300 l/ha</v>
      </c>
      <c r="E247" s="2997">
        <f t="shared" ca="1" si="11"/>
        <v>0</v>
      </c>
    </row>
    <row r="248" spans="1:7" s="2996" customFormat="1">
      <c r="A248" s="2998">
        <v>50</v>
      </c>
      <c r="B248" s="2998" t="s">
        <v>53</v>
      </c>
      <c r="C248" s="2996" t="str">
        <f t="shared" ca="1" si="9"/>
        <v xml:space="preserve">Futtererbsen </v>
      </c>
      <c r="D248" s="2996" t="str">
        <f t="shared" ca="1" si="10"/>
        <v>Transp. u. Abkip. Getr. 6 t/ha (5,7 t Ki.)</v>
      </c>
      <c r="E248" s="2997">
        <f t="shared" ca="1" si="11"/>
        <v>0</v>
      </c>
    </row>
    <row r="249" spans="1:7" s="2996" customFormat="1">
      <c r="A249" s="2996">
        <v>51</v>
      </c>
      <c r="B249" s="2998" t="s">
        <v>53</v>
      </c>
      <c r="C249" s="2996" t="str">
        <f t="shared" ca="1" si="9"/>
        <v xml:space="preserve">Futtererbsen </v>
      </c>
      <c r="D249" s="2996" t="str">
        <f t="shared" ca="1" si="10"/>
        <v>Schwergrubber 3 m</v>
      </c>
      <c r="E249" s="2997">
        <f t="shared" ca="1" si="11"/>
        <v>0</v>
      </c>
    </row>
    <row r="250" spans="1:7" s="2996" customFormat="1">
      <c r="A250" s="2998">
        <v>52</v>
      </c>
      <c r="B250" s="2998" t="s">
        <v>53</v>
      </c>
      <c r="C250" s="2996" t="str">
        <f t="shared" ca="1" si="9"/>
        <v xml:space="preserve">Futtererbsen </v>
      </c>
      <c r="D250" s="2996">
        <f t="shared" ca="1" si="10"/>
        <v>0</v>
      </c>
      <c r="E250" s="2997">
        <f t="shared" ca="1" si="11"/>
        <v>0</v>
      </c>
    </row>
    <row r="251" spans="1:7" s="2996" customFormat="1">
      <c r="A251" s="2996">
        <v>53</v>
      </c>
      <c r="B251" s="2998" t="s">
        <v>53</v>
      </c>
      <c r="C251" s="2996" t="str">
        <f t="shared" ca="1" si="9"/>
        <v xml:space="preserve">Futtererbsen </v>
      </c>
      <c r="D251" s="2996">
        <f t="shared" ca="1" si="10"/>
        <v>0</v>
      </c>
      <c r="E251" s="2997">
        <f t="shared" ca="1" si="11"/>
        <v>0</v>
      </c>
    </row>
    <row r="252" spans="1:7" s="2996" customFormat="1">
      <c r="A252" s="2998">
        <v>54</v>
      </c>
      <c r="B252" s="2998" t="s">
        <v>53</v>
      </c>
      <c r="C252" s="2996" t="str">
        <f t="shared" ca="1" si="9"/>
        <v xml:space="preserve">Futtererbsen </v>
      </c>
      <c r="D252" s="2996">
        <f t="shared" ca="1" si="10"/>
        <v>0</v>
      </c>
      <c r="E252" s="2997">
        <f t="shared" ca="1" si="11"/>
        <v>0</v>
      </c>
    </row>
    <row r="253" spans="1:7" s="2996" customFormat="1">
      <c r="A253" s="2996">
        <v>55</v>
      </c>
      <c r="B253" s="2998" t="s">
        <v>53</v>
      </c>
      <c r="C253" s="2996" t="str">
        <f t="shared" ca="1" si="9"/>
        <v xml:space="preserve">Futtererbsen </v>
      </c>
      <c r="D253" s="2996">
        <f t="shared" ca="1" si="10"/>
        <v>0</v>
      </c>
      <c r="E253" s="2997">
        <f t="shared" ca="1" si="11"/>
        <v>0</v>
      </c>
    </row>
    <row r="254" spans="1:7" s="2996" customFormat="1">
      <c r="A254" s="2998">
        <v>56</v>
      </c>
      <c r="B254" s="2998" t="s">
        <v>53</v>
      </c>
      <c r="C254" s="2996" t="str">
        <f t="shared" ca="1" si="9"/>
        <v xml:space="preserve">Futtererbsen </v>
      </c>
      <c r="D254" s="2996">
        <f t="shared" ca="1" si="10"/>
        <v>0</v>
      </c>
      <c r="E254" s="2997">
        <f t="shared" ca="1" si="11"/>
        <v>0</v>
      </c>
    </row>
    <row r="255" spans="1:7" s="2996" customFormat="1">
      <c r="A255" s="2996">
        <v>57</v>
      </c>
      <c r="B255" s="2998" t="s">
        <v>53</v>
      </c>
      <c r="C255" s="2996" t="str">
        <f t="shared" ca="1" si="9"/>
        <v xml:space="preserve">Futtererbsen </v>
      </c>
      <c r="D255" s="2996" t="str">
        <f t="shared" ca="1" si="10"/>
        <v>Stroh-Rundballen 4 t/ha laden, abfahren, stapeln, 3-S-Kipp.</v>
      </c>
      <c r="E255" s="2997">
        <f t="shared" ca="1" si="11"/>
        <v>0</v>
      </c>
    </row>
    <row r="256" spans="1:7">
      <c r="A256" s="15">
        <v>46</v>
      </c>
      <c r="B256" s="2998" t="s">
        <v>51</v>
      </c>
      <c r="C256" s="33" t="str">
        <f t="shared" ca="1" si="9"/>
        <v xml:space="preserve">Ackerbohnen </v>
      </c>
      <c r="D256" s="33" t="str">
        <f t="shared" ca="1" si="10"/>
        <v>Drehpflug 2,10 m</v>
      </c>
      <c r="E256" s="630">
        <f t="shared" ca="1" si="11"/>
        <v>0</v>
      </c>
      <c r="G256" s="2996"/>
    </row>
    <row r="257" spans="1:7">
      <c r="A257" s="33">
        <v>47</v>
      </c>
      <c r="B257" s="2998" t="s">
        <v>51</v>
      </c>
      <c r="C257" s="33" t="str">
        <f t="shared" ca="1" si="9"/>
        <v xml:space="preserve">Ackerbohnen </v>
      </c>
      <c r="D257" s="33" t="str">
        <f t="shared" ca="1" si="10"/>
        <v>Kreiselegge-Säkomb. 3 m</v>
      </c>
      <c r="E257" s="630">
        <f t="shared" ca="1" si="11"/>
        <v>0</v>
      </c>
      <c r="G257" s="2996"/>
    </row>
    <row r="258" spans="1:7">
      <c r="A258" s="15">
        <v>48</v>
      </c>
      <c r="B258" s="2998" t="s">
        <v>51</v>
      </c>
      <c r="C258" s="33" t="str">
        <f t="shared" ca="1" si="9"/>
        <v xml:space="preserve">Ackerbohnen </v>
      </c>
      <c r="D258" s="33" t="str">
        <f t="shared" ca="1" si="10"/>
        <v xml:space="preserve">Düngerstreuer ab Hof 12 m, 400 kg/ha </v>
      </c>
      <c r="E258" s="630">
        <f t="shared" ca="1" si="11"/>
        <v>0</v>
      </c>
      <c r="G258" s="2996"/>
    </row>
    <row r="259" spans="1:7">
      <c r="A259" s="33">
        <v>49</v>
      </c>
      <c r="B259" s="2998" t="s">
        <v>51</v>
      </c>
      <c r="C259" s="33" t="str">
        <f t="shared" ca="1" si="9"/>
        <v xml:space="preserve">Ackerbohnen </v>
      </c>
      <c r="D259" s="33" t="str">
        <f t="shared" ca="1" si="10"/>
        <v>Pflanzenschutzspritze 12 m, 300 l/ha</v>
      </c>
      <c r="E259" s="630">
        <f t="shared" ca="1" si="11"/>
        <v>0</v>
      </c>
      <c r="G259" s="2996"/>
    </row>
    <row r="260" spans="1:7">
      <c r="A260" s="15">
        <v>50</v>
      </c>
      <c r="B260" s="2998" t="s">
        <v>51</v>
      </c>
      <c r="C260" s="33" t="str">
        <f t="shared" ref="C260:C323" ca="1" si="12">INDIRECT("'"&amp;B260&amp;"'!$K$2")</f>
        <v xml:space="preserve">Ackerbohnen </v>
      </c>
      <c r="D260" s="33" t="str">
        <f t="shared" ref="D260:D323" ca="1" si="13">INDIRECT("'"&amp;B260&amp;"'!C"&amp;A260)</f>
        <v>Transp. u. Abkip. Getr. 6 t/ha (5,7 t Ki.)</v>
      </c>
      <c r="E260" s="630">
        <f t="shared" ref="E260:E323" ca="1" si="14">INDIRECT("'"&amp;B260&amp;"'!Q"&amp;A260)</f>
        <v>0</v>
      </c>
      <c r="G260" s="2996"/>
    </row>
    <row r="261" spans="1:7">
      <c r="A261" s="33">
        <v>51</v>
      </c>
      <c r="B261" s="2998" t="s">
        <v>51</v>
      </c>
      <c r="C261" s="33" t="str">
        <f t="shared" ca="1" si="12"/>
        <v xml:space="preserve">Ackerbohnen </v>
      </c>
      <c r="D261" s="33" t="str">
        <f t="shared" ca="1" si="13"/>
        <v>Schwergrubber 3 m</v>
      </c>
      <c r="E261" s="630">
        <f t="shared" ca="1" si="14"/>
        <v>0</v>
      </c>
      <c r="G261" s="2996"/>
    </row>
    <row r="262" spans="1:7">
      <c r="A262" s="15">
        <v>52</v>
      </c>
      <c r="B262" s="2998" t="s">
        <v>51</v>
      </c>
      <c r="C262" s="33" t="str">
        <f t="shared" ca="1" si="12"/>
        <v xml:space="preserve">Ackerbohnen </v>
      </c>
      <c r="D262" s="33">
        <f t="shared" ca="1" si="13"/>
        <v>0</v>
      </c>
      <c r="E262" s="630">
        <f t="shared" ca="1" si="14"/>
        <v>0</v>
      </c>
      <c r="G262" s="2996"/>
    </row>
    <row r="263" spans="1:7">
      <c r="A263" s="33">
        <v>53</v>
      </c>
      <c r="B263" s="2998" t="s">
        <v>51</v>
      </c>
      <c r="C263" s="33" t="str">
        <f t="shared" ca="1" si="12"/>
        <v xml:space="preserve">Ackerbohnen </v>
      </c>
      <c r="D263" s="33">
        <f t="shared" ca="1" si="13"/>
        <v>0</v>
      </c>
      <c r="E263" s="630">
        <f t="shared" ca="1" si="14"/>
        <v>0</v>
      </c>
      <c r="G263" s="2996"/>
    </row>
    <row r="264" spans="1:7">
      <c r="A264" s="15">
        <v>54</v>
      </c>
      <c r="B264" s="2998" t="s">
        <v>51</v>
      </c>
      <c r="C264" s="33" t="str">
        <f t="shared" ca="1" si="12"/>
        <v xml:space="preserve">Ackerbohnen </v>
      </c>
      <c r="D264" s="33">
        <f t="shared" ca="1" si="13"/>
        <v>0</v>
      </c>
      <c r="E264" s="630">
        <f t="shared" ca="1" si="14"/>
        <v>0</v>
      </c>
      <c r="G264" s="2996"/>
    </row>
    <row r="265" spans="1:7">
      <c r="A265" s="33">
        <v>55</v>
      </c>
      <c r="B265" s="2998" t="s">
        <v>51</v>
      </c>
      <c r="C265" s="33" t="str">
        <f t="shared" ca="1" si="12"/>
        <v xml:space="preserve">Ackerbohnen </v>
      </c>
      <c r="D265" s="33">
        <f t="shared" ca="1" si="13"/>
        <v>0</v>
      </c>
      <c r="E265" s="630">
        <f t="shared" ca="1" si="14"/>
        <v>0</v>
      </c>
      <c r="G265" s="2996"/>
    </row>
    <row r="266" spans="1:7">
      <c r="A266" s="15">
        <v>56</v>
      </c>
      <c r="B266" s="2998" t="s">
        <v>51</v>
      </c>
      <c r="C266" s="33" t="str">
        <f t="shared" ca="1" si="12"/>
        <v xml:space="preserve">Ackerbohnen </v>
      </c>
      <c r="D266" s="33">
        <f t="shared" ca="1" si="13"/>
        <v>0</v>
      </c>
      <c r="E266" s="630">
        <f t="shared" ca="1" si="14"/>
        <v>0</v>
      </c>
      <c r="G266" s="2996"/>
    </row>
    <row r="267" spans="1:7">
      <c r="A267" s="33">
        <v>57</v>
      </c>
      <c r="B267" s="2998" t="s">
        <v>51</v>
      </c>
      <c r="C267" s="33" t="str">
        <f t="shared" ca="1" si="12"/>
        <v xml:space="preserve">Ackerbohnen </v>
      </c>
      <c r="D267" s="33" t="str">
        <f t="shared" ca="1" si="13"/>
        <v>Stroh-Rundballen 4 t/ha laden, abfahren, stapeln, 3-S-Kipp.</v>
      </c>
      <c r="E267" s="630">
        <f t="shared" ca="1" si="14"/>
        <v>0</v>
      </c>
      <c r="G267" s="2996"/>
    </row>
    <row r="268" spans="1:7" s="2996" customFormat="1">
      <c r="A268" s="2998">
        <v>46</v>
      </c>
      <c r="B268" s="2998" t="s">
        <v>49</v>
      </c>
      <c r="C268" s="2996" t="str">
        <f t="shared" ca="1" si="12"/>
        <v xml:space="preserve">Blaue Lupine </v>
      </c>
      <c r="D268" s="2996" t="str">
        <f t="shared" ca="1" si="13"/>
        <v>Drehpflug 2,10 m</v>
      </c>
      <c r="E268" s="2997">
        <f t="shared" ca="1" si="14"/>
        <v>0</v>
      </c>
    </row>
    <row r="269" spans="1:7" s="2996" customFormat="1">
      <c r="A269" s="2996">
        <v>47</v>
      </c>
      <c r="B269" s="2998" t="s">
        <v>49</v>
      </c>
      <c r="C269" s="2996" t="str">
        <f t="shared" ca="1" si="12"/>
        <v xml:space="preserve">Blaue Lupine </v>
      </c>
      <c r="D269" s="2996" t="str">
        <f t="shared" ca="1" si="13"/>
        <v>Kreiselegge-Säkomb. 3 m</v>
      </c>
      <c r="E269" s="2997">
        <f t="shared" ca="1" si="14"/>
        <v>0</v>
      </c>
    </row>
    <row r="270" spans="1:7" s="2996" customFormat="1">
      <c r="A270" s="2998">
        <v>48</v>
      </c>
      <c r="B270" s="2998" t="s">
        <v>49</v>
      </c>
      <c r="C270" s="2996" t="str">
        <f t="shared" ca="1" si="12"/>
        <v xml:space="preserve">Blaue Lupine </v>
      </c>
      <c r="D270" s="2996" t="str">
        <f t="shared" ca="1" si="13"/>
        <v xml:space="preserve">Düngerstreuer ab Hof 12 m, 400 kg/ha </v>
      </c>
      <c r="E270" s="2997">
        <f t="shared" ca="1" si="14"/>
        <v>0</v>
      </c>
    </row>
    <row r="271" spans="1:7" s="2996" customFormat="1">
      <c r="A271" s="2996">
        <v>49</v>
      </c>
      <c r="B271" s="2998" t="s">
        <v>49</v>
      </c>
      <c r="C271" s="2996" t="str">
        <f t="shared" ca="1" si="12"/>
        <v xml:space="preserve">Blaue Lupine </v>
      </c>
      <c r="D271" s="2996" t="str">
        <f t="shared" ca="1" si="13"/>
        <v>Pflanzenschutzspritze 12 m, 300 l/ha</v>
      </c>
      <c r="E271" s="2997">
        <f t="shared" ca="1" si="14"/>
        <v>0</v>
      </c>
    </row>
    <row r="272" spans="1:7" s="2996" customFormat="1">
      <c r="A272" s="2998">
        <v>50</v>
      </c>
      <c r="B272" s="2998" t="s">
        <v>49</v>
      </c>
      <c r="C272" s="2996" t="str">
        <f t="shared" ca="1" si="12"/>
        <v xml:space="preserve">Blaue Lupine </v>
      </c>
      <c r="D272" s="2996" t="str">
        <f t="shared" ca="1" si="13"/>
        <v>Transp. u. Abkip. Getr. 6 t/ha (5,7 t Ki.)</v>
      </c>
      <c r="E272" s="2997">
        <f t="shared" ca="1" si="14"/>
        <v>0</v>
      </c>
    </row>
    <row r="273" spans="1:7" s="2996" customFormat="1">
      <c r="A273" s="2996">
        <v>51</v>
      </c>
      <c r="B273" s="2998" t="s">
        <v>49</v>
      </c>
      <c r="C273" s="2996" t="str">
        <f t="shared" ca="1" si="12"/>
        <v xml:space="preserve">Blaue Lupine </v>
      </c>
      <c r="D273" s="2996" t="str">
        <f t="shared" ca="1" si="13"/>
        <v>Schwergrubber 3 m</v>
      </c>
      <c r="E273" s="2997">
        <f t="shared" ca="1" si="14"/>
        <v>0</v>
      </c>
    </row>
    <row r="274" spans="1:7" s="2996" customFormat="1">
      <c r="A274" s="2998">
        <v>52</v>
      </c>
      <c r="B274" s="2998" t="s">
        <v>49</v>
      </c>
      <c r="C274" s="2996" t="str">
        <f t="shared" ca="1" si="12"/>
        <v xml:space="preserve">Blaue Lupine </v>
      </c>
      <c r="D274" s="2996">
        <f t="shared" ca="1" si="13"/>
        <v>0</v>
      </c>
      <c r="E274" s="2997">
        <f t="shared" ca="1" si="14"/>
        <v>0</v>
      </c>
    </row>
    <row r="275" spans="1:7" s="2996" customFormat="1">
      <c r="A275" s="2996">
        <v>53</v>
      </c>
      <c r="B275" s="2998" t="s">
        <v>49</v>
      </c>
      <c r="C275" s="2996" t="str">
        <f t="shared" ca="1" si="12"/>
        <v xml:space="preserve">Blaue Lupine </v>
      </c>
      <c r="D275" s="2996">
        <f t="shared" ca="1" si="13"/>
        <v>0</v>
      </c>
      <c r="E275" s="2997">
        <f t="shared" ca="1" si="14"/>
        <v>0</v>
      </c>
    </row>
    <row r="276" spans="1:7" s="2996" customFormat="1">
      <c r="A276" s="2998">
        <v>54</v>
      </c>
      <c r="B276" s="2998" t="s">
        <v>49</v>
      </c>
      <c r="C276" s="2996" t="str">
        <f t="shared" ca="1" si="12"/>
        <v xml:space="preserve">Blaue Lupine </v>
      </c>
      <c r="D276" s="2996">
        <f t="shared" ca="1" si="13"/>
        <v>0</v>
      </c>
      <c r="E276" s="2997">
        <f t="shared" ca="1" si="14"/>
        <v>0</v>
      </c>
    </row>
    <row r="277" spans="1:7" s="2996" customFormat="1">
      <c r="A277" s="2996">
        <v>55</v>
      </c>
      <c r="B277" s="2998" t="s">
        <v>49</v>
      </c>
      <c r="C277" s="2996" t="str">
        <f t="shared" ca="1" si="12"/>
        <v xml:space="preserve">Blaue Lupine </v>
      </c>
      <c r="D277" s="2996">
        <f t="shared" ca="1" si="13"/>
        <v>0</v>
      </c>
      <c r="E277" s="2997">
        <f t="shared" ca="1" si="14"/>
        <v>0</v>
      </c>
    </row>
    <row r="278" spans="1:7" s="2996" customFormat="1">
      <c r="A278" s="2998">
        <v>56</v>
      </c>
      <c r="B278" s="2998" t="s">
        <v>49</v>
      </c>
      <c r="C278" s="2996" t="str">
        <f t="shared" ca="1" si="12"/>
        <v xml:space="preserve">Blaue Lupine </v>
      </c>
      <c r="D278" s="2996">
        <f t="shared" ca="1" si="13"/>
        <v>0</v>
      </c>
      <c r="E278" s="2997">
        <f t="shared" ca="1" si="14"/>
        <v>0</v>
      </c>
    </row>
    <row r="279" spans="1:7" s="2996" customFormat="1">
      <c r="A279" s="2996">
        <v>57</v>
      </c>
      <c r="B279" s="2998" t="s">
        <v>49</v>
      </c>
      <c r="C279" s="2996" t="str">
        <f t="shared" ca="1" si="12"/>
        <v xml:space="preserve">Blaue Lupine </v>
      </c>
      <c r="D279" s="2996" t="str">
        <f t="shared" ca="1" si="13"/>
        <v>Stroh-Rundballen 4 t/ha laden, abfahren, stapeln, 3-S-Kipp.</v>
      </c>
      <c r="E279" s="2997">
        <f t="shared" ca="1" si="14"/>
        <v>0</v>
      </c>
    </row>
    <row r="280" spans="1:7">
      <c r="A280" s="15">
        <v>46</v>
      </c>
      <c r="B280" s="2998" t="s">
        <v>44</v>
      </c>
      <c r="C280" s="33" t="str">
        <f t="shared" ca="1" si="12"/>
        <v xml:space="preserve">Zuckerrüben </v>
      </c>
      <c r="D280" s="33" t="str">
        <f t="shared" ca="1" si="13"/>
        <v>Drehpflug 2,10 m</v>
      </c>
      <c r="E280" s="630">
        <f t="shared" ca="1" si="14"/>
        <v>0</v>
      </c>
      <c r="G280" s="2996"/>
    </row>
    <row r="281" spans="1:7">
      <c r="A281" s="33">
        <v>47</v>
      </c>
      <c r="B281" s="2998" t="s">
        <v>44</v>
      </c>
      <c r="C281" s="33" t="str">
        <f t="shared" ca="1" si="12"/>
        <v xml:space="preserve">Zuckerrüben </v>
      </c>
      <c r="D281" s="33" t="str">
        <f t="shared" ca="1" si="13"/>
        <v>Saatbettkombination 4 m</v>
      </c>
      <c r="E281" s="630">
        <f t="shared" ca="1" si="14"/>
        <v>0</v>
      </c>
      <c r="G281" s="2996"/>
    </row>
    <row r="282" spans="1:7">
      <c r="A282" s="15">
        <v>48</v>
      </c>
      <c r="B282" s="2998" t="s">
        <v>44</v>
      </c>
      <c r="C282" s="33" t="str">
        <f t="shared" ca="1" si="12"/>
        <v xml:space="preserve">Zuckerrüben </v>
      </c>
      <c r="D282" s="33" t="str">
        <f t="shared" ca="1" si="13"/>
        <v>Einzelkornsaat 6 r (Rüben)</v>
      </c>
      <c r="E282" s="630">
        <f t="shared" ca="1" si="14"/>
        <v>0</v>
      </c>
      <c r="G282" s="2996"/>
    </row>
    <row r="283" spans="1:7">
      <c r="A283" s="33">
        <v>49</v>
      </c>
      <c r="B283" s="2998" t="s">
        <v>44</v>
      </c>
      <c r="C283" s="33" t="str">
        <f t="shared" ca="1" si="12"/>
        <v xml:space="preserve">Zuckerrüben </v>
      </c>
      <c r="D283" s="33" t="str">
        <f t="shared" ca="1" si="13"/>
        <v xml:space="preserve">Düngerstreuer ab Hof 12 m, 400 kg/ha </v>
      </c>
      <c r="E283" s="630">
        <f t="shared" ca="1" si="14"/>
        <v>0</v>
      </c>
      <c r="G283" s="2996"/>
    </row>
    <row r="284" spans="1:7">
      <c r="A284" s="15">
        <v>50</v>
      </c>
      <c r="B284" s="2998" t="s">
        <v>44</v>
      </c>
      <c r="C284" s="33" t="str">
        <f t="shared" ca="1" si="12"/>
        <v xml:space="preserve">Zuckerrüben </v>
      </c>
      <c r="D284" s="33" t="str">
        <f t="shared" ca="1" si="13"/>
        <v>Pflanzenschutzspritze 12 m, 300 l/ha</v>
      </c>
      <c r="E284" s="630">
        <f t="shared" ca="1" si="14"/>
        <v>0</v>
      </c>
      <c r="G284" s="2996"/>
    </row>
    <row r="285" spans="1:7">
      <c r="A285" s="33">
        <v>51</v>
      </c>
      <c r="B285" s="2998" t="s">
        <v>44</v>
      </c>
      <c r="C285" s="33" t="str">
        <f t="shared" ca="1" si="12"/>
        <v xml:space="preserve">Zuckerrüben </v>
      </c>
      <c r="D285" s="33">
        <f t="shared" ca="1" si="13"/>
        <v>0</v>
      </c>
      <c r="E285" s="630">
        <f t="shared" ca="1" si="14"/>
        <v>0</v>
      </c>
      <c r="G285" s="2996"/>
    </row>
    <row r="286" spans="1:7">
      <c r="A286" s="15">
        <v>52</v>
      </c>
      <c r="B286" s="2998" t="s">
        <v>44</v>
      </c>
      <c r="C286" s="33" t="str">
        <f t="shared" ca="1" si="12"/>
        <v xml:space="preserve">Zuckerrüben </v>
      </c>
      <c r="D286" s="33">
        <f t="shared" ca="1" si="13"/>
        <v>0</v>
      </c>
      <c r="E286" s="630">
        <f t="shared" ca="1" si="14"/>
        <v>0</v>
      </c>
      <c r="G286" s="2996"/>
    </row>
    <row r="287" spans="1:7">
      <c r="A287" s="33">
        <v>53</v>
      </c>
      <c r="B287" s="2998" t="s">
        <v>44</v>
      </c>
      <c r="C287" s="33" t="str">
        <f t="shared" ca="1" si="12"/>
        <v xml:space="preserve">Zuckerrüben </v>
      </c>
      <c r="D287" s="33">
        <f t="shared" ca="1" si="13"/>
        <v>0</v>
      </c>
      <c r="E287" s="630">
        <f t="shared" ca="1" si="14"/>
        <v>0</v>
      </c>
      <c r="G287" s="2996"/>
    </row>
    <row r="288" spans="1:7">
      <c r="A288" s="15">
        <v>54</v>
      </c>
      <c r="B288" s="2998" t="s">
        <v>44</v>
      </c>
      <c r="C288" s="33" t="str">
        <f t="shared" ca="1" si="12"/>
        <v xml:space="preserve">Zuckerrüben </v>
      </c>
      <c r="D288" s="33">
        <f t="shared" ca="1" si="13"/>
        <v>0</v>
      </c>
      <c r="E288" s="630">
        <f t="shared" ca="1" si="14"/>
        <v>0</v>
      </c>
      <c r="G288" s="2996"/>
    </row>
    <row r="289" spans="1:7">
      <c r="A289" s="33">
        <v>55</v>
      </c>
      <c r="B289" s="2998" t="s">
        <v>44</v>
      </c>
      <c r="C289" s="33" t="str">
        <f t="shared" ca="1" si="12"/>
        <v xml:space="preserve">Zuckerrüben </v>
      </c>
      <c r="D289" s="33">
        <f t="shared" ca="1" si="13"/>
        <v>0</v>
      </c>
      <c r="E289" s="630">
        <f t="shared" ca="1" si="14"/>
        <v>0</v>
      </c>
      <c r="G289" s="2996"/>
    </row>
    <row r="290" spans="1:7">
      <c r="A290" s="15">
        <v>56</v>
      </c>
      <c r="B290" s="2998" t="s">
        <v>44</v>
      </c>
      <c r="C290" s="33" t="str">
        <f t="shared" ca="1" si="12"/>
        <v xml:space="preserve">Zuckerrüben </v>
      </c>
      <c r="D290" s="33">
        <f t="shared" ca="1" si="13"/>
        <v>0</v>
      </c>
      <c r="E290" s="630">
        <f t="shared" ca="1" si="14"/>
        <v>0</v>
      </c>
      <c r="G290" s="2996"/>
    </row>
    <row r="291" spans="1:7">
      <c r="A291" s="33">
        <v>57</v>
      </c>
      <c r="B291" s="2998" t="s">
        <v>44</v>
      </c>
      <c r="C291" s="33" t="str">
        <f t="shared" ca="1" si="12"/>
        <v xml:space="preserve">Zuckerrüben </v>
      </c>
      <c r="D291" s="33">
        <f t="shared" ca="1" si="13"/>
        <v>0</v>
      </c>
      <c r="E291" s="630">
        <f t="shared" ca="1" si="14"/>
        <v>0</v>
      </c>
      <c r="G291" s="2996"/>
    </row>
    <row r="292" spans="1:7" s="2996" customFormat="1">
      <c r="A292" s="2998">
        <v>46</v>
      </c>
      <c r="B292" s="2998" t="s">
        <v>42</v>
      </c>
      <c r="C292" s="2996" t="str">
        <f t="shared" ca="1" si="12"/>
        <v>Frühkartoffeln</v>
      </c>
      <c r="D292" s="2996" t="str">
        <f t="shared" ca="1" si="13"/>
        <v>Drehpflug 2,10 m</v>
      </c>
      <c r="E292" s="2997">
        <f t="shared" ca="1" si="14"/>
        <v>0</v>
      </c>
    </row>
    <row r="293" spans="1:7" s="2996" customFormat="1">
      <c r="A293" s="2996">
        <v>47</v>
      </c>
      <c r="B293" s="2998" t="s">
        <v>42</v>
      </c>
      <c r="C293" s="2996" t="str">
        <f t="shared" ca="1" si="12"/>
        <v>Frühkartoffeln</v>
      </c>
      <c r="D293" s="2996" t="str">
        <f t="shared" ca="1" si="13"/>
        <v>Kreiselegge-Säkomb. 3 m</v>
      </c>
      <c r="E293" s="2997">
        <f t="shared" ca="1" si="14"/>
        <v>0</v>
      </c>
    </row>
    <row r="294" spans="1:7" s="2996" customFormat="1">
      <c r="A294" s="2998">
        <v>48</v>
      </c>
      <c r="B294" s="2998" t="s">
        <v>42</v>
      </c>
      <c r="C294" s="2996" t="str">
        <f t="shared" ca="1" si="12"/>
        <v>Frühkartoffeln</v>
      </c>
      <c r="D294" s="2996" t="str">
        <f t="shared" ca="1" si="13"/>
        <v>Legemaschine mit starrem Bunker 4 r (Kartoffel)</v>
      </c>
      <c r="E294" s="2997">
        <f t="shared" ca="1" si="14"/>
        <v>0</v>
      </c>
    </row>
    <row r="295" spans="1:7" s="2996" customFormat="1">
      <c r="A295" s="2996">
        <v>49</v>
      </c>
      <c r="B295" s="2998" t="s">
        <v>42</v>
      </c>
      <c r="C295" s="2996" t="str">
        <f t="shared" ca="1" si="12"/>
        <v>Frühkartoffeln</v>
      </c>
      <c r="D295" s="2996" t="str">
        <f t="shared" ca="1" si="13"/>
        <v>Häufeln 4 r, Vorauflauf (Kartoffel)</v>
      </c>
      <c r="E295" s="2997">
        <f t="shared" ca="1" si="14"/>
        <v>0</v>
      </c>
    </row>
    <row r="296" spans="1:7" s="2996" customFormat="1">
      <c r="A296" s="2998">
        <v>50</v>
      </c>
      <c r="B296" s="2998" t="s">
        <v>42</v>
      </c>
      <c r="C296" s="2996" t="str">
        <f t="shared" ca="1" si="12"/>
        <v>Frühkartoffeln</v>
      </c>
      <c r="D296" s="2996" t="str">
        <f t="shared" ca="1" si="13"/>
        <v xml:space="preserve">Düngerstreuer ab Hof 12 m, 400 kg/ha </v>
      </c>
      <c r="E296" s="2997">
        <f t="shared" ca="1" si="14"/>
        <v>0</v>
      </c>
    </row>
    <row r="297" spans="1:7" s="2996" customFormat="1">
      <c r="A297" s="2996">
        <v>51</v>
      </c>
      <c r="B297" s="2998" t="s">
        <v>42</v>
      </c>
      <c r="C297" s="2996" t="str">
        <f t="shared" ca="1" si="12"/>
        <v>Frühkartoffeln</v>
      </c>
      <c r="D297" s="2996" t="str">
        <f t="shared" ca="1" si="13"/>
        <v>Pflanzenschutzspritze 12 m, 300 l/ha</v>
      </c>
      <c r="E297" s="2997">
        <f t="shared" ca="1" si="14"/>
        <v>0</v>
      </c>
    </row>
    <row r="298" spans="1:7" s="2996" customFormat="1">
      <c r="A298" s="2998">
        <v>52</v>
      </c>
      <c r="B298" s="2998" t="s">
        <v>42</v>
      </c>
      <c r="C298" s="2996" t="str">
        <f t="shared" ca="1" si="12"/>
        <v>Frühkartoffeln</v>
      </c>
      <c r="D298" s="2996" t="str">
        <f t="shared" ca="1" si="13"/>
        <v>Kartoff. Transp. z. Hof 45 t/ha (10,5 t Kipper)</v>
      </c>
      <c r="E298" s="2997">
        <f t="shared" ca="1" si="14"/>
        <v>0</v>
      </c>
    </row>
    <row r="299" spans="1:7" s="2996" customFormat="1">
      <c r="A299" s="2996">
        <v>53</v>
      </c>
      <c r="B299" s="2998" t="s">
        <v>42</v>
      </c>
      <c r="C299" s="2996" t="str">
        <f t="shared" ca="1" si="12"/>
        <v>Frühkartoffeln</v>
      </c>
      <c r="D299" s="2996">
        <f t="shared" ca="1" si="13"/>
        <v>0</v>
      </c>
      <c r="E299" s="2997">
        <f t="shared" ca="1" si="14"/>
        <v>0</v>
      </c>
    </row>
    <row r="300" spans="1:7" s="2996" customFormat="1">
      <c r="A300" s="2998">
        <v>54</v>
      </c>
      <c r="B300" s="2998" t="s">
        <v>42</v>
      </c>
      <c r="C300" s="2996" t="str">
        <f t="shared" ca="1" si="12"/>
        <v>Frühkartoffeln</v>
      </c>
      <c r="D300" s="2996">
        <f t="shared" ca="1" si="13"/>
        <v>0</v>
      </c>
      <c r="E300" s="2997">
        <f t="shared" ca="1" si="14"/>
        <v>0</v>
      </c>
    </row>
    <row r="301" spans="1:7" s="2996" customFormat="1">
      <c r="A301" s="2996">
        <v>55</v>
      </c>
      <c r="B301" s="2998" t="s">
        <v>42</v>
      </c>
      <c r="C301" s="2996" t="str">
        <f t="shared" ca="1" si="12"/>
        <v>Frühkartoffeln</v>
      </c>
      <c r="D301" s="2996">
        <f t="shared" ca="1" si="13"/>
        <v>0</v>
      </c>
      <c r="E301" s="2997">
        <f t="shared" ca="1" si="14"/>
        <v>0</v>
      </c>
    </row>
    <row r="302" spans="1:7" s="2996" customFormat="1">
      <c r="A302" s="2998">
        <v>56</v>
      </c>
      <c r="B302" s="2998" t="s">
        <v>42</v>
      </c>
      <c r="C302" s="2996" t="str">
        <f t="shared" ca="1" si="12"/>
        <v>Frühkartoffeln</v>
      </c>
      <c r="D302" s="2996">
        <f t="shared" ca="1" si="13"/>
        <v>0</v>
      </c>
      <c r="E302" s="2997">
        <f t="shared" ca="1" si="14"/>
        <v>0</v>
      </c>
    </row>
    <row r="303" spans="1:7" s="2996" customFormat="1">
      <c r="A303" s="2996">
        <v>57</v>
      </c>
      <c r="B303" s="2998" t="s">
        <v>42</v>
      </c>
      <c r="C303" s="2996" t="str">
        <f t="shared" ca="1" si="12"/>
        <v>Frühkartoffeln</v>
      </c>
      <c r="D303" s="2996">
        <f t="shared" ca="1" si="13"/>
        <v>0</v>
      </c>
      <c r="E303" s="2997">
        <f t="shared" ca="1" si="14"/>
        <v>0</v>
      </c>
    </row>
    <row r="304" spans="1:7">
      <c r="A304" s="15">
        <v>46</v>
      </c>
      <c r="B304" s="2998" t="s">
        <v>40</v>
      </c>
      <c r="C304" s="33" t="str">
        <f t="shared" ca="1" si="12"/>
        <v>Frühkartoffeln, Folie, beregnet</v>
      </c>
      <c r="D304" s="33" t="str">
        <f t="shared" ca="1" si="13"/>
        <v>Drehpflug 2,10 m</v>
      </c>
      <c r="E304" s="630">
        <f t="shared" ca="1" si="14"/>
        <v>0</v>
      </c>
      <c r="G304" s="2996"/>
    </row>
    <row r="305" spans="1:7">
      <c r="A305" s="33">
        <v>47</v>
      </c>
      <c r="B305" s="2998" t="s">
        <v>40</v>
      </c>
      <c r="C305" s="33" t="str">
        <f t="shared" ca="1" si="12"/>
        <v>Frühkartoffeln, Folie, beregnet</v>
      </c>
      <c r="D305" s="33" t="str">
        <f t="shared" ca="1" si="13"/>
        <v>Grubber-Kreiselegge-Säkomb. 3 m</v>
      </c>
      <c r="E305" s="630">
        <f t="shared" ca="1" si="14"/>
        <v>0</v>
      </c>
      <c r="G305" s="2996"/>
    </row>
    <row r="306" spans="1:7">
      <c r="A306" s="15">
        <v>48</v>
      </c>
      <c r="B306" s="2998" t="s">
        <v>40</v>
      </c>
      <c r="C306" s="33" t="str">
        <f t="shared" ca="1" si="12"/>
        <v>Frühkartoffeln, Folie, beregnet</v>
      </c>
      <c r="D306" s="33" t="str">
        <f t="shared" ca="1" si="13"/>
        <v>Legemaschine mit starrem Bunker 4 r (Kartoffel)</v>
      </c>
      <c r="E306" s="630">
        <f t="shared" ca="1" si="14"/>
        <v>0</v>
      </c>
      <c r="G306" s="2996"/>
    </row>
    <row r="307" spans="1:7">
      <c r="A307" s="33">
        <v>49</v>
      </c>
      <c r="B307" s="2998" t="s">
        <v>40</v>
      </c>
      <c r="C307" s="33" t="str">
        <f t="shared" ca="1" si="12"/>
        <v>Frühkartoffeln, Folie, beregnet</v>
      </c>
      <c r="D307" s="33" t="str">
        <f t="shared" ca="1" si="13"/>
        <v>Häufeln 4 r, Vorauflauf (Kartoffel)</v>
      </c>
      <c r="E307" s="630">
        <f t="shared" ca="1" si="14"/>
        <v>0</v>
      </c>
      <c r="G307" s="2996"/>
    </row>
    <row r="308" spans="1:7">
      <c r="A308" s="15">
        <v>50</v>
      </c>
      <c r="B308" s="2998" t="s">
        <v>40</v>
      </c>
      <c r="C308" s="33" t="str">
        <f t="shared" ca="1" si="12"/>
        <v>Frühkartoffeln, Folie, beregnet</v>
      </c>
      <c r="D308" s="33" t="str">
        <f t="shared" ca="1" si="13"/>
        <v>Beregnung (Mobile Beregnungsmaschinen mit Einzelregnern)</v>
      </c>
      <c r="E308" s="630">
        <f t="shared" ca="1" si="14"/>
        <v>0</v>
      </c>
      <c r="G308" s="2996"/>
    </row>
    <row r="309" spans="1:7">
      <c r="A309" s="33">
        <v>51</v>
      </c>
      <c r="B309" s="2998" t="s">
        <v>40</v>
      </c>
      <c r="C309" s="33" t="str">
        <f t="shared" ca="1" si="12"/>
        <v>Frühkartoffeln, Folie, beregnet</v>
      </c>
      <c r="D309" s="33" t="str">
        <f t="shared" ca="1" si="13"/>
        <v>Folie legen, entfernen, entsorgen</v>
      </c>
      <c r="E309" s="630">
        <f t="shared" ca="1" si="14"/>
        <v>0</v>
      </c>
      <c r="G309" s="2996"/>
    </row>
    <row r="310" spans="1:7">
      <c r="A310" s="15">
        <v>52</v>
      </c>
      <c r="B310" s="2998" t="s">
        <v>40</v>
      </c>
      <c r="C310" s="33" t="str">
        <f t="shared" ca="1" si="12"/>
        <v>Frühkartoffeln, Folie, beregnet</v>
      </c>
      <c r="D310" s="33" t="str">
        <f t="shared" ca="1" si="13"/>
        <v xml:space="preserve">Düngerstreuer ab Hof 12 m, 400 kg/ha </v>
      </c>
      <c r="E310" s="630">
        <f t="shared" ca="1" si="14"/>
        <v>0</v>
      </c>
      <c r="G310" s="2996"/>
    </row>
    <row r="311" spans="1:7">
      <c r="A311" s="33">
        <v>53</v>
      </c>
      <c r="B311" s="2998" t="s">
        <v>40</v>
      </c>
      <c r="C311" s="33" t="str">
        <f t="shared" ca="1" si="12"/>
        <v>Frühkartoffeln, Folie, beregnet</v>
      </c>
      <c r="D311" s="33" t="str">
        <f t="shared" ca="1" si="13"/>
        <v>Pflanzenschutzspritze 12 m, 300 l/ha</v>
      </c>
      <c r="E311" s="630">
        <f t="shared" ca="1" si="14"/>
        <v>0</v>
      </c>
      <c r="G311" s="2996"/>
    </row>
    <row r="312" spans="1:7">
      <c r="A312" s="15">
        <v>54</v>
      </c>
      <c r="B312" s="2998" t="s">
        <v>40</v>
      </c>
      <c r="C312" s="33" t="str">
        <f t="shared" ca="1" si="12"/>
        <v>Frühkartoffeln, Folie, beregnet</v>
      </c>
      <c r="D312" s="33" t="str">
        <f t="shared" ca="1" si="13"/>
        <v>Kartoff. Transp. z. Hof 45 t/ha (10,5 t Kipper)</v>
      </c>
      <c r="E312" s="630">
        <f t="shared" ca="1" si="14"/>
        <v>0</v>
      </c>
      <c r="G312" s="2996"/>
    </row>
    <row r="313" spans="1:7">
      <c r="A313" s="33">
        <v>55</v>
      </c>
      <c r="B313" s="2998" t="s">
        <v>40</v>
      </c>
      <c r="C313" s="33" t="str">
        <f t="shared" ca="1" si="12"/>
        <v>Frühkartoffeln, Folie, beregnet</v>
      </c>
      <c r="D313" s="33">
        <f t="shared" ca="1" si="13"/>
        <v>0</v>
      </c>
      <c r="E313" s="630">
        <f t="shared" ca="1" si="14"/>
        <v>0</v>
      </c>
      <c r="G313" s="2996"/>
    </row>
    <row r="314" spans="1:7">
      <c r="A314" s="15">
        <v>56</v>
      </c>
      <c r="B314" s="2998" t="s">
        <v>40</v>
      </c>
      <c r="C314" s="33" t="str">
        <f t="shared" ca="1" si="12"/>
        <v>Frühkartoffeln, Folie, beregnet</v>
      </c>
      <c r="D314" s="33">
        <f t="shared" ca="1" si="13"/>
        <v>0</v>
      </c>
      <c r="E314" s="630">
        <f t="shared" ca="1" si="14"/>
        <v>0</v>
      </c>
      <c r="G314" s="2996"/>
    </row>
    <row r="315" spans="1:7">
      <c r="A315" s="33">
        <v>57</v>
      </c>
      <c r="B315" s="2998" t="s">
        <v>40</v>
      </c>
      <c r="C315" s="33" t="str">
        <f t="shared" ca="1" si="12"/>
        <v>Frühkartoffeln, Folie, beregnet</v>
      </c>
      <c r="D315" s="33">
        <f t="shared" ca="1" si="13"/>
        <v>0</v>
      </c>
      <c r="E315" s="630">
        <f t="shared" ca="1" si="14"/>
        <v>0</v>
      </c>
      <c r="G315" s="2996"/>
    </row>
    <row r="316" spans="1:7" s="2996" customFormat="1">
      <c r="A316" s="2998">
        <v>46</v>
      </c>
      <c r="B316" s="2998" t="s">
        <v>38</v>
      </c>
      <c r="C316" s="2996" t="str">
        <f t="shared" ca="1" si="12"/>
        <v>Speisekartoffeln spät</v>
      </c>
      <c r="D316" s="2996" t="str">
        <f t="shared" ca="1" si="13"/>
        <v>Drehpflug 2,10 m</v>
      </c>
      <c r="E316" s="2997">
        <f t="shared" ca="1" si="14"/>
        <v>10</v>
      </c>
    </row>
    <row r="317" spans="1:7" s="2996" customFormat="1">
      <c r="A317" s="2996">
        <v>47</v>
      </c>
      <c r="B317" s="2998" t="s">
        <v>38</v>
      </c>
      <c r="C317" s="2996" t="str">
        <f t="shared" ca="1" si="12"/>
        <v>Speisekartoffeln spät</v>
      </c>
      <c r="D317" s="2996" t="str">
        <f t="shared" ca="1" si="13"/>
        <v>Grubber-Kreiselegge-Säkomb. 3 m</v>
      </c>
      <c r="E317" s="2997">
        <f t="shared" ca="1" si="14"/>
        <v>10</v>
      </c>
    </row>
    <row r="318" spans="1:7" s="2996" customFormat="1">
      <c r="A318" s="2998">
        <v>48</v>
      </c>
      <c r="B318" s="2998" t="s">
        <v>38</v>
      </c>
      <c r="C318" s="2996" t="str">
        <f t="shared" ca="1" si="12"/>
        <v>Speisekartoffeln spät</v>
      </c>
      <c r="D318" s="2996" t="str">
        <f t="shared" ca="1" si="13"/>
        <v>Legemaschine mit Kippbunker 4 r (Kartoffel)</v>
      </c>
      <c r="E318" s="2997">
        <f t="shared" ca="1" si="14"/>
        <v>10</v>
      </c>
    </row>
    <row r="319" spans="1:7" s="2996" customFormat="1">
      <c r="A319" s="2996">
        <v>49</v>
      </c>
      <c r="B319" s="2998" t="s">
        <v>38</v>
      </c>
      <c r="C319" s="2996" t="str">
        <f t="shared" ca="1" si="12"/>
        <v>Speisekartoffeln spät</v>
      </c>
      <c r="D319" s="2996" t="str">
        <f t="shared" ca="1" si="13"/>
        <v>Häufeln 4 r, Vorauflauf (Kartoffel)</v>
      </c>
      <c r="E319" s="2997">
        <f t="shared" ca="1" si="14"/>
        <v>10</v>
      </c>
    </row>
    <row r="320" spans="1:7" s="2996" customFormat="1">
      <c r="A320" s="2998">
        <v>50</v>
      </c>
      <c r="B320" s="2998" t="s">
        <v>38</v>
      </c>
      <c r="C320" s="2996" t="str">
        <f t="shared" ca="1" si="12"/>
        <v>Speisekartoffeln spät</v>
      </c>
      <c r="D320" s="2996" t="str">
        <f t="shared" ca="1" si="13"/>
        <v xml:space="preserve">Düngerstreuer ab Hof 12 m, 400 kg/ha </v>
      </c>
      <c r="E320" s="2997">
        <f t="shared" ca="1" si="14"/>
        <v>20</v>
      </c>
    </row>
    <row r="321" spans="1:7" s="2996" customFormat="1">
      <c r="A321" s="2996">
        <v>51</v>
      </c>
      <c r="B321" s="2998" t="s">
        <v>38</v>
      </c>
      <c r="C321" s="2996" t="str">
        <f t="shared" ca="1" si="12"/>
        <v>Speisekartoffeln spät</v>
      </c>
      <c r="D321" s="2996" t="str">
        <f t="shared" ca="1" si="13"/>
        <v>Pflanzenschutzspritze 12 m, 300 l/ha</v>
      </c>
      <c r="E321" s="2997">
        <f t="shared" ca="1" si="14"/>
        <v>100</v>
      </c>
    </row>
    <row r="322" spans="1:7" s="2996" customFormat="1">
      <c r="A322" s="2998">
        <v>52</v>
      </c>
      <c r="B322" s="2998" t="s">
        <v>38</v>
      </c>
      <c r="C322" s="2996" t="str">
        <f t="shared" ca="1" si="12"/>
        <v>Speisekartoffeln spät</v>
      </c>
      <c r="D322" s="2996" t="str">
        <f t="shared" ca="1" si="13"/>
        <v>Kartoff. Transp. z. Hof 45 t/ha (10,5 t Kipper)</v>
      </c>
      <c r="E322" s="2997">
        <f t="shared" ca="1" si="14"/>
        <v>38.095238095238095</v>
      </c>
    </row>
    <row r="323" spans="1:7" s="2996" customFormat="1">
      <c r="A323" s="2996">
        <v>53</v>
      </c>
      <c r="B323" s="2998" t="s">
        <v>38</v>
      </c>
      <c r="C323" s="2996" t="str">
        <f t="shared" ca="1" si="12"/>
        <v>Speisekartoffeln spät</v>
      </c>
      <c r="D323" s="2996">
        <f t="shared" ca="1" si="13"/>
        <v>0</v>
      </c>
      <c r="E323" s="2997">
        <f t="shared" ca="1" si="14"/>
        <v>0</v>
      </c>
    </row>
    <row r="324" spans="1:7" s="2996" customFormat="1">
      <c r="A324" s="2998">
        <v>54</v>
      </c>
      <c r="B324" s="2998" t="s">
        <v>38</v>
      </c>
      <c r="C324" s="2996" t="str">
        <f t="shared" ref="C324:C375" ca="1" si="15">INDIRECT("'"&amp;B324&amp;"'!$K$2")</f>
        <v>Speisekartoffeln spät</v>
      </c>
      <c r="D324" s="2996">
        <f t="shared" ref="D324:D375" ca="1" si="16">INDIRECT("'"&amp;B324&amp;"'!C"&amp;A324)</f>
        <v>0</v>
      </c>
      <c r="E324" s="2997">
        <f t="shared" ref="E324:E375" ca="1" si="17">INDIRECT("'"&amp;B324&amp;"'!Q"&amp;A324)</f>
        <v>0</v>
      </c>
    </row>
    <row r="325" spans="1:7" s="2996" customFormat="1">
      <c r="A325" s="2996">
        <v>55</v>
      </c>
      <c r="B325" s="2998" t="s">
        <v>38</v>
      </c>
      <c r="C325" s="2996" t="str">
        <f t="shared" ca="1" si="15"/>
        <v>Speisekartoffeln spät</v>
      </c>
      <c r="D325" s="2996">
        <f t="shared" ca="1" si="16"/>
        <v>0</v>
      </c>
      <c r="E325" s="2997">
        <f t="shared" ca="1" si="17"/>
        <v>0</v>
      </c>
    </row>
    <row r="326" spans="1:7" s="2996" customFormat="1">
      <c r="A326" s="2998">
        <v>56</v>
      </c>
      <c r="B326" s="2998" t="s">
        <v>38</v>
      </c>
      <c r="C326" s="2996" t="str">
        <f t="shared" ca="1" si="15"/>
        <v>Speisekartoffeln spät</v>
      </c>
      <c r="D326" s="2996">
        <f t="shared" ca="1" si="16"/>
        <v>0</v>
      </c>
      <c r="E326" s="2997">
        <f t="shared" ca="1" si="17"/>
        <v>0</v>
      </c>
    </row>
    <row r="327" spans="1:7" s="2996" customFormat="1">
      <c r="A327" s="2996">
        <v>57</v>
      </c>
      <c r="B327" s="2998" t="s">
        <v>38</v>
      </c>
      <c r="C327" s="2996" t="str">
        <f t="shared" ca="1" si="15"/>
        <v>Speisekartoffeln spät</v>
      </c>
      <c r="D327" s="2996">
        <f t="shared" ca="1" si="16"/>
        <v>0</v>
      </c>
      <c r="E327" s="2997">
        <f t="shared" ca="1" si="17"/>
        <v>0</v>
      </c>
    </row>
    <row r="328" spans="1:7">
      <c r="A328" s="15">
        <v>46</v>
      </c>
      <c r="B328" s="2998" t="s">
        <v>36</v>
      </c>
      <c r="C328" s="33" t="str">
        <f t="shared" ca="1" si="15"/>
        <v>Speisekartoffeln spät, beregnet</v>
      </c>
      <c r="D328" s="33" t="str">
        <f t="shared" ca="1" si="16"/>
        <v>Drehpflug 2,10 m</v>
      </c>
      <c r="E328" s="630">
        <f t="shared" ca="1" si="17"/>
        <v>0</v>
      </c>
      <c r="G328" s="2996"/>
    </row>
    <row r="329" spans="1:7">
      <c r="A329" s="33">
        <v>47</v>
      </c>
      <c r="B329" s="2998" t="s">
        <v>36</v>
      </c>
      <c r="C329" s="33" t="str">
        <f t="shared" ca="1" si="15"/>
        <v>Speisekartoffeln spät, beregnet</v>
      </c>
      <c r="D329" s="33" t="str">
        <f t="shared" ca="1" si="16"/>
        <v>Grubber-Kreiselegge-Säkomb. 3 m</v>
      </c>
      <c r="E329" s="630">
        <f t="shared" ca="1" si="17"/>
        <v>0</v>
      </c>
      <c r="G329" s="2996"/>
    </row>
    <row r="330" spans="1:7">
      <c r="A330" s="15">
        <v>48</v>
      </c>
      <c r="B330" s="2998" t="s">
        <v>36</v>
      </c>
      <c r="C330" s="33" t="str">
        <f t="shared" ca="1" si="15"/>
        <v>Speisekartoffeln spät, beregnet</v>
      </c>
      <c r="D330" s="33" t="str">
        <f t="shared" ca="1" si="16"/>
        <v>Legemaschine mit Kippbunker 4 r (Kartoffel)</v>
      </c>
      <c r="E330" s="630">
        <f t="shared" ca="1" si="17"/>
        <v>0</v>
      </c>
      <c r="G330" s="2996"/>
    </row>
    <row r="331" spans="1:7">
      <c r="A331" s="33">
        <v>49</v>
      </c>
      <c r="B331" s="2998" t="s">
        <v>36</v>
      </c>
      <c r="C331" s="33" t="str">
        <f t="shared" ca="1" si="15"/>
        <v>Speisekartoffeln spät, beregnet</v>
      </c>
      <c r="D331" s="33" t="str">
        <f t="shared" ca="1" si="16"/>
        <v>Häufeln 4 r, Vorauflauf (Kartoffel)</v>
      </c>
      <c r="E331" s="630">
        <f t="shared" ca="1" si="17"/>
        <v>0</v>
      </c>
      <c r="G331" s="2996"/>
    </row>
    <row r="332" spans="1:7">
      <c r="A332" s="15">
        <v>50</v>
      </c>
      <c r="B332" s="2998" t="s">
        <v>36</v>
      </c>
      <c r="C332" s="33" t="str">
        <f t="shared" ca="1" si="15"/>
        <v>Speisekartoffeln spät, beregnet</v>
      </c>
      <c r="D332" s="33" t="str">
        <f t="shared" ca="1" si="16"/>
        <v>Beregnung (Mobile Beregnungsmaschinen mit Einzelregnern)</v>
      </c>
      <c r="E332" s="630">
        <f t="shared" ca="1" si="17"/>
        <v>0</v>
      </c>
      <c r="G332" s="2996"/>
    </row>
    <row r="333" spans="1:7">
      <c r="A333" s="33">
        <v>51</v>
      </c>
      <c r="B333" s="2998" t="s">
        <v>36</v>
      </c>
      <c r="C333" s="33" t="str">
        <f t="shared" ca="1" si="15"/>
        <v>Speisekartoffeln spät, beregnet</v>
      </c>
      <c r="D333" s="33" t="str">
        <f t="shared" ca="1" si="16"/>
        <v xml:space="preserve">Düngerstreuer ab Hof 12 m, 400 kg/ha </v>
      </c>
      <c r="E333" s="630">
        <f t="shared" ca="1" si="17"/>
        <v>0</v>
      </c>
      <c r="G333" s="2996"/>
    </row>
    <row r="334" spans="1:7">
      <c r="A334" s="15">
        <v>52</v>
      </c>
      <c r="B334" s="2998" t="s">
        <v>36</v>
      </c>
      <c r="C334" s="33" t="str">
        <f t="shared" ca="1" si="15"/>
        <v>Speisekartoffeln spät, beregnet</v>
      </c>
      <c r="D334" s="33" t="str">
        <f t="shared" ca="1" si="16"/>
        <v>Pflanzenschutzspritze 12 m, 300 l/ha</v>
      </c>
      <c r="E334" s="630">
        <f t="shared" ca="1" si="17"/>
        <v>0</v>
      </c>
      <c r="G334" s="2996"/>
    </row>
    <row r="335" spans="1:7">
      <c r="A335" s="33">
        <v>53</v>
      </c>
      <c r="B335" s="2998" t="s">
        <v>36</v>
      </c>
      <c r="C335" s="33" t="str">
        <f t="shared" ca="1" si="15"/>
        <v>Speisekartoffeln spät, beregnet</v>
      </c>
      <c r="D335" s="33" t="str">
        <f t="shared" ca="1" si="16"/>
        <v>Kartoff. Transp. z. Hof 45 t/ha (10,5 t Kipper)</v>
      </c>
      <c r="E335" s="630">
        <f t="shared" ca="1" si="17"/>
        <v>0</v>
      </c>
      <c r="G335" s="2996"/>
    </row>
    <row r="336" spans="1:7">
      <c r="A336" s="15">
        <v>54</v>
      </c>
      <c r="B336" s="2998" t="s">
        <v>36</v>
      </c>
      <c r="C336" s="33" t="str">
        <f t="shared" ca="1" si="15"/>
        <v>Speisekartoffeln spät, beregnet</v>
      </c>
      <c r="D336" s="33">
        <f t="shared" ca="1" si="16"/>
        <v>0</v>
      </c>
      <c r="E336" s="630">
        <f t="shared" ca="1" si="17"/>
        <v>0</v>
      </c>
      <c r="G336" s="2996"/>
    </row>
    <row r="337" spans="1:7">
      <c r="A337" s="33">
        <v>55</v>
      </c>
      <c r="B337" s="2998" t="s">
        <v>36</v>
      </c>
      <c r="C337" s="33" t="str">
        <f t="shared" ca="1" si="15"/>
        <v>Speisekartoffeln spät, beregnet</v>
      </c>
      <c r="D337" s="33">
        <f t="shared" ca="1" si="16"/>
        <v>0</v>
      </c>
      <c r="E337" s="630">
        <f t="shared" ca="1" si="17"/>
        <v>0</v>
      </c>
      <c r="G337" s="2996"/>
    </row>
    <row r="338" spans="1:7">
      <c r="A338" s="15">
        <v>56</v>
      </c>
      <c r="B338" s="2998" t="s">
        <v>36</v>
      </c>
      <c r="C338" s="33" t="str">
        <f t="shared" ca="1" si="15"/>
        <v>Speisekartoffeln spät, beregnet</v>
      </c>
      <c r="D338" s="33">
        <f t="shared" ca="1" si="16"/>
        <v>0</v>
      </c>
      <c r="E338" s="630">
        <f t="shared" ca="1" si="17"/>
        <v>0</v>
      </c>
      <c r="G338" s="2996"/>
    </row>
    <row r="339" spans="1:7">
      <c r="A339" s="33">
        <v>57</v>
      </c>
      <c r="B339" s="2998" t="s">
        <v>36</v>
      </c>
      <c r="C339" s="33" t="str">
        <f t="shared" ca="1" si="15"/>
        <v>Speisekartoffeln spät, beregnet</v>
      </c>
      <c r="D339" s="33">
        <f t="shared" ca="1" si="16"/>
        <v>0</v>
      </c>
      <c r="E339" s="630">
        <f t="shared" ca="1" si="17"/>
        <v>0</v>
      </c>
      <c r="G339" s="2996"/>
    </row>
    <row r="340" spans="1:7" s="2996" customFormat="1">
      <c r="A340" s="2998">
        <v>46</v>
      </c>
      <c r="B340" s="2998" t="s">
        <v>1044</v>
      </c>
      <c r="C340" s="2996" t="e">
        <f t="shared" ca="1" si="15"/>
        <v>#REF!</v>
      </c>
      <c r="D340" s="2996" t="e">
        <f t="shared" ca="1" si="16"/>
        <v>#REF!</v>
      </c>
      <c r="E340" s="2997" t="e">
        <f t="shared" ca="1" si="17"/>
        <v>#REF!</v>
      </c>
    </row>
    <row r="341" spans="1:7" s="2996" customFormat="1">
      <c r="A341" s="2996">
        <v>47</v>
      </c>
      <c r="B341" s="2998" t="s">
        <v>1044</v>
      </c>
      <c r="C341" s="2996" t="e">
        <f t="shared" ca="1" si="15"/>
        <v>#REF!</v>
      </c>
      <c r="D341" s="2996" t="e">
        <f t="shared" ca="1" si="16"/>
        <v>#REF!</v>
      </c>
      <c r="E341" s="2997" t="e">
        <f t="shared" ca="1" si="17"/>
        <v>#REF!</v>
      </c>
    </row>
    <row r="342" spans="1:7" s="2996" customFormat="1">
      <c r="A342" s="2998">
        <v>48</v>
      </c>
      <c r="B342" s="2998" t="s">
        <v>1044</v>
      </c>
      <c r="C342" s="2996" t="e">
        <f t="shared" ca="1" si="15"/>
        <v>#REF!</v>
      </c>
      <c r="D342" s="2996" t="e">
        <f t="shared" ca="1" si="16"/>
        <v>#REF!</v>
      </c>
      <c r="E342" s="2997" t="e">
        <f t="shared" ca="1" si="17"/>
        <v>#REF!</v>
      </c>
    </row>
    <row r="343" spans="1:7" s="2996" customFormat="1">
      <c r="A343" s="2996">
        <v>49</v>
      </c>
      <c r="B343" s="2998" t="s">
        <v>1044</v>
      </c>
      <c r="C343" s="2996" t="e">
        <f t="shared" ca="1" si="15"/>
        <v>#REF!</v>
      </c>
      <c r="D343" s="2996" t="e">
        <f t="shared" ca="1" si="16"/>
        <v>#REF!</v>
      </c>
      <c r="E343" s="2997" t="e">
        <f t="shared" ca="1" si="17"/>
        <v>#REF!</v>
      </c>
    </row>
    <row r="344" spans="1:7" s="2996" customFormat="1">
      <c r="A344" s="2998">
        <v>50</v>
      </c>
      <c r="B344" s="2998" t="s">
        <v>1044</v>
      </c>
      <c r="C344" s="2996" t="e">
        <f t="shared" ca="1" si="15"/>
        <v>#REF!</v>
      </c>
      <c r="D344" s="2996" t="e">
        <f t="shared" ca="1" si="16"/>
        <v>#REF!</v>
      </c>
      <c r="E344" s="2997" t="e">
        <f t="shared" ca="1" si="17"/>
        <v>#REF!</v>
      </c>
    </row>
    <row r="345" spans="1:7" s="2996" customFormat="1">
      <c r="A345" s="2996">
        <v>51</v>
      </c>
      <c r="B345" s="2998" t="s">
        <v>1044</v>
      </c>
      <c r="C345" s="2996" t="e">
        <f t="shared" ca="1" si="15"/>
        <v>#REF!</v>
      </c>
      <c r="D345" s="2996" t="e">
        <f t="shared" ca="1" si="16"/>
        <v>#REF!</v>
      </c>
      <c r="E345" s="2997" t="e">
        <f t="shared" ca="1" si="17"/>
        <v>#REF!</v>
      </c>
    </row>
    <row r="346" spans="1:7" s="2996" customFormat="1">
      <c r="A346" s="2998">
        <v>52</v>
      </c>
      <c r="B346" s="2998" t="s">
        <v>1044</v>
      </c>
      <c r="C346" s="2996" t="e">
        <f t="shared" ca="1" si="15"/>
        <v>#REF!</v>
      </c>
      <c r="D346" s="2996" t="e">
        <f t="shared" ca="1" si="16"/>
        <v>#REF!</v>
      </c>
      <c r="E346" s="2997" t="e">
        <f t="shared" ca="1" si="17"/>
        <v>#REF!</v>
      </c>
    </row>
    <row r="347" spans="1:7" s="2996" customFormat="1">
      <c r="A347" s="2996">
        <v>53</v>
      </c>
      <c r="B347" s="2998" t="s">
        <v>1044</v>
      </c>
      <c r="C347" s="2996" t="e">
        <f t="shared" ca="1" si="15"/>
        <v>#REF!</v>
      </c>
      <c r="D347" s="2996" t="e">
        <f t="shared" ca="1" si="16"/>
        <v>#REF!</v>
      </c>
      <c r="E347" s="2997" t="e">
        <f t="shared" ca="1" si="17"/>
        <v>#REF!</v>
      </c>
    </row>
    <row r="348" spans="1:7" s="2996" customFormat="1">
      <c r="A348" s="2998">
        <v>54</v>
      </c>
      <c r="B348" s="2998" t="s">
        <v>1044</v>
      </c>
      <c r="C348" s="2996" t="e">
        <f t="shared" ca="1" si="15"/>
        <v>#REF!</v>
      </c>
      <c r="D348" s="2996" t="e">
        <f t="shared" ca="1" si="16"/>
        <v>#REF!</v>
      </c>
      <c r="E348" s="2997" t="e">
        <f t="shared" ca="1" si="17"/>
        <v>#REF!</v>
      </c>
    </row>
    <row r="349" spans="1:7" s="2996" customFormat="1">
      <c r="A349" s="2996">
        <v>55</v>
      </c>
      <c r="B349" s="2998" t="s">
        <v>1044</v>
      </c>
      <c r="C349" s="2996" t="e">
        <f t="shared" ca="1" si="15"/>
        <v>#REF!</v>
      </c>
      <c r="D349" s="2996" t="e">
        <f t="shared" ca="1" si="16"/>
        <v>#REF!</v>
      </c>
      <c r="E349" s="2997" t="e">
        <f t="shared" ca="1" si="17"/>
        <v>#REF!</v>
      </c>
    </row>
    <row r="350" spans="1:7" s="2996" customFormat="1">
      <c r="A350" s="2998">
        <v>56</v>
      </c>
      <c r="B350" s="2998" t="s">
        <v>1044</v>
      </c>
      <c r="C350" s="2996" t="e">
        <f t="shared" ca="1" si="15"/>
        <v>#REF!</v>
      </c>
      <c r="D350" s="2996" t="e">
        <f t="shared" ca="1" si="16"/>
        <v>#REF!</v>
      </c>
      <c r="E350" s="2997" t="e">
        <f t="shared" ca="1" si="17"/>
        <v>#REF!</v>
      </c>
    </row>
    <row r="351" spans="1:7" s="2996" customFormat="1">
      <c r="A351" s="2996">
        <v>57</v>
      </c>
      <c r="B351" s="2998" t="s">
        <v>1044</v>
      </c>
      <c r="C351" s="2996" t="e">
        <f t="shared" ca="1" si="15"/>
        <v>#REF!</v>
      </c>
      <c r="D351" s="2996" t="e">
        <f t="shared" ca="1" si="16"/>
        <v>#REF!</v>
      </c>
      <c r="E351" s="2997" t="e">
        <f t="shared" ca="1" si="17"/>
        <v>#REF!</v>
      </c>
    </row>
    <row r="352" spans="1:7">
      <c r="A352" s="15">
        <v>46</v>
      </c>
      <c r="B352" s="2998" t="s">
        <v>28</v>
      </c>
      <c r="C352" s="33" t="e">
        <f t="shared" ca="1" si="15"/>
        <v>#REF!</v>
      </c>
      <c r="D352" s="33" t="e">
        <f t="shared" ca="1" si="16"/>
        <v>#REF!</v>
      </c>
      <c r="E352" s="630" t="e">
        <f t="shared" ca="1" si="17"/>
        <v>#REF!</v>
      </c>
      <c r="G352" s="2996"/>
    </row>
    <row r="353" spans="1:7">
      <c r="A353" s="33">
        <v>47</v>
      </c>
      <c r="B353" s="2998" t="s">
        <v>28</v>
      </c>
      <c r="C353" s="33" t="e">
        <f t="shared" ca="1" si="15"/>
        <v>#REF!</v>
      </c>
      <c r="D353" s="33" t="e">
        <f t="shared" ca="1" si="16"/>
        <v>#REF!</v>
      </c>
      <c r="E353" s="630" t="e">
        <f t="shared" ca="1" si="17"/>
        <v>#REF!</v>
      </c>
      <c r="G353" s="2996"/>
    </row>
    <row r="354" spans="1:7">
      <c r="A354" s="15">
        <v>48</v>
      </c>
      <c r="B354" s="2998" t="s">
        <v>28</v>
      </c>
      <c r="C354" s="33" t="e">
        <f t="shared" ca="1" si="15"/>
        <v>#REF!</v>
      </c>
      <c r="D354" s="33" t="e">
        <f t="shared" ca="1" si="16"/>
        <v>#REF!</v>
      </c>
      <c r="E354" s="630" t="e">
        <f t="shared" ca="1" si="17"/>
        <v>#REF!</v>
      </c>
      <c r="G354" s="2996"/>
    </row>
    <row r="355" spans="1:7">
      <c r="A355" s="33">
        <v>49</v>
      </c>
      <c r="B355" s="2998" t="s">
        <v>28</v>
      </c>
      <c r="C355" s="33" t="e">
        <f t="shared" ca="1" si="15"/>
        <v>#REF!</v>
      </c>
      <c r="D355" s="33" t="e">
        <f t="shared" ca="1" si="16"/>
        <v>#REF!</v>
      </c>
      <c r="E355" s="630" t="e">
        <f t="shared" ca="1" si="17"/>
        <v>#REF!</v>
      </c>
      <c r="G355" s="2996"/>
    </row>
    <row r="356" spans="1:7">
      <c r="A356" s="15">
        <v>50</v>
      </c>
      <c r="B356" s="2998" t="s">
        <v>28</v>
      </c>
      <c r="C356" s="33" t="e">
        <f t="shared" ca="1" si="15"/>
        <v>#REF!</v>
      </c>
      <c r="D356" s="33" t="e">
        <f t="shared" ca="1" si="16"/>
        <v>#REF!</v>
      </c>
      <c r="E356" s="630" t="e">
        <f t="shared" ca="1" si="17"/>
        <v>#REF!</v>
      </c>
      <c r="G356" s="2996"/>
    </row>
    <row r="357" spans="1:7">
      <c r="A357" s="33">
        <v>51</v>
      </c>
      <c r="B357" s="2998" t="s">
        <v>28</v>
      </c>
      <c r="C357" s="33" t="e">
        <f t="shared" ca="1" si="15"/>
        <v>#REF!</v>
      </c>
      <c r="D357" s="33" t="e">
        <f t="shared" ca="1" si="16"/>
        <v>#REF!</v>
      </c>
      <c r="E357" s="630" t="e">
        <f t="shared" ca="1" si="17"/>
        <v>#REF!</v>
      </c>
      <c r="G357" s="2996"/>
    </row>
    <row r="358" spans="1:7">
      <c r="A358" s="15">
        <v>52</v>
      </c>
      <c r="B358" s="2998" t="s">
        <v>28</v>
      </c>
      <c r="C358" s="33" t="e">
        <f t="shared" ca="1" si="15"/>
        <v>#REF!</v>
      </c>
      <c r="D358" s="33" t="e">
        <f t="shared" ca="1" si="16"/>
        <v>#REF!</v>
      </c>
      <c r="E358" s="630" t="e">
        <f t="shared" ca="1" si="17"/>
        <v>#REF!</v>
      </c>
      <c r="G358" s="2996"/>
    </row>
    <row r="359" spans="1:7">
      <c r="A359" s="33">
        <v>53</v>
      </c>
      <c r="B359" s="2998" t="s">
        <v>28</v>
      </c>
      <c r="C359" s="33" t="e">
        <f t="shared" ca="1" si="15"/>
        <v>#REF!</v>
      </c>
      <c r="D359" s="33" t="e">
        <f t="shared" ca="1" si="16"/>
        <v>#REF!</v>
      </c>
      <c r="E359" s="630" t="e">
        <f t="shared" ca="1" si="17"/>
        <v>#REF!</v>
      </c>
      <c r="G359" s="2996"/>
    </row>
    <row r="360" spans="1:7">
      <c r="A360" s="15">
        <v>54</v>
      </c>
      <c r="B360" s="2998" t="s">
        <v>28</v>
      </c>
      <c r="C360" s="33" t="e">
        <f t="shared" ca="1" si="15"/>
        <v>#REF!</v>
      </c>
      <c r="D360" s="33" t="e">
        <f t="shared" ca="1" si="16"/>
        <v>#REF!</v>
      </c>
      <c r="E360" s="630" t="e">
        <f t="shared" ca="1" si="17"/>
        <v>#REF!</v>
      </c>
      <c r="G360" s="2996"/>
    </row>
    <row r="361" spans="1:7">
      <c r="A361" s="33">
        <v>55</v>
      </c>
      <c r="B361" s="2998" t="s">
        <v>28</v>
      </c>
      <c r="C361" s="33" t="e">
        <f t="shared" ca="1" si="15"/>
        <v>#REF!</v>
      </c>
      <c r="D361" s="33" t="e">
        <f t="shared" ca="1" si="16"/>
        <v>#REF!</v>
      </c>
      <c r="E361" s="630" t="e">
        <f t="shared" ca="1" si="17"/>
        <v>#REF!</v>
      </c>
      <c r="G361" s="2996"/>
    </row>
    <row r="362" spans="1:7">
      <c r="A362" s="15">
        <v>56</v>
      </c>
      <c r="B362" s="2998" t="s">
        <v>28</v>
      </c>
      <c r="C362" s="33" t="e">
        <f t="shared" ca="1" si="15"/>
        <v>#REF!</v>
      </c>
      <c r="D362" s="33" t="e">
        <f t="shared" ca="1" si="16"/>
        <v>#REF!</v>
      </c>
      <c r="E362" s="630" t="e">
        <f t="shared" ca="1" si="17"/>
        <v>#REF!</v>
      </c>
      <c r="G362" s="2996"/>
    </row>
    <row r="363" spans="1:7">
      <c r="A363" s="33">
        <v>57</v>
      </c>
      <c r="B363" s="2998" t="s">
        <v>28</v>
      </c>
      <c r="C363" s="33" t="e">
        <f t="shared" ca="1" si="15"/>
        <v>#REF!</v>
      </c>
      <c r="D363" s="33" t="e">
        <f t="shared" ca="1" si="16"/>
        <v>#REF!</v>
      </c>
      <c r="E363" s="630" t="e">
        <f t="shared" ca="1" si="17"/>
        <v>#REF!</v>
      </c>
      <c r="G363" s="2996"/>
    </row>
    <row r="364" spans="1:7" s="2996" customFormat="1">
      <c r="A364" s="2998">
        <v>46</v>
      </c>
      <c r="B364" s="2998" t="s">
        <v>1043</v>
      </c>
      <c r="C364" s="2996" t="str">
        <f t="shared" ca="1" si="15"/>
        <v>Begrünung</v>
      </c>
      <c r="D364" s="2996" t="str">
        <f t="shared" ca="1" si="16"/>
        <v>Drehpflug 2,10 m</v>
      </c>
      <c r="E364" s="2997">
        <f t="shared" ca="1" si="17"/>
        <v>0</v>
      </c>
    </row>
    <row r="365" spans="1:7" s="2996" customFormat="1">
      <c r="A365" s="2996">
        <v>47</v>
      </c>
      <c r="B365" s="2998" t="s">
        <v>1043</v>
      </c>
      <c r="C365" s="2996" t="str">
        <f t="shared" ca="1" si="15"/>
        <v>Begrünung</v>
      </c>
      <c r="D365" s="2996" t="str">
        <f t="shared" ca="1" si="16"/>
        <v>Kreiselegge-Säkomb. 3 m</v>
      </c>
      <c r="E365" s="2997">
        <f t="shared" ca="1" si="17"/>
        <v>0</v>
      </c>
    </row>
    <row r="366" spans="1:7" s="2996" customFormat="1">
      <c r="A366" s="2998">
        <v>48</v>
      </c>
      <c r="B366" s="2998" t="s">
        <v>1043</v>
      </c>
      <c r="C366" s="2996" t="str">
        <f t="shared" ca="1" si="15"/>
        <v>Begrünung</v>
      </c>
      <c r="D366" s="2996" t="str">
        <f t="shared" ca="1" si="16"/>
        <v>Cambridgewalze 4,5 m</v>
      </c>
      <c r="E366" s="2997">
        <f t="shared" ca="1" si="17"/>
        <v>0</v>
      </c>
    </row>
    <row r="367" spans="1:7" s="2996" customFormat="1">
      <c r="A367" s="2996">
        <v>49</v>
      </c>
      <c r="B367" s="2998" t="s">
        <v>1043</v>
      </c>
      <c r="C367" s="2996" t="str">
        <f t="shared" ca="1" si="15"/>
        <v>Begrünung</v>
      </c>
      <c r="D367" s="2996" t="str">
        <f t="shared" ca="1" si="16"/>
        <v>Mulchgerät 3 m</v>
      </c>
      <c r="E367" s="2997">
        <f t="shared" ca="1" si="17"/>
        <v>0</v>
      </c>
    </row>
    <row r="368" spans="1:7" s="2996" customFormat="1">
      <c r="A368" s="2998">
        <v>50</v>
      </c>
      <c r="B368" s="2998" t="s">
        <v>1043</v>
      </c>
      <c r="C368" s="2996" t="str">
        <f t="shared" ca="1" si="15"/>
        <v>Begrünung</v>
      </c>
      <c r="D368" s="2996">
        <f t="shared" ca="1" si="16"/>
        <v>0</v>
      </c>
      <c r="E368" s="2997">
        <f t="shared" ca="1" si="17"/>
        <v>0</v>
      </c>
    </row>
    <row r="369" spans="1:7" s="2996" customFormat="1">
      <c r="A369" s="2996">
        <v>51</v>
      </c>
      <c r="B369" s="2998" t="s">
        <v>1043</v>
      </c>
      <c r="C369" s="2996" t="str">
        <f t="shared" ca="1" si="15"/>
        <v>Begrünung</v>
      </c>
      <c r="D369" s="2996">
        <f t="shared" ca="1" si="16"/>
        <v>0</v>
      </c>
      <c r="E369" s="2997">
        <f t="shared" ca="1" si="17"/>
        <v>0</v>
      </c>
    </row>
    <row r="370" spans="1:7" s="2996" customFormat="1">
      <c r="A370" s="2998">
        <v>52</v>
      </c>
      <c r="B370" s="2998" t="s">
        <v>1043</v>
      </c>
      <c r="C370" s="2996" t="str">
        <f t="shared" ca="1" si="15"/>
        <v>Begrünung</v>
      </c>
      <c r="D370" s="2996">
        <f t="shared" ca="1" si="16"/>
        <v>0</v>
      </c>
      <c r="E370" s="2997">
        <f t="shared" ca="1" si="17"/>
        <v>0</v>
      </c>
    </row>
    <row r="371" spans="1:7" s="2996" customFormat="1">
      <c r="A371" s="2996">
        <v>53</v>
      </c>
      <c r="B371" s="2998" t="s">
        <v>1043</v>
      </c>
      <c r="C371" s="2996" t="str">
        <f t="shared" ca="1" si="15"/>
        <v>Begrünung</v>
      </c>
      <c r="D371" s="2996">
        <f t="shared" ca="1" si="16"/>
        <v>0</v>
      </c>
      <c r="E371" s="2997">
        <f t="shared" ca="1" si="17"/>
        <v>0</v>
      </c>
    </row>
    <row r="372" spans="1:7" s="2996" customFormat="1">
      <c r="A372" s="2998">
        <v>54</v>
      </c>
      <c r="B372" s="2998" t="s">
        <v>1043</v>
      </c>
      <c r="C372" s="2996" t="str">
        <f t="shared" ca="1" si="15"/>
        <v>Begrünung</v>
      </c>
      <c r="D372" s="2996">
        <f t="shared" ca="1" si="16"/>
        <v>0</v>
      </c>
      <c r="E372" s="2997">
        <f t="shared" ca="1" si="17"/>
        <v>0</v>
      </c>
    </row>
    <row r="373" spans="1:7" s="2996" customFormat="1">
      <c r="A373" s="2996">
        <v>55</v>
      </c>
      <c r="B373" s="2998" t="s">
        <v>1043</v>
      </c>
      <c r="C373" s="2996" t="str">
        <f t="shared" ca="1" si="15"/>
        <v>Begrünung</v>
      </c>
      <c r="D373" s="2996">
        <f t="shared" ca="1" si="16"/>
        <v>0</v>
      </c>
      <c r="E373" s="2997">
        <f t="shared" ca="1" si="17"/>
        <v>0</v>
      </c>
    </row>
    <row r="374" spans="1:7" s="2996" customFormat="1">
      <c r="A374" s="2998">
        <v>56</v>
      </c>
      <c r="B374" s="2998" t="s">
        <v>1043</v>
      </c>
      <c r="C374" s="2996" t="str">
        <f t="shared" ca="1" si="15"/>
        <v>Begrünung</v>
      </c>
      <c r="D374" s="2996">
        <f t="shared" ca="1" si="16"/>
        <v>0</v>
      </c>
      <c r="E374" s="2997">
        <f t="shared" ca="1" si="17"/>
        <v>0</v>
      </c>
    </row>
    <row r="375" spans="1:7" s="2996" customFormat="1">
      <c r="A375" s="2996">
        <v>57</v>
      </c>
      <c r="B375" s="2998" t="s">
        <v>1043</v>
      </c>
      <c r="C375" s="2996" t="str">
        <f t="shared" ca="1" si="15"/>
        <v>Begrünung</v>
      </c>
      <c r="D375" s="2996">
        <f t="shared" ca="1" si="16"/>
        <v>0</v>
      </c>
      <c r="E375" s="2997">
        <f t="shared" ca="1" si="17"/>
        <v>0</v>
      </c>
    </row>
    <row r="376" spans="1:7">
      <c r="A376" s="15"/>
      <c r="B376" s="15"/>
      <c r="G376" s="2996"/>
    </row>
    <row r="377" spans="1:7">
      <c r="B377" s="15"/>
      <c r="G377" s="2996"/>
    </row>
    <row r="378" spans="1:7">
      <c r="A378" s="15"/>
      <c r="B378" s="15"/>
      <c r="G378" s="2996"/>
    </row>
    <row r="379" spans="1:7">
      <c r="B379" s="15"/>
      <c r="G379" s="2996"/>
    </row>
    <row r="380" spans="1:7">
      <c r="A380" s="15"/>
      <c r="B380" s="15"/>
      <c r="G380" s="2996"/>
    </row>
    <row r="381" spans="1:7">
      <c r="B381" s="15"/>
      <c r="G381" s="2996"/>
    </row>
    <row r="382" spans="1:7">
      <c r="A382" s="15"/>
      <c r="B382" s="15"/>
      <c r="G382" s="2996"/>
    </row>
    <row r="383" spans="1:7">
      <c r="B383" s="15"/>
      <c r="G383" s="2996"/>
    </row>
    <row r="384" spans="1:7">
      <c r="A384" s="15"/>
      <c r="B384" s="15"/>
      <c r="G384" s="2996"/>
    </row>
    <row r="385" spans="1:7">
      <c r="B385" s="15"/>
      <c r="G385" s="2996"/>
    </row>
    <row r="386" spans="1:7">
      <c r="A386" s="15"/>
      <c r="B386" s="15"/>
      <c r="G386" s="2996"/>
    </row>
    <row r="387" spans="1:7">
      <c r="B387" s="15"/>
      <c r="G387" s="2996"/>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5">
    <tabColor rgb="FF00B0F0"/>
    <pageSetUpPr fitToPage="1"/>
  </sheetPr>
  <dimension ref="A1:AQ171"/>
  <sheetViews>
    <sheetView showZeros="0" zoomScaleNormal="100" workbookViewId="0">
      <pane ySplit="6" topLeftCell="A7" activePane="bottomLeft" state="frozen"/>
      <selection activeCell="AF19" sqref="AF19"/>
      <selection pane="bottomLeft"/>
    </sheetView>
  </sheetViews>
  <sheetFormatPr baseColWidth="10" defaultColWidth="11.25" defaultRowHeight="14.25"/>
  <cols>
    <col min="1" max="1" width="3.125" style="1" customWidth="1"/>
    <col min="2" max="2" width="5" style="4" customWidth="1"/>
    <col min="3" max="3" width="5.125" style="4" customWidth="1"/>
    <col min="4" max="4" width="11.75" style="4" customWidth="1"/>
    <col min="5" max="5" width="8.75" style="4" customWidth="1"/>
    <col min="6" max="6" width="8.75" style="1066" customWidth="1"/>
    <col min="7" max="7" width="9.625" style="4" customWidth="1"/>
    <col min="8" max="10" width="9.625" style="19" customWidth="1"/>
    <col min="11" max="11" width="9.625" style="2010" customWidth="1"/>
    <col min="12" max="14" width="9.625" style="4" customWidth="1"/>
    <col min="15" max="15" width="12" style="4" customWidth="1"/>
    <col min="16" max="16" width="1.25" style="2009" bestFit="1" customWidth="1"/>
    <col min="17" max="17" width="24.75" style="2008" customWidth="1"/>
    <col min="18" max="30" width="14.875" style="33" hidden="1" customWidth="1"/>
    <col min="31" max="31" width="14.875" style="2007" hidden="1" customWidth="1"/>
    <col min="32" max="38" width="14.875" style="33" hidden="1" customWidth="1"/>
    <col min="39" max="42" width="11.625" style="33" hidden="1" customWidth="1"/>
    <col min="43" max="43" width="9.625" style="33" hidden="1" customWidth="1"/>
    <col min="44" max="16384" width="11.25" style="33"/>
  </cols>
  <sheetData>
    <row r="1" spans="1:43" s="1" customFormat="1" ht="21.2" customHeight="1">
      <c r="A1" s="49"/>
      <c r="B1" s="4"/>
      <c r="C1" s="1973"/>
      <c r="D1" s="4"/>
      <c r="E1" s="4"/>
      <c r="F1" s="1066"/>
      <c r="G1" s="4"/>
      <c r="H1" s="19"/>
      <c r="I1" s="19"/>
      <c r="J1" s="19"/>
      <c r="K1" s="2010"/>
      <c r="L1" s="4"/>
      <c r="M1" s="4"/>
      <c r="N1" s="4"/>
      <c r="O1" s="4"/>
      <c r="P1" s="5"/>
      <c r="Q1" s="33"/>
      <c r="R1" s="33"/>
      <c r="S1" s="33"/>
      <c r="T1" s="33"/>
      <c r="Z1" s="2068"/>
    </row>
    <row r="2" spans="1:43" s="1" customFormat="1" ht="22.15" customHeight="1">
      <c r="A2" s="2070"/>
      <c r="B2" s="118" t="s">
        <v>285</v>
      </c>
      <c r="C2" s="2069"/>
      <c r="D2" s="2039"/>
      <c r="E2" s="2039"/>
      <c r="F2" s="2041"/>
      <c r="G2" s="2039"/>
      <c r="H2" s="1133"/>
      <c r="I2" s="33"/>
      <c r="J2" s="33"/>
      <c r="L2" s="327"/>
      <c r="M2" s="327"/>
      <c r="N2" s="327"/>
      <c r="O2" s="327" t="s">
        <v>1334</v>
      </c>
      <c r="P2" s="5"/>
      <c r="Q2" s="29"/>
      <c r="Z2" s="2068"/>
    </row>
    <row r="3" spans="1:43" s="1" customFormat="1" ht="16.149999999999999" customHeight="1">
      <c r="A3" s="2065"/>
      <c r="B3" s="2067"/>
      <c r="C3" s="2039"/>
      <c r="D3" s="1970"/>
      <c r="E3" s="1135"/>
      <c r="F3" s="1136"/>
      <c r="G3" s="1135"/>
      <c r="H3" s="1133"/>
      <c r="I3" s="33"/>
      <c r="J3" s="33"/>
      <c r="K3" s="2066"/>
      <c r="O3" s="3492">
        <f>'SDK1'!O3</f>
        <v>0</v>
      </c>
      <c r="P3" s="5"/>
      <c r="Q3" s="29"/>
      <c r="R3" s="2023"/>
      <c r="S3" s="2023"/>
      <c r="T3" s="2023"/>
      <c r="U3" s="2023"/>
      <c r="V3" s="2023"/>
      <c r="W3" s="2023"/>
      <c r="X3" s="2023"/>
      <c r="Y3" s="2023"/>
      <c r="Z3" s="2036"/>
      <c r="AA3" s="2023"/>
      <c r="AB3" s="2023"/>
      <c r="AC3" s="2023"/>
      <c r="AD3" s="2023"/>
      <c r="AH3" s="2023"/>
      <c r="AI3" s="2023"/>
      <c r="AJ3" s="2023"/>
      <c r="AK3" s="2023"/>
      <c r="AL3" s="2023"/>
      <c r="AM3" s="2023"/>
      <c r="AN3" s="2023"/>
      <c r="AO3" s="2023"/>
      <c r="AP3" s="2023"/>
    </row>
    <row r="4" spans="1:43" s="1" customFormat="1" ht="2.65" customHeight="1">
      <c r="A4" s="2065"/>
      <c r="C4" s="2039"/>
      <c r="D4" s="2039"/>
      <c r="E4" s="2039"/>
      <c r="F4" s="2041"/>
      <c r="G4" s="2039"/>
      <c r="H4" s="2039"/>
      <c r="I4" s="2039"/>
      <c r="J4" s="2039"/>
      <c r="K4" s="2040"/>
      <c r="L4" s="2039"/>
      <c r="M4" s="2039"/>
      <c r="N4" s="2039"/>
      <c r="O4" s="2039"/>
      <c r="P4" s="5"/>
      <c r="Q4" s="29"/>
      <c r="R4" s="2023"/>
      <c r="S4" s="2023"/>
      <c r="T4" s="2023"/>
      <c r="U4" s="2023"/>
      <c r="V4" s="2023"/>
      <c r="W4" s="2023"/>
      <c r="X4" s="2023"/>
      <c r="Y4" s="2023"/>
      <c r="Z4" s="2036"/>
      <c r="AA4" s="2023"/>
      <c r="AB4" s="2023"/>
      <c r="AC4" s="2023"/>
      <c r="AD4" s="2023"/>
      <c r="AH4" s="2023"/>
      <c r="AI4" s="2023"/>
      <c r="AJ4" s="2023"/>
      <c r="AK4" s="2023"/>
      <c r="AL4" s="2023"/>
      <c r="AM4" s="2023"/>
      <c r="AN4" s="2023"/>
      <c r="AO4" s="2023"/>
      <c r="AP4" s="2023"/>
    </row>
    <row r="5" spans="1:43" s="1" customFormat="1" ht="72.95" customHeight="1">
      <c r="A5" s="2065"/>
      <c r="B5" s="48"/>
      <c r="C5" s="3234" t="s">
        <v>116</v>
      </c>
      <c r="D5" s="3482">
        <f>'SDK1'!D5</f>
        <v>44917</v>
      </c>
      <c r="E5" s="3234"/>
      <c r="F5" s="224"/>
      <c r="G5" s="3275" t="s">
        <v>284</v>
      </c>
      <c r="H5" s="271"/>
      <c r="I5" s="271"/>
      <c r="J5" s="271"/>
      <c r="K5" s="271"/>
      <c r="L5" s="3276"/>
      <c r="M5" s="3276"/>
      <c r="N5" s="4010" t="s">
        <v>2188</v>
      </c>
      <c r="O5" s="3294" t="s">
        <v>283</v>
      </c>
      <c r="P5" s="1093"/>
      <c r="Q5" s="5"/>
      <c r="S5" s="2023"/>
      <c r="T5" s="2023"/>
      <c r="U5" s="2023"/>
      <c r="V5" s="2023"/>
      <c r="W5" s="2023"/>
      <c r="X5" s="2023"/>
      <c r="Y5" s="2023"/>
      <c r="Z5" s="2023"/>
      <c r="AA5" s="2036"/>
      <c r="AB5" s="2023"/>
      <c r="AC5" s="2023"/>
      <c r="AD5" s="2023"/>
      <c r="AH5" s="2023"/>
      <c r="AI5" s="313" t="s">
        <v>282</v>
      </c>
      <c r="AJ5" s="3360"/>
      <c r="AK5" s="35" t="s">
        <v>281</v>
      </c>
      <c r="AL5" s="3406">
        <v>2</v>
      </c>
      <c r="AM5" s="316" t="str">
        <f>VLOOKUP(AL5,AH6:AI7,2,FALSE)</f>
        <v>ohne Mehrwertsteuer (Option)</v>
      </c>
      <c r="AN5" s="316"/>
      <c r="AO5" s="316"/>
      <c r="AP5" s="316"/>
      <c r="AQ5" s="2023"/>
    </row>
    <row r="6" spans="1:43" s="1" customFormat="1" ht="15.6" customHeight="1">
      <c r="A6" s="2028">
        <f>ROWS($A$6:A6)</f>
        <v>1</v>
      </c>
      <c r="B6" s="48"/>
      <c r="C6" s="3234"/>
      <c r="D6" s="3234"/>
      <c r="E6" s="3234"/>
      <c r="F6" s="224"/>
      <c r="G6" s="3277">
        <v>2016</v>
      </c>
      <c r="H6" s="318">
        <v>2017</v>
      </c>
      <c r="I6" s="3278">
        <v>2018</v>
      </c>
      <c r="J6" s="3278">
        <v>2019</v>
      </c>
      <c r="K6" s="3278">
        <v>2020</v>
      </c>
      <c r="L6" s="3279">
        <v>2021</v>
      </c>
      <c r="M6" s="2971">
        <v>2022</v>
      </c>
      <c r="N6" s="2971" t="s">
        <v>2094</v>
      </c>
      <c r="O6" s="4075" t="s">
        <v>2094</v>
      </c>
      <c r="P6" s="267"/>
      <c r="Q6" s="5"/>
      <c r="R6" s="29"/>
      <c r="S6" s="2023"/>
      <c r="T6" s="2023"/>
      <c r="U6" s="2023"/>
      <c r="V6" s="2023"/>
      <c r="W6" s="2023"/>
      <c r="X6" s="2023"/>
      <c r="Y6" s="2023"/>
      <c r="Z6" s="2023"/>
      <c r="AA6" s="2036"/>
      <c r="AB6" s="2023"/>
      <c r="AC6" s="2023"/>
      <c r="AD6" s="2023"/>
      <c r="AH6" s="314">
        <v>1</v>
      </c>
      <c r="AI6" s="313" t="s">
        <v>1962</v>
      </c>
      <c r="AJ6" s="313" t="s">
        <v>279</v>
      </c>
      <c r="AK6" s="257"/>
      <c r="AL6" s="257"/>
      <c r="AM6" s="257"/>
      <c r="AN6" s="257"/>
      <c r="AO6" s="257"/>
      <c r="AP6" s="257"/>
      <c r="AQ6" s="2023"/>
    </row>
    <row r="7" spans="1:43" s="1" customFormat="1" ht="31.9" customHeight="1">
      <c r="A7" s="2028">
        <f>ROWS($A$6:A7)</f>
        <v>2</v>
      </c>
      <c r="B7" s="1090"/>
      <c r="C7" s="48"/>
      <c r="D7" s="3234"/>
      <c r="E7" s="3234"/>
      <c r="F7" s="3234"/>
      <c r="G7" s="224"/>
      <c r="H7" s="318"/>
      <c r="I7" s="318"/>
      <c r="J7" s="3345"/>
      <c r="K7" s="3345"/>
      <c r="L7" s="3345"/>
      <c r="M7" s="3345"/>
      <c r="N7" s="3345"/>
      <c r="O7" s="3345"/>
      <c r="P7" s="2023"/>
      <c r="Q7" s="2023"/>
      <c r="R7" s="2023"/>
      <c r="S7" s="2023"/>
      <c r="T7" s="2023"/>
      <c r="U7" s="2023"/>
      <c r="V7" s="2023"/>
      <c r="W7" s="2023"/>
      <c r="X7" s="2023"/>
      <c r="Y7" s="2060" t="s">
        <v>1416</v>
      </c>
      <c r="Z7" s="2059" t="s">
        <v>1415</v>
      </c>
      <c r="AA7" s="2023"/>
      <c r="AB7" s="2023"/>
      <c r="AC7" s="2023"/>
      <c r="AD7" s="2023"/>
      <c r="AH7" s="314">
        <v>2</v>
      </c>
      <c r="AI7" s="313" t="s">
        <v>277</v>
      </c>
      <c r="AJ7" s="257"/>
      <c r="AK7" s="257"/>
      <c r="AL7" s="257"/>
      <c r="AM7" s="257"/>
      <c r="AN7" s="257"/>
      <c r="AO7" s="257"/>
      <c r="AP7" s="2023"/>
    </row>
    <row r="8" spans="1:43" s="1" customFormat="1" ht="19.899999999999999" customHeight="1">
      <c r="A8" s="2028">
        <f>ROWS($A$6:A8)</f>
        <v>3</v>
      </c>
      <c r="B8" s="3268" t="s">
        <v>280</v>
      </c>
      <c r="C8" s="3269"/>
      <c r="D8" s="3269"/>
      <c r="E8" s="3269"/>
      <c r="F8" s="3270"/>
      <c r="G8" s="3271"/>
      <c r="H8" s="3272"/>
      <c r="I8" s="3272"/>
      <c r="J8" s="3272"/>
      <c r="K8" s="268"/>
      <c r="L8" s="268"/>
      <c r="M8" s="268"/>
      <c r="N8" s="268"/>
      <c r="O8" s="3273" t="str">
        <f>IF(AL5=1,"mit MwSt.","ohne MwSt.")</f>
        <v>ohne MwSt.</v>
      </c>
      <c r="P8" s="267"/>
      <c r="Q8" s="5"/>
      <c r="R8" s="29"/>
      <c r="S8" s="2023"/>
      <c r="T8" s="2023"/>
      <c r="U8" s="2023"/>
      <c r="V8" s="2023"/>
      <c r="W8" s="2023"/>
      <c r="X8" s="2023"/>
      <c r="Y8" s="2032"/>
      <c r="Z8" s="2031"/>
      <c r="AA8" s="2036"/>
      <c r="AB8" s="2023"/>
      <c r="AC8" s="2023"/>
      <c r="AD8" s="2023"/>
      <c r="AH8" s="2023"/>
      <c r="AI8" s="2023"/>
      <c r="AJ8" s="2023"/>
      <c r="AK8" s="2023"/>
      <c r="AL8" s="2023"/>
      <c r="AM8" s="2023"/>
      <c r="AN8" s="2023"/>
      <c r="AO8" s="2023"/>
      <c r="AP8" s="2023"/>
      <c r="AQ8" s="2023"/>
    </row>
    <row r="9" spans="1:43" s="2021" customFormat="1" ht="15.6" customHeight="1">
      <c r="A9" s="2028">
        <f>ROWS($A$6:A9)</f>
        <v>4</v>
      </c>
      <c r="B9" s="23"/>
      <c r="C9" s="78" t="s">
        <v>278</v>
      </c>
      <c r="D9" s="78"/>
      <c r="E9" s="78"/>
      <c r="F9" s="22"/>
      <c r="G9" s="312">
        <v>10.7</v>
      </c>
      <c r="H9" s="308">
        <v>10.7</v>
      </c>
      <c r="I9" s="308">
        <v>10.7</v>
      </c>
      <c r="J9" s="308">
        <v>10.7</v>
      </c>
      <c r="K9" s="308">
        <v>10.7</v>
      </c>
      <c r="L9" s="308">
        <v>10.7</v>
      </c>
      <c r="M9" s="3904">
        <v>9.5</v>
      </c>
      <c r="N9" s="3344">
        <v>9</v>
      </c>
      <c r="O9" s="3297">
        <f>IF($AL$5=2,0,HLOOKUP($O$6,$I$6:$N$12,A9))</f>
        <v>0</v>
      </c>
      <c r="P9" s="2056" t="s">
        <v>1270</v>
      </c>
      <c r="Q9" s="5"/>
      <c r="R9" s="29"/>
      <c r="Y9" s="3426" t="s">
        <v>1413</v>
      </c>
      <c r="Z9" s="2031"/>
      <c r="AA9" s="2033"/>
      <c r="AI9" s="2063" t="e">
        <f>HLOOKUP($O$6,$G$6:$L$74,4)</f>
        <v>#N/A</v>
      </c>
    </row>
    <row r="10" spans="1:43" s="2021" customFormat="1" ht="15.6" customHeight="1">
      <c r="A10" s="2028">
        <f>ROWS($A$6:A10)</f>
        <v>5</v>
      </c>
      <c r="B10" s="23"/>
      <c r="C10" s="78" t="s">
        <v>276</v>
      </c>
      <c r="D10" s="78"/>
      <c r="E10" s="78"/>
      <c r="F10" s="22"/>
      <c r="G10" s="312">
        <v>7</v>
      </c>
      <c r="H10" s="308">
        <v>7</v>
      </c>
      <c r="I10" s="308">
        <v>7</v>
      </c>
      <c r="J10" s="308">
        <v>7</v>
      </c>
      <c r="K10" s="308">
        <v>7</v>
      </c>
      <c r="L10" s="308">
        <v>7</v>
      </c>
      <c r="M10" s="3904">
        <v>7</v>
      </c>
      <c r="N10" s="3344">
        <v>7</v>
      </c>
      <c r="O10" s="3298">
        <f>IF($AL$5=2,0,HLOOKUP($O$6,$I$6:$N$12,A10))</f>
        <v>0</v>
      </c>
      <c r="P10" s="2056"/>
      <c r="Q10" s="5"/>
      <c r="R10" s="29"/>
      <c r="Y10" s="3426" t="s">
        <v>1413</v>
      </c>
      <c r="Z10" s="2031"/>
      <c r="AA10" s="2033"/>
      <c r="AI10" s="2063" t="e">
        <f>HLOOKUP($O$6,$G$6:$L$74,5)</f>
        <v>#N/A</v>
      </c>
    </row>
    <row r="11" spans="1:43" s="2021" customFormat="1" ht="15.6" customHeight="1">
      <c r="A11" s="2028">
        <f>ROWS($A$6:A11)</f>
        <v>6</v>
      </c>
      <c r="B11" s="23"/>
      <c r="C11" s="78" t="s">
        <v>275</v>
      </c>
      <c r="D11" s="78"/>
      <c r="E11" s="78"/>
      <c r="F11" s="22"/>
      <c r="G11" s="312">
        <v>19</v>
      </c>
      <c r="H11" s="308">
        <v>19</v>
      </c>
      <c r="I11" s="308">
        <v>19</v>
      </c>
      <c r="J11" s="308">
        <v>19</v>
      </c>
      <c r="K11" s="308">
        <v>19</v>
      </c>
      <c r="L11" s="308">
        <v>19</v>
      </c>
      <c r="M11" s="3904">
        <v>19</v>
      </c>
      <c r="N11" s="3344">
        <v>19</v>
      </c>
      <c r="O11" s="3298">
        <f>IF($AL$5=2,0,HLOOKUP($O$6,$I$6:$N$12,A11))</f>
        <v>0</v>
      </c>
      <c r="P11" s="2056"/>
      <c r="Q11" s="5"/>
      <c r="R11" s="29"/>
      <c r="Y11" s="3426" t="s">
        <v>1413</v>
      </c>
      <c r="Z11" s="2031"/>
      <c r="AA11" s="2033"/>
      <c r="AH11" s="2064"/>
      <c r="AI11" s="2063" t="e">
        <f>HLOOKUP($O$6,$G$6:$L$74,6)</f>
        <v>#N/A</v>
      </c>
    </row>
    <row r="12" spans="1:43" s="2021" customFormat="1" ht="15.6" customHeight="1">
      <c r="A12" s="2028">
        <f>ROWS($A$6:A12)</f>
        <v>7</v>
      </c>
      <c r="B12" s="23"/>
      <c r="C12" s="78" t="s">
        <v>274</v>
      </c>
      <c r="D12" s="78"/>
      <c r="E12" s="78"/>
      <c r="F12" s="22"/>
      <c r="G12" s="312">
        <v>12</v>
      </c>
      <c r="H12" s="308">
        <v>12</v>
      </c>
      <c r="I12" s="308">
        <v>12</v>
      </c>
      <c r="J12" s="308">
        <v>12</v>
      </c>
      <c r="K12" s="308">
        <v>12</v>
      </c>
      <c r="L12" s="308">
        <v>12</v>
      </c>
      <c r="M12" s="3904">
        <v>12</v>
      </c>
      <c r="N12" s="3344">
        <v>12</v>
      </c>
      <c r="O12" s="3298">
        <f>IF($AL$5=2,0,HLOOKUP($O$6,$I$6:$N$12,A12))</f>
        <v>0</v>
      </c>
      <c r="P12" s="2056"/>
      <c r="Q12" s="5"/>
      <c r="R12" s="29"/>
      <c r="Y12" s="3426" t="s">
        <v>1413</v>
      </c>
      <c r="Z12" s="2031"/>
      <c r="AI12" s="2063" t="e">
        <f>HLOOKUP($O$6,$G$6:$L$74,7)</f>
        <v>#N/A</v>
      </c>
    </row>
    <row r="13" spans="1:43" s="2021" customFormat="1" ht="20.45" customHeight="1">
      <c r="A13" s="2028">
        <f>ROWS($A$6:A13)</f>
        <v>8</v>
      </c>
      <c r="B13" s="1"/>
      <c r="C13" s="2039"/>
      <c r="D13" s="2039"/>
      <c r="E13" s="2039"/>
      <c r="F13" s="2041"/>
      <c r="G13" s="2039"/>
      <c r="H13" s="2039"/>
      <c r="I13" s="2039"/>
      <c r="J13" s="2039"/>
      <c r="K13" s="1142"/>
      <c r="L13" s="1"/>
      <c r="M13" s="1"/>
      <c r="N13" s="1"/>
      <c r="O13" s="33"/>
      <c r="P13" s="5"/>
      <c r="Q13" s="29"/>
      <c r="Y13" s="1084"/>
      <c r="Z13" s="1084"/>
    </row>
    <row r="14" spans="1:43" s="2021" customFormat="1" ht="16.149999999999999" customHeight="1" thickBot="1">
      <c r="A14" s="2028">
        <f>ROWS($A$6:A14)</f>
        <v>9</v>
      </c>
      <c r="B14" s="3280" t="s">
        <v>1994</v>
      </c>
      <c r="C14" s="3281"/>
      <c r="D14" s="3260"/>
      <c r="E14" s="3260"/>
      <c r="F14" s="3288"/>
      <c r="G14" s="4228" t="s">
        <v>249</v>
      </c>
      <c r="H14" s="4229"/>
      <c r="I14" s="4229"/>
      <c r="J14" s="4229"/>
      <c r="K14" s="4229"/>
      <c r="L14" s="4229"/>
      <c r="M14" s="4229"/>
      <c r="N14" s="4230"/>
      <c r="O14" s="3314" t="str">
        <f>IF(AL5=1,"mit MwSt.","ohne MwSt.")</f>
        <v>ohne MwSt.</v>
      </c>
      <c r="P14" s="5"/>
      <c r="Q14" s="29"/>
      <c r="U14" s="2061" t="s">
        <v>183</v>
      </c>
      <c r="V14" s="2061" t="s">
        <v>1421</v>
      </c>
      <c r="W14" s="2061"/>
      <c r="X14" s="2061" t="s">
        <v>1420</v>
      </c>
      <c r="Y14" s="1084"/>
      <c r="Z14" s="1084"/>
    </row>
    <row r="15" spans="1:43" s="2021" customFormat="1" ht="15.6" customHeight="1">
      <c r="A15" s="2028">
        <f>ROWS($A$6:A15)</f>
        <v>10</v>
      </c>
      <c r="B15" s="3259"/>
      <c r="C15" s="3266" t="s">
        <v>272</v>
      </c>
      <c r="D15" s="3260"/>
      <c r="E15" s="3260"/>
      <c r="F15" s="3265"/>
      <c r="G15" s="4231"/>
      <c r="H15" s="4232"/>
      <c r="I15" s="4232"/>
      <c r="J15" s="4232"/>
      <c r="K15" s="4232"/>
      <c r="L15" s="4232"/>
      <c r="M15" s="4232"/>
      <c r="N15" s="4233"/>
      <c r="O15" s="3289">
        <f>O9/100</f>
        <v>0</v>
      </c>
      <c r="Q15" s="29"/>
      <c r="U15" s="2061"/>
      <c r="V15" s="2061"/>
      <c r="W15" s="2061"/>
      <c r="X15" s="2061"/>
      <c r="AH15" s="1"/>
      <c r="AM15" s="304" t="s">
        <v>2149</v>
      </c>
      <c r="AQ15" s="303" t="s">
        <v>2151</v>
      </c>
    </row>
    <row r="16" spans="1:43" s="2021" customFormat="1" ht="15.75">
      <c r="A16" s="2028">
        <f>ROWS($A$6:A16)</f>
        <v>11</v>
      </c>
      <c r="B16" s="3284"/>
      <c r="C16" s="3285" t="s">
        <v>269</v>
      </c>
      <c r="D16" s="3285"/>
      <c r="E16" s="3285" t="s">
        <v>1412</v>
      </c>
      <c r="F16" s="3290"/>
      <c r="G16" s="263"/>
      <c r="H16" s="292"/>
      <c r="I16" s="292">
        <v>31.5</v>
      </c>
      <c r="J16" s="292">
        <v>26.35</v>
      </c>
      <c r="K16" s="247">
        <v>23.42</v>
      </c>
      <c r="L16" s="247">
        <v>36.1</v>
      </c>
      <c r="M16" s="247">
        <v>46.3</v>
      </c>
      <c r="N16" s="245">
        <f>AVERAGE(K16:M16)</f>
        <v>35.273333333333333</v>
      </c>
      <c r="O16" s="3287">
        <f t="shared" ref="O16:O33" si="0">HLOOKUP($O$6,$G$6:$N$74,A16)*(100+$O$9)/100</f>
        <v>35.273333333333333</v>
      </c>
      <c r="Q16" s="29"/>
      <c r="R16" s="29"/>
      <c r="S16" s="29"/>
      <c r="U16" s="2061"/>
      <c r="V16" s="2061"/>
      <c r="W16" s="2061"/>
      <c r="X16" s="2061"/>
      <c r="Y16" s="2042" t="s">
        <v>1990</v>
      </c>
      <c r="Z16" s="2045"/>
      <c r="AB16" s="2018"/>
      <c r="AC16" s="2018"/>
      <c r="AD16" s="2018"/>
      <c r="AE16" s="2018"/>
      <c r="AF16" s="2018"/>
      <c r="AG16" s="2018"/>
      <c r="AH16" s="1"/>
      <c r="AM16" s="289" t="s">
        <v>2150</v>
      </c>
      <c r="AQ16"/>
    </row>
    <row r="17" spans="1:43" s="2021" customFormat="1" ht="15" customHeight="1">
      <c r="A17" s="2028">
        <f>ROWS($A$6:A17)</f>
        <v>12</v>
      </c>
      <c r="B17" s="1082"/>
      <c r="C17" s="78" t="s">
        <v>269</v>
      </c>
      <c r="D17" s="78"/>
      <c r="E17" s="78" t="s">
        <v>1411</v>
      </c>
      <c r="F17" s="1140"/>
      <c r="G17" s="248">
        <v>42</v>
      </c>
      <c r="H17" s="292">
        <v>45</v>
      </c>
      <c r="I17" s="292">
        <v>42</v>
      </c>
      <c r="J17" s="292">
        <v>40.1</v>
      </c>
      <c r="K17" s="247">
        <v>37.21</v>
      </c>
      <c r="L17" s="247">
        <v>49.2</v>
      </c>
      <c r="M17" s="247">
        <v>52.3</v>
      </c>
      <c r="N17" s="4005">
        <f t="shared" ref="N17:N51" si="1">AVERAGE(K17:M17)</f>
        <v>46.236666666666657</v>
      </c>
      <c r="O17" s="3287">
        <f t="shared" si="0"/>
        <v>46.236666666666657</v>
      </c>
      <c r="Q17" s="29"/>
      <c r="R17" s="29"/>
      <c r="S17" s="29"/>
      <c r="U17" s="2062" t="b">
        <v>1</v>
      </c>
      <c r="V17" s="2061"/>
      <c r="W17" s="2061"/>
      <c r="Y17" s="2042" t="s">
        <v>1990</v>
      </c>
      <c r="Z17" s="2045"/>
      <c r="AA17" s="2018"/>
      <c r="AB17" s="2018"/>
      <c r="AC17" s="2018"/>
      <c r="AD17" s="2018"/>
      <c r="AE17" s="2018"/>
      <c r="AF17" s="2018"/>
      <c r="AG17" s="2018"/>
      <c r="AH17" s="1"/>
      <c r="AI17" s="3634"/>
      <c r="AM17" s="289" t="s">
        <v>2150</v>
      </c>
      <c r="AQ17" s="4040">
        <v>44835</v>
      </c>
    </row>
    <row r="18" spans="1:43" s="2021" customFormat="1" ht="15" customHeight="1">
      <c r="A18" s="2028">
        <f>ROWS($A$6:A18)</f>
        <v>13</v>
      </c>
      <c r="B18" s="1082"/>
      <c r="C18" s="78" t="s">
        <v>84</v>
      </c>
      <c r="D18" s="78"/>
      <c r="E18" s="78"/>
      <c r="F18" s="1140"/>
      <c r="G18" s="248">
        <v>60</v>
      </c>
      <c r="H18" s="292">
        <v>62</v>
      </c>
      <c r="I18" s="292">
        <v>44</v>
      </c>
      <c r="J18" s="292">
        <v>44.3</v>
      </c>
      <c r="K18" s="247">
        <v>54.5</v>
      </c>
      <c r="L18" s="247">
        <v>52.5</v>
      </c>
      <c r="M18" s="247">
        <v>40.9</v>
      </c>
      <c r="N18" s="4005">
        <f t="shared" si="1"/>
        <v>49.300000000000004</v>
      </c>
      <c r="O18" s="3287">
        <f t="shared" si="0"/>
        <v>49.3</v>
      </c>
      <c r="Q18" s="29"/>
      <c r="U18" s="2062"/>
      <c r="V18" s="2061"/>
      <c r="W18" s="2061"/>
      <c r="Y18" s="2042" t="s">
        <v>1990</v>
      </c>
      <c r="Z18" s="2045"/>
      <c r="AA18" s="2018"/>
      <c r="AB18" s="2018"/>
      <c r="AC18" s="2018"/>
      <c r="AD18" s="2018"/>
      <c r="AE18" s="2018"/>
      <c r="AF18" s="2018"/>
      <c r="AG18" s="2018"/>
      <c r="AI18" s="3634"/>
      <c r="AM18" s="289" t="s">
        <v>2150</v>
      </c>
      <c r="AQ18"/>
    </row>
    <row r="19" spans="1:43" s="2021" customFormat="1" ht="15" customHeight="1">
      <c r="A19" s="2028">
        <f>ROWS($A$6:A19)</f>
        <v>14</v>
      </c>
      <c r="B19" s="1082"/>
      <c r="C19" s="78" t="s">
        <v>90</v>
      </c>
      <c r="D19" s="78"/>
      <c r="E19" s="78"/>
      <c r="F19" s="1140"/>
      <c r="G19" s="248">
        <v>30</v>
      </c>
      <c r="H19" s="292">
        <v>37</v>
      </c>
      <c r="I19" s="292">
        <v>35</v>
      </c>
      <c r="J19" s="292">
        <v>33.5</v>
      </c>
      <c r="K19" s="247">
        <v>28.55</v>
      </c>
      <c r="L19" s="247">
        <v>33.1</v>
      </c>
      <c r="M19" s="247">
        <v>44.2</v>
      </c>
      <c r="N19" s="4005">
        <f t="shared" si="1"/>
        <v>35.283333333333339</v>
      </c>
      <c r="O19" s="3287">
        <f t="shared" si="0"/>
        <v>35.283333333333339</v>
      </c>
      <c r="Q19" s="29"/>
      <c r="U19" s="2062" t="b">
        <v>0</v>
      </c>
      <c r="V19" s="2061"/>
      <c r="W19" s="2061"/>
      <c r="Y19" s="2042" t="s">
        <v>1990</v>
      </c>
      <c r="Z19" s="2045"/>
      <c r="AA19" s="2018"/>
      <c r="AB19" s="2018"/>
      <c r="AC19" s="2018"/>
      <c r="AD19" s="2018"/>
      <c r="AE19" s="2018"/>
      <c r="AF19" s="2018"/>
      <c r="AG19" s="2018"/>
      <c r="AH19" s="2018"/>
      <c r="AI19" s="3634"/>
      <c r="AM19" s="289" t="s">
        <v>2150</v>
      </c>
      <c r="AQ19"/>
    </row>
    <row r="20" spans="1:43" s="2021" customFormat="1" ht="15" customHeight="1">
      <c r="A20" s="2028">
        <f>ROWS($A$6:A20)</f>
        <v>15</v>
      </c>
      <c r="B20" s="1082"/>
      <c r="C20" s="78" t="s">
        <v>75</v>
      </c>
      <c r="D20" s="78"/>
      <c r="E20" s="78"/>
      <c r="F20" s="1140"/>
      <c r="G20" s="248">
        <v>31</v>
      </c>
      <c r="H20" s="292">
        <v>38</v>
      </c>
      <c r="I20" s="292">
        <v>34</v>
      </c>
      <c r="J20" s="292">
        <v>35.299999999999997</v>
      </c>
      <c r="K20" s="247">
        <v>36.56</v>
      </c>
      <c r="L20" s="247">
        <v>34.700000000000003</v>
      </c>
      <c r="M20" s="247">
        <v>44.5</v>
      </c>
      <c r="N20" s="4005">
        <f t="shared" si="1"/>
        <v>38.586666666666666</v>
      </c>
      <c r="O20" s="3287">
        <f t="shared" si="0"/>
        <v>38.586666666666666</v>
      </c>
      <c r="Q20" s="29"/>
      <c r="Y20" s="2042" t="s">
        <v>1990</v>
      </c>
      <c r="Z20" s="2045"/>
      <c r="AA20" s="2018"/>
      <c r="AH20" s="2018"/>
      <c r="AI20" s="3634"/>
      <c r="AM20" s="289" t="s">
        <v>2150</v>
      </c>
      <c r="AQ20"/>
    </row>
    <row r="21" spans="1:43" s="2021" customFormat="1" ht="15" customHeight="1">
      <c r="A21" s="2028">
        <f>ROWS($A$6:A21)</f>
        <v>16</v>
      </c>
      <c r="B21" s="1082"/>
      <c r="C21" s="78" t="s">
        <v>86</v>
      </c>
      <c r="D21" s="78"/>
      <c r="E21" s="78"/>
      <c r="F21" s="1140"/>
      <c r="G21" s="248">
        <v>30.6</v>
      </c>
      <c r="H21" s="292">
        <v>34</v>
      </c>
      <c r="I21" s="292">
        <v>32.700000000000003</v>
      </c>
      <c r="J21" s="292">
        <v>27.4</v>
      </c>
      <c r="K21" s="247">
        <v>24.32</v>
      </c>
      <c r="L21" s="247">
        <v>35.200000000000003</v>
      </c>
      <c r="M21" s="247">
        <v>43.6</v>
      </c>
      <c r="N21" s="4005">
        <f t="shared" si="1"/>
        <v>34.373333333333335</v>
      </c>
      <c r="O21" s="3287">
        <f t="shared" si="0"/>
        <v>34.373333333333335</v>
      </c>
      <c r="Q21" s="29"/>
      <c r="Y21" s="2042" t="s">
        <v>2049</v>
      </c>
      <c r="Z21" s="2045"/>
      <c r="AH21" s="2018"/>
      <c r="AI21" s="3634"/>
      <c r="AM21" s="289" t="s">
        <v>2150</v>
      </c>
      <c r="AQ21"/>
    </row>
    <row r="22" spans="1:43" s="2021" customFormat="1" ht="15" customHeight="1">
      <c r="A22" s="2028">
        <f>ROWS($A$6:A22)</f>
        <v>17</v>
      </c>
      <c r="B22" s="1082"/>
      <c r="C22" s="78" t="s">
        <v>77</v>
      </c>
      <c r="D22" s="78"/>
      <c r="E22" s="78"/>
      <c r="F22" s="1140"/>
      <c r="G22" s="248">
        <v>45</v>
      </c>
      <c r="H22" s="292">
        <v>37</v>
      </c>
      <c r="I22" s="292">
        <v>43</v>
      </c>
      <c r="J22" s="292">
        <v>36.799999999999997</v>
      </c>
      <c r="K22" s="247">
        <v>43.95</v>
      </c>
      <c r="L22" s="247">
        <v>44.7</v>
      </c>
      <c r="M22" s="247">
        <v>54</v>
      </c>
      <c r="N22" s="4005">
        <f t="shared" si="1"/>
        <v>47.550000000000004</v>
      </c>
      <c r="O22" s="3287">
        <f t="shared" si="0"/>
        <v>47.55</v>
      </c>
      <c r="Q22" s="29"/>
      <c r="Y22" s="2042" t="s">
        <v>1395</v>
      </c>
      <c r="Z22" s="2046"/>
      <c r="AH22" s="2018"/>
      <c r="AI22" s="3634"/>
      <c r="AM22" s="289" t="s">
        <v>2150</v>
      </c>
      <c r="AQ22"/>
    </row>
    <row r="23" spans="1:43" s="2021" customFormat="1" ht="15">
      <c r="A23" s="2028">
        <f>ROWS($A$6:A23)</f>
        <v>18</v>
      </c>
      <c r="B23" s="1082"/>
      <c r="C23" s="78" t="s">
        <v>52</v>
      </c>
      <c r="D23" s="78"/>
      <c r="E23" s="78"/>
      <c r="F23" s="1140"/>
      <c r="G23" s="248">
        <v>43</v>
      </c>
      <c r="H23" s="292">
        <v>47</v>
      </c>
      <c r="I23" s="292">
        <v>45</v>
      </c>
      <c r="J23" s="292">
        <v>46.9</v>
      </c>
      <c r="K23" s="247">
        <v>47.21</v>
      </c>
      <c r="L23" s="247">
        <v>47.1</v>
      </c>
      <c r="M23" s="247">
        <v>63.8</v>
      </c>
      <c r="N23" s="4005">
        <f t="shared" si="1"/>
        <v>52.70333333333334</v>
      </c>
      <c r="O23" s="3287">
        <f t="shared" si="0"/>
        <v>52.70333333333334</v>
      </c>
      <c r="Y23" s="2042" t="s">
        <v>1990</v>
      </c>
      <c r="Z23" s="2045" t="s">
        <v>1394</v>
      </c>
      <c r="AA23" s="2018"/>
      <c r="AB23" s="2018"/>
      <c r="AC23" s="2018"/>
      <c r="AD23" s="2018"/>
      <c r="AE23" s="2018"/>
      <c r="AF23" s="2018"/>
      <c r="AG23" s="2018"/>
      <c r="AH23" s="2018"/>
      <c r="AM23" s="289" t="s">
        <v>2150</v>
      </c>
      <c r="AQ23"/>
    </row>
    <row r="24" spans="1:43" s="2021" customFormat="1" ht="15">
      <c r="A24" s="2028">
        <f>ROWS($A$6:A24)</f>
        <v>19</v>
      </c>
      <c r="B24" s="1082"/>
      <c r="C24" s="78" t="s">
        <v>54</v>
      </c>
      <c r="D24" s="78"/>
      <c r="E24" s="78"/>
      <c r="F24" s="1140"/>
      <c r="G24" s="248">
        <v>44</v>
      </c>
      <c r="H24" s="292">
        <v>47</v>
      </c>
      <c r="I24" s="292">
        <v>46</v>
      </c>
      <c r="J24" s="292">
        <v>45.3</v>
      </c>
      <c r="K24" s="247">
        <v>41.62</v>
      </c>
      <c r="L24" s="247">
        <v>47.1</v>
      </c>
      <c r="M24" s="247">
        <v>64.8</v>
      </c>
      <c r="N24" s="4005">
        <f t="shared" si="1"/>
        <v>51.173333333333325</v>
      </c>
      <c r="O24" s="3287">
        <f t="shared" si="0"/>
        <v>51.173333333333318</v>
      </c>
      <c r="Y24" s="2042" t="s">
        <v>1990</v>
      </c>
      <c r="Z24" s="2045" t="s">
        <v>1394</v>
      </c>
      <c r="AA24" s="2018"/>
      <c r="AB24" s="2018"/>
      <c r="AC24" s="2018"/>
      <c r="AD24" s="2018"/>
      <c r="AE24" s="2018"/>
      <c r="AF24" s="2018"/>
      <c r="AG24" s="2018"/>
      <c r="AH24" s="2018"/>
      <c r="AM24" s="289" t="s">
        <v>2150</v>
      </c>
      <c r="AQ24"/>
    </row>
    <row r="25" spans="1:43" s="2021" customFormat="1" ht="15">
      <c r="A25" s="2028">
        <f>ROWS($A$6:A25)</f>
        <v>20</v>
      </c>
      <c r="B25" s="1082"/>
      <c r="C25" s="78" t="s">
        <v>1410</v>
      </c>
      <c r="D25" s="78"/>
      <c r="E25" s="78"/>
      <c r="F25" s="1140"/>
      <c r="G25" s="248">
        <v>38</v>
      </c>
      <c r="H25" s="292">
        <v>64</v>
      </c>
      <c r="I25" s="292">
        <v>46</v>
      </c>
      <c r="J25" s="292">
        <v>46</v>
      </c>
      <c r="K25" s="247">
        <v>57</v>
      </c>
      <c r="L25" s="247">
        <v>60.48</v>
      </c>
      <c r="M25" s="247">
        <v>55.05</v>
      </c>
      <c r="N25" s="4005">
        <f t="shared" si="1"/>
        <v>57.509999999999991</v>
      </c>
      <c r="O25" s="3287">
        <f t="shared" si="0"/>
        <v>57.509999999999991</v>
      </c>
      <c r="P25" s="2058"/>
      <c r="Q25" s="5"/>
      <c r="Y25" s="2042" t="s">
        <v>1996</v>
      </c>
      <c r="Z25" s="2045" t="s">
        <v>1394</v>
      </c>
      <c r="AA25" s="2018"/>
      <c r="AB25" s="2018"/>
      <c r="AC25" s="2018"/>
      <c r="AD25" s="2018"/>
      <c r="AE25" s="2018"/>
      <c r="AF25" s="2018"/>
      <c r="AG25" s="2018"/>
      <c r="AH25" s="2018"/>
      <c r="AM25" s="289" t="s">
        <v>2150</v>
      </c>
      <c r="AQ25"/>
    </row>
    <row r="26" spans="1:43" s="2021" customFormat="1" ht="15">
      <c r="A26" s="2028">
        <f>ROWS($A$6:A26)</f>
        <v>21</v>
      </c>
      <c r="B26" s="1082"/>
      <c r="C26" s="78" t="s">
        <v>70</v>
      </c>
      <c r="D26" s="78"/>
      <c r="E26" s="1072"/>
      <c r="F26" s="1140"/>
      <c r="G26" s="248">
        <v>34</v>
      </c>
      <c r="H26" s="292">
        <v>39</v>
      </c>
      <c r="I26" s="292">
        <v>37</v>
      </c>
      <c r="J26" s="292">
        <v>46.8</v>
      </c>
      <c r="K26" s="247">
        <v>31.75</v>
      </c>
      <c r="L26" s="247">
        <v>36.6</v>
      </c>
      <c r="M26" s="247">
        <v>48.6</v>
      </c>
      <c r="N26" s="4005">
        <f t="shared" si="1"/>
        <v>38.983333333333327</v>
      </c>
      <c r="O26" s="3287">
        <f t="shared" si="0"/>
        <v>38.983333333333327</v>
      </c>
      <c r="P26" s="267"/>
      <c r="Q26" s="2057"/>
      <c r="R26" s="29"/>
      <c r="Y26" s="2042" t="s">
        <v>1990</v>
      </c>
      <c r="Z26" s="2045" t="s">
        <v>1394</v>
      </c>
      <c r="AA26" s="2018"/>
      <c r="AB26" s="2018"/>
      <c r="AC26" s="2018"/>
      <c r="AD26" s="2018"/>
      <c r="AE26" s="2018"/>
      <c r="AF26" s="2018"/>
      <c r="AG26" s="2018"/>
      <c r="AH26" s="2018"/>
      <c r="AM26" s="289" t="s">
        <v>2150</v>
      </c>
      <c r="AQ26" s="4040">
        <v>44866</v>
      </c>
    </row>
    <row r="27" spans="1:43" s="2021" customFormat="1" ht="15">
      <c r="A27" s="2028">
        <f>ROWS($A$6:A27)</f>
        <v>22</v>
      </c>
      <c r="B27" s="1082"/>
      <c r="C27" s="78" t="s">
        <v>1315</v>
      </c>
      <c r="D27" s="78"/>
      <c r="E27" s="78"/>
      <c r="F27" s="1140"/>
      <c r="G27" s="248">
        <v>107</v>
      </c>
      <c r="H27" s="292">
        <v>62</v>
      </c>
      <c r="I27" s="292">
        <v>74</v>
      </c>
      <c r="J27" s="292">
        <v>74.8</v>
      </c>
      <c r="K27" s="247">
        <v>82.3</v>
      </c>
      <c r="L27" s="247">
        <v>86.8</v>
      </c>
      <c r="M27" s="247">
        <v>80.400000000000006</v>
      </c>
      <c r="N27" s="4005">
        <f t="shared" si="1"/>
        <v>83.166666666666671</v>
      </c>
      <c r="O27" s="3287">
        <f t="shared" si="0"/>
        <v>83.166666666666686</v>
      </c>
      <c r="P27" s="2027"/>
      <c r="Q27" s="5"/>
      <c r="R27" s="29"/>
      <c r="Y27" s="2042" t="s">
        <v>1990</v>
      </c>
      <c r="Z27" s="2046"/>
      <c r="AA27" s="2018"/>
      <c r="AB27" s="2018"/>
      <c r="AC27" s="2018"/>
      <c r="AD27" s="2018"/>
      <c r="AE27" s="2018"/>
      <c r="AF27" s="2018"/>
      <c r="AG27" s="2018"/>
      <c r="AH27" s="2018"/>
      <c r="AM27" s="289" t="s">
        <v>2150</v>
      </c>
      <c r="AQ27"/>
    </row>
    <row r="28" spans="1:43" s="2021" customFormat="1" ht="15">
      <c r="A28" s="2028">
        <f>ROWS($A$6:A28)</f>
        <v>23</v>
      </c>
      <c r="B28" s="1082"/>
      <c r="C28" s="78" t="s">
        <v>1409</v>
      </c>
      <c r="D28" s="78"/>
      <c r="E28" s="78"/>
      <c r="F28" s="1140"/>
      <c r="G28" s="248">
        <v>8</v>
      </c>
      <c r="H28" s="292">
        <v>9</v>
      </c>
      <c r="I28" s="292">
        <v>9</v>
      </c>
      <c r="J28" s="292">
        <v>9</v>
      </c>
      <c r="K28" s="247">
        <v>9</v>
      </c>
      <c r="L28" s="247">
        <v>9</v>
      </c>
      <c r="M28" s="247">
        <v>9</v>
      </c>
      <c r="N28" s="4005">
        <f t="shared" si="1"/>
        <v>9</v>
      </c>
      <c r="O28" s="3287">
        <f t="shared" si="0"/>
        <v>9</v>
      </c>
      <c r="P28" s="2027"/>
      <c r="Q28" s="5"/>
      <c r="R28" s="29"/>
      <c r="Y28" s="2042" t="s">
        <v>1408</v>
      </c>
      <c r="Z28" s="2046" t="s">
        <v>1405</v>
      </c>
      <c r="AA28" s="2018"/>
      <c r="AB28" s="2018"/>
      <c r="AC28" s="2018"/>
      <c r="AD28" s="2018"/>
      <c r="AE28" s="2018"/>
      <c r="AF28" s="2018"/>
      <c r="AG28" s="2018"/>
      <c r="AH28" s="2018"/>
      <c r="AM28" s="289" t="s">
        <v>2150</v>
      </c>
      <c r="AQ28"/>
    </row>
    <row r="29" spans="1:43" s="2021" customFormat="1" ht="15">
      <c r="A29" s="2028">
        <f>ROWS($A$6:A29)</f>
        <v>24</v>
      </c>
      <c r="B29" s="1082"/>
      <c r="C29" s="78" t="s">
        <v>1407</v>
      </c>
      <c r="D29" s="78"/>
      <c r="E29" s="1072"/>
      <c r="F29" s="1140"/>
      <c r="G29" s="248">
        <v>12</v>
      </c>
      <c r="H29" s="292">
        <v>23</v>
      </c>
      <c r="I29" s="292">
        <v>15</v>
      </c>
      <c r="J29" s="292">
        <v>15</v>
      </c>
      <c r="K29" s="247">
        <v>15</v>
      </c>
      <c r="L29" s="247">
        <v>15</v>
      </c>
      <c r="M29" s="247">
        <v>15</v>
      </c>
      <c r="N29" s="4005">
        <f t="shared" si="1"/>
        <v>15</v>
      </c>
      <c r="O29" s="3287">
        <f t="shared" si="0"/>
        <v>15</v>
      </c>
      <c r="P29" s="2027"/>
      <c r="Q29" s="5"/>
      <c r="R29" s="29"/>
      <c r="Y29" s="2042" t="s">
        <v>1406</v>
      </c>
      <c r="Z29" s="2046" t="s">
        <v>1405</v>
      </c>
      <c r="AA29" s="2018"/>
      <c r="AB29" s="2018"/>
      <c r="AC29" s="2018"/>
      <c r="AD29" s="2018"/>
      <c r="AE29" s="2018"/>
      <c r="AF29" s="2018"/>
      <c r="AG29" s="2018"/>
      <c r="AH29" s="2018"/>
      <c r="AM29" s="289" t="s">
        <v>2150</v>
      </c>
      <c r="AQ29"/>
    </row>
    <row r="30" spans="1:43" s="2021" customFormat="1" ht="15">
      <c r="A30" s="2028">
        <f>ROWS($A$6:A30)</f>
        <v>25</v>
      </c>
      <c r="B30" s="1082"/>
      <c r="C30" s="78" t="s">
        <v>1404</v>
      </c>
      <c r="D30" s="78"/>
      <c r="E30" s="78"/>
      <c r="F30" s="1140"/>
      <c r="G30" s="248">
        <v>75</v>
      </c>
      <c r="H30" s="292">
        <v>80</v>
      </c>
      <c r="I30" s="292">
        <v>76</v>
      </c>
      <c r="J30" s="292">
        <v>70</v>
      </c>
      <c r="K30" s="247">
        <v>71.7</v>
      </c>
      <c r="L30" s="247">
        <v>97.3</v>
      </c>
      <c r="M30" s="247">
        <v>100</v>
      </c>
      <c r="N30" s="4005">
        <f t="shared" si="1"/>
        <v>89.666666666666671</v>
      </c>
      <c r="O30" s="3287">
        <f t="shared" si="0"/>
        <v>89.666666666666686</v>
      </c>
      <c r="P30" s="2055"/>
      <c r="Q30" s="5"/>
      <c r="R30" s="29"/>
      <c r="Y30" s="2042" t="s">
        <v>2036</v>
      </c>
      <c r="Z30" s="2046"/>
      <c r="AA30" s="2018"/>
      <c r="AB30" s="2018"/>
      <c r="AC30" s="2018"/>
      <c r="AD30" s="2047"/>
      <c r="AE30" s="2018"/>
      <c r="AF30" s="2018"/>
      <c r="AG30" s="2018"/>
      <c r="AH30" s="2018"/>
      <c r="AM30" s="289" t="s">
        <v>2150</v>
      </c>
      <c r="AQ30" s="4040">
        <v>44835</v>
      </c>
    </row>
    <row r="31" spans="1:43" s="2021" customFormat="1" ht="24.95" hidden="1" customHeight="1">
      <c r="A31" s="2028">
        <f>ROWS($A$6:A31)</f>
        <v>26</v>
      </c>
      <c r="B31" s="1082"/>
      <c r="C31" s="78" t="s">
        <v>1403</v>
      </c>
      <c r="D31" s="78"/>
      <c r="E31" s="78"/>
      <c r="F31" s="1140"/>
      <c r="G31" s="248">
        <v>92</v>
      </c>
      <c r="H31" s="292">
        <v>92</v>
      </c>
      <c r="I31" s="292">
        <v>90</v>
      </c>
      <c r="J31" s="292">
        <v>87</v>
      </c>
      <c r="K31" s="247">
        <v>89</v>
      </c>
      <c r="L31" s="247">
        <v>100</v>
      </c>
      <c r="M31" s="247">
        <v>118</v>
      </c>
      <c r="N31" s="4005">
        <f t="shared" si="1"/>
        <v>102.33333333333333</v>
      </c>
      <c r="O31" s="3287">
        <f t="shared" si="0"/>
        <v>102.33333333333331</v>
      </c>
      <c r="P31" s="5"/>
      <c r="Q31" s="29"/>
      <c r="Y31" s="2042" t="s">
        <v>2036</v>
      </c>
      <c r="Z31" s="2046"/>
      <c r="AA31" s="2018"/>
      <c r="AB31" s="2018"/>
      <c r="AC31" s="2018"/>
      <c r="AD31" s="2018"/>
      <c r="AE31" s="2018"/>
      <c r="AF31" s="2018"/>
      <c r="AG31" s="2018"/>
      <c r="AH31" s="2018"/>
      <c r="AM31" s="289" t="s">
        <v>2150</v>
      </c>
      <c r="AQ31" s="4040">
        <v>44835</v>
      </c>
    </row>
    <row r="32" spans="1:43" s="2021" customFormat="1" ht="24.95" hidden="1" customHeight="1">
      <c r="A32" s="2028">
        <f>ROWS($A$6:A32)</f>
        <v>27</v>
      </c>
      <c r="B32" s="1082"/>
      <c r="C32" s="78" t="s">
        <v>1402</v>
      </c>
      <c r="D32" s="78"/>
      <c r="E32" s="78"/>
      <c r="F32" s="1140"/>
      <c r="G32" s="248"/>
      <c r="H32" s="292"/>
      <c r="I32" s="292"/>
      <c r="J32" s="292"/>
      <c r="K32" s="247">
        <v>0</v>
      </c>
      <c r="L32" s="247"/>
      <c r="M32" s="247"/>
      <c r="N32" s="4005">
        <f t="shared" si="1"/>
        <v>0</v>
      </c>
      <c r="O32" s="3287">
        <f t="shared" si="0"/>
        <v>0</v>
      </c>
      <c r="P32" s="33"/>
      <c r="Q32" s="33"/>
      <c r="R32" s="33"/>
      <c r="Y32" s="2052" t="s">
        <v>1401</v>
      </c>
      <c r="Z32" s="2051">
        <v>457.10936216216214</v>
      </c>
      <c r="AA32" s="2018"/>
      <c r="AB32" s="2018"/>
      <c r="AC32" s="2018"/>
      <c r="AD32" s="2018"/>
      <c r="AE32" s="2018"/>
      <c r="AF32" s="2018"/>
      <c r="AG32" s="2018"/>
      <c r="AH32" s="2018"/>
      <c r="AM32" s="289" t="s">
        <v>2150</v>
      </c>
    </row>
    <row r="33" spans="1:39" s="1" customFormat="1" ht="24.95" hidden="1" customHeight="1">
      <c r="A33" s="2028">
        <f>ROWS($A$6:A33)</f>
        <v>28</v>
      </c>
      <c r="B33" s="1082"/>
      <c r="C33" s="78"/>
      <c r="D33" s="78"/>
      <c r="E33" s="78"/>
      <c r="F33" s="1140"/>
      <c r="G33" s="248"/>
      <c r="H33" s="292"/>
      <c r="I33" s="292"/>
      <c r="J33" s="292"/>
      <c r="K33" s="247" t="e">
        <v>#N/A</v>
      </c>
      <c r="L33" s="247"/>
      <c r="M33" s="247"/>
      <c r="N33" s="4005" t="e">
        <f t="shared" si="1"/>
        <v>#N/A</v>
      </c>
      <c r="O33" s="3287" t="e">
        <f t="shared" si="0"/>
        <v>#N/A</v>
      </c>
      <c r="P33" s="33"/>
      <c r="Q33" s="33"/>
      <c r="R33" s="33"/>
      <c r="S33" s="2023"/>
      <c r="T33" s="2023"/>
      <c r="U33" s="2023"/>
      <c r="V33" s="2023"/>
      <c r="W33" s="2023"/>
      <c r="X33" s="2023"/>
      <c r="Y33" s="2049" t="s">
        <v>1400</v>
      </c>
      <c r="Z33" s="2048" t="s">
        <v>1399</v>
      </c>
      <c r="AA33" s="2051"/>
      <c r="AB33" s="2051"/>
      <c r="AC33" s="2051"/>
      <c r="AD33" s="2051"/>
      <c r="AE33" s="2051"/>
      <c r="AF33" s="2051"/>
      <c r="AG33" s="2051"/>
      <c r="AH33" s="2050"/>
      <c r="AM33" s="289" t="s">
        <v>2150</v>
      </c>
    </row>
    <row r="34" spans="1:39" s="1" customFormat="1" ht="24.95" hidden="1" customHeight="1">
      <c r="A34" s="2028">
        <f>ROWS($A$6:A34)</f>
        <v>29</v>
      </c>
      <c r="B34" s="1082"/>
      <c r="C34" s="78"/>
      <c r="D34" s="78"/>
      <c r="E34" s="78"/>
      <c r="F34" s="1140"/>
      <c r="G34" s="248"/>
      <c r="H34" s="292"/>
      <c r="I34" s="292"/>
      <c r="J34" s="292"/>
      <c r="K34" s="247"/>
      <c r="L34" s="247"/>
      <c r="M34" s="247"/>
      <c r="N34" s="4005"/>
      <c r="O34" s="3287"/>
      <c r="P34" s="33"/>
      <c r="Q34" s="33"/>
      <c r="R34" s="33"/>
      <c r="S34" s="33"/>
      <c r="T34" s="33"/>
      <c r="U34" s="33"/>
      <c r="V34" s="77"/>
      <c r="Y34" s="2042" t="s">
        <v>1398</v>
      </c>
      <c r="Z34" s="2046"/>
      <c r="AA34" s="3640"/>
      <c r="AB34" s="3639"/>
      <c r="AC34" s="3639"/>
      <c r="AD34" s="3639"/>
      <c r="AE34" s="3639"/>
      <c r="AF34" s="3639"/>
      <c r="AG34" s="3639"/>
      <c r="AH34" s="3639"/>
      <c r="AM34" s="289"/>
    </row>
    <row r="35" spans="1:39" s="1" customFormat="1" ht="24.95" hidden="1" customHeight="1">
      <c r="A35" s="2028">
        <f>ROWS($A$6:A35)</f>
        <v>30</v>
      </c>
      <c r="B35" s="1082"/>
      <c r="C35" s="78"/>
      <c r="D35" s="78"/>
      <c r="E35" s="78"/>
      <c r="F35" s="1140"/>
      <c r="G35" s="248"/>
      <c r="H35" s="292"/>
      <c r="I35" s="292"/>
      <c r="J35" s="292"/>
      <c r="K35" s="247"/>
      <c r="L35" s="247"/>
      <c r="M35" s="247"/>
      <c r="N35" s="4005"/>
      <c r="O35" s="3287"/>
      <c r="P35" s="33"/>
      <c r="Q35" s="33"/>
      <c r="R35" s="33"/>
      <c r="S35" s="33"/>
      <c r="T35" s="33"/>
      <c r="U35" s="33"/>
      <c r="V35" s="77"/>
      <c r="Y35" s="2042" t="s">
        <v>1398</v>
      </c>
      <c r="Z35" s="2046"/>
      <c r="AA35" s="2018"/>
      <c r="AB35" s="2018"/>
      <c r="AC35" s="2018"/>
      <c r="AD35" s="2018"/>
      <c r="AE35" s="2018"/>
      <c r="AF35" s="2018"/>
      <c r="AG35" s="2018"/>
      <c r="AH35" s="2018"/>
      <c r="AM35" s="289"/>
    </row>
    <row r="36" spans="1:39" s="2021" customFormat="1" ht="24.95" hidden="1" customHeight="1">
      <c r="A36" s="2028">
        <f>ROWS($A$6:A36)</f>
        <v>31</v>
      </c>
      <c r="B36" s="1082"/>
      <c r="C36" s="78"/>
      <c r="D36" s="78"/>
      <c r="E36" s="78"/>
      <c r="F36" s="1140"/>
      <c r="G36" s="248"/>
      <c r="H36" s="292"/>
      <c r="I36" s="292"/>
      <c r="J36" s="292"/>
      <c r="K36" s="247" t="e">
        <v>#N/A</v>
      </c>
      <c r="L36" s="247"/>
      <c r="M36" s="247"/>
      <c r="N36" s="4005" t="e">
        <f t="shared" si="1"/>
        <v>#N/A</v>
      </c>
      <c r="O36" s="3287" t="e">
        <f>HLOOKUP($O$6,$G$6:$N$74,A36)*(100+$O$9)/100</f>
        <v>#N/A</v>
      </c>
      <c r="P36" s="33"/>
      <c r="Q36" s="33"/>
      <c r="R36" s="33"/>
      <c r="S36" s="33"/>
      <c r="T36" s="33"/>
      <c r="U36" s="33"/>
      <c r="V36" s="2054"/>
      <c r="W36" s="77"/>
      <c r="Y36" s="2042"/>
      <c r="Z36" s="2046"/>
      <c r="AA36" s="2018"/>
      <c r="AB36" s="2018"/>
      <c r="AC36" s="2018"/>
      <c r="AD36" s="2018"/>
      <c r="AE36" s="2018"/>
      <c r="AF36" s="2018"/>
      <c r="AG36" s="2018"/>
      <c r="AH36" s="2018"/>
      <c r="AM36" s="289"/>
    </row>
    <row r="37" spans="1:39" s="2018" customFormat="1" ht="24.95" hidden="1" customHeight="1">
      <c r="A37" s="2028">
        <f>ROWS($A$6:A37)</f>
        <v>32</v>
      </c>
      <c r="B37" s="1082"/>
      <c r="C37" s="78"/>
      <c r="D37" s="78"/>
      <c r="E37" s="78"/>
      <c r="F37" s="1140"/>
      <c r="G37" s="248"/>
      <c r="H37" s="292"/>
      <c r="I37" s="292"/>
      <c r="J37" s="292"/>
      <c r="K37" s="247" t="e">
        <v>#N/A</v>
      </c>
      <c r="L37" s="247"/>
      <c r="M37" s="247"/>
      <c r="N37" s="4005" t="e">
        <f t="shared" si="1"/>
        <v>#N/A</v>
      </c>
      <c r="O37" s="3287" t="e">
        <f>HLOOKUP($O$6,$G$6:$N$74,A37)*(100+$O$9)/100</f>
        <v>#N/A</v>
      </c>
      <c r="P37" s="33"/>
      <c r="Q37" s="33"/>
      <c r="R37" s="33"/>
      <c r="S37" s="33"/>
      <c r="T37" s="33"/>
      <c r="U37" s="33"/>
      <c r="V37" s="2054"/>
      <c r="W37" s="77"/>
      <c r="Y37" s="2042"/>
      <c r="Z37" s="2046"/>
      <c r="AM37" s="289"/>
    </row>
    <row r="38" spans="1:39" s="2018" customFormat="1" ht="24.95" hidden="1" customHeight="1">
      <c r="A38" s="2028">
        <f>ROWS($A$6:A38)</f>
        <v>33</v>
      </c>
      <c r="B38" s="1082"/>
      <c r="C38" s="78"/>
      <c r="D38" s="78"/>
      <c r="E38" s="78"/>
      <c r="F38" s="1140"/>
      <c r="G38" s="248"/>
      <c r="H38" s="292"/>
      <c r="I38" s="292"/>
      <c r="J38" s="292"/>
      <c r="K38" s="247"/>
      <c r="L38" s="247"/>
      <c r="M38" s="247"/>
      <c r="N38" s="4005"/>
      <c r="O38" s="3287"/>
      <c r="P38" s="33"/>
      <c r="Q38" s="33"/>
      <c r="R38" s="33"/>
      <c r="S38" s="33"/>
      <c r="T38" s="33"/>
      <c r="U38" s="33"/>
      <c r="V38" s="2054"/>
      <c r="W38" s="77"/>
      <c r="Y38" s="2042" t="s">
        <v>1990</v>
      </c>
      <c r="Z38" s="2045" t="s">
        <v>1397</v>
      </c>
      <c r="AM38" s="289"/>
    </row>
    <row r="39" spans="1:39" s="2018" customFormat="1" ht="24.95" hidden="1" customHeight="1">
      <c r="A39" s="2028">
        <f>ROWS($A$6:A39)</f>
        <v>34</v>
      </c>
      <c r="B39" s="1082"/>
      <c r="C39" s="78"/>
      <c r="D39" s="78"/>
      <c r="E39" s="78"/>
      <c r="F39" s="1140"/>
      <c r="G39" s="248"/>
      <c r="H39" s="292"/>
      <c r="I39" s="292"/>
      <c r="J39" s="292"/>
      <c r="K39" s="247"/>
      <c r="L39" s="247"/>
      <c r="M39" s="247"/>
      <c r="N39" s="4005"/>
      <c r="O39" s="3287"/>
      <c r="P39" s="33"/>
      <c r="Q39" s="33"/>
      <c r="R39" s="33"/>
      <c r="S39" s="33"/>
      <c r="T39" s="33"/>
      <c r="U39" s="33"/>
      <c r="V39" s="2054"/>
      <c r="W39" s="77"/>
      <c r="Y39" s="2042" t="s">
        <v>1990</v>
      </c>
      <c r="Z39" s="2045" t="s">
        <v>1394</v>
      </c>
      <c r="AM39" s="289" t="s">
        <v>2150</v>
      </c>
    </row>
    <row r="40" spans="1:39" s="2018" customFormat="1" ht="24.95" hidden="1" customHeight="1">
      <c r="A40" s="2028">
        <f>ROWS($A$6:A40)</f>
        <v>35</v>
      </c>
      <c r="B40" s="1082"/>
      <c r="C40" s="78" t="s">
        <v>963</v>
      </c>
      <c r="D40" s="78"/>
      <c r="E40" s="78"/>
      <c r="F40" s="1140"/>
      <c r="G40" s="248">
        <v>30</v>
      </c>
      <c r="H40" s="292">
        <v>34</v>
      </c>
      <c r="I40" s="292">
        <v>32</v>
      </c>
      <c r="J40" s="292">
        <v>30.4</v>
      </c>
      <c r="K40" s="247">
        <v>24.32</v>
      </c>
      <c r="L40" s="247">
        <v>34.799999999999997</v>
      </c>
      <c r="M40" s="247">
        <v>44.5</v>
      </c>
      <c r="N40" s="4005">
        <f t="shared" si="1"/>
        <v>34.54</v>
      </c>
      <c r="O40" s="3287">
        <f>HLOOKUP($O$6,$G$6:$N$74,A40)*(100+$O$9)/100</f>
        <v>34.54</v>
      </c>
      <c r="P40" s="33"/>
      <c r="Q40" s="33"/>
      <c r="R40" s="33"/>
      <c r="S40" s="33"/>
      <c r="T40" s="33"/>
      <c r="U40" s="33"/>
      <c r="V40" s="2054"/>
      <c r="W40" s="77"/>
      <c r="Y40" s="2042" t="s">
        <v>1990</v>
      </c>
      <c r="Z40" s="2046"/>
      <c r="AM40" s="289" t="s">
        <v>2150</v>
      </c>
    </row>
    <row r="41" spans="1:39" s="2018" customFormat="1" ht="15">
      <c r="A41" s="2028">
        <f>ROWS($A$6:A41)</f>
        <v>36</v>
      </c>
      <c r="B41" s="1082"/>
      <c r="C41" s="78" t="s">
        <v>1396</v>
      </c>
      <c r="D41" s="78"/>
      <c r="E41" s="78"/>
      <c r="F41" s="1140"/>
      <c r="G41" s="248">
        <v>4</v>
      </c>
      <c r="H41" s="292">
        <v>4</v>
      </c>
      <c r="I41" s="292">
        <v>4</v>
      </c>
      <c r="J41" s="292">
        <v>4</v>
      </c>
      <c r="K41" s="247">
        <v>4</v>
      </c>
      <c r="L41" s="247">
        <v>4</v>
      </c>
      <c r="M41" s="247">
        <v>4</v>
      </c>
      <c r="N41" s="4005">
        <f t="shared" si="1"/>
        <v>4</v>
      </c>
      <c r="O41" s="3287">
        <f>HLOOKUP($O$6,$G$6:$N$74,A41)*(100+$O$9)/100</f>
        <v>4</v>
      </c>
      <c r="P41" s="33"/>
      <c r="Q41" s="33"/>
      <c r="R41" s="33"/>
      <c r="S41" s="33"/>
      <c r="T41" s="33"/>
      <c r="U41" s="33"/>
      <c r="V41" s="2054"/>
      <c r="W41" s="77"/>
      <c r="Y41" s="2042"/>
      <c r="Z41" s="2046"/>
      <c r="AM41" s="289" t="s">
        <v>2150</v>
      </c>
    </row>
    <row r="42" spans="1:39" s="2018" customFormat="1" ht="0.95" customHeight="1">
      <c r="A42" s="2028">
        <f>ROWS($A$6:A42)</f>
        <v>37</v>
      </c>
      <c r="B42" s="1082"/>
      <c r="C42" s="78"/>
      <c r="D42" s="78"/>
      <c r="E42" s="78"/>
      <c r="F42" s="1140"/>
      <c r="G42" s="248"/>
      <c r="H42" s="292"/>
      <c r="I42" s="292"/>
      <c r="J42" s="292"/>
      <c r="K42" s="247"/>
      <c r="L42" s="247"/>
      <c r="M42" s="247"/>
      <c r="N42" s="4005"/>
      <c r="O42" s="3287"/>
      <c r="P42" s="33"/>
      <c r="Q42" s="33"/>
      <c r="R42" s="33"/>
      <c r="S42" s="33"/>
      <c r="T42" s="33"/>
      <c r="U42" s="33"/>
      <c r="V42" s="2054"/>
      <c r="W42" s="77"/>
      <c r="Y42" s="2042"/>
      <c r="Z42" s="2046"/>
      <c r="AM42" s="289"/>
    </row>
    <row r="43" spans="1:39" s="2018" customFormat="1" ht="15">
      <c r="A43" s="2028">
        <f>ROWS($A$6:A43)</f>
        <v>38</v>
      </c>
      <c r="B43" s="1082"/>
      <c r="C43" s="78" t="s">
        <v>64</v>
      </c>
      <c r="D43" s="78"/>
      <c r="E43" s="78"/>
      <c r="F43" s="1140"/>
      <c r="G43" s="248">
        <v>56</v>
      </c>
      <c r="H43" s="292">
        <v>62</v>
      </c>
      <c r="I43" s="292">
        <v>59</v>
      </c>
      <c r="J43" s="292">
        <v>59.4</v>
      </c>
      <c r="K43" s="247">
        <v>87.26</v>
      </c>
      <c r="L43" s="247"/>
      <c r="M43" s="247">
        <v>106.3</v>
      </c>
      <c r="N43" s="4005">
        <f t="shared" si="1"/>
        <v>96.78</v>
      </c>
      <c r="O43" s="3287">
        <f t="shared" ref="O43:O51" si="2">HLOOKUP($O$6,$G$6:$N$74,A43)*(100+$O$9)/100</f>
        <v>96.78</v>
      </c>
      <c r="P43" s="33"/>
      <c r="Q43" s="33"/>
      <c r="R43" s="33"/>
      <c r="S43" s="33"/>
      <c r="T43" s="33"/>
      <c r="U43" s="33"/>
      <c r="V43" s="2054"/>
      <c r="W43" s="77"/>
      <c r="Y43" s="2042" t="s">
        <v>1997</v>
      </c>
      <c r="Z43" s="2045" t="s">
        <v>1394</v>
      </c>
      <c r="AM43" s="289" t="s">
        <v>2150</v>
      </c>
    </row>
    <row r="44" spans="1:39" s="2018" customFormat="1" ht="15">
      <c r="A44" s="2028">
        <f>ROWS($A$6:A44)</f>
        <v>39</v>
      </c>
      <c r="B44" s="1082"/>
      <c r="C44" s="78" t="s">
        <v>60</v>
      </c>
      <c r="D44" s="78"/>
      <c r="E44" s="78"/>
      <c r="F44" s="1140"/>
      <c r="G44" s="248">
        <v>45</v>
      </c>
      <c r="H44" s="292">
        <v>49</v>
      </c>
      <c r="I44" s="292">
        <v>46</v>
      </c>
      <c r="J44" s="292">
        <v>47.6</v>
      </c>
      <c r="K44" s="247">
        <v>69.91</v>
      </c>
      <c r="L44" s="247"/>
      <c r="M44" s="247">
        <v>97.2</v>
      </c>
      <c r="N44" s="4005">
        <f t="shared" si="1"/>
        <v>83.555000000000007</v>
      </c>
      <c r="O44" s="3287">
        <f t="shared" si="2"/>
        <v>83.555000000000007</v>
      </c>
      <c r="P44" s="33"/>
      <c r="Q44" s="33"/>
      <c r="R44" s="33"/>
      <c r="S44" s="33"/>
      <c r="T44" s="33"/>
      <c r="U44" s="33"/>
      <c r="V44" s="2054"/>
      <c r="Y44" s="2042" t="s">
        <v>1997</v>
      </c>
      <c r="Z44" s="2045" t="s">
        <v>1394</v>
      </c>
      <c r="AM44" s="289" t="s">
        <v>2150</v>
      </c>
    </row>
    <row r="45" spans="1:39" s="2018" customFormat="1" ht="15" hidden="1" customHeight="1">
      <c r="A45" s="3966">
        <f>ROWS($A$6:A45)</f>
        <v>40</v>
      </c>
      <c r="B45" s="1082"/>
      <c r="C45" s="78"/>
      <c r="D45" s="78"/>
      <c r="E45" s="78"/>
      <c r="F45" s="1140"/>
      <c r="G45" s="248"/>
      <c r="H45" s="292"/>
      <c r="I45" s="292"/>
      <c r="J45" s="292"/>
      <c r="K45" s="247" t="e">
        <v>#N/A</v>
      </c>
      <c r="L45" s="247"/>
      <c r="M45" s="247"/>
      <c r="N45" s="4005" t="e">
        <f t="shared" si="1"/>
        <v>#N/A</v>
      </c>
      <c r="O45" s="3967" t="e">
        <f t="shared" si="2"/>
        <v>#N/A</v>
      </c>
      <c r="P45" s="33"/>
      <c r="Q45" s="33"/>
      <c r="R45" s="33"/>
      <c r="S45" s="33"/>
      <c r="T45" s="15"/>
      <c r="U45" s="33"/>
      <c r="V45" s="2054"/>
      <c r="Y45" s="2042"/>
      <c r="Z45" s="2046"/>
      <c r="AM45" s="289" t="s">
        <v>2150</v>
      </c>
    </row>
    <row r="46" spans="1:39" s="2018" customFormat="1" ht="15" hidden="1" customHeight="1">
      <c r="A46" s="3966">
        <f>ROWS($A$6:A46)</f>
        <v>41</v>
      </c>
      <c r="B46" s="1082"/>
      <c r="C46" s="294"/>
      <c r="D46" s="294"/>
      <c r="E46" s="294"/>
      <c r="F46" s="294"/>
      <c r="G46" s="248"/>
      <c r="H46" s="292"/>
      <c r="I46" s="292"/>
      <c r="J46" s="292"/>
      <c r="K46" s="247" t="e">
        <v>#N/A</v>
      </c>
      <c r="L46" s="247"/>
      <c r="M46" s="247"/>
      <c r="N46" s="4005" t="e">
        <f t="shared" si="1"/>
        <v>#N/A</v>
      </c>
      <c r="O46" s="3967" t="e">
        <f t="shared" si="2"/>
        <v>#N/A</v>
      </c>
      <c r="P46" s="33"/>
      <c r="Q46" s="33"/>
      <c r="R46" s="33"/>
      <c r="S46" s="33"/>
      <c r="T46" s="33"/>
      <c r="U46" s="33"/>
      <c r="V46" s="2054"/>
      <c r="Y46" s="2042"/>
      <c r="Z46" s="2046"/>
      <c r="AM46" s="289" t="s">
        <v>2150</v>
      </c>
    </row>
    <row r="47" spans="1:39" s="2018" customFormat="1" ht="15" hidden="1" customHeight="1">
      <c r="A47" s="3966">
        <f>ROWS($A$6:A47)</f>
        <v>42</v>
      </c>
      <c r="B47" s="1082"/>
      <c r="C47" s="294"/>
      <c r="D47" s="294"/>
      <c r="E47" s="294"/>
      <c r="F47" s="294"/>
      <c r="G47" s="248"/>
      <c r="H47" s="292"/>
      <c r="I47" s="292"/>
      <c r="J47" s="292"/>
      <c r="K47" s="247" t="e">
        <v>#N/A</v>
      </c>
      <c r="L47" s="247"/>
      <c r="M47" s="247"/>
      <c r="N47" s="4005" t="e">
        <f t="shared" si="1"/>
        <v>#N/A</v>
      </c>
      <c r="O47" s="3967" t="e">
        <f t="shared" si="2"/>
        <v>#N/A</v>
      </c>
      <c r="P47" s="33"/>
      <c r="Q47" s="33"/>
      <c r="R47" s="33"/>
      <c r="S47" s="33"/>
      <c r="T47" s="33"/>
      <c r="U47" s="33"/>
      <c r="V47" s="2054"/>
      <c r="Y47" s="85"/>
      <c r="Z47" s="2037"/>
      <c r="AM47" s="289" t="s">
        <v>2150</v>
      </c>
    </row>
    <row r="48" spans="1:39" s="2018" customFormat="1" ht="15" customHeight="1">
      <c r="A48" s="3966">
        <f>ROWS($A$6:A48)</f>
        <v>43</v>
      </c>
      <c r="B48" s="1082"/>
      <c r="C48" s="294" t="s">
        <v>2082</v>
      </c>
      <c r="D48" s="294"/>
      <c r="E48" s="294"/>
      <c r="F48" s="294"/>
      <c r="G48" s="248"/>
      <c r="H48" s="292"/>
      <c r="I48" s="292">
        <v>15</v>
      </c>
      <c r="J48" s="292">
        <v>15</v>
      </c>
      <c r="K48" s="247">
        <v>15</v>
      </c>
      <c r="L48" s="247">
        <v>15</v>
      </c>
      <c r="M48" s="247">
        <v>15</v>
      </c>
      <c r="N48" s="4005">
        <f t="shared" si="1"/>
        <v>15</v>
      </c>
      <c r="O48" s="3967">
        <f t="shared" si="2"/>
        <v>15</v>
      </c>
      <c r="P48" s="33"/>
      <c r="Q48" s="33"/>
      <c r="R48" s="33"/>
      <c r="S48" s="33"/>
      <c r="T48" s="33"/>
      <c r="U48" s="33"/>
      <c r="V48" s="2054"/>
      <c r="Y48" s="85"/>
      <c r="Z48" s="78"/>
      <c r="AM48" s="289" t="s">
        <v>2150</v>
      </c>
    </row>
    <row r="49" spans="1:39" s="2018" customFormat="1" ht="15">
      <c r="A49" s="2028">
        <f>ROWS($A$6:A49)</f>
        <v>44</v>
      </c>
      <c r="B49" s="1082"/>
      <c r="C49" s="78" t="s">
        <v>1269</v>
      </c>
      <c r="D49" s="78"/>
      <c r="E49" s="78"/>
      <c r="F49" s="1140"/>
      <c r="G49" s="248"/>
      <c r="H49" s="292">
        <v>31</v>
      </c>
      <c r="I49" s="292">
        <v>31</v>
      </c>
      <c r="J49" s="292">
        <v>31</v>
      </c>
      <c r="K49" s="247">
        <v>24.32</v>
      </c>
      <c r="L49" s="247">
        <v>35.200000000000003</v>
      </c>
      <c r="M49" s="247">
        <v>43.6</v>
      </c>
      <c r="N49" s="4005">
        <f t="shared" si="1"/>
        <v>34.373333333333335</v>
      </c>
      <c r="O49" s="3287">
        <f t="shared" si="2"/>
        <v>34.373333333333335</v>
      </c>
      <c r="P49" s="33"/>
      <c r="Q49" s="33"/>
      <c r="R49" s="33"/>
      <c r="S49" s="33"/>
      <c r="T49" s="33"/>
      <c r="U49" s="33"/>
      <c r="V49" s="2054"/>
      <c r="Y49" s="2042" t="s">
        <v>1395</v>
      </c>
      <c r="Z49" s="2045" t="s">
        <v>1394</v>
      </c>
      <c r="AA49" s="1954"/>
      <c r="AB49" s="1954"/>
      <c r="AC49" s="1954"/>
      <c r="AD49" s="1954"/>
      <c r="AE49" s="1954"/>
      <c r="AF49" s="1954"/>
      <c r="AG49" s="1954"/>
      <c r="AH49" s="1954"/>
      <c r="AM49" s="289"/>
    </row>
    <row r="50" spans="1:39" s="2018" customFormat="1" ht="15" hidden="1" customHeight="1">
      <c r="A50" s="2028">
        <f>ROWS($A$6:A50)</f>
        <v>45</v>
      </c>
      <c r="B50" s="1082"/>
      <c r="C50" s="294"/>
      <c r="D50" s="294"/>
      <c r="E50" s="294"/>
      <c r="F50" s="2044"/>
      <c r="G50" s="3483"/>
      <c r="H50" s="2043"/>
      <c r="I50" s="2043"/>
      <c r="J50" s="3427"/>
      <c r="K50" s="3905" t="e">
        <v>#N/A</v>
      </c>
      <c r="L50" s="3905"/>
      <c r="M50" s="247"/>
      <c r="N50" s="4005" t="e">
        <f t="shared" si="1"/>
        <v>#N/A</v>
      </c>
      <c r="O50" s="3287" t="e">
        <f t="shared" si="2"/>
        <v>#N/A</v>
      </c>
      <c r="P50" s="33"/>
      <c r="Q50" s="33"/>
      <c r="R50" s="33"/>
      <c r="S50" s="33"/>
      <c r="T50" s="33"/>
      <c r="U50" s="33"/>
      <c r="V50" s="2054"/>
      <c r="W50" s="77"/>
      <c r="Y50" s="85"/>
      <c r="Z50" s="2037"/>
      <c r="AA50" s="1954"/>
      <c r="AB50" s="1954"/>
      <c r="AC50" s="1954"/>
      <c r="AD50" s="1954"/>
      <c r="AE50" s="1954"/>
      <c r="AF50" s="1954"/>
      <c r="AG50" s="1954"/>
      <c r="AH50" s="1954"/>
      <c r="AM50" s="289"/>
    </row>
    <row r="51" spans="1:39" s="2018" customFormat="1" ht="18">
      <c r="A51" s="2028">
        <f>ROWS($A$6:A51)</f>
        <v>46</v>
      </c>
      <c r="B51" s="4"/>
      <c r="C51" s="1918" t="s">
        <v>1393</v>
      </c>
      <c r="D51" s="1078"/>
      <c r="E51" s="1078"/>
      <c r="F51" s="2388"/>
      <c r="G51" s="248">
        <v>12</v>
      </c>
      <c r="H51" s="292">
        <v>13.6</v>
      </c>
      <c r="I51" s="292">
        <v>13</v>
      </c>
      <c r="J51" s="292">
        <v>13</v>
      </c>
      <c r="K51" s="247">
        <v>10</v>
      </c>
      <c r="L51" s="247">
        <v>12</v>
      </c>
      <c r="M51" s="247">
        <v>12</v>
      </c>
      <c r="N51" s="4005">
        <f t="shared" si="1"/>
        <v>11.333333333333334</v>
      </c>
      <c r="O51" s="3287">
        <f t="shared" si="2"/>
        <v>11.333333333333336</v>
      </c>
      <c r="P51" s="33"/>
      <c r="Q51" s="33"/>
      <c r="R51" s="33"/>
      <c r="S51" s="33"/>
      <c r="T51" s="33"/>
      <c r="U51" s="33"/>
      <c r="V51" s="2054"/>
      <c r="W51" s="77"/>
      <c r="Y51" s="2042" t="s">
        <v>1392</v>
      </c>
      <c r="Z51" s="2034"/>
      <c r="AA51" s="1954"/>
      <c r="AB51" s="1954"/>
      <c r="AC51" s="1954"/>
      <c r="AD51" s="1954"/>
      <c r="AE51" s="1954"/>
      <c r="AF51" s="1954"/>
      <c r="AG51" s="1954"/>
      <c r="AH51" s="1954"/>
      <c r="AM51" s="289"/>
    </row>
    <row r="52" spans="1:39" s="2018" customFormat="1" ht="15.6" customHeight="1">
      <c r="A52" s="2028">
        <f>ROWS($A$6:A52)</f>
        <v>47</v>
      </c>
      <c r="B52" s="1"/>
      <c r="C52" s="1"/>
      <c r="D52" s="1"/>
      <c r="E52" s="1"/>
      <c r="F52" s="1"/>
      <c r="G52" s="1"/>
      <c r="H52" s="1"/>
      <c r="I52" s="1"/>
      <c r="J52" s="1"/>
      <c r="K52" s="1142"/>
      <c r="L52" s="247"/>
      <c r="N52" s="1"/>
      <c r="O52" s="3287"/>
      <c r="P52" s="33"/>
      <c r="Q52" s="33"/>
      <c r="R52" s="33"/>
      <c r="S52" s="33"/>
      <c r="T52" s="33"/>
      <c r="U52" s="33"/>
      <c r="V52" s="2053"/>
      <c r="W52" s="77"/>
      <c r="Y52" s="2034"/>
      <c r="Z52" s="2023"/>
      <c r="AA52" s="2023"/>
      <c r="AB52" s="2023"/>
      <c r="AC52" s="2023"/>
      <c r="AD52" s="2023"/>
      <c r="AE52" s="2023"/>
      <c r="AF52" s="2023"/>
      <c r="AG52" s="2023"/>
      <c r="AH52" s="1"/>
    </row>
    <row r="53" spans="1:39" s="2018" customFormat="1" ht="18">
      <c r="A53" s="2028">
        <f>ROWS($A$6:A53)</f>
        <v>48</v>
      </c>
      <c r="B53" s="3280" t="s">
        <v>1993</v>
      </c>
      <c r="C53" s="3281"/>
      <c r="D53" s="3260"/>
      <c r="E53" s="3260"/>
      <c r="F53" s="3265"/>
      <c r="G53" s="4228" t="s">
        <v>249</v>
      </c>
      <c r="H53" s="4229"/>
      <c r="I53" s="4229"/>
      <c r="J53" s="4229"/>
      <c r="K53" s="4229"/>
      <c r="L53" s="4229"/>
      <c r="M53" s="4229"/>
      <c r="N53" s="4230"/>
      <c r="O53" s="3282" t="str">
        <f>IF(AL5=1,"mit MwSt.","ohne MwSt.")</f>
        <v>ohne MwSt.</v>
      </c>
      <c r="P53" s="33"/>
      <c r="Q53" s="33"/>
      <c r="R53" s="33"/>
      <c r="S53" s="33"/>
      <c r="T53" s="33"/>
      <c r="U53" s="33"/>
      <c r="Y53" s="85"/>
      <c r="Z53" s="1954"/>
      <c r="AA53" s="2023"/>
      <c r="AB53" s="2023"/>
      <c r="AC53" s="2023"/>
      <c r="AD53" s="2023"/>
      <c r="AE53" s="2023"/>
      <c r="AF53" s="2023"/>
      <c r="AG53" s="1"/>
      <c r="AH53" s="1"/>
    </row>
    <row r="54" spans="1:39" s="2018" customFormat="1" ht="15.6" customHeight="1">
      <c r="A54" s="2028">
        <f>ROWS($A$6:A54)</f>
        <v>49</v>
      </c>
      <c r="B54" s="3259"/>
      <c r="C54" s="3264" t="s">
        <v>248</v>
      </c>
      <c r="D54" s="3260"/>
      <c r="E54" s="3260"/>
      <c r="F54" s="3265"/>
      <c r="G54" s="4231"/>
      <c r="H54" s="4232"/>
      <c r="I54" s="4232"/>
      <c r="J54" s="4232"/>
      <c r="K54" s="4232"/>
      <c r="L54" s="4232"/>
      <c r="M54" s="4232"/>
      <c r="N54" s="4233"/>
      <c r="O54" s="3283">
        <f>O11/100</f>
        <v>0</v>
      </c>
      <c r="P54" s="33"/>
      <c r="Q54" s="33"/>
      <c r="R54" s="33"/>
      <c r="S54" s="33"/>
      <c r="T54" s="33"/>
      <c r="U54" s="33"/>
      <c r="Y54" s="2035"/>
      <c r="Z54" s="2034"/>
      <c r="AA54" s="1954"/>
      <c r="AB54" s="1954"/>
      <c r="AC54" s="1954"/>
      <c r="AD54" s="1954"/>
      <c r="AE54" s="1954"/>
      <c r="AF54" s="1954"/>
      <c r="AG54" s="1954"/>
      <c r="AH54" s="1954"/>
    </row>
    <row r="55" spans="1:39" s="2018" customFormat="1" ht="15.6" customHeight="1">
      <c r="A55" s="2028">
        <f>ROWS($A$6:A55)</f>
        <v>50</v>
      </c>
      <c r="B55" s="3284"/>
      <c r="C55" s="3285" t="s">
        <v>247</v>
      </c>
      <c r="D55" s="3285"/>
      <c r="E55" s="3285" t="s">
        <v>246</v>
      </c>
      <c r="F55" s="3286"/>
      <c r="G55" s="300">
        <v>3.25</v>
      </c>
      <c r="H55" s="263">
        <v>3.25</v>
      </c>
      <c r="I55" s="3317">
        <v>3.25</v>
      </c>
      <c r="J55" s="262">
        <v>3.25</v>
      </c>
      <c r="K55" s="262">
        <v>4.3</v>
      </c>
      <c r="L55" s="263">
        <v>4.3</v>
      </c>
      <c r="M55" s="247">
        <v>5</v>
      </c>
      <c r="N55" s="245">
        <f>AVERAGE(K55:M55)</f>
        <v>4.5333333333333332</v>
      </c>
      <c r="O55" s="3287">
        <f>HLOOKUP($O$6,$G$6:$N$58,A55)*(100+$O$11)/100</f>
        <v>4.5333333333333332</v>
      </c>
      <c r="P55" s="33"/>
      <c r="Q55" s="33"/>
      <c r="R55" s="33"/>
      <c r="S55" s="33"/>
      <c r="T55" s="33"/>
      <c r="U55" s="33"/>
      <c r="Y55" s="2035"/>
      <c r="Z55" s="2034"/>
      <c r="AA55" s="2023"/>
      <c r="AB55" s="2023"/>
      <c r="AC55" s="2023"/>
      <c r="AD55" s="2023"/>
      <c r="AE55" s="2023"/>
      <c r="AF55" s="2023"/>
      <c r="AG55" s="2023"/>
      <c r="AH55" s="1"/>
    </row>
    <row r="56" spans="1:39" s="2018" customFormat="1" ht="15.6" customHeight="1">
      <c r="A56" s="2028">
        <f>ROWS($A$6:A56)</f>
        <v>51</v>
      </c>
      <c r="B56" s="1082"/>
      <c r="C56" s="78" t="s">
        <v>1414</v>
      </c>
      <c r="D56" s="78"/>
      <c r="E56" s="78" t="s">
        <v>244</v>
      </c>
      <c r="F56" s="9"/>
      <c r="G56" s="1081">
        <v>1.27</v>
      </c>
      <c r="H56" s="248">
        <v>1.27</v>
      </c>
      <c r="I56" s="247">
        <v>1.27</v>
      </c>
      <c r="J56" s="246">
        <v>1.27</v>
      </c>
      <c r="K56" s="246">
        <v>1.4</v>
      </c>
      <c r="L56" s="248">
        <v>1.4</v>
      </c>
      <c r="M56" s="247">
        <v>1.4</v>
      </c>
      <c r="N56" s="4005">
        <f>AVERAGE(K56:M56)</f>
        <v>1.3999999999999997</v>
      </c>
      <c r="O56" s="3287">
        <f>HLOOKUP($O$6,$G$6:$N$58,A56)*(100+$O$11)/100</f>
        <v>1.3999999999999997</v>
      </c>
      <c r="P56" s="33"/>
      <c r="Q56" s="33"/>
      <c r="R56" s="33"/>
      <c r="S56" s="33"/>
      <c r="T56" s="33"/>
      <c r="U56" s="33"/>
      <c r="V56" s="33"/>
      <c r="W56" s="33"/>
      <c r="X56" s="33"/>
      <c r="Y56" s="2035"/>
      <c r="Z56" s="2034"/>
      <c r="AA56" s="2023"/>
      <c r="AB56" s="2023"/>
      <c r="AC56" s="2023"/>
      <c r="AD56" s="2023"/>
      <c r="AE56" s="2023"/>
      <c r="AF56" s="2023"/>
      <c r="AG56" s="2023"/>
      <c r="AH56" s="1"/>
    </row>
    <row r="57" spans="1:39" s="2018" customFormat="1" ht="15.6" customHeight="1">
      <c r="A57" s="2028">
        <f>ROWS($A$6:A57)</f>
        <v>52</v>
      </c>
      <c r="B57" s="1082"/>
      <c r="C57" s="78" t="s">
        <v>243</v>
      </c>
      <c r="D57" s="78"/>
      <c r="E57" s="78" t="s">
        <v>242</v>
      </c>
      <c r="F57" s="9"/>
      <c r="G57" s="1081">
        <v>1.1499999999999999</v>
      </c>
      <c r="H57" s="248">
        <v>1.1499999999999999</v>
      </c>
      <c r="I57" s="247">
        <v>1.1499999999999999</v>
      </c>
      <c r="J57" s="246">
        <v>1.1499999999999999</v>
      </c>
      <c r="K57" s="246">
        <v>1.4</v>
      </c>
      <c r="L57" s="248">
        <v>1.4</v>
      </c>
      <c r="M57" s="247">
        <v>1.4</v>
      </c>
      <c r="N57" s="4005">
        <f>AVERAGE(K57:M57)</f>
        <v>1.3999999999999997</v>
      </c>
      <c r="O57" s="3287">
        <f>HLOOKUP($O$6,$G$6:$N$58,A57)*(100+$O$11)/100</f>
        <v>1.3999999999999997</v>
      </c>
      <c r="P57" s="33"/>
      <c r="Q57" s="33"/>
      <c r="R57" s="33"/>
      <c r="S57" s="33"/>
      <c r="T57" s="33"/>
      <c r="U57" s="33"/>
      <c r="V57" s="33"/>
      <c r="W57" s="33"/>
      <c r="X57" s="33"/>
      <c r="Y57" s="2032"/>
      <c r="Z57" s="2031"/>
      <c r="AA57" s="2023"/>
      <c r="AB57" s="2023"/>
      <c r="AC57" s="2023"/>
      <c r="AD57" s="2023"/>
      <c r="AE57" s="2023"/>
      <c r="AF57" s="2023"/>
      <c r="AG57" s="2023"/>
      <c r="AH57" s="1"/>
    </row>
    <row r="58" spans="1:39" s="2018" customFormat="1" ht="15.6" customHeight="1">
      <c r="A58" s="2028">
        <f>ROWS($A$6:A58)</f>
        <v>53</v>
      </c>
      <c r="B58" s="78"/>
      <c r="C58" s="78" t="s">
        <v>241</v>
      </c>
      <c r="D58" s="78"/>
      <c r="E58" s="78" t="s">
        <v>240</v>
      </c>
      <c r="F58" s="9"/>
      <c r="G58" s="1081">
        <v>0.5</v>
      </c>
      <c r="H58" s="248">
        <v>0.5</v>
      </c>
      <c r="I58" s="247">
        <v>0.5</v>
      </c>
      <c r="J58" s="248">
        <v>0.5</v>
      </c>
      <c r="K58" s="248">
        <v>0.5</v>
      </c>
      <c r="L58" s="248">
        <v>0.5</v>
      </c>
      <c r="M58" s="247">
        <v>0.5</v>
      </c>
      <c r="N58" s="4005">
        <f>AVERAGE(K58:M58)</f>
        <v>0.5</v>
      </c>
      <c r="O58" s="3287">
        <f>HLOOKUP($O$6,$G$6:$N$58,A58)*(100+$O$11)/100</f>
        <v>0.5</v>
      </c>
      <c r="P58" s="33"/>
      <c r="Q58" s="33"/>
      <c r="R58" s="33"/>
      <c r="S58" s="33"/>
      <c r="T58" s="33"/>
      <c r="U58" s="33"/>
      <c r="V58" s="33"/>
      <c r="W58" s="33"/>
      <c r="X58" s="33"/>
      <c r="Y58" s="2030"/>
      <c r="Z58" s="2029"/>
      <c r="AA58" s="2021"/>
      <c r="AB58" s="2021"/>
      <c r="AC58" s="2021"/>
      <c r="AD58" s="2021"/>
      <c r="AE58" s="2021"/>
      <c r="AF58" s="2021"/>
      <c r="AG58" s="2021"/>
      <c r="AH58" s="2021"/>
    </row>
    <row r="59" spans="1:39" s="2018" customFormat="1" ht="15.6" customHeight="1">
      <c r="A59" s="2028">
        <f>ROWS($A$6:A59)</f>
        <v>54</v>
      </c>
      <c r="P59" s="33"/>
      <c r="Q59" s="33"/>
      <c r="R59" s="33"/>
      <c r="S59" s="33"/>
      <c r="T59" s="33"/>
      <c r="U59" s="33"/>
      <c r="V59" s="33"/>
      <c r="W59" s="33"/>
      <c r="X59" s="33"/>
    </row>
    <row r="60" spans="1:39" s="2018" customFormat="1" ht="20.25" customHeight="1">
      <c r="A60" s="2028">
        <f>ROWS($A$6:A60)</f>
        <v>55</v>
      </c>
      <c r="B60" s="3280" t="s">
        <v>1419</v>
      </c>
      <c r="C60" s="3260"/>
      <c r="D60" s="3260"/>
      <c r="E60" s="3261"/>
      <c r="F60" s="3262"/>
      <c r="G60" s="3263"/>
      <c r="H60" s="3263"/>
      <c r="I60" s="3263"/>
      <c r="J60" s="3263"/>
      <c r="P60" s="33"/>
      <c r="Q60" s="33"/>
      <c r="R60" s="33"/>
      <c r="S60" s="33"/>
      <c r="T60" s="33"/>
      <c r="U60" s="33"/>
      <c r="V60" s="33"/>
      <c r="W60" s="33"/>
      <c r="X60" s="33"/>
      <c r="Y60" s="33"/>
      <c r="Z60" s="33"/>
      <c r="AA60" s="33"/>
      <c r="AB60" s="33"/>
      <c r="AF60" s="2025"/>
    </row>
    <row r="61" spans="1:39" s="2018" customFormat="1" ht="15.6" customHeight="1">
      <c r="A61" s="2028">
        <f>ROWS($A$6:A61)</f>
        <v>56</v>
      </c>
      <c r="B61" s="3260"/>
      <c r="C61" s="3260"/>
      <c r="D61" s="3260"/>
      <c r="E61" s="3261"/>
      <c r="F61" s="3262"/>
      <c r="G61" s="3263"/>
      <c r="H61" s="3263"/>
      <c r="I61" s="3263"/>
      <c r="J61" s="3263"/>
      <c r="P61" s="33"/>
      <c r="Q61" s="33"/>
      <c r="R61" s="33"/>
      <c r="S61" s="33"/>
      <c r="T61" s="33"/>
      <c r="U61" s="33"/>
      <c r="V61" s="33"/>
      <c r="W61" s="33"/>
      <c r="X61" s="33"/>
      <c r="Y61" s="33"/>
      <c r="Z61" s="33"/>
      <c r="AA61" s="33"/>
      <c r="AB61" s="33"/>
      <c r="AF61" s="2025"/>
    </row>
    <row r="62" spans="1:39" s="2018" customFormat="1" ht="15.6" customHeight="1">
      <c r="A62" s="2028">
        <f>ROWS($A$6:A62)</f>
        <v>57</v>
      </c>
      <c r="C62" s="4226" t="s">
        <v>2047</v>
      </c>
      <c r="D62" s="4226"/>
      <c r="E62" s="4226"/>
      <c r="F62" s="4226"/>
      <c r="G62" s="4226"/>
      <c r="H62" s="4226"/>
      <c r="I62" s="4226"/>
      <c r="J62" s="4226"/>
      <c r="P62" s="33"/>
      <c r="Q62" s="33"/>
      <c r="R62" s="33"/>
      <c r="S62" s="33"/>
      <c r="T62" s="33"/>
      <c r="U62" s="33"/>
      <c r="V62" s="33"/>
      <c r="W62" s="33"/>
      <c r="X62" s="33"/>
      <c r="Y62" s="33"/>
      <c r="Z62" s="33"/>
      <c r="AA62" s="33"/>
      <c r="AB62" s="33"/>
      <c r="AF62" s="2025"/>
    </row>
    <row r="63" spans="1:39" s="2018" customFormat="1" ht="15" customHeight="1">
      <c r="A63" s="2028">
        <f>ROWS($A$6:A63)</f>
        <v>58</v>
      </c>
      <c r="C63" s="4227"/>
      <c r="D63" s="4227"/>
      <c r="E63" s="4227"/>
      <c r="F63" s="4227"/>
      <c r="G63" s="4227"/>
      <c r="H63" s="4227"/>
      <c r="I63" s="4227"/>
      <c r="J63" s="4227"/>
      <c r="P63" s="33"/>
      <c r="Q63" s="33"/>
      <c r="R63" s="33"/>
      <c r="S63" s="33"/>
      <c r="T63" s="33"/>
      <c r="U63" s="33"/>
      <c r="V63" s="33"/>
      <c r="W63" s="33"/>
      <c r="X63" s="33"/>
      <c r="Y63" s="33"/>
      <c r="Z63" s="33"/>
      <c r="AA63" s="33"/>
      <c r="AB63" s="33"/>
      <c r="AF63" s="2025"/>
    </row>
    <row r="64" spans="1:39" s="2018" customFormat="1" ht="15.6" customHeight="1">
      <c r="A64" s="2028">
        <f>ROWS($A$6:A64)</f>
        <v>59</v>
      </c>
      <c r="C64" s="4226" t="s">
        <v>1418</v>
      </c>
      <c r="D64" s="4226"/>
      <c r="E64" s="4226"/>
      <c r="F64" s="4226"/>
      <c r="G64" s="4226"/>
      <c r="H64" s="4226"/>
      <c r="I64" s="4226"/>
      <c r="J64" s="4226"/>
      <c r="P64" s="33"/>
      <c r="Q64" s="33"/>
      <c r="R64" s="33"/>
      <c r="S64" s="33"/>
      <c r="T64" s="33"/>
      <c r="U64" s="33"/>
      <c r="V64" s="33"/>
      <c r="W64" s="33"/>
      <c r="X64" s="33"/>
      <c r="Y64" s="33"/>
      <c r="Z64" s="33"/>
      <c r="AA64" s="33"/>
      <c r="AB64" s="33"/>
      <c r="AF64" s="2025"/>
    </row>
    <row r="65" spans="1:33" s="2018" customFormat="1" ht="15.6" customHeight="1">
      <c r="A65" s="2028">
        <f>ROWS($A$6:A65)</f>
        <v>60</v>
      </c>
      <c r="C65" s="4226"/>
      <c r="D65" s="4226"/>
      <c r="E65" s="4226"/>
      <c r="F65" s="4226"/>
      <c r="G65" s="4226"/>
      <c r="H65" s="4226"/>
      <c r="I65" s="4226"/>
      <c r="J65" s="4226"/>
      <c r="P65" s="33"/>
      <c r="Q65" s="33"/>
      <c r="R65" s="33"/>
      <c r="S65" s="33"/>
      <c r="T65" s="33"/>
      <c r="U65" s="33"/>
      <c r="V65" s="33"/>
      <c r="W65" s="33"/>
      <c r="X65" s="33"/>
      <c r="Y65" s="33"/>
      <c r="Z65" s="33"/>
      <c r="AA65" s="33"/>
      <c r="AB65" s="33"/>
      <c r="AF65" s="2025"/>
    </row>
    <row r="66" spans="1:33" s="2018" customFormat="1" ht="45.6" customHeight="1">
      <c r="A66" s="2028">
        <f>ROWS($A$6:A66)</f>
        <v>61</v>
      </c>
      <c r="B66" s="4225" t="s">
        <v>1417</v>
      </c>
      <c r="C66" s="4225"/>
      <c r="D66" s="4225"/>
      <c r="E66" s="4225"/>
      <c r="F66" s="4225"/>
      <c r="G66" s="4225"/>
      <c r="H66" s="4225"/>
      <c r="I66" s="4225"/>
      <c r="K66" s="3356"/>
      <c r="L66" s="3356"/>
      <c r="M66" s="3903"/>
      <c r="N66" s="2021"/>
      <c r="O66" s="2021"/>
      <c r="P66" s="33"/>
      <c r="Q66" s="33"/>
      <c r="R66" s="33"/>
      <c r="S66" s="33"/>
      <c r="T66" s="33"/>
      <c r="U66" s="33"/>
      <c r="V66" s="33"/>
      <c r="W66" s="33"/>
      <c r="X66" s="33"/>
      <c r="Y66" s="33"/>
      <c r="Z66" s="33"/>
      <c r="AA66" s="33"/>
      <c r="AB66" s="33"/>
      <c r="AF66" s="2025"/>
    </row>
    <row r="67" spans="1:33" s="1954" customFormat="1" ht="15.6" customHeight="1">
      <c r="A67" s="2028">
        <f>ROWS($A$6:A67)</f>
        <v>62</v>
      </c>
      <c r="B67" s="3356"/>
      <c r="C67" s="3356"/>
      <c r="D67" s="3356"/>
      <c r="E67" s="3356"/>
      <c r="F67" s="3356"/>
      <c r="G67" s="3356"/>
      <c r="H67" s="3356"/>
      <c r="I67" s="3356"/>
      <c r="J67" s="3356"/>
      <c r="K67" s="3356"/>
      <c r="L67" s="3356"/>
      <c r="M67" s="3903"/>
      <c r="N67" s="3339"/>
      <c r="O67" s="2021"/>
      <c r="P67" s="33"/>
      <c r="Q67" s="33"/>
      <c r="R67" s="33"/>
      <c r="S67" s="33"/>
      <c r="T67" s="33"/>
      <c r="U67" s="33"/>
      <c r="V67" s="33"/>
      <c r="W67" s="33"/>
      <c r="X67" s="33"/>
      <c r="Y67" s="33"/>
      <c r="Z67" s="33"/>
      <c r="AA67" s="33"/>
      <c r="AB67" s="33"/>
      <c r="AF67" s="2038"/>
    </row>
    <row r="68" spans="1:33" s="1954" customFormat="1" ht="15.6" customHeight="1">
      <c r="A68" s="2028">
        <f>ROWS($A$6:A68)</f>
        <v>63</v>
      </c>
      <c r="P68" s="33"/>
      <c r="Q68" s="33"/>
      <c r="R68" s="33"/>
      <c r="S68" s="33"/>
      <c r="T68" s="33"/>
      <c r="U68" s="33"/>
      <c r="V68" s="33"/>
      <c r="W68" s="33"/>
      <c r="X68" s="33"/>
      <c r="Y68" s="33"/>
      <c r="Z68" s="33"/>
      <c r="AA68" s="33"/>
      <c r="AB68" s="33"/>
      <c r="AF68" s="2038"/>
    </row>
    <row r="69" spans="1:33" s="1954" customFormat="1" ht="20.25" customHeight="1">
      <c r="A69" s="2028">
        <f>ROWS($A$6:A69)</f>
        <v>64</v>
      </c>
      <c r="B69" s="3280" t="s">
        <v>239</v>
      </c>
      <c r="C69" s="3281"/>
      <c r="D69" s="3281"/>
      <c r="E69" s="3281"/>
      <c r="F69" s="3291"/>
      <c r="G69" s="3292"/>
      <c r="H69" s="3293"/>
      <c r="I69" s="3293"/>
      <c r="J69" s="3293"/>
      <c r="K69" s="3293"/>
      <c r="L69" s="3293"/>
      <c r="M69" s="3293"/>
      <c r="N69" s="3293"/>
      <c r="O69" s="3287"/>
      <c r="P69" s="33"/>
      <c r="Q69" s="33"/>
      <c r="R69" s="33"/>
      <c r="S69" s="33"/>
      <c r="T69" s="33"/>
      <c r="U69" s="33"/>
      <c r="V69" s="33"/>
      <c r="W69" s="33"/>
      <c r="X69" s="33"/>
      <c r="Y69" s="33"/>
      <c r="Z69" s="33"/>
      <c r="AA69" s="33"/>
      <c r="AB69" s="33"/>
      <c r="AF69" s="2038"/>
    </row>
    <row r="70" spans="1:33" s="1" customFormat="1" ht="15.6" customHeight="1">
      <c r="A70" s="2028">
        <f>ROWS($A$6:A70)</f>
        <v>65</v>
      </c>
      <c r="B70" s="3484"/>
      <c r="C70" s="3269"/>
      <c r="D70" s="3269"/>
      <c r="E70" s="3269"/>
      <c r="F70" s="3270"/>
      <c r="G70" s="3272"/>
      <c r="H70" s="3272"/>
      <c r="I70" s="3272"/>
      <c r="J70" s="3272"/>
      <c r="K70" s="268"/>
      <c r="L70" s="268"/>
      <c r="M70" s="268"/>
      <c r="N70" s="268"/>
      <c r="O70" s="3485"/>
      <c r="P70" s="33"/>
      <c r="Q70" s="33"/>
      <c r="R70" s="33"/>
      <c r="S70" s="33"/>
      <c r="T70" s="33"/>
      <c r="U70" s="33"/>
      <c r="V70" s="33"/>
      <c r="W70" s="33"/>
      <c r="X70" s="33"/>
      <c r="Y70" s="33"/>
      <c r="Z70" s="33"/>
      <c r="AA70" s="33"/>
      <c r="AB70" s="33"/>
      <c r="AC70" s="2023"/>
      <c r="AD70" s="2023"/>
      <c r="AE70" s="2023"/>
      <c r="AF70" s="2036"/>
      <c r="AG70" s="2023"/>
    </row>
    <row r="71" spans="1:33" s="1" customFormat="1" ht="19.899999999999999" customHeight="1">
      <c r="A71" s="2028">
        <f>ROWS($A$6:A71)</f>
        <v>66</v>
      </c>
      <c r="B71" s="23"/>
      <c r="C71" s="78" t="s">
        <v>238</v>
      </c>
      <c r="D71" s="78"/>
      <c r="E71" s="78"/>
      <c r="F71" s="22"/>
      <c r="G71" s="1081">
        <v>3</v>
      </c>
      <c r="H71" s="247">
        <v>2</v>
      </c>
      <c r="I71" s="246">
        <v>2</v>
      </c>
      <c r="J71" s="248">
        <v>1.5</v>
      </c>
      <c r="K71" s="292">
        <v>1.5</v>
      </c>
      <c r="L71" s="292">
        <v>1.5</v>
      </c>
      <c r="M71" s="292">
        <v>1.5</v>
      </c>
      <c r="N71" s="245">
        <v>1.5</v>
      </c>
      <c r="O71" s="3287">
        <f>HLOOKUP($O$6,$G$6:$N$74,A71)*(100+$O$9)/100</f>
        <v>1.5</v>
      </c>
      <c r="P71" s="33"/>
      <c r="Q71" s="33"/>
      <c r="R71" s="33"/>
      <c r="S71" s="33"/>
      <c r="T71" s="33"/>
      <c r="U71" s="33"/>
      <c r="V71" s="33"/>
      <c r="W71" s="33"/>
      <c r="X71" s="33"/>
      <c r="Y71" s="33"/>
      <c r="Z71" s="33"/>
      <c r="AA71" s="33"/>
      <c r="AB71" s="2023"/>
      <c r="AC71" s="2023"/>
      <c r="AD71" s="2023"/>
      <c r="AE71" s="2036"/>
      <c r="AF71" s="2023"/>
      <c r="AG71" s="2023"/>
    </row>
    <row r="72" spans="1:33" s="1954" customFormat="1" ht="15.6" customHeight="1">
      <c r="A72" s="2028">
        <f>ROWS($A$6:A72)</f>
        <v>67</v>
      </c>
      <c r="B72" s="1082"/>
      <c r="C72" s="78" t="s">
        <v>237</v>
      </c>
      <c r="D72" s="78"/>
      <c r="E72" s="78"/>
      <c r="F72" s="9"/>
      <c r="G72" s="1081">
        <v>3</v>
      </c>
      <c r="H72" s="247">
        <v>2</v>
      </c>
      <c r="I72" s="246">
        <v>2</v>
      </c>
      <c r="J72" s="248">
        <v>1.5</v>
      </c>
      <c r="K72" s="292">
        <v>1.5</v>
      </c>
      <c r="L72" s="292">
        <v>1.5</v>
      </c>
      <c r="M72" s="292">
        <v>1.5</v>
      </c>
      <c r="N72" s="245">
        <v>1.5</v>
      </c>
      <c r="O72" s="3967">
        <f>HLOOKUP($O$6,$G$6:$N$74,A72)*(100+$O$9)/100</f>
        <v>1.5</v>
      </c>
      <c r="P72" s="29"/>
      <c r="Q72" s="33"/>
      <c r="R72" s="33"/>
      <c r="S72" s="33"/>
      <c r="T72" s="33"/>
      <c r="U72" s="33"/>
      <c r="V72" s="33"/>
      <c r="W72" s="33"/>
      <c r="X72" s="33"/>
      <c r="Y72" s="33"/>
      <c r="Z72" s="33"/>
      <c r="AA72" s="33"/>
      <c r="AE72" s="2038"/>
    </row>
    <row r="73" spans="1:33" s="1" customFormat="1" ht="21.2" customHeight="1">
      <c r="A73" s="2028">
        <f>ROWS($A$6:A73)</f>
        <v>68</v>
      </c>
      <c r="B73" s="1082"/>
      <c r="C73" s="78" t="s">
        <v>236</v>
      </c>
      <c r="D73" s="78"/>
      <c r="E73" s="78"/>
      <c r="F73" s="9"/>
      <c r="G73" s="1081">
        <v>4</v>
      </c>
      <c r="H73" s="247">
        <v>3</v>
      </c>
      <c r="I73" s="246">
        <v>3</v>
      </c>
      <c r="J73" s="248">
        <v>2.5</v>
      </c>
      <c r="K73" s="292">
        <v>2.5</v>
      </c>
      <c r="L73" s="292">
        <v>2.5</v>
      </c>
      <c r="M73" s="292">
        <v>2.5</v>
      </c>
      <c r="N73" s="245">
        <v>2.5</v>
      </c>
      <c r="O73" s="3967">
        <f>HLOOKUP($O$6,$G$6:$N$74,A73)*(100+$O$9)/100</f>
        <v>2.5</v>
      </c>
      <c r="P73" s="1088"/>
      <c r="Q73" s="5"/>
      <c r="R73" s="33"/>
      <c r="S73" s="33"/>
      <c r="T73" s="33"/>
      <c r="U73" s="33"/>
      <c r="V73" s="33"/>
      <c r="W73" s="33"/>
      <c r="X73" s="33"/>
      <c r="Y73" s="33"/>
      <c r="Z73" s="33"/>
      <c r="AA73" s="33"/>
      <c r="AB73" s="33"/>
      <c r="AC73" s="2023"/>
      <c r="AD73" s="2023"/>
      <c r="AE73" s="2023"/>
      <c r="AF73" s="2036"/>
      <c r="AG73" s="2023"/>
    </row>
    <row r="74" spans="1:33" s="1" customFormat="1" ht="11.25" customHeight="1">
      <c r="A74" s="2028">
        <f>ROWS($A$6:A74)</f>
        <v>69</v>
      </c>
      <c r="B74" s="4"/>
      <c r="C74" s="4"/>
      <c r="D74" s="4"/>
      <c r="E74" s="17"/>
      <c r="F74" s="1066"/>
      <c r="G74" s="4"/>
      <c r="H74" s="2017"/>
      <c r="I74" s="2017"/>
      <c r="J74" s="2017"/>
      <c r="K74" s="2017"/>
      <c r="L74" s="2017"/>
      <c r="M74" s="2017"/>
      <c r="N74" s="2017"/>
      <c r="O74" s="2017"/>
      <c r="P74" s="267"/>
      <c r="Q74" s="5"/>
      <c r="R74" s="29"/>
      <c r="S74" s="2023"/>
      <c r="T74" s="2023"/>
      <c r="U74" s="2023"/>
      <c r="V74" s="2023"/>
      <c r="W74" s="2023"/>
      <c r="X74" s="2023"/>
      <c r="Y74" s="2023"/>
      <c r="Z74" s="2023"/>
      <c r="AA74" s="2023"/>
      <c r="AB74" s="2023"/>
      <c r="AC74" s="2023"/>
      <c r="AD74" s="2023"/>
      <c r="AE74" s="2023"/>
      <c r="AF74" s="2036"/>
      <c r="AG74" s="2023"/>
    </row>
    <row r="75" spans="1:33" s="1" customFormat="1" ht="15.6" customHeight="1">
      <c r="A75" s="2028">
        <f>ROWS($A$6:A75)</f>
        <v>70</v>
      </c>
      <c r="P75" s="2027"/>
      <c r="Q75" s="5"/>
      <c r="R75" s="29"/>
      <c r="S75" s="2023"/>
      <c r="T75" s="2023"/>
      <c r="U75" s="2023"/>
      <c r="V75" s="2023"/>
      <c r="W75" s="2023"/>
      <c r="X75" s="2023"/>
      <c r="Y75" s="2023"/>
      <c r="Z75" s="2023"/>
      <c r="AA75" s="2023"/>
      <c r="AB75" s="2023"/>
      <c r="AC75" s="2023"/>
      <c r="AD75" s="2023"/>
      <c r="AE75" s="2023"/>
      <c r="AF75" s="2036"/>
      <c r="AG75" s="2023"/>
    </row>
    <row r="76" spans="1:33" s="2021" customFormat="1" ht="15.6" customHeight="1">
      <c r="A76" s="2028">
        <f>ROWS($A$6:A76)</f>
        <v>71</v>
      </c>
      <c r="P76" s="2027"/>
      <c r="Q76" s="5"/>
      <c r="R76" s="29"/>
      <c r="AF76" s="2033"/>
    </row>
    <row r="77" spans="1:33" s="2018" customFormat="1" ht="15.6" customHeight="1">
      <c r="A77" s="2028">
        <f>ROWS($A$6:A77)</f>
        <v>72</v>
      </c>
      <c r="P77" s="2027"/>
      <c r="Q77" s="29"/>
      <c r="AF77" s="2025"/>
    </row>
    <row r="78" spans="1:33" s="2018" customFormat="1" ht="15.6" customHeight="1">
      <c r="A78" s="2028">
        <f>ROWS($A$6:A78)</f>
        <v>73</v>
      </c>
      <c r="P78" s="29"/>
      <c r="Q78" s="29"/>
      <c r="AE78" s="2025"/>
    </row>
    <row r="79" spans="1:33" s="2018" customFormat="1" ht="15.6" customHeight="1">
      <c r="A79" s="2028">
        <f>ROWS($A$6:A79)</f>
        <v>74</v>
      </c>
      <c r="P79" s="29"/>
      <c r="Q79" s="29"/>
      <c r="AE79" s="2025"/>
    </row>
    <row r="80" spans="1:33" s="2018" customFormat="1" ht="15.6" customHeight="1">
      <c r="C80" s="1074"/>
      <c r="K80" s="2026"/>
      <c r="P80" s="29"/>
      <c r="Q80" s="29"/>
      <c r="S80" s="2018" t="s">
        <v>1270</v>
      </c>
      <c r="AE80" s="2025"/>
    </row>
    <row r="81" spans="1:28" ht="21.6" customHeight="1">
      <c r="A81" s="1954"/>
      <c r="B81" s="3267"/>
      <c r="L81" s="2021"/>
      <c r="M81" s="2021"/>
      <c r="N81" s="2021"/>
      <c r="O81" s="2021"/>
      <c r="P81" s="5"/>
    </row>
    <row r="82" spans="1:28" ht="16.149999999999999" customHeight="1">
      <c r="A82" s="33"/>
      <c r="B82" s="3267"/>
      <c r="L82" s="2021"/>
      <c r="M82" s="2021"/>
      <c r="N82" s="2021"/>
      <c r="O82" s="2021"/>
      <c r="P82" s="5"/>
    </row>
    <row r="83" spans="1:28" ht="16.149999999999999" customHeight="1">
      <c r="A83" s="33"/>
      <c r="B83" s="3267"/>
      <c r="L83" s="2021"/>
      <c r="M83" s="2021"/>
      <c r="N83" s="2021"/>
      <c r="O83" s="2021"/>
      <c r="P83" s="5"/>
    </row>
    <row r="84" spans="1:28" ht="16.149999999999999" customHeight="1">
      <c r="A84" s="33"/>
      <c r="B84" s="3267"/>
      <c r="L84" s="2021"/>
      <c r="M84" s="2021"/>
      <c r="N84" s="2021"/>
      <c r="O84" s="2021"/>
      <c r="P84" s="5"/>
    </row>
    <row r="85" spans="1:28" ht="15.75">
      <c r="A85" s="33"/>
      <c r="B85" s="3267"/>
      <c r="L85" s="2021"/>
      <c r="M85" s="2021"/>
      <c r="N85" s="2021"/>
      <c r="O85" s="2021"/>
      <c r="P85" s="5"/>
    </row>
    <row r="86" spans="1:28" ht="15.75">
      <c r="A86" s="33"/>
      <c r="B86" s="3267"/>
      <c r="L86" s="2021"/>
      <c r="M86" s="2021"/>
      <c r="N86" s="2021"/>
      <c r="O86" s="2021"/>
      <c r="P86" s="5"/>
    </row>
    <row r="87" spans="1:28" ht="15">
      <c r="A87" s="33"/>
      <c r="B87" s="33"/>
      <c r="C87" s="33"/>
      <c r="D87" s="33"/>
      <c r="E87" s="33"/>
      <c r="F87" s="676"/>
      <c r="H87" s="2017"/>
      <c r="I87" s="2017"/>
      <c r="J87" s="2017"/>
      <c r="K87" s="2017"/>
      <c r="L87" s="2017"/>
      <c r="M87" s="2017"/>
      <c r="N87" s="2017"/>
      <c r="O87" s="2017"/>
      <c r="P87" s="2021"/>
    </row>
    <row r="88" spans="1:28" ht="15">
      <c r="A88" s="33"/>
      <c r="B88" s="33"/>
      <c r="C88" s="15"/>
      <c r="D88" s="33"/>
      <c r="E88" s="33"/>
      <c r="F88" s="676"/>
      <c r="H88" s="2017"/>
      <c r="I88" s="2017"/>
      <c r="J88" s="2017"/>
      <c r="K88" s="2017"/>
      <c r="L88" s="2017"/>
      <c r="M88" s="2017"/>
      <c r="N88" s="2017"/>
      <c r="O88" s="2017"/>
      <c r="P88" s="2021"/>
    </row>
    <row r="89" spans="1:28">
      <c r="A89" s="33"/>
      <c r="B89" s="33"/>
      <c r="C89" s="33"/>
      <c r="D89" s="33"/>
      <c r="E89" s="33"/>
      <c r="F89" s="676"/>
      <c r="H89" s="2017"/>
      <c r="I89" s="2017"/>
      <c r="J89" s="2017"/>
      <c r="K89" s="2017"/>
      <c r="L89" s="2017"/>
      <c r="M89" s="2017"/>
      <c r="N89" s="2017"/>
      <c r="O89" s="2017"/>
    </row>
    <row r="90" spans="1:28">
      <c r="A90" s="33"/>
      <c r="B90" s="33"/>
      <c r="C90" s="33"/>
      <c r="D90" s="33"/>
      <c r="E90" s="33"/>
      <c r="F90" s="676"/>
      <c r="H90" s="2017"/>
      <c r="I90" s="2017"/>
      <c r="J90" s="2017"/>
      <c r="K90" s="2017"/>
      <c r="L90" s="2017"/>
      <c r="M90" s="2017"/>
      <c r="N90" s="2017"/>
      <c r="O90" s="2017"/>
    </row>
    <row r="91" spans="1:28">
      <c r="A91" s="33"/>
      <c r="B91" s="33"/>
      <c r="C91" s="33"/>
      <c r="D91" s="33"/>
      <c r="E91" s="33"/>
      <c r="F91" s="676"/>
      <c r="H91" s="2017"/>
      <c r="I91" s="2017"/>
      <c r="J91" s="2017"/>
      <c r="K91" s="2017"/>
      <c r="L91" s="2017"/>
      <c r="M91" s="2017"/>
      <c r="N91" s="2017"/>
      <c r="O91" s="2017"/>
    </row>
    <row r="92" spans="1:28" ht="18">
      <c r="A92" s="33"/>
      <c r="B92" s="33"/>
      <c r="C92" s="33"/>
      <c r="D92" s="33"/>
      <c r="E92" s="33"/>
      <c r="F92" s="676"/>
      <c r="H92" s="2017"/>
      <c r="I92" s="2017"/>
      <c r="J92" s="2017"/>
      <c r="K92" s="2017"/>
      <c r="L92" s="2017"/>
      <c r="M92" s="2017"/>
      <c r="N92" s="2017"/>
      <c r="O92" s="2017"/>
      <c r="P92" s="2024"/>
      <c r="Q92" s="2024"/>
      <c r="U92" s="3"/>
      <c r="V92" s="1"/>
      <c r="W92" s="2021" t="s">
        <v>1391</v>
      </c>
      <c r="X92" s="1"/>
      <c r="Y92" s="1"/>
      <c r="Z92" s="1"/>
      <c r="AA92" s="2023"/>
      <c r="AB92" s="2023"/>
    </row>
    <row r="93" spans="1:28" ht="18">
      <c r="A93" s="33"/>
      <c r="B93" s="33"/>
      <c r="C93" s="33"/>
      <c r="D93" s="33"/>
      <c r="E93" s="33"/>
      <c r="F93" s="676"/>
      <c r="H93" s="2017"/>
      <c r="I93" s="2017"/>
      <c r="J93" s="2017"/>
      <c r="K93" s="2017"/>
      <c r="L93" s="2017"/>
      <c r="M93" s="2017"/>
      <c r="N93" s="2017"/>
      <c r="O93" s="2017"/>
      <c r="U93" s="3"/>
      <c r="V93" s="1"/>
      <c r="W93" s="1"/>
      <c r="X93" s="1"/>
      <c r="Y93" s="1"/>
      <c r="Z93" s="1"/>
      <c r="AA93" s="2023"/>
      <c r="AB93" s="2022" t="s">
        <v>1390</v>
      </c>
    </row>
    <row r="94" spans="1:28" ht="15">
      <c r="A94" s="33"/>
      <c r="B94" s="33"/>
      <c r="C94" s="2016"/>
      <c r="D94" s="33"/>
      <c r="E94" s="33"/>
      <c r="F94" s="676"/>
      <c r="G94" s="10"/>
      <c r="H94" s="10"/>
      <c r="I94" s="10"/>
      <c r="J94" s="10"/>
      <c r="K94" s="10"/>
      <c r="L94" s="10"/>
      <c r="M94" s="10"/>
      <c r="N94" s="10"/>
      <c r="O94" s="10"/>
      <c r="P94" s="2017"/>
      <c r="Q94" s="2017"/>
      <c r="U94" s="29"/>
      <c r="V94" s="2021"/>
      <c r="W94" s="2021" t="s">
        <v>1389</v>
      </c>
      <c r="X94" s="2021" t="s">
        <v>1388</v>
      </c>
      <c r="Y94" s="2021" t="s">
        <v>1387</v>
      </c>
      <c r="Z94" s="2021" t="s">
        <v>1386</v>
      </c>
      <c r="AA94" s="2021" t="s">
        <v>1371</v>
      </c>
      <c r="AB94" s="2021"/>
    </row>
    <row r="95" spans="1:28" ht="15">
      <c r="A95" s="33"/>
      <c r="B95" s="33"/>
      <c r="C95" s="33"/>
      <c r="D95" s="33"/>
      <c r="E95" s="33"/>
      <c r="F95" s="676"/>
      <c r="G95" s="33"/>
      <c r="H95" s="33"/>
      <c r="I95" s="33"/>
      <c r="J95" s="33"/>
      <c r="K95" s="1154"/>
      <c r="L95" s="33"/>
      <c r="M95" s="33"/>
      <c r="N95" s="33"/>
      <c r="O95" s="33"/>
      <c r="P95" s="2017"/>
      <c r="Q95" s="2017"/>
      <c r="U95" s="29"/>
      <c r="V95" s="2018"/>
      <c r="W95" s="2019" t="s">
        <v>1385</v>
      </c>
      <c r="X95" s="2021" t="s">
        <v>1384</v>
      </c>
      <c r="Y95" s="2021" t="s">
        <v>1383</v>
      </c>
      <c r="Z95" s="2021" t="s">
        <v>1382</v>
      </c>
      <c r="AA95" s="2021" t="s">
        <v>1381</v>
      </c>
      <c r="AB95" s="2018"/>
    </row>
    <row r="96" spans="1:28">
      <c r="A96" s="33"/>
      <c r="B96" s="1954"/>
      <c r="E96" s="17"/>
      <c r="F96" s="2012"/>
      <c r="G96" s="2014"/>
      <c r="H96" s="2014"/>
      <c r="I96" s="2014"/>
      <c r="J96" s="2014"/>
      <c r="K96" s="2014"/>
      <c r="L96" s="2014"/>
      <c r="M96" s="2014"/>
      <c r="N96" s="2014"/>
      <c r="O96" s="2014"/>
      <c r="P96" s="2017"/>
      <c r="Q96" s="2017"/>
      <c r="U96" s="29"/>
      <c r="V96" s="2018"/>
      <c r="W96" s="2018" t="s">
        <v>1380</v>
      </c>
      <c r="X96" s="2018" t="s">
        <v>1379</v>
      </c>
      <c r="Y96" s="2018" t="s">
        <v>1378</v>
      </c>
      <c r="Z96" s="2019" t="s">
        <v>1377</v>
      </c>
      <c r="AA96" s="2018" t="s">
        <v>1376</v>
      </c>
      <c r="AB96" s="2018"/>
    </row>
    <row r="97" spans="1:28">
      <c r="A97" s="33"/>
      <c r="B97" s="1954"/>
      <c r="E97" s="17"/>
      <c r="F97" s="2012"/>
      <c r="G97" s="2014"/>
      <c r="H97" s="2014"/>
      <c r="I97" s="2014"/>
      <c r="J97" s="2014"/>
      <c r="K97" s="2014"/>
      <c r="L97" s="2014"/>
      <c r="M97" s="2014"/>
      <c r="N97" s="2014"/>
      <c r="O97" s="2014"/>
      <c r="P97" s="2017"/>
      <c r="Q97" s="2017"/>
      <c r="U97" s="29"/>
      <c r="V97" s="2018"/>
      <c r="W97" s="2018" t="s">
        <v>1375</v>
      </c>
      <c r="X97" s="2018" t="s">
        <v>1374</v>
      </c>
      <c r="Y97" s="2018" t="s">
        <v>1373</v>
      </c>
      <c r="Z97" s="2019" t="s">
        <v>1372</v>
      </c>
      <c r="AA97" s="2018" t="s">
        <v>1371</v>
      </c>
      <c r="AB97" s="2018"/>
    </row>
    <row r="98" spans="1:28">
      <c r="A98" s="33"/>
      <c r="B98" s="1954"/>
      <c r="C98" s="33"/>
      <c r="D98" s="33"/>
      <c r="E98" s="33"/>
      <c r="F98" s="2012"/>
      <c r="G98" s="2014"/>
      <c r="H98" s="2014"/>
      <c r="I98" s="2014"/>
      <c r="J98" s="2014"/>
      <c r="K98" s="2014"/>
      <c r="L98" s="2014"/>
      <c r="M98" s="2014"/>
      <c r="N98" s="2014"/>
      <c r="O98" s="2014"/>
      <c r="P98" s="2017"/>
      <c r="Q98" s="2017"/>
      <c r="U98" s="2019"/>
      <c r="V98" s="2018"/>
      <c r="W98" s="2018" t="s">
        <v>1370</v>
      </c>
      <c r="X98" s="2018" t="s">
        <v>1369</v>
      </c>
      <c r="Y98" s="2018" t="s">
        <v>1368</v>
      </c>
      <c r="Z98" s="2018" t="s">
        <v>1367</v>
      </c>
      <c r="AA98" s="2018" t="s">
        <v>1366</v>
      </c>
      <c r="AB98" s="2018"/>
    </row>
    <row r="99" spans="1:28">
      <c r="A99" s="33"/>
      <c r="B99" s="1954"/>
      <c r="C99" s="33"/>
      <c r="D99" s="33"/>
      <c r="E99" s="33"/>
      <c r="F99" s="2012"/>
      <c r="G99" s="2014"/>
      <c r="H99" s="2014"/>
      <c r="I99" s="2014"/>
      <c r="J99" s="2014"/>
      <c r="K99" s="2014"/>
      <c r="L99" s="2014"/>
      <c r="M99" s="2014"/>
      <c r="N99" s="2014"/>
      <c r="O99" s="2014"/>
      <c r="P99" s="2017"/>
      <c r="Q99" s="2017"/>
      <c r="U99" s="2019"/>
      <c r="V99" s="2018"/>
      <c r="W99" s="2018"/>
      <c r="X99" s="2018"/>
      <c r="Y99" s="2018"/>
      <c r="Z99" s="2018"/>
      <c r="AA99" s="2018"/>
      <c r="AB99" s="2018"/>
    </row>
    <row r="100" spans="1:28">
      <c r="A100" s="33"/>
      <c r="B100" s="1954"/>
      <c r="C100" s="33"/>
      <c r="D100" s="33"/>
      <c r="E100" s="33"/>
      <c r="F100" s="2012"/>
      <c r="G100" s="2014"/>
      <c r="H100" s="2014"/>
      <c r="I100" s="2014"/>
      <c r="J100" s="2014"/>
      <c r="K100" s="2014"/>
      <c r="L100" s="2014"/>
      <c r="M100" s="2014"/>
      <c r="N100" s="2014"/>
      <c r="O100" s="2014"/>
      <c r="P100" s="2017"/>
      <c r="Q100" s="2017"/>
      <c r="U100" s="2019"/>
      <c r="V100" s="2018"/>
      <c r="W100" s="2018" t="s">
        <v>1363</v>
      </c>
      <c r="X100" s="2018" t="s">
        <v>1362</v>
      </c>
      <c r="Y100" s="2018" t="s">
        <v>1361</v>
      </c>
      <c r="Z100" s="2018" t="s">
        <v>1365</v>
      </c>
      <c r="AA100" s="2018" t="s">
        <v>1364</v>
      </c>
      <c r="AB100" s="2018"/>
    </row>
    <row r="101" spans="1:28">
      <c r="A101" s="33"/>
      <c r="B101" s="1954"/>
      <c r="C101" s="33"/>
      <c r="D101" s="33"/>
      <c r="E101" s="33"/>
      <c r="F101" s="2012"/>
      <c r="G101" s="2014"/>
      <c r="H101" s="2014"/>
      <c r="I101" s="2014"/>
      <c r="J101" s="2014"/>
      <c r="K101" s="2014"/>
      <c r="L101" s="2014"/>
      <c r="M101" s="2014"/>
      <c r="N101" s="2014"/>
      <c r="O101" s="2014"/>
      <c r="P101" s="2017"/>
      <c r="Q101" s="2017"/>
      <c r="U101" s="2019"/>
      <c r="V101" s="2020"/>
      <c r="W101" s="2018" t="s">
        <v>1363</v>
      </c>
      <c r="X101" s="2018" t="s">
        <v>1362</v>
      </c>
      <c r="Y101" s="2018" t="s">
        <v>1361</v>
      </c>
      <c r="Z101" s="2018" t="s">
        <v>1360</v>
      </c>
      <c r="AA101" s="2018" t="s">
        <v>1359</v>
      </c>
      <c r="AB101" s="2018"/>
    </row>
    <row r="102" spans="1:28">
      <c r="A102" s="33"/>
      <c r="B102" s="1954"/>
      <c r="C102" s="33"/>
      <c r="D102" s="33"/>
      <c r="E102" s="33"/>
      <c r="F102" s="2012"/>
      <c r="G102" s="2014"/>
      <c r="H102" s="2014"/>
      <c r="I102" s="2014"/>
      <c r="J102" s="2014"/>
      <c r="K102" s="2014"/>
      <c r="L102" s="2014"/>
      <c r="M102" s="2014"/>
      <c r="N102" s="2014"/>
      <c r="O102" s="2014"/>
      <c r="P102" s="2017"/>
      <c r="Q102" s="2017"/>
      <c r="U102" s="2019"/>
      <c r="V102" s="2018"/>
      <c r="W102" s="2018"/>
      <c r="X102" s="2018"/>
      <c r="Y102" s="2018"/>
      <c r="Z102" s="2018"/>
      <c r="AA102" s="2018"/>
      <c r="AB102" s="2018"/>
    </row>
    <row r="103" spans="1:28">
      <c r="A103" s="33"/>
      <c r="B103" s="1954"/>
      <c r="C103" s="15"/>
      <c r="D103" s="33"/>
      <c r="E103" s="33"/>
      <c r="F103" s="2012"/>
      <c r="G103" s="2014"/>
      <c r="H103" s="2014"/>
      <c r="I103" s="2014"/>
      <c r="J103" s="2014"/>
      <c r="K103" s="2014"/>
      <c r="L103" s="2014"/>
      <c r="M103" s="2014"/>
      <c r="N103" s="2014"/>
      <c r="O103" s="2014"/>
      <c r="P103" s="2017"/>
      <c r="Q103" s="2017"/>
      <c r="U103" s="2019"/>
      <c r="V103" s="2018"/>
      <c r="W103" s="2018" t="s">
        <v>1358</v>
      </c>
      <c r="X103" s="2018" t="s">
        <v>1357</v>
      </c>
      <c r="Y103" s="2018" t="s">
        <v>1356</v>
      </c>
      <c r="Z103" s="2018" t="s">
        <v>1355</v>
      </c>
      <c r="AA103" s="2018" t="s">
        <v>1354</v>
      </c>
      <c r="AB103" s="2018"/>
    </row>
    <row r="104" spans="1:28">
      <c r="A104" s="33"/>
      <c r="B104" s="1954"/>
      <c r="C104" s="15"/>
      <c r="D104" s="33"/>
      <c r="E104" s="33"/>
      <c r="F104" s="2012"/>
      <c r="G104" s="2014"/>
      <c r="H104" s="2014"/>
      <c r="I104" s="2014"/>
      <c r="J104" s="2014"/>
      <c r="K104" s="2014"/>
      <c r="L104" s="2014"/>
      <c r="M104" s="2014"/>
      <c r="N104" s="2014"/>
      <c r="O104" s="2014"/>
      <c r="P104" s="2017"/>
      <c r="Q104" s="2017"/>
      <c r="U104" s="2018"/>
      <c r="V104" s="2018"/>
      <c r="W104" s="2018"/>
      <c r="X104" s="2018"/>
      <c r="Y104" s="2018"/>
      <c r="Z104" s="2019"/>
      <c r="AA104" s="2018"/>
      <c r="AB104" s="2018"/>
    </row>
    <row r="105" spans="1:28">
      <c r="A105" s="33"/>
      <c r="B105" s="1954"/>
      <c r="C105" s="33"/>
      <c r="D105" s="33"/>
      <c r="E105" s="33"/>
      <c r="F105" s="2012"/>
      <c r="G105" s="2014"/>
      <c r="H105" s="2014"/>
      <c r="I105" s="2014"/>
      <c r="J105" s="2014"/>
      <c r="K105" s="2014"/>
      <c r="L105" s="2014"/>
      <c r="M105" s="2014"/>
      <c r="N105" s="2014"/>
      <c r="O105" s="2014"/>
      <c r="P105" s="2017"/>
      <c r="Q105" s="2017"/>
      <c r="U105" s="2019"/>
      <c r="V105" s="2018"/>
      <c r="W105" s="2018"/>
      <c r="X105" s="2018"/>
      <c r="Y105" s="2018"/>
      <c r="Z105" s="2019"/>
      <c r="AA105" s="2018"/>
      <c r="AB105" s="2018"/>
    </row>
    <row r="106" spans="1:28">
      <c r="A106" s="33"/>
      <c r="B106" s="1954"/>
      <c r="C106" s="15"/>
      <c r="D106" s="33"/>
      <c r="E106" s="33"/>
      <c r="F106" s="2012"/>
      <c r="G106" s="2014"/>
      <c r="H106" s="2014"/>
      <c r="I106" s="2014"/>
      <c r="J106" s="2014"/>
      <c r="K106" s="2014"/>
      <c r="L106" s="2014"/>
      <c r="M106" s="2014"/>
      <c r="N106" s="2014"/>
      <c r="O106" s="2014"/>
      <c r="P106" s="2017"/>
      <c r="Q106" s="2017"/>
      <c r="U106" s="2019"/>
      <c r="V106" s="2018"/>
      <c r="W106" s="2018"/>
      <c r="X106" s="2018"/>
      <c r="Y106" s="2018"/>
      <c r="Z106" s="2018"/>
      <c r="AA106" s="2018"/>
      <c r="AB106" s="2018"/>
    </row>
    <row r="107" spans="1:28">
      <c r="A107" s="33"/>
      <c r="B107" s="1954"/>
      <c r="C107" s="15"/>
      <c r="D107" s="33"/>
      <c r="E107" s="33"/>
      <c r="F107" s="2012"/>
      <c r="G107" s="2014"/>
      <c r="H107" s="2014"/>
      <c r="I107" s="2014"/>
      <c r="J107" s="2014"/>
      <c r="K107" s="2014"/>
      <c r="L107" s="2014"/>
      <c r="M107" s="2014"/>
      <c r="N107" s="2014"/>
      <c r="O107" s="2014"/>
      <c r="P107" s="2017"/>
      <c r="Q107" s="2017"/>
      <c r="U107" s="2019"/>
      <c r="V107" s="2018"/>
      <c r="W107" s="2018"/>
      <c r="X107" s="2018"/>
      <c r="Y107" s="2018"/>
      <c r="Z107" s="2018"/>
      <c r="AA107" s="2018"/>
      <c r="AB107" s="2018"/>
    </row>
    <row r="108" spans="1:28">
      <c r="A108" s="33"/>
      <c r="B108" s="1954"/>
      <c r="C108" s="15"/>
      <c r="D108" s="33"/>
      <c r="E108" s="33"/>
      <c r="F108" s="2012"/>
      <c r="G108" s="2014"/>
      <c r="H108" s="2014"/>
      <c r="I108" s="2014"/>
      <c r="J108" s="2014"/>
      <c r="K108" s="2014"/>
      <c r="L108" s="2014"/>
      <c r="M108" s="2014"/>
      <c r="N108" s="2014"/>
      <c r="O108" s="2014"/>
      <c r="P108" s="2017"/>
      <c r="Q108" s="2017"/>
      <c r="U108" s="2019"/>
      <c r="V108" s="2018"/>
      <c r="W108" s="2018"/>
      <c r="X108" s="2018"/>
      <c r="Y108" s="2018"/>
      <c r="Z108" s="2018"/>
      <c r="AA108" s="2018"/>
      <c r="AB108" s="2018"/>
    </row>
    <row r="109" spans="1:28">
      <c r="A109" s="33"/>
      <c r="B109" s="1954"/>
      <c r="C109" s="15"/>
      <c r="D109" s="33"/>
      <c r="E109" s="33"/>
      <c r="F109" s="2012"/>
      <c r="G109" s="2014"/>
      <c r="H109" s="2014"/>
      <c r="I109" s="2014"/>
      <c r="J109" s="2014"/>
      <c r="K109" s="2014"/>
      <c r="L109" s="2014"/>
      <c r="M109" s="2014"/>
      <c r="N109" s="2014"/>
      <c r="O109" s="2014"/>
      <c r="P109" s="2017"/>
      <c r="Q109" s="2017"/>
      <c r="U109" s="2019"/>
      <c r="V109" s="2018"/>
      <c r="W109" s="2018" t="s">
        <v>1353</v>
      </c>
      <c r="X109" s="2018" t="s">
        <v>1352</v>
      </c>
      <c r="Y109" s="2018" t="s">
        <v>1351</v>
      </c>
      <c r="Z109" s="29" t="s">
        <v>1350</v>
      </c>
      <c r="AA109" s="2018" t="s">
        <v>1349</v>
      </c>
      <c r="AB109" s="2018"/>
    </row>
    <row r="110" spans="1:28">
      <c r="A110" s="33"/>
      <c r="B110" s="1954"/>
      <c r="C110" s="33"/>
      <c r="D110" s="33"/>
      <c r="E110" s="33"/>
      <c r="F110" s="2012"/>
      <c r="G110" s="2014"/>
      <c r="H110" s="2014"/>
      <c r="I110" s="2014"/>
      <c r="J110" s="2014"/>
      <c r="K110" s="2014"/>
      <c r="L110" s="2014"/>
      <c r="M110" s="2014"/>
      <c r="N110" s="2014"/>
      <c r="O110" s="2014"/>
      <c r="P110" s="2017"/>
      <c r="Q110" s="2017"/>
    </row>
    <row r="111" spans="1:28">
      <c r="A111" s="33"/>
      <c r="B111" s="1954"/>
      <c r="C111" s="15"/>
      <c r="D111" s="33"/>
      <c r="E111" s="33"/>
      <c r="F111" s="2012"/>
      <c r="G111" s="2014"/>
      <c r="H111" s="2014"/>
      <c r="I111" s="2014"/>
      <c r="J111" s="2014"/>
      <c r="K111" s="2014"/>
      <c r="L111" s="2014"/>
      <c r="M111" s="2014"/>
      <c r="N111" s="2014"/>
      <c r="O111" s="2014"/>
      <c r="P111" s="2017"/>
      <c r="Q111" s="2017"/>
    </row>
    <row r="112" spans="1:28">
      <c r="A112" s="33"/>
      <c r="B112" s="1954"/>
      <c r="C112" s="33"/>
      <c r="D112" s="33"/>
      <c r="E112" s="33"/>
      <c r="F112" s="2012"/>
      <c r="G112" s="2014"/>
      <c r="H112" s="2014"/>
      <c r="I112" s="2014"/>
      <c r="J112" s="2014"/>
      <c r="K112" s="2014"/>
      <c r="L112" s="2014"/>
      <c r="M112" s="2014"/>
      <c r="N112" s="2014"/>
      <c r="O112" s="2014"/>
      <c r="P112" s="2017"/>
      <c r="Q112" s="2017"/>
    </row>
    <row r="113" spans="1:19">
      <c r="A113" s="33"/>
      <c r="B113" s="1954"/>
      <c r="C113" s="33"/>
      <c r="D113" s="33"/>
      <c r="E113" s="33"/>
      <c r="F113" s="2012"/>
      <c r="G113" s="2014"/>
      <c r="H113" s="2014"/>
      <c r="I113" s="2014"/>
      <c r="J113" s="2014"/>
      <c r="K113" s="2014"/>
      <c r="L113" s="2014"/>
      <c r="M113" s="2014"/>
      <c r="N113" s="2014"/>
      <c r="O113" s="2014"/>
      <c r="P113" s="2017"/>
      <c r="Q113" s="2017"/>
    </row>
    <row r="114" spans="1:19">
      <c r="A114" s="33"/>
      <c r="B114" s="1954"/>
      <c r="C114" s="1954"/>
      <c r="D114" s="1954"/>
      <c r="E114" s="1954"/>
      <c r="F114" s="2012"/>
      <c r="G114" s="1954"/>
      <c r="H114" s="1954"/>
      <c r="I114" s="1954"/>
      <c r="J114" s="1954"/>
      <c r="K114" s="2011"/>
      <c r="L114" s="1954"/>
      <c r="M114" s="1954"/>
      <c r="N114" s="1954"/>
      <c r="O114" s="1954"/>
      <c r="P114" s="2017"/>
      <c r="Q114" s="2017"/>
    </row>
    <row r="115" spans="1:19">
      <c r="A115" s="33"/>
      <c r="B115" s="1954"/>
      <c r="C115" s="1954"/>
      <c r="D115" s="1954"/>
      <c r="E115" s="1954"/>
      <c r="F115" s="2012"/>
      <c r="G115" s="1954"/>
      <c r="H115" s="1954"/>
      <c r="I115" s="1954"/>
      <c r="J115" s="1954"/>
      <c r="K115" s="2011"/>
      <c r="L115" s="1954"/>
      <c r="M115" s="1954"/>
      <c r="N115" s="1954"/>
      <c r="O115" s="1954"/>
      <c r="P115" s="10"/>
      <c r="Q115" s="10"/>
      <c r="S115" s="2016"/>
    </row>
    <row r="116" spans="1:19">
      <c r="A116" s="33"/>
      <c r="B116" s="1954"/>
      <c r="C116" s="1954"/>
      <c r="D116" s="1954"/>
      <c r="E116" s="1954"/>
      <c r="F116" s="2012"/>
      <c r="G116" s="1954"/>
      <c r="H116" s="1954"/>
      <c r="I116" s="1954"/>
      <c r="J116" s="1954"/>
      <c r="K116" s="2011"/>
      <c r="L116" s="1954"/>
      <c r="M116" s="1954"/>
      <c r="N116" s="1954"/>
      <c r="O116" s="1954"/>
      <c r="S116" s="2016"/>
    </row>
    <row r="117" spans="1:19" ht="15">
      <c r="A117" s="1954"/>
      <c r="B117" s="1954"/>
      <c r="C117" s="1954"/>
      <c r="D117" s="1954"/>
      <c r="E117" s="1954"/>
      <c r="F117" s="2012"/>
      <c r="G117" s="1954"/>
      <c r="H117" s="1954"/>
      <c r="I117" s="1954"/>
      <c r="J117" s="1954"/>
      <c r="K117" s="2011"/>
      <c r="L117" s="1954"/>
      <c r="M117" s="1954"/>
      <c r="N117" s="1954"/>
      <c r="O117" s="1954"/>
      <c r="P117" s="2014"/>
      <c r="Q117" s="2014"/>
      <c r="S117" s="2013"/>
    </row>
    <row r="118" spans="1:19" ht="15">
      <c r="A118" s="1954"/>
      <c r="B118" s="1954"/>
      <c r="C118" s="1954"/>
      <c r="D118" s="1954"/>
      <c r="E118" s="1954"/>
      <c r="F118" s="2012"/>
      <c r="G118" s="1954"/>
      <c r="H118" s="1954"/>
      <c r="I118" s="1954"/>
      <c r="J118" s="1954"/>
      <c r="K118" s="2011"/>
      <c r="L118" s="1954"/>
      <c r="M118" s="1954"/>
      <c r="N118" s="1954"/>
      <c r="O118" s="1954"/>
      <c r="P118" s="2014"/>
      <c r="Q118" s="2014"/>
      <c r="S118" s="2013"/>
    </row>
    <row r="119" spans="1:19" ht="15">
      <c r="A119" s="1954"/>
      <c r="B119" s="1954"/>
      <c r="C119" s="1954"/>
      <c r="D119" s="1954"/>
      <c r="E119" s="1954"/>
      <c r="F119" s="2012"/>
      <c r="G119" s="1954"/>
      <c r="H119" s="1954"/>
      <c r="I119" s="1954"/>
      <c r="J119" s="1954"/>
      <c r="K119" s="2011"/>
      <c r="L119" s="1954"/>
      <c r="M119" s="1954"/>
      <c r="N119" s="1954"/>
      <c r="O119" s="1954"/>
      <c r="P119" s="2014"/>
      <c r="Q119" s="2014"/>
      <c r="S119" s="2013"/>
    </row>
    <row r="120" spans="1:19" ht="15">
      <c r="A120" s="1954"/>
      <c r="B120" s="1954"/>
      <c r="C120" s="1954"/>
      <c r="D120" s="1954"/>
      <c r="E120" s="1954"/>
      <c r="F120" s="2012"/>
      <c r="G120" s="1954"/>
      <c r="H120" s="1954"/>
      <c r="I120" s="1954"/>
      <c r="J120" s="1954"/>
      <c r="K120" s="2011"/>
      <c r="L120" s="1954"/>
      <c r="M120" s="1954"/>
      <c r="N120" s="1954"/>
      <c r="O120" s="1954"/>
      <c r="P120" s="2014"/>
      <c r="Q120" s="2014"/>
      <c r="S120" s="2013"/>
    </row>
    <row r="121" spans="1:19" ht="15">
      <c r="A121" s="1954"/>
      <c r="B121" s="1954"/>
      <c r="C121" s="1954"/>
      <c r="D121" s="1954"/>
      <c r="E121" s="1954"/>
      <c r="F121" s="2012"/>
      <c r="G121" s="1954"/>
      <c r="H121" s="1954"/>
      <c r="I121" s="1954"/>
      <c r="J121" s="1954"/>
      <c r="K121" s="2011"/>
      <c r="L121" s="1954"/>
      <c r="M121" s="1954"/>
      <c r="N121" s="1954"/>
      <c r="O121" s="1954"/>
      <c r="P121" s="2014"/>
      <c r="Q121" s="2014"/>
      <c r="S121" s="2013"/>
    </row>
    <row r="122" spans="1:19" ht="15">
      <c r="A122" s="1954"/>
      <c r="B122" s="1954"/>
      <c r="C122" s="1954"/>
      <c r="D122" s="1954"/>
      <c r="E122" s="1954"/>
      <c r="F122" s="2012"/>
      <c r="G122" s="1954"/>
      <c r="H122" s="1954"/>
      <c r="I122" s="1954"/>
      <c r="J122" s="1954"/>
      <c r="K122" s="2011"/>
      <c r="L122" s="1954"/>
      <c r="M122" s="1954"/>
      <c r="N122" s="1954"/>
      <c r="O122" s="1954"/>
      <c r="P122" s="2014"/>
      <c r="Q122" s="2014"/>
      <c r="S122" s="2013"/>
    </row>
    <row r="123" spans="1:19" ht="15">
      <c r="A123" s="1954"/>
      <c r="B123" s="1954"/>
      <c r="C123" s="1954"/>
      <c r="D123" s="1954"/>
      <c r="E123" s="1954"/>
      <c r="F123" s="2012"/>
      <c r="G123" s="1954"/>
      <c r="H123" s="1954"/>
      <c r="I123" s="1954"/>
      <c r="J123" s="1954"/>
      <c r="K123" s="2011"/>
      <c r="L123" s="1954"/>
      <c r="M123" s="1954"/>
      <c r="N123" s="1954"/>
      <c r="O123" s="1954"/>
      <c r="P123" s="2014"/>
      <c r="Q123" s="2014"/>
      <c r="S123" s="2013"/>
    </row>
    <row r="124" spans="1:19" ht="15">
      <c r="A124" s="1954"/>
      <c r="B124" s="1954"/>
      <c r="C124" s="1954"/>
      <c r="D124" s="1954"/>
      <c r="E124" s="1954"/>
      <c r="F124" s="2012"/>
      <c r="G124" s="1954"/>
      <c r="H124" s="1954"/>
      <c r="I124" s="1954"/>
      <c r="J124" s="1954"/>
      <c r="K124" s="2011"/>
      <c r="L124" s="1954"/>
      <c r="M124" s="1954"/>
      <c r="N124" s="1954"/>
      <c r="O124" s="1954"/>
      <c r="P124" s="2014"/>
      <c r="Q124" s="2014"/>
      <c r="S124" s="2013"/>
    </row>
    <row r="125" spans="1:19" ht="15">
      <c r="A125" s="1954"/>
      <c r="B125" s="1954"/>
      <c r="C125" s="1954"/>
      <c r="D125" s="1954"/>
      <c r="E125" s="1954"/>
      <c r="F125" s="2012"/>
      <c r="G125" s="1954"/>
      <c r="H125" s="1954"/>
      <c r="I125" s="1954"/>
      <c r="J125" s="1954"/>
      <c r="K125" s="2011"/>
      <c r="L125" s="1954"/>
      <c r="M125" s="1954"/>
      <c r="N125" s="1954"/>
      <c r="O125" s="1954"/>
      <c r="P125" s="2014"/>
      <c r="Q125" s="2014"/>
      <c r="S125" s="2013"/>
    </row>
    <row r="126" spans="1:19" ht="15">
      <c r="A126" s="1954"/>
      <c r="B126" s="1954"/>
      <c r="C126" s="1954"/>
      <c r="D126" s="1954"/>
      <c r="E126" s="1954"/>
      <c r="F126" s="2012"/>
      <c r="G126" s="1954"/>
      <c r="H126" s="1954"/>
      <c r="I126" s="1954"/>
      <c r="J126" s="1954"/>
      <c r="K126" s="2011"/>
      <c r="L126" s="1954"/>
      <c r="M126" s="1954"/>
      <c r="N126" s="1954"/>
      <c r="O126" s="1954"/>
      <c r="P126" s="2014"/>
      <c r="Q126" s="2014"/>
      <c r="S126" s="2013"/>
    </row>
    <row r="127" spans="1:19" ht="15">
      <c r="A127" s="1954"/>
      <c r="B127" s="1954"/>
      <c r="C127" s="1954"/>
      <c r="D127" s="1954"/>
      <c r="E127" s="1954"/>
      <c r="F127" s="2012"/>
      <c r="G127" s="1954"/>
      <c r="H127" s="1954"/>
      <c r="I127" s="1954"/>
      <c r="J127" s="1954"/>
      <c r="K127" s="2011"/>
      <c r="L127" s="1954"/>
      <c r="M127" s="1954"/>
      <c r="N127" s="1954"/>
      <c r="O127" s="1954"/>
      <c r="P127" s="2014"/>
      <c r="Q127" s="2014"/>
      <c r="S127" s="2013"/>
    </row>
    <row r="128" spans="1:19" ht="15">
      <c r="A128" s="1954"/>
      <c r="B128" s="1954"/>
      <c r="C128" s="1954"/>
      <c r="D128" s="1954"/>
      <c r="E128" s="1954"/>
      <c r="F128" s="2012"/>
      <c r="G128" s="1954"/>
      <c r="H128" s="1954"/>
      <c r="I128" s="1954"/>
      <c r="J128" s="1954"/>
      <c r="K128" s="2011"/>
      <c r="L128" s="1954"/>
      <c r="M128" s="1954"/>
      <c r="N128" s="1954"/>
      <c r="O128" s="1954"/>
      <c r="P128" s="2014"/>
      <c r="Q128" s="2014"/>
      <c r="S128" s="2013"/>
    </row>
    <row r="129" spans="1:19" ht="15">
      <c r="A129" s="1954"/>
      <c r="B129" s="1954"/>
      <c r="C129" s="1954"/>
      <c r="D129" s="1954"/>
      <c r="E129" s="1954"/>
      <c r="F129" s="2012"/>
      <c r="G129" s="1954"/>
      <c r="H129" s="1954"/>
      <c r="I129" s="1954"/>
      <c r="J129" s="1954"/>
      <c r="K129" s="2011"/>
      <c r="L129" s="1954"/>
      <c r="M129" s="1954"/>
      <c r="N129" s="1954"/>
      <c r="O129" s="1954"/>
      <c r="P129" s="2014"/>
      <c r="Q129" s="2014"/>
      <c r="S129" s="2013"/>
    </row>
    <row r="130" spans="1:19" ht="15">
      <c r="A130" s="1954"/>
      <c r="B130" s="1954"/>
      <c r="C130" s="1954"/>
      <c r="D130" s="1954"/>
      <c r="E130" s="1954"/>
      <c r="F130" s="2012"/>
      <c r="G130" s="1954"/>
      <c r="H130" s="1954"/>
      <c r="I130" s="1954"/>
      <c r="J130" s="1954"/>
      <c r="K130" s="2011"/>
      <c r="L130" s="1954"/>
      <c r="M130" s="1954"/>
      <c r="N130" s="1954"/>
      <c r="O130" s="1954"/>
      <c r="P130" s="2014"/>
      <c r="Q130" s="2014"/>
      <c r="S130" s="2013"/>
    </row>
    <row r="131" spans="1:19">
      <c r="A131" s="1954"/>
      <c r="B131" s="1954"/>
      <c r="C131" s="1954"/>
      <c r="D131" s="1954"/>
      <c r="E131" s="1954"/>
      <c r="F131" s="2012"/>
      <c r="G131" s="1954"/>
      <c r="H131" s="1954"/>
      <c r="I131" s="1954"/>
      <c r="J131" s="1954"/>
      <c r="K131" s="2011"/>
      <c r="L131" s="1954"/>
      <c r="M131" s="1954"/>
      <c r="N131" s="1954"/>
      <c r="O131" s="1954"/>
      <c r="P131" s="2014"/>
      <c r="Q131" s="2014"/>
      <c r="S131" s="2015"/>
    </row>
    <row r="132" spans="1:19">
      <c r="A132" s="1954"/>
      <c r="B132" s="1954"/>
      <c r="C132" s="1954"/>
      <c r="D132" s="1954"/>
      <c r="E132" s="1954"/>
      <c r="F132" s="2012"/>
      <c r="G132" s="1954"/>
      <c r="H132" s="1954"/>
      <c r="I132" s="1954"/>
      <c r="J132" s="1954"/>
      <c r="K132" s="2011"/>
      <c r="L132" s="1954"/>
      <c r="M132" s="1954"/>
      <c r="N132" s="1954"/>
      <c r="O132" s="1954"/>
      <c r="P132" s="2014"/>
      <c r="Q132" s="2014"/>
      <c r="S132" s="2015"/>
    </row>
    <row r="133" spans="1:19">
      <c r="A133" s="1954"/>
      <c r="B133" s="1954"/>
      <c r="C133" s="1954"/>
      <c r="D133" s="1954"/>
      <c r="E133" s="1954"/>
      <c r="F133" s="2012"/>
      <c r="G133" s="1954"/>
      <c r="H133" s="1954"/>
      <c r="I133" s="1954"/>
      <c r="J133" s="1954"/>
      <c r="K133" s="2011"/>
      <c r="L133" s="1954"/>
      <c r="M133" s="1954"/>
      <c r="N133" s="1954"/>
      <c r="O133" s="1954"/>
      <c r="P133" s="2014"/>
      <c r="Q133" s="2014"/>
      <c r="S133" s="2015"/>
    </row>
    <row r="134" spans="1:19" ht="15">
      <c r="A134" s="1954"/>
      <c r="B134" s="1954"/>
      <c r="C134" s="1954"/>
      <c r="D134" s="1954"/>
      <c r="E134" s="1954"/>
      <c r="F134" s="2012"/>
      <c r="G134" s="1954"/>
      <c r="H134" s="1954"/>
      <c r="I134" s="1954"/>
      <c r="J134" s="1954"/>
      <c r="K134" s="2011"/>
      <c r="L134" s="1954"/>
      <c r="M134" s="1954"/>
      <c r="N134" s="1954"/>
      <c r="O134" s="1954"/>
      <c r="P134" s="2014"/>
      <c r="Q134" s="2014"/>
      <c r="R134" s="2013"/>
      <c r="S134" s="2013"/>
    </row>
    <row r="135" spans="1:19">
      <c r="A135" s="1954"/>
      <c r="B135" s="1954"/>
      <c r="C135" s="1954"/>
      <c r="D135" s="1954"/>
      <c r="E135" s="1954"/>
      <c r="F135" s="2012"/>
      <c r="G135" s="1954"/>
      <c r="H135" s="1954"/>
      <c r="I135" s="1954"/>
      <c r="J135" s="1954"/>
      <c r="K135" s="2011"/>
      <c r="L135" s="1954"/>
      <c r="M135" s="1954"/>
      <c r="N135" s="1954"/>
      <c r="O135" s="1954"/>
    </row>
    <row r="136" spans="1:19">
      <c r="A136" s="1954"/>
      <c r="B136" s="1954"/>
      <c r="C136" s="1954"/>
      <c r="D136" s="1954"/>
      <c r="E136" s="1954"/>
      <c r="F136" s="2012"/>
      <c r="G136" s="1954"/>
      <c r="H136" s="1954"/>
      <c r="I136" s="1954"/>
      <c r="J136" s="1954"/>
      <c r="K136" s="2011"/>
      <c r="L136" s="1954"/>
      <c r="M136" s="1954"/>
      <c r="N136" s="1954"/>
      <c r="O136" s="1954"/>
    </row>
    <row r="137" spans="1:19">
      <c r="A137" s="1954"/>
      <c r="B137" s="1954"/>
      <c r="C137" s="1954"/>
      <c r="D137" s="1954"/>
      <c r="E137" s="1954"/>
      <c r="F137" s="2012"/>
      <c r="G137" s="1954"/>
      <c r="H137" s="1954"/>
      <c r="I137" s="1954"/>
      <c r="J137" s="1954"/>
      <c r="K137" s="2011"/>
      <c r="L137" s="1954"/>
      <c r="M137" s="1954"/>
      <c r="N137" s="1954"/>
      <c r="O137" s="1954"/>
    </row>
    <row r="138" spans="1:19">
      <c r="A138" s="1954"/>
      <c r="B138" s="1954"/>
      <c r="C138" s="1954"/>
      <c r="D138" s="1954"/>
      <c r="E138" s="1954"/>
      <c r="F138" s="2012"/>
      <c r="G138" s="1954"/>
      <c r="H138" s="1954"/>
      <c r="I138" s="1954"/>
      <c r="J138" s="1954"/>
      <c r="K138" s="2011"/>
      <c r="L138" s="1954"/>
      <c r="M138" s="1954"/>
      <c r="N138" s="1954"/>
      <c r="O138" s="1954"/>
    </row>
    <row r="139" spans="1:19">
      <c r="A139" s="1954"/>
      <c r="B139" s="1954"/>
      <c r="C139" s="1954"/>
      <c r="D139" s="1954"/>
      <c r="E139" s="1954"/>
      <c r="F139" s="2012"/>
      <c r="G139" s="1954"/>
      <c r="H139" s="1954"/>
      <c r="I139" s="1954"/>
      <c r="J139" s="1954"/>
      <c r="K139" s="2011"/>
      <c r="L139" s="1954"/>
      <c r="M139" s="1954"/>
      <c r="N139" s="1954"/>
      <c r="O139" s="1954"/>
    </row>
    <row r="140" spans="1:19">
      <c r="A140" s="1954"/>
      <c r="B140" s="1954"/>
      <c r="C140" s="1954"/>
      <c r="D140" s="1954"/>
      <c r="E140" s="1954"/>
      <c r="F140" s="2012"/>
      <c r="G140" s="1954"/>
      <c r="H140" s="1954"/>
      <c r="I140" s="1954"/>
      <c r="J140" s="1954"/>
      <c r="K140" s="2011"/>
      <c r="L140" s="1954"/>
      <c r="M140" s="1954"/>
      <c r="N140" s="1954"/>
      <c r="O140" s="1954"/>
    </row>
    <row r="141" spans="1:19">
      <c r="A141" s="1954"/>
      <c r="B141" s="1954"/>
      <c r="C141" s="1954"/>
      <c r="D141" s="1954"/>
      <c r="E141" s="1954"/>
      <c r="F141" s="2012"/>
      <c r="G141" s="1954"/>
      <c r="H141" s="1954"/>
      <c r="I141" s="1954"/>
      <c r="J141" s="1954"/>
      <c r="K141" s="2011"/>
      <c r="L141" s="1954"/>
      <c r="M141" s="1954"/>
      <c r="N141" s="1954"/>
      <c r="O141" s="1954"/>
    </row>
    <row r="142" spans="1:19">
      <c r="A142" s="1954"/>
      <c r="B142" s="1954"/>
      <c r="C142" s="1954"/>
      <c r="D142" s="1954"/>
      <c r="E142" s="1954"/>
      <c r="F142" s="2012"/>
      <c r="G142" s="1954"/>
      <c r="H142" s="1954"/>
      <c r="I142" s="1954"/>
      <c r="J142" s="1954"/>
      <c r="K142" s="2011"/>
      <c r="L142" s="1954"/>
      <c r="M142" s="1954"/>
      <c r="N142" s="1954"/>
      <c r="O142" s="1954"/>
    </row>
    <row r="143" spans="1:19">
      <c r="A143" s="1954"/>
      <c r="B143" s="1954"/>
      <c r="C143" s="1954"/>
      <c r="D143" s="1954"/>
      <c r="E143" s="1954"/>
      <c r="F143" s="2012"/>
      <c r="G143" s="1954"/>
      <c r="H143" s="1954"/>
      <c r="I143" s="1954"/>
      <c r="J143" s="1954"/>
      <c r="K143" s="2011"/>
      <c r="L143" s="1954"/>
      <c r="M143" s="1954"/>
      <c r="N143" s="1954"/>
      <c r="O143" s="1954"/>
    </row>
    <row r="144" spans="1:19">
      <c r="A144" s="1954"/>
      <c r="B144" s="1954"/>
      <c r="C144" s="1954"/>
      <c r="D144" s="1954"/>
      <c r="E144" s="1954"/>
      <c r="F144" s="2012"/>
      <c r="G144" s="1954"/>
      <c r="H144" s="1954"/>
      <c r="I144" s="1954"/>
      <c r="J144" s="1954"/>
      <c r="K144" s="2011"/>
      <c r="L144" s="1954"/>
      <c r="M144" s="1954"/>
      <c r="N144" s="1954"/>
      <c r="O144" s="1954"/>
    </row>
    <row r="145" spans="1:15">
      <c r="A145" s="1954"/>
      <c r="B145" s="1954"/>
      <c r="C145" s="1954"/>
      <c r="D145" s="1954"/>
      <c r="E145" s="1954"/>
      <c r="F145" s="2012"/>
      <c r="G145" s="1954"/>
      <c r="H145" s="1954"/>
      <c r="I145" s="1954"/>
      <c r="J145" s="1954"/>
      <c r="K145" s="2011"/>
      <c r="L145" s="1954"/>
      <c r="M145" s="1954"/>
      <c r="N145" s="1954"/>
      <c r="O145" s="1954"/>
    </row>
    <row r="146" spans="1:15">
      <c r="A146" s="1954"/>
      <c r="B146" s="1954"/>
      <c r="C146" s="1954"/>
      <c r="D146" s="1954"/>
      <c r="E146" s="1954"/>
      <c r="F146" s="2012"/>
      <c r="G146" s="1954"/>
      <c r="H146" s="1954"/>
      <c r="I146" s="1954"/>
      <c r="J146" s="1954"/>
      <c r="K146" s="2011"/>
      <c r="L146" s="1954"/>
      <c r="M146" s="1954"/>
      <c r="N146" s="1954"/>
      <c r="O146" s="1954"/>
    </row>
    <row r="147" spans="1:15">
      <c r="A147" s="1954"/>
      <c r="B147" s="1954"/>
      <c r="C147" s="1954"/>
      <c r="D147" s="1954"/>
      <c r="E147" s="1954"/>
      <c r="F147" s="2012"/>
      <c r="G147" s="1954"/>
      <c r="H147" s="1954"/>
      <c r="I147" s="1954"/>
      <c r="J147" s="1954"/>
      <c r="K147" s="2011"/>
      <c r="L147" s="1954"/>
      <c r="M147" s="1954"/>
      <c r="N147" s="1954"/>
      <c r="O147" s="1954"/>
    </row>
    <row r="148" spans="1:15">
      <c r="A148" s="1954"/>
      <c r="B148" s="1954"/>
      <c r="C148" s="1954"/>
      <c r="D148" s="1954"/>
      <c r="E148" s="1954"/>
      <c r="F148" s="2012"/>
      <c r="G148" s="1954"/>
      <c r="H148" s="1954"/>
      <c r="I148" s="1954"/>
      <c r="J148" s="1954"/>
      <c r="K148" s="2011"/>
      <c r="L148" s="1954"/>
      <c r="M148" s="1954"/>
      <c r="N148" s="1954"/>
      <c r="O148" s="1954"/>
    </row>
    <row r="149" spans="1:15">
      <c r="A149" s="1954"/>
      <c r="B149" s="1954"/>
      <c r="C149" s="1954"/>
      <c r="D149" s="1954"/>
      <c r="E149" s="1954"/>
      <c r="F149" s="2012"/>
      <c r="G149" s="1954"/>
      <c r="H149" s="1954"/>
      <c r="I149" s="1954"/>
      <c r="J149" s="1954"/>
      <c r="K149" s="2011"/>
      <c r="L149" s="1954"/>
      <c r="M149" s="1954"/>
      <c r="N149" s="1954"/>
      <c r="O149" s="1954"/>
    </row>
    <row r="150" spans="1:15">
      <c r="A150" s="1954"/>
      <c r="B150" s="1954"/>
      <c r="C150" s="1954"/>
      <c r="D150" s="1954"/>
      <c r="E150" s="1954"/>
      <c r="F150" s="2012"/>
      <c r="G150" s="1954"/>
      <c r="H150" s="1954"/>
      <c r="I150" s="1954"/>
      <c r="J150" s="1954"/>
      <c r="K150" s="2011"/>
      <c r="L150" s="1954"/>
      <c r="M150" s="1954"/>
      <c r="N150" s="1954"/>
      <c r="O150" s="1954"/>
    </row>
    <row r="151" spans="1:15">
      <c r="A151" s="1954"/>
    </row>
    <row r="152" spans="1:15">
      <c r="A152" s="1954"/>
    </row>
    <row r="153" spans="1:15">
      <c r="A153" s="1954"/>
    </row>
    <row r="154" spans="1:15">
      <c r="A154" s="1954"/>
    </row>
    <row r="155" spans="1:15">
      <c r="A155" s="1954"/>
    </row>
    <row r="156" spans="1:15">
      <c r="A156" s="1954"/>
    </row>
    <row r="157" spans="1:15">
      <c r="A157" s="1954"/>
    </row>
    <row r="158" spans="1:15">
      <c r="A158" s="1954"/>
    </row>
    <row r="159" spans="1:15">
      <c r="A159" s="1954"/>
    </row>
    <row r="160" spans="1:15">
      <c r="A160" s="1954"/>
    </row>
    <row r="161" spans="1:1">
      <c r="A161" s="1954"/>
    </row>
    <row r="162" spans="1:1">
      <c r="A162" s="1954"/>
    </row>
    <row r="163" spans="1:1">
      <c r="A163" s="1954"/>
    </row>
    <row r="164" spans="1:1">
      <c r="A164" s="1954"/>
    </row>
    <row r="165" spans="1:1">
      <c r="A165" s="1954"/>
    </row>
    <row r="166" spans="1:1">
      <c r="A166" s="1954"/>
    </row>
    <row r="167" spans="1:1">
      <c r="A167" s="1954"/>
    </row>
    <row r="168" spans="1:1">
      <c r="A168" s="1954"/>
    </row>
    <row r="169" spans="1:1">
      <c r="A169" s="1954"/>
    </row>
    <row r="170" spans="1:1">
      <c r="A170" s="1954"/>
    </row>
    <row r="171" spans="1:1">
      <c r="A171" s="1954"/>
    </row>
  </sheetData>
  <sheetProtection sheet="1" objects="1" scenarios="1"/>
  <mergeCells count="5">
    <mergeCell ref="B66:I66"/>
    <mergeCell ref="C62:J63"/>
    <mergeCell ref="C64:J65"/>
    <mergeCell ref="G53:N54"/>
    <mergeCell ref="G14:N1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1"/>
  <headerFooter alignWithMargins="0">
    <oddFooter>&amp;L&amp;11LEL Schwäbisch Gmünd&amp;C&amp;11 &amp;R&amp;11&amp;F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10</xdr:col>
                    <xdr:colOff>161925</xdr:colOff>
                    <xdr:row>60</xdr:row>
                    <xdr:rowOff>104775</xdr:rowOff>
                  </from>
                  <to>
                    <xdr:col>10</xdr:col>
                    <xdr:colOff>361950</xdr:colOff>
                    <xdr:row>61</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10</xdr:col>
                    <xdr:colOff>152400</xdr:colOff>
                    <xdr:row>63</xdr:row>
                    <xdr:rowOff>114300</xdr:rowOff>
                  </from>
                  <to>
                    <xdr:col>10</xdr:col>
                    <xdr:colOff>381000</xdr:colOff>
                    <xdr:row>64</xdr:row>
                    <xdr:rowOff>152400</xdr:rowOff>
                  </to>
                </anchor>
              </controlPr>
            </control>
          </mc:Choice>
        </mc:AlternateContent>
        <mc:AlternateContent xmlns:mc="http://schemas.openxmlformats.org/markup-compatibility/2006">
          <mc:Choice Requires="x14">
            <control shapeId="56323" r:id="rId6" name="Drop Down 3">
              <controlPr defaultSize="0" autoLine="0" autoPict="0">
                <anchor moveWithCells="1">
                  <from>
                    <xdr:col>9</xdr:col>
                    <xdr:colOff>57150</xdr:colOff>
                    <xdr:row>6</xdr:row>
                    <xdr:rowOff>57150</xdr:rowOff>
                  </from>
                  <to>
                    <xdr:col>11</xdr:col>
                    <xdr:colOff>704850</xdr:colOff>
                    <xdr:row>6</xdr:row>
                    <xdr:rowOff>352425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00B0F0"/>
    <pageSetUpPr fitToPage="1"/>
  </sheetPr>
  <dimension ref="A1:AP118"/>
  <sheetViews>
    <sheetView showZeros="0" zoomScaleNormal="100" workbookViewId="0"/>
  </sheetViews>
  <sheetFormatPr baseColWidth="10" defaultColWidth="10.5" defaultRowHeight="12.75"/>
  <cols>
    <col min="1" max="1" width="1.5" style="31" customWidth="1"/>
    <col min="2" max="2" width="4.25" style="32" customWidth="1"/>
    <col min="3" max="5" width="11.375" style="32" customWidth="1"/>
    <col min="6" max="6" width="17.125" style="32" customWidth="1"/>
    <col min="7" max="8" width="9.875" style="32" customWidth="1"/>
    <col min="9" max="13" width="9.875" style="39" customWidth="1"/>
    <col min="14" max="14" width="10.75" style="32" customWidth="1"/>
    <col min="15" max="15" width="4.5" style="32" customWidth="1"/>
    <col min="16" max="18" width="9.875" style="32" customWidth="1"/>
    <col min="19" max="21" width="9.875" style="32" hidden="1" customWidth="1"/>
    <col min="22" max="25" width="6.625" style="39" hidden="1" customWidth="1"/>
    <col min="26" max="26" width="7.25" style="32" hidden="1" customWidth="1"/>
    <col min="27" max="27" width="0" style="31" hidden="1" customWidth="1"/>
    <col min="28" max="16384" width="10.5" style="31"/>
  </cols>
  <sheetData>
    <row r="1" spans="1:42" ht="16.5" customHeight="1">
      <c r="N1" s="32">
        <f>COLUMN()-2</f>
        <v>12</v>
      </c>
    </row>
    <row r="2" spans="1:42" ht="24" customHeight="1">
      <c r="A2" s="320"/>
      <c r="B2" s="382" t="s">
        <v>224</v>
      </c>
      <c r="C2" s="31"/>
      <c r="D2" s="31"/>
      <c r="E2" s="31"/>
      <c r="F2" s="31"/>
      <c r="G2" s="31"/>
      <c r="H2" s="31"/>
      <c r="I2" s="381"/>
      <c r="J2" s="31"/>
      <c r="K2" s="380"/>
      <c r="L2" s="4242" t="s">
        <v>184</v>
      </c>
      <c r="M2" s="4242"/>
      <c r="N2" s="4242"/>
      <c r="P2" s="328"/>
      <c r="Q2" s="31"/>
      <c r="S2" s="31"/>
      <c r="T2" s="31"/>
      <c r="U2" s="31"/>
      <c r="V2" s="31"/>
      <c r="W2" s="31"/>
      <c r="X2" s="31"/>
      <c r="Y2" s="31"/>
      <c r="Z2" s="31"/>
    </row>
    <row r="3" spans="1:42" ht="18" customHeight="1">
      <c r="A3" s="320"/>
      <c r="B3" s="31"/>
      <c r="C3" s="31"/>
      <c r="D3" s="31"/>
      <c r="E3" s="31"/>
      <c r="F3" s="377"/>
      <c r="G3" s="31"/>
      <c r="H3" s="31"/>
      <c r="I3" s="32"/>
      <c r="J3" s="31"/>
      <c r="K3" s="380"/>
      <c r="L3" s="31"/>
      <c r="M3" s="31"/>
      <c r="N3" s="48">
        <f>'SDK1'!O3</f>
        <v>0</v>
      </c>
      <c r="P3" s="379"/>
      <c r="Q3" s="31"/>
      <c r="R3" s="378"/>
      <c r="S3" s="377"/>
      <c r="T3" s="31"/>
      <c r="U3" s="31"/>
      <c r="V3" s="31"/>
      <c r="W3" s="31"/>
      <c r="X3" s="31"/>
      <c r="Y3" s="260"/>
      <c r="Z3" s="31"/>
      <c r="AA3" s="257"/>
      <c r="AB3" s="257"/>
      <c r="AC3" s="257"/>
      <c r="AD3" s="257"/>
      <c r="AE3" s="257"/>
      <c r="AF3" s="257"/>
      <c r="AG3" s="257"/>
      <c r="AH3" s="257"/>
      <c r="AI3" s="257"/>
      <c r="AJ3" s="257"/>
      <c r="AK3" s="257"/>
      <c r="AL3" s="257"/>
      <c r="AM3" s="257"/>
      <c r="AN3" s="257"/>
      <c r="AO3" s="257"/>
    </row>
    <row r="4" spans="1:42" ht="9" customHeight="1">
      <c r="A4" s="320"/>
      <c r="C4" s="31"/>
      <c r="D4" s="31"/>
      <c r="E4" s="31"/>
      <c r="F4" s="31"/>
      <c r="G4" s="31"/>
      <c r="H4" s="31"/>
      <c r="I4" s="31"/>
      <c r="J4" s="31"/>
      <c r="K4" s="31"/>
      <c r="L4" s="31"/>
      <c r="M4" s="31"/>
      <c r="N4" s="31"/>
      <c r="P4" s="31"/>
      <c r="Q4" s="31"/>
      <c r="R4" s="31"/>
      <c r="S4" s="31"/>
      <c r="T4" s="31"/>
      <c r="U4" s="31"/>
      <c r="V4" s="31"/>
      <c r="W4" s="31"/>
      <c r="X4" s="31"/>
      <c r="Y4" s="31"/>
      <c r="Z4" s="31"/>
      <c r="AA4" s="257"/>
      <c r="AB4" s="257"/>
      <c r="AC4" s="257"/>
      <c r="AD4" s="257"/>
      <c r="AE4" s="257"/>
      <c r="AF4" s="257"/>
      <c r="AG4" s="257"/>
      <c r="AH4" s="257"/>
      <c r="AI4" s="257"/>
      <c r="AJ4" s="257"/>
      <c r="AK4" s="257"/>
      <c r="AL4" s="257"/>
      <c r="AM4" s="257"/>
      <c r="AN4" s="257"/>
      <c r="AO4" s="257"/>
    </row>
    <row r="5" spans="1:42" ht="16.899999999999999" customHeight="1">
      <c r="A5" s="320"/>
      <c r="B5" s="4022"/>
      <c r="C5" s="3910"/>
      <c r="D5" s="3910"/>
      <c r="E5" s="3444"/>
      <c r="F5" s="3444"/>
      <c r="G5" s="4031" t="s">
        <v>284</v>
      </c>
      <c r="H5" s="373"/>
      <c r="I5" s="4021"/>
      <c r="J5" s="4021"/>
      <c r="K5" s="4021"/>
      <c r="L5" s="4021"/>
      <c r="M5" s="4021"/>
      <c r="N5" s="4031" t="s">
        <v>283</v>
      </c>
      <c r="P5" s="31"/>
      <c r="Q5" s="31"/>
      <c r="R5" s="31"/>
      <c r="S5" s="31"/>
      <c r="T5" s="31"/>
      <c r="U5" s="31"/>
      <c r="V5" s="31"/>
      <c r="W5" s="31"/>
      <c r="X5" s="31"/>
      <c r="Y5" s="31"/>
      <c r="Z5" s="31"/>
      <c r="AA5" s="257"/>
      <c r="AB5" s="257"/>
      <c r="AC5" s="257"/>
      <c r="AD5" s="257"/>
      <c r="AE5" s="257"/>
    </row>
    <row r="6" spans="1:42" ht="16.899999999999999" customHeight="1">
      <c r="A6" s="320"/>
      <c r="B6" s="4022"/>
      <c r="C6" s="4022"/>
      <c r="D6" s="4022"/>
      <c r="E6" s="4022"/>
      <c r="F6" s="4022"/>
      <c r="G6" s="3446">
        <v>2017</v>
      </c>
      <c r="H6" s="3446">
        <v>2018</v>
      </c>
      <c r="I6" s="3446">
        <v>2019</v>
      </c>
      <c r="J6" s="373">
        <v>2020</v>
      </c>
      <c r="K6" s="373">
        <v>2021</v>
      </c>
      <c r="L6" s="373">
        <v>2022</v>
      </c>
      <c r="M6" s="373">
        <v>2023</v>
      </c>
      <c r="N6" s="4018">
        <v>2023</v>
      </c>
      <c r="P6" s="31"/>
      <c r="Q6" s="31"/>
      <c r="R6" s="31"/>
      <c r="S6" s="31"/>
      <c r="T6" s="31"/>
      <c r="U6" s="31"/>
      <c r="V6" s="31"/>
      <c r="W6" s="31"/>
      <c r="X6" s="31"/>
      <c r="Y6" s="31"/>
      <c r="Z6" s="31"/>
      <c r="AA6" s="257"/>
      <c r="AB6" s="257"/>
      <c r="AC6" s="257"/>
      <c r="AD6" s="257"/>
      <c r="AE6" s="257"/>
    </row>
    <row r="7" spans="1:42" ht="51.95" customHeight="1">
      <c r="A7" s="320"/>
      <c r="B7" s="375"/>
      <c r="C7" s="4240" t="s">
        <v>2170</v>
      </c>
      <c r="D7" s="4241"/>
      <c r="E7" s="4241"/>
      <c r="F7" s="4241"/>
      <c r="G7" s="4241"/>
      <c r="H7" s="4241"/>
      <c r="I7" s="4241"/>
      <c r="J7" s="4241"/>
      <c r="K7" s="4241"/>
      <c r="L7" s="4241"/>
      <c r="M7" s="4241"/>
      <c r="N7" s="4241"/>
      <c r="P7" s="31"/>
      <c r="Q7" s="136"/>
      <c r="R7" s="136"/>
      <c r="S7" s="136"/>
      <c r="T7" s="136"/>
      <c r="U7" s="136"/>
      <c r="V7" s="136"/>
      <c r="W7" s="136"/>
      <c r="X7" s="136"/>
      <c r="Y7" s="136"/>
      <c r="Z7" s="136"/>
      <c r="AA7" s="136"/>
      <c r="AB7" s="257"/>
      <c r="AC7" s="257"/>
      <c r="AD7" s="257"/>
      <c r="AE7" s="257"/>
    </row>
    <row r="8" spans="1:42" ht="18" customHeight="1">
      <c r="A8" s="320"/>
      <c r="B8" s="3447" t="s">
        <v>297</v>
      </c>
      <c r="C8" s="765"/>
      <c r="D8" s="4022"/>
      <c r="E8" s="4022"/>
      <c r="F8" s="4022"/>
      <c r="G8" s="373"/>
      <c r="H8" s="373"/>
      <c r="I8" s="373"/>
      <c r="J8" s="373"/>
      <c r="K8" s="373"/>
      <c r="L8" s="373"/>
      <c r="M8" s="373"/>
      <c r="N8" s="373"/>
      <c r="O8" s="373"/>
      <c r="P8" s="31"/>
      <c r="Q8" s="136"/>
      <c r="R8" s="136"/>
      <c r="S8" s="136"/>
      <c r="T8" s="136"/>
      <c r="U8" s="136"/>
      <c r="V8" s="136"/>
      <c r="W8" s="136"/>
      <c r="X8" s="136"/>
      <c r="Y8" s="136"/>
      <c r="Z8" s="136"/>
      <c r="AA8" s="136"/>
      <c r="AB8" s="257"/>
      <c r="AC8" s="257"/>
      <c r="AD8" s="257"/>
      <c r="AE8" s="257"/>
    </row>
    <row r="9" spans="1:42" ht="16.899999999999999" customHeight="1">
      <c r="A9" s="320"/>
      <c r="B9" s="3928" t="s">
        <v>287</v>
      </c>
      <c r="C9" s="239" t="s">
        <v>296</v>
      </c>
      <c r="D9" s="281"/>
      <c r="E9" s="319"/>
      <c r="F9" s="319"/>
      <c r="G9" s="351"/>
      <c r="H9" s="351"/>
      <c r="I9" s="351"/>
      <c r="J9" s="351"/>
      <c r="K9" s="351"/>
      <c r="L9" s="351"/>
      <c r="M9" s="351"/>
      <c r="N9" s="351"/>
      <c r="P9" s="31"/>
      <c r="Q9" s="31"/>
      <c r="R9" s="31"/>
      <c r="S9" s="31"/>
      <c r="T9" s="31"/>
      <c r="U9" s="31"/>
      <c r="V9" s="31"/>
      <c r="W9" s="31"/>
      <c r="X9" s="31"/>
      <c r="Y9" s="31"/>
      <c r="Z9" s="31"/>
      <c r="AA9" s="257"/>
      <c r="AB9" s="257"/>
      <c r="AC9" s="257"/>
      <c r="AD9" s="257"/>
      <c r="AE9" s="257"/>
    </row>
    <row r="10" spans="1:42" ht="16.899999999999999" customHeight="1">
      <c r="A10" s="320"/>
      <c r="B10" s="73"/>
      <c r="C10" s="274"/>
      <c r="D10" s="45"/>
      <c r="E10" s="3341"/>
      <c r="F10" s="3341"/>
      <c r="G10" s="373"/>
      <c r="H10" s="373"/>
      <c r="I10" s="4036"/>
      <c r="J10" s="373"/>
      <c r="K10" s="373"/>
      <c r="L10" s="372"/>
      <c r="M10" s="372"/>
      <c r="N10" s="3448"/>
      <c r="P10" s="31"/>
      <c r="Q10" s="31"/>
      <c r="R10" s="31"/>
      <c r="S10" s="31"/>
      <c r="T10" s="31"/>
      <c r="U10" s="31"/>
      <c r="V10" s="31"/>
      <c r="W10" s="31"/>
      <c r="X10" s="31"/>
      <c r="Y10" s="31"/>
      <c r="Z10" s="31"/>
      <c r="AA10" s="257"/>
      <c r="AB10" s="257"/>
      <c r="AC10" s="257"/>
      <c r="AD10" s="257"/>
      <c r="AE10" s="257"/>
    </row>
    <row r="11" spans="1:42" s="231" customFormat="1" ht="16.899999999999999" customHeight="1">
      <c r="B11" s="3449">
        <v>1</v>
      </c>
      <c r="C11" s="4030" t="s">
        <v>2101</v>
      </c>
      <c r="D11" s="3450"/>
      <c r="E11" s="3450"/>
      <c r="F11" s="721"/>
      <c r="G11" s="342"/>
      <c r="H11" s="342"/>
      <c r="I11" s="342"/>
      <c r="J11" s="342"/>
      <c r="K11" s="342"/>
      <c r="L11" s="368"/>
      <c r="M11" s="366">
        <v>80</v>
      </c>
      <c r="N11" s="3451">
        <f>HLOOKUP($N$6,$G$6:M11,ROWS($N$6:N11),FALSE)</f>
        <v>80</v>
      </c>
      <c r="O11" s="45"/>
      <c r="P11"/>
      <c r="Q11"/>
      <c r="R11"/>
      <c r="S11" s="31"/>
      <c r="T11" s="31"/>
      <c r="U11" s="31"/>
      <c r="V11" s="31"/>
      <c r="W11" s="31"/>
      <c r="X11" s="31"/>
      <c r="Y11" s="31"/>
      <c r="Z11" s="31"/>
      <c r="AF11" s="31"/>
      <c r="AG11" s="31"/>
      <c r="AH11" s="31"/>
      <c r="AI11" s="31"/>
      <c r="AJ11" s="31"/>
      <c r="AK11" s="31"/>
      <c r="AL11" s="31"/>
      <c r="AM11" s="31"/>
      <c r="AN11" s="31"/>
      <c r="AO11" s="31"/>
      <c r="AP11" s="31"/>
    </row>
    <row r="12" spans="1:42" s="231" customFormat="1" ht="16.899999999999999" customHeight="1">
      <c r="B12" s="3452">
        <f>B11+1</f>
        <v>2</v>
      </c>
      <c r="C12" s="4032" t="s">
        <v>2102</v>
      </c>
      <c r="D12" s="4022"/>
      <c r="E12" s="4022"/>
      <c r="F12" s="4023"/>
      <c r="G12" s="368">
        <v>350</v>
      </c>
      <c r="H12" s="368">
        <v>350</v>
      </c>
      <c r="I12" s="368">
        <v>350</v>
      </c>
      <c r="J12" s="368">
        <v>350</v>
      </c>
      <c r="K12" s="368">
        <v>350</v>
      </c>
      <c r="L12" s="368">
        <v>350</v>
      </c>
      <c r="M12" s="366">
        <v>430</v>
      </c>
      <c r="N12" s="3451">
        <f>HLOOKUP($N$6,$G$6:M12,ROWS($N$6:N12),FALSE)</f>
        <v>430</v>
      </c>
      <c r="P12" s="370"/>
      <c r="Q12" s="31"/>
      <c r="R12" s="31"/>
      <c r="S12" s="31"/>
      <c r="T12" s="31"/>
      <c r="U12" s="31"/>
      <c r="V12" s="31"/>
      <c r="W12" s="31"/>
      <c r="X12" s="31"/>
      <c r="Y12" s="31"/>
      <c r="Z12" s="31"/>
      <c r="AF12" s="31"/>
      <c r="AG12" s="31"/>
      <c r="AH12" s="31"/>
      <c r="AI12" s="31"/>
      <c r="AJ12" s="31"/>
      <c r="AK12" s="31"/>
      <c r="AL12" s="31"/>
      <c r="AM12" s="31"/>
      <c r="AN12" s="31"/>
      <c r="AO12" s="31"/>
      <c r="AP12" s="31"/>
    </row>
    <row r="13" spans="1:42" s="231" customFormat="1" ht="16.899999999999999" customHeight="1">
      <c r="B13" s="3452">
        <f>B12+1</f>
        <v>3</v>
      </c>
      <c r="C13" s="4032" t="s">
        <v>2103</v>
      </c>
      <c r="D13" s="3341"/>
      <c r="E13" s="3341"/>
      <c r="F13" s="3342"/>
      <c r="G13" s="3014">
        <v>935</v>
      </c>
      <c r="H13" s="3014">
        <v>935</v>
      </c>
      <c r="I13" s="368">
        <v>935</v>
      </c>
      <c r="J13" s="368">
        <v>935</v>
      </c>
      <c r="K13" s="368">
        <v>935</v>
      </c>
      <c r="L13" s="368">
        <v>935</v>
      </c>
      <c r="M13" s="366">
        <v>950</v>
      </c>
      <c r="N13" s="3451">
        <f>HLOOKUP($N$6,$G$6:M13,ROWS($N$6:N13),FALSE)</f>
        <v>950</v>
      </c>
      <c r="O13" s="45"/>
      <c r="P13" s="31"/>
      <c r="Q13" s="31"/>
      <c r="R13" s="31"/>
      <c r="S13" s="31"/>
      <c r="T13" s="31"/>
      <c r="U13" s="31"/>
      <c r="V13" s="31"/>
      <c r="W13" s="31"/>
      <c r="X13" s="31"/>
      <c r="Y13" s="31"/>
      <c r="Z13" s="31"/>
      <c r="AF13" s="31"/>
      <c r="AG13" s="31"/>
      <c r="AH13" s="31"/>
      <c r="AI13" s="31"/>
      <c r="AJ13" s="31"/>
      <c r="AK13" s="31"/>
      <c r="AL13" s="31"/>
      <c r="AM13" s="31"/>
      <c r="AN13" s="31"/>
      <c r="AO13" s="31"/>
      <c r="AP13" s="31"/>
    </row>
    <row r="14" spans="1:42" s="42" customFormat="1" ht="16.899999999999999" customHeight="1">
      <c r="B14" s="3452">
        <f t="shared" ref="B14:B49" si="0">B13+1</f>
        <v>4</v>
      </c>
      <c r="C14" s="4032" t="s">
        <v>2104</v>
      </c>
      <c r="D14" s="3341"/>
      <c r="E14" s="3341"/>
      <c r="F14" s="3342"/>
      <c r="G14" s="3014">
        <v>1275</v>
      </c>
      <c r="H14" s="3014">
        <v>1275</v>
      </c>
      <c r="I14" s="368">
        <v>1275</v>
      </c>
      <c r="J14" s="368">
        <v>1275</v>
      </c>
      <c r="K14" s="368">
        <v>1275</v>
      </c>
      <c r="L14" s="368">
        <v>1275</v>
      </c>
      <c r="M14" s="366">
        <v>1450</v>
      </c>
      <c r="N14" s="3451">
        <f>HLOOKUP($N$6,$G$6:M14,ROWS($N$6:N14),FALSE)</f>
        <v>1450</v>
      </c>
      <c r="O14" s="45"/>
      <c r="P14" s="4026"/>
      <c r="Q14" s="31"/>
      <c r="R14" s="31"/>
      <c r="S14" s="31"/>
      <c r="T14" s="31"/>
      <c r="U14" s="31"/>
      <c r="V14" s="31"/>
      <c r="W14" s="31"/>
      <c r="X14" s="31"/>
      <c r="Y14" s="31"/>
      <c r="Z14" s="31"/>
      <c r="AF14" s="31"/>
      <c r="AG14" s="31"/>
      <c r="AH14" s="31"/>
      <c r="AI14" s="31"/>
      <c r="AJ14" s="31"/>
      <c r="AK14" s="31"/>
      <c r="AL14" s="31"/>
      <c r="AM14" s="31"/>
      <c r="AN14" s="31"/>
      <c r="AO14" s="31"/>
      <c r="AP14" s="31"/>
    </row>
    <row r="15" spans="1:42" s="42" customFormat="1" ht="16.5" customHeight="1">
      <c r="B15" s="3452">
        <f t="shared" si="0"/>
        <v>5</v>
      </c>
      <c r="C15" s="4035" t="s">
        <v>2105</v>
      </c>
      <c r="D15" s="3453"/>
      <c r="E15" s="3453"/>
      <c r="F15" s="3087"/>
      <c r="G15" s="368">
        <v>230</v>
      </c>
      <c r="H15" s="368">
        <v>230</v>
      </c>
      <c r="I15" s="368">
        <v>230</v>
      </c>
      <c r="J15" s="368">
        <v>230</v>
      </c>
      <c r="K15" s="368">
        <v>230</v>
      </c>
      <c r="L15" s="368">
        <v>230</v>
      </c>
      <c r="M15" s="366">
        <v>240</v>
      </c>
      <c r="N15" s="3451">
        <f>HLOOKUP($N$6,$G$6:M15,ROWS($N$6:N15),FALSE)</f>
        <v>240</v>
      </c>
      <c r="O15" s="45"/>
      <c r="P15" s="31"/>
      <c r="Q15" s="31"/>
      <c r="R15" s="31"/>
      <c r="S15" s="31"/>
      <c r="T15" s="31"/>
      <c r="U15" s="31"/>
      <c r="V15" s="31"/>
      <c r="W15" s="31"/>
      <c r="X15" s="31"/>
      <c r="Y15" s="31"/>
      <c r="Z15" s="31"/>
      <c r="AF15" s="31"/>
      <c r="AG15" s="31"/>
      <c r="AH15" s="31"/>
      <c r="AI15" s="31"/>
      <c r="AJ15" s="31"/>
      <c r="AK15" s="31"/>
      <c r="AL15" s="31"/>
      <c r="AM15" s="31"/>
      <c r="AN15" s="31"/>
      <c r="AO15" s="31"/>
      <c r="AP15" s="31"/>
    </row>
    <row r="16" spans="1:42" s="42" customFormat="1" ht="16.899999999999999" customHeight="1">
      <c r="B16" s="3452">
        <f t="shared" si="0"/>
        <v>6</v>
      </c>
      <c r="C16" s="4035" t="s">
        <v>2106</v>
      </c>
      <c r="D16" s="3453"/>
      <c r="E16" s="3453"/>
      <c r="F16" s="3087"/>
      <c r="G16" s="3014">
        <v>550</v>
      </c>
      <c r="H16" s="3014">
        <v>550</v>
      </c>
      <c r="I16" s="368">
        <v>550</v>
      </c>
      <c r="J16" s="368">
        <v>550</v>
      </c>
      <c r="K16" s="368">
        <v>550</v>
      </c>
      <c r="L16" s="368">
        <v>550</v>
      </c>
      <c r="M16" s="366">
        <v>680</v>
      </c>
      <c r="N16" s="3451">
        <f>HLOOKUP($N$6,$G$6:M16,ROWS($N$6:N16),FALSE)</f>
        <v>680</v>
      </c>
      <c r="O16" s="45"/>
      <c r="P16" s="31"/>
      <c r="Q16" s="31"/>
      <c r="R16" s="31"/>
      <c r="S16" s="31"/>
      <c r="T16" s="31"/>
      <c r="U16" s="31"/>
      <c r="V16" s="31"/>
      <c r="W16" s="31"/>
      <c r="X16" s="31"/>
      <c r="Y16" s="31"/>
      <c r="Z16" s="31"/>
      <c r="AF16" s="31"/>
      <c r="AG16" s="31"/>
      <c r="AH16" s="31"/>
      <c r="AI16" s="31"/>
      <c r="AJ16" s="31"/>
      <c r="AK16" s="31"/>
      <c r="AL16" s="31"/>
      <c r="AM16" s="31"/>
      <c r="AN16" s="31"/>
      <c r="AO16" s="31"/>
      <c r="AP16" s="31"/>
    </row>
    <row r="17" spans="2:42" s="42" customFormat="1" ht="16.899999999999999" customHeight="1">
      <c r="B17" s="3452">
        <f t="shared" si="0"/>
        <v>7</v>
      </c>
      <c r="C17" s="4032" t="s">
        <v>2107</v>
      </c>
      <c r="D17" s="3089"/>
      <c r="E17" s="3089"/>
      <c r="F17" s="3090"/>
      <c r="G17" s="3014">
        <v>750</v>
      </c>
      <c r="H17" s="3014">
        <v>750</v>
      </c>
      <c r="I17" s="368">
        <v>750</v>
      </c>
      <c r="J17" s="368">
        <v>750</v>
      </c>
      <c r="K17" s="368">
        <v>750</v>
      </c>
      <c r="L17" s="368">
        <v>750</v>
      </c>
      <c r="M17" s="366">
        <v>1000</v>
      </c>
      <c r="N17" s="3451">
        <f>HLOOKUP($N$6,$G$6:M17,ROWS($N$6:N17),FALSE)</f>
        <v>1000</v>
      </c>
      <c r="O17" s="369"/>
      <c r="P17" s="35"/>
      <c r="Q17" s="31"/>
      <c r="R17" s="31"/>
      <c r="S17" s="31"/>
      <c r="T17" s="31"/>
      <c r="U17" s="31"/>
      <c r="V17" s="31"/>
      <c r="W17" s="31"/>
      <c r="X17" s="31"/>
      <c r="Y17" s="31"/>
      <c r="Z17" s="31"/>
      <c r="AF17" s="31"/>
      <c r="AG17" s="31"/>
      <c r="AH17" s="31"/>
      <c r="AI17" s="31"/>
      <c r="AJ17" s="31"/>
      <c r="AK17" s="31"/>
      <c r="AL17" s="31"/>
      <c r="AM17" s="31"/>
      <c r="AN17" s="31"/>
      <c r="AO17" s="31"/>
      <c r="AP17" s="31"/>
    </row>
    <row r="18" spans="2:42" s="42" customFormat="1" ht="16.5" customHeight="1">
      <c r="B18" s="3452">
        <f t="shared" si="0"/>
        <v>8</v>
      </c>
      <c r="C18" s="4029" t="s">
        <v>2108</v>
      </c>
      <c r="D18" s="3454"/>
      <c r="E18" s="3454"/>
      <c r="F18" s="3343"/>
      <c r="G18" s="368">
        <v>90</v>
      </c>
      <c r="H18" s="368">
        <v>90</v>
      </c>
      <c r="I18" s="368">
        <v>90</v>
      </c>
      <c r="J18" s="368">
        <v>90</v>
      </c>
      <c r="K18" s="368">
        <v>90</v>
      </c>
      <c r="L18" s="368">
        <v>90</v>
      </c>
      <c r="M18" s="366">
        <v>100</v>
      </c>
      <c r="N18" s="3451">
        <f>HLOOKUP($N$6,$G$6:M18,ROWS($N$6:N18),FALSE)</f>
        <v>100</v>
      </c>
      <c r="O18" s="45"/>
      <c r="P18" s="31"/>
      <c r="Q18" s="31"/>
      <c r="R18" s="31"/>
      <c r="S18" s="31"/>
      <c r="T18" s="31"/>
      <c r="U18" s="31"/>
      <c r="V18" s="31"/>
      <c r="W18" s="31"/>
      <c r="X18" s="31"/>
      <c r="Y18" s="31"/>
      <c r="Z18" s="31"/>
      <c r="AF18" s="31"/>
      <c r="AG18" s="31"/>
      <c r="AH18" s="31"/>
      <c r="AI18" s="31"/>
      <c r="AJ18" s="31"/>
      <c r="AK18" s="31"/>
      <c r="AL18" s="31"/>
      <c r="AM18" s="31"/>
      <c r="AN18" s="31"/>
      <c r="AO18" s="31"/>
      <c r="AP18" s="31"/>
    </row>
    <row r="19" spans="2:42" s="42" customFormat="1" ht="16.899999999999999" customHeight="1">
      <c r="B19" s="3452">
        <f t="shared" si="0"/>
        <v>9</v>
      </c>
      <c r="C19" s="4029" t="s">
        <v>2109</v>
      </c>
      <c r="D19" s="3454"/>
      <c r="E19" s="3454"/>
      <c r="F19" s="3343"/>
      <c r="G19" s="368">
        <v>80</v>
      </c>
      <c r="H19" s="368">
        <v>80</v>
      </c>
      <c r="I19" s="368">
        <v>80</v>
      </c>
      <c r="J19" s="368">
        <v>80</v>
      </c>
      <c r="K19" s="368">
        <v>80</v>
      </c>
      <c r="L19" s="368">
        <v>80</v>
      </c>
      <c r="M19" s="366">
        <v>80</v>
      </c>
      <c r="N19" s="3451">
        <f>HLOOKUP($N$6,$G$6:M19,ROWS($N$6:N19),FALSE)</f>
        <v>80</v>
      </c>
      <c r="O19" s="45"/>
      <c r="P19" s="31"/>
      <c r="Q19" s="31"/>
      <c r="R19" s="31"/>
      <c r="S19" s="31"/>
      <c r="T19" s="31"/>
      <c r="U19" s="31"/>
      <c r="V19" s="31"/>
      <c r="W19" s="31"/>
      <c r="X19" s="31"/>
      <c r="Y19" s="31"/>
      <c r="Z19" s="31"/>
      <c r="AF19" s="31"/>
      <c r="AG19" s="31"/>
      <c r="AH19" s="31"/>
      <c r="AI19" s="31"/>
      <c r="AJ19" s="31"/>
      <c r="AK19" s="31"/>
      <c r="AL19" s="31"/>
      <c r="AM19" s="31"/>
      <c r="AN19" s="31"/>
      <c r="AO19" s="31"/>
      <c r="AP19" s="31"/>
    </row>
    <row r="20" spans="2:42" s="42" customFormat="1" ht="16.899999999999999" customHeight="1">
      <c r="B20" s="3452">
        <f t="shared" si="0"/>
        <v>10</v>
      </c>
      <c r="C20" s="3088" t="s">
        <v>2110</v>
      </c>
      <c r="D20" s="3089"/>
      <c r="E20" s="3089"/>
      <c r="F20" s="3090"/>
      <c r="G20" s="368">
        <v>60</v>
      </c>
      <c r="H20" s="368">
        <v>60</v>
      </c>
      <c r="I20" s="368">
        <v>60</v>
      </c>
      <c r="J20" s="368">
        <v>60</v>
      </c>
      <c r="K20" s="368">
        <v>60</v>
      </c>
      <c r="L20" s="368">
        <v>60</v>
      </c>
      <c r="M20" s="366">
        <v>60</v>
      </c>
      <c r="N20" s="3451">
        <f>HLOOKUP($N$6,$G$6:M20,ROWS($N$6:N20),FALSE)</f>
        <v>60</v>
      </c>
      <c r="O20" s="45"/>
      <c r="P20" s="35"/>
      <c r="Q20" s="31"/>
      <c r="R20" s="31"/>
      <c r="S20" s="31"/>
      <c r="T20" s="31"/>
      <c r="U20" s="31"/>
      <c r="V20" s="31"/>
      <c r="W20" s="31"/>
      <c r="X20" s="31"/>
      <c r="Y20" s="31"/>
      <c r="Z20" s="31"/>
      <c r="AF20" s="31"/>
      <c r="AG20" s="31"/>
      <c r="AH20" s="31"/>
      <c r="AI20" s="31"/>
      <c r="AJ20" s="31"/>
      <c r="AK20" s="31"/>
      <c r="AL20" s="31"/>
      <c r="AM20" s="31"/>
      <c r="AN20" s="31"/>
      <c r="AO20" s="31"/>
      <c r="AP20" s="31"/>
    </row>
    <row r="21" spans="2:42" s="42" customFormat="1" ht="16.899999999999999" customHeight="1">
      <c r="B21" s="3452">
        <f t="shared" si="0"/>
        <v>11</v>
      </c>
      <c r="C21" s="4032" t="s">
        <v>2111</v>
      </c>
      <c r="D21" s="3089"/>
      <c r="E21" s="3089"/>
      <c r="F21" s="3090"/>
      <c r="G21" s="368"/>
      <c r="H21" s="368"/>
      <c r="I21" s="368">
        <v>540</v>
      </c>
      <c r="J21" s="368">
        <v>540</v>
      </c>
      <c r="K21" s="368">
        <v>540</v>
      </c>
      <c r="L21" s="368">
        <v>540</v>
      </c>
      <c r="M21" s="366">
        <v>650</v>
      </c>
      <c r="N21" s="3451">
        <f>HLOOKUP($N$6,$G$6:M21,ROWS($N$6:N21),FALSE)</f>
        <v>650</v>
      </c>
      <c r="O21" s="45"/>
      <c r="P21" s="35"/>
      <c r="Q21" s="31"/>
      <c r="R21" s="31"/>
      <c r="S21" s="31"/>
      <c r="T21" s="31"/>
      <c r="U21" s="31"/>
      <c r="V21" s="31"/>
      <c r="W21" s="31"/>
      <c r="X21" s="31"/>
      <c r="Y21" s="31"/>
      <c r="Z21" s="31"/>
      <c r="AF21" s="31"/>
      <c r="AG21" s="31"/>
      <c r="AH21" s="31"/>
      <c r="AI21" s="31"/>
      <c r="AJ21" s="31"/>
      <c r="AK21" s="31"/>
      <c r="AL21" s="31"/>
      <c r="AM21" s="31"/>
      <c r="AN21" s="31"/>
      <c r="AO21" s="31"/>
      <c r="AP21" s="31"/>
    </row>
    <row r="22" spans="2:42" s="42" customFormat="1" ht="16.899999999999999" customHeight="1">
      <c r="B22" s="3452">
        <f t="shared" si="0"/>
        <v>12</v>
      </c>
      <c r="C22" s="3088" t="s">
        <v>2112</v>
      </c>
      <c r="D22" s="3089"/>
      <c r="E22" s="3089"/>
      <c r="F22" s="3090"/>
      <c r="G22" s="368"/>
      <c r="H22" s="368"/>
      <c r="I22" s="368">
        <v>730</v>
      </c>
      <c r="J22" s="368">
        <v>730</v>
      </c>
      <c r="K22" s="368">
        <v>730</v>
      </c>
      <c r="L22" s="368">
        <v>730</v>
      </c>
      <c r="M22" s="366">
        <v>730</v>
      </c>
      <c r="N22" s="3451">
        <f>HLOOKUP($N$6,$G$6:M22,ROWS($N$6:N22),FALSE)</f>
        <v>730</v>
      </c>
      <c r="O22" s="227"/>
      <c r="P22" s="35"/>
      <c r="Q22" s="31"/>
      <c r="R22" s="31"/>
      <c r="S22" s="31"/>
      <c r="T22" s="31"/>
      <c r="U22" s="31"/>
      <c r="V22" s="31"/>
      <c r="W22" s="31"/>
      <c r="X22" s="31"/>
      <c r="Y22" s="31"/>
      <c r="Z22" s="31"/>
      <c r="AF22" s="31"/>
      <c r="AG22" s="31"/>
      <c r="AH22" s="31"/>
      <c r="AI22" s="31"/>
      <c r="AJ22" s="31"/>
      <c r="AK22" s="31"/>
      <c r="AL22" s="31"/>
      <c r="AM22" s="31"/>
      <c r="AN22" s="31"/>
      <c r="AO22" s="31"/>
      <c r="AP22" s="31"/>
    </row>
    <row r="23" spans="2:42" s="42" customFormat="1" ht="16.899999999999999" customHeight="1">
      <c r="B23" s="3452">
        <f t="shared" si="0"/>
        <v>13</v>
      </c>
      <c r="C23" s="3088" t="s">
        <v>2113</v>
      </c>
      <c r="D23" s="3089"/>
      <c r="E23" s="3089"/>
      <c r="F23" s="3090"/>
      <c r="G23" s="368"/>
      <c r="H23" s="368"/>
      <c r="I23" s="368"/>
      <c r="J23" s="368"/>
      <c r="K23" s="368"/>
      <c r="L23" s="368"/>
      <c r="M23" s="366">
        <v>130</v>
      </c>
      <c r="N23" s="3451">
        <f>HLOOKUP($N$6,$G$6:M23,ROWS($N$6:N23),FALSE)</f>
        <v>130</v>
      </c>
      <c r="O23" s="45"/>
      <c r="P23" s="35"/>
      <c r="Q23" s="31"/>
      <c r="R23" s="31"/>
      <c r="S23" s="31"/>
      <c r="T23" s="31"/>
      <c r="U23" s="31"/>
      <c r="V23" s="31"/>
      <c r="W23" s="31"/>
      <c r="X23" s="31"/>
      <c r="Y23" s="31"/>
      <c r="Z23" s="31"/>
      <c r="AF23" s="31"/>
      <c r="AG23" s="31"/>
      <c r="AH23" s="31"/>
      <c r="AI23" s="31"/>
      <c r="AJ23" s="31"/>
      <c r="AK23" s="31"/>
      <c r="AL23" s="31"/>
      <c r="AM23" s="31"/>
      <c r="AN23" s="31"/>
      <c r="AO23" s="31"/>
      <c r="AP23" s="31"/>
    </row>
    <row r="24" spans="2:42" s="42" customFormat="1" ht="16.899999999999999" customHeight="1">
      <c r="B24" s="3452">
        <f t="shared" si="0"/>
        <v>14</v>
      </c>
      <c r="C24" s="3088" t="s">
        <v>2114</v>
      </c>
      <c r="D24" s="3341"/>
      <c r="E24" s="3341"/>
      <c r="F24" s="3342"/>
      <c r="G24" s="368"/>
      <c r="H24" s="368"/>
      <c r="I24" s="368"/>
      <c r="J24" s="368"/>
      <c r="K24" s="368"/>
      <c r="L24" s="368"/>
      <c r="M24" s="366">
        <v>100</v>
      </c>
      <c r="N24" s="3451">
        <f>HLOOKUP($N$6,$G$6:M24,ROWS($N$6:N24),FALSE)</f>
        <v>100</v>
      </c>
      <c r="O24" s="45"/>
      <c r="P24" s="31"/>
      <c r="Q24" s="31"/>
      <c r="R24" s="31"/>
      <c r="S24" s="31"/>
      <c r="T24" s="31"/>
      <c r="U24" s="31"/>
      <c r="V24" s="31"/>
      <c r="W24" s="31"/>
      <c r="X24" s="31"/>
      <c r="Y24" s="31"/>
      <c r="Z24" s="31"/>
      <c r="AF24" s="31"/>
      <c r="AG24" s="31"/>
      <c r="AH24" s="31"/>
      <c r="AI24" s="31"/>
      <c r="AJ24" s="31"/>
      <c r="AK24" s="31"/>
      <c r="AL24" s="31"/>
      <c r="AM24" s="31"/>
      <c r="AN24" s="31"/>
      <c r="AO24" s="31"/>
      <c r="AP24" s="31"/>
    </row>
    <row r="25" spans="2:42" s="42" customFormat="1" ht="16.899999999999999" customHeight="1">
      <c r="B25" s="3452">
        <f t="shared" si="0"/>
        <v>15</v>
      </c>
      <c r="C25" s="3088" t="s">
        <v>2115</v>
      </c>
      <c r="D25" s="3341"/>
      <c r="E25" s="3341"/>
      <c r="F25" s="3342"/>
      <c r="G25" s="368"/>
      <c r="H25" s="368"/>
      <c r="I25" s="368"/>
      <c r="J25" s="368"/>
      <c r="K25" s="368"/>
      <c r="L25" s="368"/>
      <c r="M25" s="366">
        <v>50</v>
      </c>
      <c r="N25" s="3451">
        <f>HLOOKUP($N$6,$G$6:M25,ROWS($N$6:N25),FALSE)</f>
        <v>50</v>
      </c>
      <c r="O25" s="45"/>
      <c r="P25" s="31"/>
      <c r="Q25" s="31"/>
      <c r="R25" s="31"/>
      <c r="S25" s="31"/>
      <c r="T25" s="31"/>
      <c r="U25" s="31"/>
      <c r="V25" s="31"/>
      <c r="W25" s="31"/>
      <c r="X25" s="31"/>
      <c r="Y25" s="31"/>
      <c r="Z25" s="31"/>
      <c r="AF25" s="31"/>
      <c r="AG25" s="31"/>
      <c r="AH25" s="31"/>
      <c r="AI25" s="31"/>
      <c r="AJ25" s="31"/>
      <c r="AK25" s="31"/>
      <c r="AL25" s="31"/>
      <c r="AM25" s="31"/>
      <c r="AN25" s="31"/>
      <c r="AO25" s="31"/>
      <c r="AP25" s="31"/>
    </row>
    <row r="26" spans="2:42" s="42" customFormat="1" ht="16.899999999999999" customHeight="1">
      <c r="B26" s="3452">
        <f t="shared" si="0"/>
        <v>16</v>
      </c>
      <c r="C26" s="3088" t="s">
        <v>2116</v>
      </c>
      <c r="D26" s="4027"/>
      <c r="E26" s="4027"/>
      <c r="F26" s="4028"/>
      <c r="G26" s="368"/>
      <c r="H26" s="368"/>
      <c r="I26" s="368"/>
      <c r="J26" s="368"/>
      <c r="K26" s="368"/>
      <c r="L26" s="368"/>
      <c r="M26" s="366">
        <v>150</v>
      </c>
      <c r="N26" s="3451"/>
      <c r="O26" s="3908"/>
      <c r="P26" s="4026"/>
      <c r="Q26" s="4026"/>
      <c r="R26" s="4026"/>
      <c r="S26" s="4026"/>
      <c r="T26" s="4026"/>
      <c r="U26" s="4026"/>
      <c r="V26" s="4026"/>
      <c r="W26" s="4026"/>
      <c r="X26" s="4026"/>
      <c r="Y26" s="4026"/>
      <c r="Z26" s="4026"/>
      <c r="AF26" s="4026"/>
      <c r="AG26" s="4026"/>
      <c r="AH26" s="4026"/>
      <c r="AI26" s="4026"/>
      <c r="AJ26" s="4026"/>
      <c r="AK26" s="4026"/>
      <c r="AL26" s="4026"/>
      <c r="AM26" s="4026"/>
      <c r="AN26" s="4026"/>
      <c r="AO26" s="4026"/>
      <c r="AP26" s="4026"/>
    </row>
    <row r="27" spans="2:42" s="42" customFormat="1" ht="16.899999999999999" customHeight="1">
      <c r="B27" s="3452">
        <f t="shared" si="0"/>
        <v>17</v>
      </c>
      <c r="C27" s="3088" t="s">
        <v>2117</v>
      </c>
      <c r="D27" s="4027"/>
      <c r="E27" s="4027"/>
      <c r="F27" s="4028"/>
      <c r="G27" s="368"/>
      <c r="H27" s="368"/>
      <c r="I27" s="368"/>
      <c r="J27" s="368"/>
      <c r="K27" s="368"/>
      <c r="L27" s="368"/>
      <c r="M27" s="366">
        <v>230</v>
      </c>
      <c r="N27" s="3451"/>
      <c r="O27" s="3908"/>
      <c r="P27" s="4026"/>
      <c r="Q27" s="4026"/>
      <c r="R27" s="4026"/>
      <c r="S27" s="4026"/>
      <c r="T27" s="4026"/>
      <c r="U27" s="4026"/>
      <c r="V27" s="4026"/>
      <c r="W27" s="4026"/>
      <c r="X27" s="4026"/>
      <c r="Y27" s="4026"/>
      <c r="Z27" s="4026"/>
      <c r="AF27" s="4026"/>
      <c r="AG27" s="4026"/>
      <c r="AH27" s="4026"/>
      <c r="AI27" s="4026"/>
      <c r="AJ27" s="4026"/>
      <c r="AK27" s="4026"/>
      <c r="AL27" s="4026"/>
      <c r="AM27" s="4026"/>
      <c r="AN27" s="4026"/>
      <c r="AO27" s="4026"/>
      <c r="AP27" s="4026"/>
    </row>
    <row r="28" spans="2:42" s="42" customFormat="1" ht="16.899999999999999" customHeight="1">
      <c r="B28" s="3452">
        <f t="shared" si="0"/>
        <v>18</v>
      </c>
      <c r="C28" s="4032" t="s">
        <v>2118</v>
      </c>
      <c r="D28" s="4027"/>
      <c r="E28" s="4027"/>
      <c r="F28" s="4028"/>
      <c r="G28" s="368"/>
      <c r="H28" s="368"/>
      <c r="I28" s="368"/>
      <c r="J28" s="368"/>
      <c r="K28" s="368"/>
      <c r="L28" s="368"/>
      <c r="M28" s="366">
        <v>500</v>
      </c>
      <c r="N28" s="3451"/>
      <c r="O28" s="3908"/>
      <c r="P28" s="4026"/>
      <c r="Q28" s="4026"/>
      <c r="R28" s="4026"/>
      <c r="S28" s="4026"/>
      <c r="T28" s="4026"/>
      <c r="U28" s="4026"/>
      <c r="V28" s="4026"/>
      <c r="W28" s="4026"/>
      <c r="X28" s="4026"/>
      <c r="Y28" s="4026"/>
      <c r="Z28" s="4026"/>
      <c r="AF28" s="4026"/>
      <c r="AG28" s="4026"/>
      <c r="AH28" s="4026"/>
      <c r="AI28" s="4026"/>
      <c r="AJ28" s="4026"/>
      <c r="AK28" s="4026"/>
      <c r="AL28" s="4026"/>
      <c r="AM28" s="4026"/>
      <c r="AN28" s="4026"/>
      <c r="AO28" s="4026"/>
      <c r="AP28" s="4026"/>
    </row>
    <row r="29" spans="2:42" s="42" customFormat="1" ht="16.899999999999999" customHeight="1">
      <c r="B29" s="3452">
        <f t="shared" si="0"/>
        <v>19</v>
      </c>
      <c r="C29" s="3088" t="s">
        <v>2119</v>
      </c>
      <c r="D29" s="3341"/>
      <c r="E29" s="3341"/>
      <c r="F29" s="3342"/>
      <c r="G29" s="368"/>
      <c r="H29" s="368"/>
      <c r="I29" s="368"/>
      <c r="J29" s="368"/>
      <c r="K29" s="368"/>
      <c r="L29" s="368"/>
      <c r="M29" s="366">
        <v>260</v>
      </c>
      <c r="N29" s="3451">
        <f>HLOOKUP($N$6,$G$6:M29,ROWS($N$6:N29),FALSE)</f>
        <v>260</v>
      </c>
      <c r="O29" s="45"/>
      <c r="P29" s="31"/>
      <c r="Q29" s="31"/>
      <c r="R29" s="31"/>
      <c r="S29" s="31"/>
      <c r="T29" s="31"/>
      <c r="U29" s="31"/>
      <c r="V29" s="31"/>
      <c r="W29" s="31"/>
      <c r="X29" s="31"/>
      <c r="Y29" s="31"/>
      <c r="Z29" s="31"/>
      <c r="AF29" s="31"/>
      <c r="AG29" s="31"/>
      <c r="AH29" s="31"/>
      <c r="AI29" s="31"/>
      <c r="AJ29" s="31"/>
      <c r="AK29" s="31"/>
      <c r="AL29" s="31"/>
      <c r="AM29" s="31"/>
      <c r="AN29" s="31"/>
      <c r="AO29" s="31"/>
      <c r="AP29" s="31"/>
    </row>
    <row r="30" spans="2:42" s="42" customFormat="1" ht="16.899999999999999" customHeight="1">
      <c r="B30" s="3452">
        <f t="shared" si="0"/>
        <v>20</v>
      </c>
      <c r="C30" s="3088" t="s">
        <v>2120</v>
      </c>
      <c r="D30" s="3341"/>
      <c r="E30" s="3341"/>
      <c r="F30" s="3342"/>
      <c r="G30" s="368">
        <v>80</v>
      </c>
      <c r="H30" s="368">
        <v>80</v>
      </c>
      <c r="I30" s="368">
        <v>80</v>
      </c>
      <c r="J30" s="368">
        <v>80</v>
      </c>
      <c r="K30" s="368">
        <v>80</v>
      </c>
      <c r="L30" s="368">
        <v>80</v>
      </c>
      <c r="M30" s="366">
        <v>50</v>
      </c>
      <c r="N30" s="3451">
        <f>HLOOKUP($N$6,$G$6:M30,ROWS($N$6:N30),FALSE)</f>
        <v>50</v>
      </c>
      <c r="O30" s="45"/>
      <c r="P30" s="31"/>
      <c r="Q30" s="31"/>
      <c r="R30" s="31"/>
      <c r="S30" s="31"/>
      <c r="T30" s="31"/>
      <c r="U30" s="31"/>
      <c r="V30" s="31"/>
      <c r="W30" s="31"/>
      <c r="X30" s="31"/>
      <c r="Y30" s="31"/>
      <c r="Z30" s="31"/>
      <c r="AF30" s="31"/>
      <c r="AG30" s="31"/>
      <c r="AH30" s="31"/>
      <c r="AI30" s="31"/>
      <c r="AJ30" s="31"/>
      <c r="AK30" s="31"/>
      <c r="AL30" s="31"/>
      <c r="AM30" s="31"/>
      <c r="AN30" s="31"/>
      <c r="AO30" s="31"/>
      <c r="AP30" s="31"/>
    </row>
    <row r="31" spans="2:42" s="42" customFormat="1" ht="16.899999999999999" customHeight="1">
      <c r="B31" s="3452">
        <f t="shared" si="0"/>
        <v>21</v>
      </c>
      <c r="C31" s="3088" t="s">
        <v>2121</v>
      </c>
      <c r="D31" s="3341"/>
      <c r="E31" s="3341"/>
      <c r="F31" s="3342"/>
      <c r="G31" s="368">
        <v>120</v>
      </c>
      <c r="H31" s="368">
        <v>120</v>
      </c>
      <c r="I31" s="368">
        <v>120</v>
      </c>
      <c r="J31" s="368">
        <v>120</v>
      </c>
      <c r="K31" s="368">
        <v>120</v>
      </c>
      <c r="L31" s="368">
        <v>120</v>
      </c>
      <c r="M31" s="366">
        <v>100</v>
      </c>
      <c r="N31" s="3451">
        <f>HLOOKUP($N$6,$G$6:M31,ROWS($N$6:N31),FALSE)</f>
        <v>100</v>
      </c>
      <c r="O31" s="45"/>
      <c r="P31" s="31"/>
      <c r="Q31" s="31"/>
      <c r="R31" s="31"/>
      <c r="S31" s="31"/>
      <c r="T31" s="31"/>
      <c r="U31" s="31"/>
      <c r="V31" s="31"/>
      <c r="W31" s="31"/>
      <c r="X31" s="31"/>
      <c r="Y31" s="31"/>
      <c r="Z31" s="31"/>
      <c r="AF31" s="31"/>
      <c r="AG31" s="31"/>
      <c r="AH31" s="31"/>
      <c r="AI31" s="31"/>
      <c r="AJ31" s="31"/>
      <c r="AK31" s="31"/>
      <c r="AL31" s="31"/>
      <c r="AM31" s="31"/>
      <c r="AN31" s="31"/>
      <c r="AO31" s="31"/>
      <c r="AP31" s="31"/>
    </row>
    <row r="32" spans="2:42" s="42" customFormat="1" ht="16.899999999999999" customHeight="1">
      <c r="B32" s="3452">
        <f t="shared" si="0"/>
        <v>22</v>
      </c>
      <c r="C32" s="3088"/>
      <c r="D32" s="3341"/>
      <c r="E32" s="3341"/>
      <c r="F32" s="3342"/>
      <c r="G32" s="368"/>
      <c r="H32" s="368"/>
      <c r="I32" s="368"/>
      <c r="J32" s="368"/>
      <c r="K32" s="368"/>
      <c r="L32" s="368"/>
      <c r="M32" s="366"/>
      <c r="N32" s="3451">
        <f>HLOOKUP($N$6,$G$6:M32,ROWS($N$6:N32),FALSE)</f>
        <v>0</v>
      </c>
      <c r="O32" s="45"/>
      <c r="P32" s="31"/>
      <c r="Q32" s="31"/>
      <c r="R32" s="31"/>
      <c r="S32" s="31"/>
      <c r="T32" s="31"/>
      <c r="U32" s="31"/>
      <c r="V32" s="31"/>
      <c r="W32" s="31"/>
      <c r="X32" s="31"/>
      <c r="Y32" s="31"/>
      <c r="Z32" s="31"/>
      <c r="AF32" s="31"/>
      <c r="AG32" s="31"/>
      <c r="AH32" s="31"/>
      <c r="AI32" s="31"/>
      <c r="AJ32" s="31"/>
      <c r="AK32" s="31"/>
      <c r="AL32" s="31"/>
      <c r="AM32" s="31"/>
      <c r="AN32" s="31"/>
      <c r="AO32" s="31"/>
      <c r="AP32" s="31"/>
    </row>
    <row r="33" spans="2:42" s="42" customFormat="1" ht="16.899999999999999" customHeight="1">
      <c r="B33" s="3452">
        <f t="shared" si="0"/>
        <v>23</v>
      </c>
      <c r="C33" s="4032" t="s">
        <v>2122</v>
      </c>
      <c r="D33" s="3341"/>
      <c r="E33" s="3341"/>
      <c r="F33" s="3342"/>
      <c r="G33" s="368"/>
      <c r="H33" s="368"/>
      <c r="I33" s="368"/>
      <c r="J33" s="368"/>
      <c r="K33" s="368"/>
      <c r="L33" s="368"/>
      <c r="M33" s="366">
        <v>1300</v>
      </c>
      <c r="N33" s="3451">
        <f>HLOOKUP($N$6,$G$6:M33,ROWS($N$6:N33),FALSE)</f>
        <v>1300</v>
      </c>
      <c r="O33" s="45"/>
      <c r="P33" s="31"/>
      <c r="Q33" s="31"/>
      <c r="R33" s="31"/>
      <c r="S33" s="31"/>
      <c r="T33" s="31"/>
      <c r="U33" s="31"/>
      <c r="V33" s="31"/>
      <c r="W33" s="31"/>
      <c r="X33" s="31"/>
      <c r="Y33" s="31"/>
      <c r="Z33" s="31"/>
      <c r="AF33" s="31"/>
      <c r="AG33" s="31"/>
      <c r="AH33" s="31"/>
      <c r="AI33" s="31"/>
      <c r="AJ33" s="31"/>
      <c r="AK33" s="31"/>
      <c r="AL33" s="31"/>
      <c r="AM33" s="31"/>
      <c r="AN33" s="31"/>
      <c r="AO33" s="31"/>
      <c r="AP33" s="31"/>
    </row>
    <row r="34" spans="2:42" s="42" customFormat="1" ht="16.899999999999999" customHeight="1">
      <c r="B34" s="3452">
        <f t="shared" si="0"/>
        <v>24</v>
      </c>
      <c r="C34" s="4032" t="s">
        <v>2123</v>
      </c>
      <c r="D34" s="4027"/>
      <c r="E34" s="4027"/>
      <c r="F34" s="4028"/>
      <c r="G34" s="368"/>
      <c r="H34" s="368"/>
      <c r="I34" s="368"/>
      <c r="J34" s="368"/>
      <c r="K34" s="368"/>
      <c r="L34" s="368"/>
      <c r="M34" s="366">
        <v>500</v>
      </c>
      <c r="N34" s="3451">
        <f>HLOOKUP($N$6,$G$6:M34,ROWS($N$6:N34),FALSE)</f>
        <v>500</v>
      </c>
      <c r="O34" s="45"/>
      <c r="P34" s="31"/>
      <c r="Q34" s="31"/>
      <c r="R34" s="31"/>
      <c r="S34" s="31"/>
      <c r="T34" s="31"/>
      <c r="U34" s="31"/>
      <c r="V34" s="31"/>
      <c r="W34" s="31"/>
      <c r="X34" s="31"/>
      <c r="Y34" s="31"/>
      <c r="Z34" s="31"/>
      <c r="AF34" s="31"/>
      <c r="AG34" s="31"/>
      <c r="AH34" s="31"/>
      <c r="AI34" s="31"/>
      <c r="AJ34" s="31"/>
      <c r="AK34" s="31"/>
      <c r="AL34" s="31"/>
      <c r="AM34" s="31"/>
      <c r="AN34" s="31"/>
      <c r="AO34" s="31"/>
      <c r="AP34" s="31"/>
    </row>
    <row r="35" spans="2:42" s="42" customFormat="1" ht="16.899999999999999" customHeight="1">
      <c r="B35" s="3452">
        <f t="shared" si="0"/>
        <v>25</v>
      </c>
      <c r="C35" s="4032" t="s">
        <v>2124</v>
      </c>
      <c r="D35" s="4027"/>
      <c r="E35" s="4027"/>
      <c r="F35" s="4028"/>
      <c r="G35" s="368"/>
      <c r="H35" s="368"/>
      <c r="I35" s="368"/>
      <c r="J35" s="368"/>
      <c r="K35" s="368"/>
      <c r="L35" s="368"/>
      <c r="M35" s="366">
        <v>600</v>
      </c>
      <c r="N35" s="3451">
        <f>HLOOKUP($N$6,$G$6:M35,ROWS($N$6:N35),FALSE)</f>
        <v>600</v>
      </c>
      <c r="O35" s="3908"/>
      <c r="P35" s="4026"/>
      <c r="Q35" s="4026"/>
      <c r="R35" s="4026"/>
      <c r="S35" s="4026"/>
      <c r="T35" s="4026"/>
      <c r="U35" s="4026"/>
      <c r="V35" s="4026"/>
      <c r="W35" s="4026"/>
      <c r="X35" s="4026"/>
      <c r="Y35" s="4026"/>
      <c r="Z35" s="4026"/>
      <c r="AF35" s="4026"/>
      <c r="AG35" s="4026"/>
      <c r="AH35" s="4026"/>
      <c r="AI35" s="4026"/>
      <c r="AJ35" s="4026"/>
      <c r="AK35" s="4026"/>
      <c r="AL35" s="4026"/>
      <c r="AM35" s="4026"/>
      <c r="AN35" s="4026"/>
      <c r="AO35" s="4026"/>
      <c r="AP35" s="4026"/>
    </row>
    <row r="36" spans="2:42" s="42" customFormat="1" ht="16.899999999999999" customHeight="1">
      <c r="B36" s="3452">
        <f t="shared" si="0"/>
        <v>26</v>
      </c>
      <c r="C36" s="4032" t="s">
        <v>2125</v>
      </c>
      <c r="D36" s="4027"/>
      <c r="E36" s="4027"/>
      <c r="F36" s="4028"/>
      <c r="G36" s="368"/>
      <c r="H36" s="368"/>
      <c r="I36" s="368"/>
      <c r="J36" s="368"/>
      <c r="K36" s="368"/>
      <c r="L36" s="368"/>
      <c r="M36" s="366">
        <v>150</v>
      </c>
      <c r="N36" s="3451">
        <f>HLOOKUP($N$6,$G$6:M36,ROWS($N$6:N36),FALSE)</f>
        <v>150</v>
      </c>
      <c r="O36" s="3908"/>
      <c r="P36" s="4026"/>
      <c r="Q36" s="4026"/>
      <c r="R36" s="4026"/>
      <c r="S36" s="4026"/>
      <c r="T36" s="4026"/>
      <c r="U36" s="4026"/>
      <c r="V36" s="4026"/>
      <c r="W36" s="4026"/>
      <c r="X36" s="4026"/>
      <c r="Y36" s="4026"/>
      <c r="Z36" s="4026"/>
      <c r="AF36" s="4026"/>
      <c r="AG36" s="4026"/>
      <c r="AH36" s="4026"/>
      <c r="AI36" s="4026"/>
      <c r="AJ36" s="4026"/>
      <c r="AK36" s="4026"/>
      <c r="AL36" s="4026"/>
      <c r="AM36" s="4026"/>
      <c r="AN36" s="4026"/>
      <c r="AO36" s="4026"/>
      <c r="AP36" s="4026"/>
    </row>
    <row r="37" spans="2:42" s="42" customFormat="1" ht="16.899999999999999" customHeight="1">
      <c r="B37" s="3452">
        <f t="shared" si="0"/>
        <v>27</v>
      </c>
      <c r="C37" s="4032" t="s">
        <v>2126</v>
      </c>
      <c r="D37" s="4027"/>
      <c r="E37" s="4027"/>
      <c r="F37" s="4028"/>
      <c r="G37" s="368"/>
      <c r="H37" s="368"/>
      <c r="I37" s="368"/>
      <c r="J37" s="368"/>
      <c r="K37" s="368"/>
      <c r="L37" s="368"/>
      <c r="M37" s="366">
        <v>150</v>
      </c>
      <c r="N37" s="3451">
        <f>HLOOKUP($N$6,$G$6:M37,ROWS($N$6:N37),FALSE)</f>
        <v>150</v>
      </c>
      <c r="O37" s="3908"/>
      <c r="P37" s="4026"/>
      <c r="Q37" s="4026"/>
      <c r="R37" s="4026"/>
      <c r="S37" s="4026"/>
      <c r="T37" s="4026"/>
      <c r="U37" s="4026"/>
      <c r="V37" s="4026"/>
      <c r="W37" s="4026"/>
      <c r="X37" s="4026"/>
      <c r="Y37" s="4026"/>
      <c r="Z37" s="4026"/>
      <c r="AF37" s="4026"/>
      <c r="AG37" s="4026"/>
      <c r="AH37" s="4026"/>
      <c r="AI37" s="4026"/>
      <c r="AJ37" s="4026"/>
      <c r="AK37" s="4026"/>
      <c r="AL37" s="4026"/>
      <c r="AM37" s="4026"/>
      <c r="AN37" s="4026"/>
      <c r="AO37" s="4026"/>
      <c r="AP37" s="4026"/>
    </row>
    <row r="38" spans="2:42" s="42" customFormat="1" ht="16.899999999999999" customHeight="1">
      <c r="B38" s="3452">
        <f t="shared" si="0"/>
        <v>28</v>
      </c>
      <c r="C38" s="4032" t="s">
        <v>2127</v>
      </c>
      <c r="D38" s="4027"/>
      <c r="E38" s="4027"/>
      <c r="F38" s="4028"/>
      <c r="G38" s="368"/>
      <c r="H38" s="368"/>
      <c r="I38" s="368"/>
      <c r="J38" s="368"/>
      <c r="K38" s="368"/>
      <c r="L38" s="368"/>
      <c r="M38" s="366">
        <v>900</v>
      </c>
      <c r="N38" s="3451">
        <f>HLOOKUP($N$6,$G$6:M38,ROWS($N$6:N38),FALSE)</f>
        <v>900</v>
      </c>
      <c r="O38" s="3908"/>
      <c r="P38" s="4026"/>
      <c r="Q38" s="4026"/>
      <c r="R38" s="4026"/>
      <c r="S38" s="4026"/>
      <c r="T38" s="4026"/>
      <c r="U38" s="4026"/>
      <c r="V38" s="4026"/>
      <c r="W38" s="4026"/>
      <c r="X38" s="4026"/>
      <c r="Y38" s="4026"/>
      <c r="Z38" s="4026"/>
      <c r="AF38" s="4026"/>
      <c r="AG38" s="4026"/>
      <c r="AH38" s="4026"/>
      <c r="AI38" s="4026"/>
      <c r="AJ38" s="4026"/>
      <c r="AK38" s="4026"/>
      <c r="AL38" s="4026"/>
      <c r="AM38" s="4026"/>
      <c r="AN38" s="4026"/>
      <c r="AO38" s="4026"/>
      <c r="AP38" s="4026"/>
    </row>
    <row r="39" spans="2:42" s="42" customFormat="1" ht="16.899999999999999" customHeight="1">
      <c r="B39" s="3452">
        <f t="shared" si="0"/>
        <v>29</v>
      </c>
      <c r="C39" s="4032" t="s">
        <v>2128</v>
      </c>
      <c r="D39" s="4027"/>
      <c r="E39" s="4027"/>
      <c r="F39" s="4028"/>
      <c r="G39" s="368"/>
      <c r="H39" s="368"/>
      <c r="I39" s="368"/>
      <c r="J39" s="368"/>
      <c r="K39" s="368"/>
      <c r="L39" s="368"/>
      <c r="M39" s="366">
        <v>400</v>
      </c>
      <c r="N39" s="3451">
        <f>HLOOKUP($N$6,$G$6:M39,ROWS($N$6:N39),FALSE)</f>
        <v>400</v>
      </c>
      <c r="O39" s="3908"/>
      <c r="P39" s="4026"/>
      <c r="Q39" s="4026"/>
      <c r="R39" s="4026"/>
      <c r="S39" s="4026"/>
      <c r="T39" s="4026"/>
      <c r="U39" s="4026"/>
      <c r="V39" s="4026"/>
      <c r="W39" s="4026"/>
      <c r="X39" s="4026"/>
      <c r="Y39" s="4026"/>
      <c r="Z39" s="4026"/>
      <c r="AF39" s="4026"/>
      <c r="AG39" s="4026"/>
      <c r="AH39" s="4026"/>
      <c r="AI39" s="4026"/>
      <c r="AJ39" s="4026"/>
      <c r="AK39" s="4026"/>
      <c r="AL39" s="4026"/>
      <c r="AM39" s="4026"/>
      <c r="AN39" s="4026"/>
      <c r="AO39" s="4026"/>
      <c r="AP39" s="4026"/>
    </row>
    <row r="40" spans="2:42" s="42" customFormat="1" ht="16.899999999999999" customHeight="1">
      <c r="B40" s="3452">
        <f t="shared" si="0"/>
        <v>30</v>
      </c>
      <c r="C40" s="4032" t="s">
        <v>2129</v>
      </c>
      <c r="D40" s="4027"/>
      <c r="E40" s="4027"/>
      <c r="F40" s="4028"/>
      <c r="G40" s="368"/>
      <c r="H40" s="368"/>
      <c r="I40" s="368"/>
      <c r="J40" s="368"/>
      <c r="K40" s="368"/>
      <c r="L40" s="368"/>
      <c r="M40" s="366">
        <v>200</v>
      </c>
      <c r="N40" s="3451">
        <f>HLOOKUP($N$6,$G$6:M40,ROWS($N$6:N40),FALSE)</f>
        <v>200</v>
      </c>
      <c r="O40" s="3908"/>
      <c r="P40" s="4026"/>
      <c r="Q40" s="4026"/>
      <c r="R40" s="4026"/>
      <c r="S40" s="4026"/>
      <c r="T40" s="4026"/>
      <c r="U40" s="4026"/>
      <c r="V40" s="4026"/>
      <c r="W40" s="4026"/>
      <c r="X40" s="4026"/>
      <c r="Y40" s="4026"/>
      <c r="Z40" s="4026"/>
      <c r="AF40" s="4026"/>
      <c r="AG40" s="4026"/>
      <c r="AH40" s="4026"/>
      <c r="AI40" s="4026"/>
      <c r="AJ40" s="4026"/>
      <c r="AK40" s="4026"/>
      <c r="AL40" s="4026"/>
      <c r="AM40" s="4026"/>
      <c r="AN40" s="4026"/>
      <c r="AO40" s="4026"/>
      <c r="AP40" s="4026"/>
    </row>
    <row r="41" spans="2:42" s="42" customFormat="1" ht="16.899999999999999" customHeight="1">
      <c r="B41" s="3452">
        <f t="shared" si="0"/>
        <v>31</v>
      </c>
      <c r="C41" s="4032" t="s">
        <v>2130</v>
      </c>
      <c r="D41" s="4027"/>
      <c r="E41" s="4027"/>
      <c r="F41" s="4028"/>
      <c r="G41" s="368"/>
      <c r="H41" s="368"/>
      <c r="I41" s="368"/>
      <c r="J41" s="368"/>
      <c r="K41" s="368"/>
      <c r="L41" s="368"/>
      <c r="M41" s="366">
        <v>45</v>
      </c>
      <c r="N41" s="3451">
        <f>HLOOKUP($N$6,$G$6:M41,ROWS($N$6:N41),FALSE)</f>
        <v>45</v>
      </c>
      <c r="O41" s="3908"/>
      <c r="P41" s="4026"/>
      <c r="Q41" s="4026"/>
      <c r="R41" s="4026"/>
      <c r="S41" s="4026"/>
      <c r="T41" s="4026"/>
      <c r="U41" s="4026"/>
      <c r="V41" s="4026"/>
      <c r="W41" s="4026"/>
      <c r="X41" s="4026"/>
      <c r="Y41" s="4026"/>
      <c r="Z41" s="4026"/>
      <c r="AF41" s="4026"/>
      <c r="AG41" s="4026"/>
      <c r="AH41" s="4026"/>
      <c r="AI41" s="4026"/>
      <c r="AJ41" s="4026"/>
      <c r="AK41" s="4026"/>
      <c r="AL41" s="4026"/>
      <c r="AM41" s="4026"/>
      <c r="AN41" s="4026"/>
      <c r="AO41" s="4026"/>
      <c r="AP41" s="4026"/>
    </row>
    <row r="42" spans="2:42" s="42" customFormat="1" ht="16.899999999999999" customHeight="1">
      <c r="B42" s="3452">
        <f t="shared" si="0"/>
        <v>32</v>
      </c>
      <c r="C42" s="4032" t="s">
        <v>2132</v>
      </c>
      <c r="D42" s="4027"/>
      <c r="E42" s="4027"/>
      <c r="F42" s="4028"/>
      <c r="G42" s="368"/>
      <c r="H42" s="368"/>
      <c r="I42" s="368"/>
      <c r="J42" s="368"/>
      <c r="K42" s="368"/>
      <c r="L42" s="368"/>
      <c r="M42" s="366">
        <v>60</v>
      </c>
      <c r="N42" s="3451">
        <f>HLOOKUP($N$6,$G$6:M42,ROWS($N$6:N42),FALSE)</f>
        <v>60</v>
      </c>
      <c r="O42" s="3908"/>
      <c r="P42" s="4026"/>
      <c r="Q42" s="4026"/>
      <c r="R42" s="4026"/>
      <c r="S42" s="4026"/>
      <c r="T42" s="4026"/>
      <c r="U42" s="4026"/>
      <c r="V42" s="4026"/>
      <c r="W42" s="4026"/>
      <c r="X42" s="4026"/>
      <c r="Y42" s="4026"/>
      <c r="Z42" s="4026"/>
      <c r="AF42" s="4026"/>
      <c r="AG42" s="4026"/>
      <c r="AH42" s="4026"/>
      <c r="AI42" s="4026"/>
      <c r="AJ42" s="4026"/>
      <c r="AK42" s="4026"/>
      <c r="AL42" s="4026"/>
      <c r="AM42" s="4026"/>
      <c r="AN42" s="4026"/>
      <c r="AO42" s="4026"/>
      <c r="AP42" s="4026"/>
    </row>
    <row r="43" spans="2:42" s="42" customFormat="1" ht="16.899999999999999" customHeight="1">
      <c r="B43" s="3452">
        <f t="shared" si="0"/>
        <v>33</v>
      </c>
      <c r="C43" s="4032" t="s">
        <v>2131</v>
      </c>
      <c r="D43" s="4027"/>
      <c r="E43" s="4027"/>
      <c r="F43" s="4028"/>
      <c r="G43" s="368"/>
      <c r="H43" s="368"/>
      <c r="I43" s="368"/>
      <c r="J43" s="368"/>
      <c r="K43" s="368"/>
      <c r="L43" s="368"/>
      <c r="M43" s="366">
        <v>115</v>
      </c>
      <c r="N43" s="3451">
        <f>HLOOKUP($N$6,$G$6:M43,ROWS($N$6:N43),FALSE)</f>
        <v>115</v>
      </c>
      <c r="O43" s="3908"/>
      <c r="P43" s="4026"/>
      <c r="Q43" s="4026"/>
      <c r="R43" s="4026"/>
      <c r="S43" s="4026"/>
      <c r="T43" s="4026"/>
      <c r="U43" s="4026"/>
      <c r="V43" s="4026"/>
      <c r="W43" s="4026"/>
      <c r="X43" s="4026"/>
      <c r="Y43" s="4026"/>
      <c r="Z43" s="4026"/>
      <c r="AF43" s="4026"/>
      <c r="AG43" s="4026"/>
      <c r="AH43" s="4026"/>
      <c r="AI43" s="4026"/>
      <c r="AJ43" s="4026"/>
      <c r="AK43" s="4026"/>
      <c r="AL43" s="4026"/>
      <c r="AM43" s="4026"/>
      <c r="AN43" s="4026"/>
      <c r="AO43" s="4026"/>
      <c r="AP43" s="4026"/>
    </row>
    <row r="44" spans="2:42" s="42" customFormat="1" ht="16.899999999999999" customHeight="1">
      <c r="B44" s="3452">
        <f t="shared" si="0"/>
        <v>34</v>
      </c>
      <c r="C44" s="4032" t="s">
        <v>2135</v>
      </c>
      <c r="D44" s="4027"/>
      <c r="E44" s="4027"/>
      <c r="F44" s="4028"/>
      <c r="G44" s="368"/>
      <c r="H44" s="368"/>
      <c r="I44" s="368"/>
      <c r="J44" s="368"/>
      <c r="K44" s="368"/>
      <c r="L44" s="368"/>
      <c r="M44" s="366">
        <v>240</v>
      </c>
      <c r="N44" s="3451">
        <f>HLOOKUP($N$6,$G$6:M44,ROWS($N$6:N44),FALSE)</f>
        <v>240</v>
      </c>
      <c r="O44" s="3908"/>
      <c r="P44" s="4026"/>
      <c r="Q44" s="4026"/>
      <c r="R44" s="4026"/>
      <c r="S44" s="4026"/>
      <c r="T44" s="4026"/>
      <c r="U44" s="4026"/>
      <c r="V44" s="4026"/>
      <c r="W44" s="4026"/>
      <c r="X44" s="4026"/>
      <c r="Y44" s="4026"/>
      <c r="Z44" s="4026"/>
      <c r="AF44" s="4026"/>
      <c r="AG44" s="4026"/>
      <c r="AH44" s="4026"/>
      <c r="AI44" s="4026"/>
      <c r="AJ44" s="4026"/>
      <c r="AK44" s="4026"/>
      <c r="AL44" s="4026"/>
      <c r="AM44" s="4026"/>
      <c r="AN44" s="4026"/>
      <c r="AO44" s="4026"/>
      <c r="AP44" s="4026"/>
    </row>
    <row r="45" spans="2:42" s="42" customFormat="1" ht="16.899999999999999" customHeight="1">
      <c r="B45" s="3452">
        <f t="shared" si="0"/>
        <v>35</v>
      </c>
      <c r="C45" s="4032" t="s">
        <v>2133</v>
      </c>
      <c r="D45" s="4027"/>
      <c r="E45" s="4027"/>
      <c r="F45" s="4028"/>
      <c r="G45" s="368"/>
      <c r="H45" s="368"/>
      <c r="I45" s="368"/>
      <c r="J45" s="368"/>
      <c r="K45" s="368"/>
      <c r="L45" s="368"/>
      <c r="M45" s="366">
        <v>130</v>
      </c>
      <c r="N45" s="3451">
        <f>HLOOKUP($N$6,$G$6:M45,ROWS($N$6:N45),FALSE)</f>
        <v>130</v>
      </c>
      <c r="O45" s="3908"/>
      <c r="P45" s="4026"/>
      <c r="Q45" s="4026"/>
      <c r="R45" s="4026"/>
      <c r="S45" s="4026"/>
      <c r="T45" s="4026"/>
      <c r="U45" s="4026"/>
      <c r="V45" s="4026"/>
      <c r="W45" s="4026"/>
      <c r="X45" s="4026"/>
      <c r="Y45" s="4026"/>
      <c r="Z45" s="4026"/>
      <c r="AF45" s="4026"/>
      <c r="AG45" s="4026"/>
      <c r="AH45" s="4026"/>
      <c r="AI45" s="4026"/>
      <c r="AJ45" s="4026"/>
      <c r="AK45" s="4026"/>
      <c r="AL45" s="4026"/>
      <c r="AM45" s="4026"/>
      <c r="AN45" s="4026"/>
      <c r="AO45" s="4026"/>
      <c r="AP45" s="4026"/>
    </row>
    <row r="46" spans="2:42" s="42" customFormat="1" ht="16.899999999999999" customHeight="1">
      <c r="B46" s="3452">
        <f t="shared" si="0"/>
        <v>36</v>
      </c>
      <c r="C46" s="4032" t="s">
        <v>2134</v>
      </c>
      <c r="D46" s="4027"/>
      <c r="E46" s="4027"/>
      <c r="F46" s="4028"/>
      <c r="G46" s="368"/>
      <c r="H46" s="368"/>
      <c r="I46" s="368"/>
      <c r="J46" s="368"/>
      <c r="K46" s="368"/>
      <c r="L46" s="368"/>
      <c r="M46" s="366">
        <v>40</v>
      </c>
      <c r="N46" s="3451">
        <f>HLOOKUP($N$6,$G$6:M46,ROWS($N$6:N46),FALSE)</f>
        <v>40</v>
      </c>
      <c r="O46" s="45"/>
      <c r="Q46" s="31"/>
      <c r="R46" s="31"/>
      <c r="S46" s="31"/>
      <c r="T46" s="31"/>
      <c r="U46" s="31"/>
      <c r="V46" s="31"/>
      <c r="W46" s="31"/>
      <c r="X46" s="31"/>
      <c r="Y46" s="31"/>
      <c r="Z46" s="31"/>
      <c r="AF46" s="31"/>
      <c r="AG46" s="31"/>
      <c r="AH46" s="31"/>
      <c r="AI46" s="31"/>
      <c r="AJ46" s="31"/>
      <c r="AK46" s="31"/>
      <c r="AL46" s="31"/>
      <c r="AM46" s="31"/>
      <c r="AN46" s="31"/>
      <c r="AO46" s="31"/>
      <c r="AP46" s="31"/>
    </row>
    <row r="47" spans="2:42" s="42" customFormat="1" ht="16.899999999999999" customHeight="1">
      <c r="B47" s="3452">
        <f t="shared" si="0"/>
        <v>37</v>
      </c>
      <c r="C47" s="4237"/>
      <c r="D47" s="4238"/>
      <c r="E47" s="4238"/>
      <c r="F47" s="4239"/>
      <c r="G47" s="367"/>
      <c r="H47" s="367"/>
      <c r="I47" s="367"/>
      <c r="J47" s="367"/>
      <c r="K47" s="367"/>
      <c r="L47" s="367"/>
      <c r="M47" s="366"/>
      <c r="N47" s="3451">
        <f>HLOOKUP($N$6,$G$6:M47,ROWS($N$6:N47),FALSE)</f>
        <v>0</v>
      </c>
      <c r="O47" s="45"/>
      <c r="P47" s="31"/>
      <c r="Q47" s="31"/>
      <c r="R47" s="31"/>
      <c r="S47" s="31"/>
      <c r="T47" s="31"/>
      <c r="U47" s="31"/>
      <c r="V47" s="31"/>
      <c r="W47" s="31"/>
      <c r="X47" s="31"/>
      <c r="Y47" s="31"/>
      <c r="Z47" s="31"/>
      <c r="AF47" s="31"/>
      <c r="AG47" s="31"/>
      <c r="AH47" s="31"/>
      <c r="AI47" s="31"/>
      <c r="AJ47" s="31"/>
      <c r="AK47" s="31"/>
      <c r="AL47" s="31"/>
      <c r="AM47" s="31"/>
      <c r="AN47" s="31"/>
      <c r="AO47" s="31"/>
      <c r="AP47" s="31"/>
    </row>
    <row r="48" spans="2:42" s="42" customFormat="1" ht="16.899999999999999" customHeight="1">
      <c r="B48" s="3452">
        <f t="shared" si="0"/>
        <v>38</v>
      </c>
      <c r="C48" s="4237"/>
      <c r="D48" s="4238"/>
      <c r="E48" s="4238"/>
      <c r="F48" s="4239"/>
      <c r="G48" s="367"/>
      <c r="H48" s="367"/>
      <c r="I48" s="367"/>
      <c r="J48" s="367"/>
      <c r="K48" s="367"/>
      <c r="L48" s="367"/>
      <c r="M48" s="366"/>
      <c r="N48" s="3451">
        <f>HLOOKUP($N$6,$G$6:M48,ROWS($N$6:N48),FALSE)</f>
        <v>0</v>
      </c>
      <c r="O48" s="45"/>
      <c r="P48" s="31"/>
      <c r="Q48" s="31"/>
      <c r="R48" s="31"/>
      <c r="S48" s="136"/>
      <c r="T48" s="136"/>
      <c r="U48" s="136"/>
      <c r="V48" s="136"/>
      <c r="W48" s="136"/>
      <c r="X48" s="136"/>
      <c r="Y48" s="136"/>
      <c r="Z48" s="136"/>
      <c r="AA48" s="136"/>
      <c r="AB48" s="136"/>
      <c r="AC48" s="136"/>
      <c r="AF48" s="31"/>
      <c r="AG48" s="31"/>
      <c r="AH48" s="31"/>
      <c r="AI48" s="31"/>
      <c r="AJ48" s="31"/>
      <c r="AK48" s="31"/>
      <c r="AL48" s="31"/>
      <c r="AM48" s="31"/>
      <c r="AN48" s="31"/>
      <c r="AO48" s="31"/>
      <c r="AP48" s="31"/>
    </row>
    <row r="49" spans="1:42" s="42" customFormat="1" ht="16.899999999999999" customHeight="1">
      <c r="B49" s="3452">
        <f t="shared" si="0"/>
        <v>39</v>
      </c>
      <c r="C49" s="4237"/>
      <c r="D49" s="4238"/>
      <c r="E49" s="4238"/>
      <c r="F49" s="4239"/>
      <c r="G49" s="367"/>
      <c r="H49" s="367"/>
      <c r="I49" s="367"/>
      <c r="J49" s="367"/>
      <c r="K49" s="367"/>
      <c r="L49" s="367"/>
      <c r="M49" s="366"/>
      <c r="N49" s="3451">
        <f>HLOOKUP($N$6,$G$6:M49,ROWS($N$6:N49),FALSE)</f>
        <v>0</v>
      </c>
      <c r="O49" s="45"/>
      <c r="P49" s="31"/>
      <c r="Q49" s="31"/>
      <c r="R49" s="31"/>
      <c r="S49" s="136"/>
      <c r="T49" s="136"/>
      <c r="U49" s="136"/>
      <c r="V49" s="136"/>
      <c r="W49" s="136"/>
      <c r="X49" s="136"/>
      <c r="Y49" s="136"/>
      <c r="Z49" s="136"/>
      <c r="AA49" s="136"/>
      <c r="AB49" s="136"/>
      <c r="AC49" s="136"/>
      <c r="AF49" s="31"/>
      <c r="AG49" s="31"/>
      <c r="AH49" s="31"/>
      <c r="AI49" s="31"/>
      <c r="AJ49" s="31"/>
      <c r="AK49" s="31"/>
      <c r="AL49" s="31"/>
      <c r="AM49" s="31"/>
      <c r="AN49" s="31"/>
      <c r="AO49" s="31"/>
      <c r="AP49" s="31"/>
    </row>
    <row r="50" spans="1:42" s="42" customFormat="1" ht="34.15" customHeight="1">
      <c r="B50" s="145"/>
      <c r="C50" s="223"/>
      <c r="D50" s="223"/>
      <c r="E50" s="223"/>
      <c r="F50" s="223"/>
      <c r="G50" s="365"/>
      <c r="H50" s="365"/>
      <c r="I50" s="365"/>
      <c r="J50" s="365"/>
      <c r="K50" s="365"/>
      <c r="L50" s="365"/>
      <c r="M50" s="365"/>
      <c r="N50" s="365"/>
      <c r="O50" s="45"/>
      <c r="P50" s="31"/>
      <c r="Q50" s="31"/>
      <c r="R50" s="31"/>
      <c r="S50" s="136"/>
      <c r="T50" s="136"/>
      <c r="U50" s="136"/>
      <c r="V50" s="136"/>
      <c r="W50" s="136"/>
      <c r="X50" s="136"/>
      <c r="Y50" s="136"/>
      <c r="Z50" s="136"/>
      <c r="AA50" s="136"/>
      <c r="AB50" s="136"/>
      <c r="AC50" s="136"/>
      <c r="AF50" s="31"/>
      <c r="AG50" s="31"/>
      <c r="AH50" s="31"/>
      <c r="AI50" s="31"/>
      <c r="AJ50" s="31"/>
      <c r="AK50" s="31"/>
      <c r="AL50" s="31"/>
      <c r="AM50" s="31"/>
      <c r="AN50" s="31"/>
      <c r="AO50" s="31"/>
      <c r="AP50" s="31"/>
    </row>
    <row r="51" spans="1:42" s="42" customFormat="1" ht="14.45" customHeight="1">
      <c r="B51" s="136"/>
      <c r="C51" s="136"/>
      <c r="D51" s="136"/>
      <c r="E51" s="136"/>
      <c r="F51" s="136"/>
      <c r="G51" s="136"/>
      <c r="H51" s="136"/>
      <c r="I51" s="136"/>
      <c r="J51" s="136"/>
      <c r="K51" s="136"/>
      <c r="L51" s="136"/>
      <c r="M51" s="136"/>
      <c r="N51" s="136"/>
      <c r="O51" s="45"/>
      <c r="P51" s="31"/>
      <c r="Q51" s="31"/>
      <c r="R51" s="31"/>
      <c r="S51" s="136"/>
      <c r="T51" s="136"/>
      <c r="U51" s="136"/>
      <c r="V51" s="136"/>
      <c r="W51" s="136"/>
      <c r="X51" s="136"/>
      <c r="Y51" s="136"/>
      <c r="Z51" s="136"/>
      <c r="AA51" s="136"/>
      <c r="AB51" s="136"/>
      <c r="AC51" s="136"/>
      <c r="AF51" s="31"/>
      <c r="AG51" s="31"/>
      <c r="AH51" s="31"/>
      <c r="AI51" s="31"/>
      <c r="AJ51" s="31"/>
      <c r="AK51" s="31"/>
      <c r="AL51" s="31"/>
      <c r="AM51" s="31"/>
      <c r="AN51" s="31"/>
      <c r="AO51" s="31"/>
      <c r="AP51" s="31"/>
    </row>
    <row r="52" spans="1:42" s="42" customFormat="1" ht="2.1" customHeight="1" thickBot="1">
      <c r="B52" s="136"/>
      <c r="C52" s="136"/>
      <c r="D52" s="136"/>
      <c r="E52" s="136"/>
      <c r="F52" s="136"/>
      <c r="G52" s="136"/>
      <c r="H52" s="136"/>
      <c r="I52" s="136"/>
      <c r="J52" s="136"/>
      <c r="K52" s="136"/>
      <c r="L52" s="136"/>
      <c r="M52" s="136"/>
      <c r="N52" s="136"/>
      <c r="O52" s="45"/>
      <c r="P52" s="31"/>
      <c r="Q52" s="31"/>
      <c r="R52" s="31"/>
      <c r="S52" s="136"/>
      <c r="T52" s="136"/>
      <c r="U52" s="136"/>
      <c r="V52" s="136" t="s">
        <v>169</v>
      </c>
      <c r="W52" s="136"/>
      <c r="X52" s="136"/>
      <c r="Y52" s="136"/>
      <c r="Z52" s="136"/>
      <c r="AA52" s="136"/>
      <c r="AB52" s="136"/>
      <c r="AC52" s="136"/>
      <c r="AF52" s="31"/>
      <c r="AG52" s="31"/>
      <c r="AH52" s="31"/>
      <c r="AI52" s="31"/>
      <c r="AJ52" s="31"/>
      <c r="AK52" s="31"/>
      <c r="AL52" s="31"/>
      <c r="AM52" s="31"/>
      <c r="AN52" s="31"/>
      <c r="AO52" s="31"/>
      <c r="AP52" s="31"/>
    </row>
    <row r="53" spans="1:42" ht="22.15" customHeight="1">
      <c r="A53" s="320"/>
      <c r="B53" s="364" t="s">
        <v>2171</v>
      </c>
      <c r="C53" s="363"/>
      <c r="D53" s="363"/>
      <c r="E53" s="363"/>
      <c r="F53" s="363"/>
      <c r="G53" s="363"/>
      <c r="H53" s="363"/>
      <c r="I53" s="363"/>
      <c r="J53" s="363"/>
      <c r="K53" s="363"/>
      <c r="L53" s="362"/>
      <c r="M53" s="361"/>
      <c r="N53" s="136"/>
      <c r="P53" s="31"/>
      <c r="Q53" s="31"/>
      <c r="R53" s="31"/>
      <c r="S53" s="136"/>
      <c r="T53" s="136"/>
      <c r="U53" s="136"/>
      <c r="V53" s="136"/>
      <c r="W53" s="136"/>
      <c r="X53" s="136"/>
      <c r="Y53" s="136"/>
      <c r="Z53" s="136"/>
      <c r="AA53" s="136"/>
      <c r="AB53" s="136"/>
      <c r="AC53" s="136"/>
      <c r="AD53" s="257"/>
      <c r="AE53" s="257"/>
      <c r="AF53" s="257"/>
      <c r="AG53" s="257"/>
      <c r="AH53" s="257"/>
      <c r="AI53" s="257"/>
      <c r="AJ53" s="257"/>
      <c r="AK53" s="257"/>
      <c r="AL53" s="257"/>
      <c r="AM53" s="257"/>
      <c r="AN53" s="257"/>
      <c r="AO53" s="257"/>
    </row>
    <row r="54" spans="1:42" ht="30" customHeight="1" thickBot="1">
      <c r="A54" s="320"/>
      <c r="B54" s="4234" t="s">
        <v>2169</v>
      </c>
      <c r="C54" s="4235"/>
      <c r="D54" s="4235"/>
      <c r="E54" s="4235"/>
      <c r="F54" s="4235"/>
      <c r="G54" s="4235"/>
      <c r="H54" s="4235"/>
      <c r="I54" s="4235"/>
      <c r="J54" s="4235"/>
      <c r="K54" s="4235"/>
      <c r="L54" s="4236"/>
      <c r="M54" s="360"/>
      <c r="N54" s="136"/>
      <c r="T54" s="31">
        <v>2008</v>
      </c>
      <c r="U54" s="31">
        <v>2009</v>
      </c>
      <c r="V54" s="31">
        <v>2010</v>
      </c>
      <c r="W54" s="31">
        <v>2011</v>
      </c>
      <c r="X54" s="31">
        <v>2012</v>
      </c>
      <c r="Y54" s="31">
        <v>2013</v>
      </c>
      <c r="Z54" s="31"/>
      <c r="AA54" s="257"/>
      <c r="AB54" s="257"/>
      <c r="AC54" s="257"/>
      <c r="AD54" s="257"/>
      <c r="AE54" s="257"/>
      <c r="AF54" s="257"/>
      <c r="AG54" s="257"/>
      <c r="AH54" s="257"/>
      <c r="AI54" s="257"/>
      <c r="AJ54" s="257"/>
      <c r="AK54" s="257"/>
      <c r="AL54" s="257"/>
      <c r="AM54" s="257"/>
      <c r="AN54" s="257"/>
      <c r="AO54" s="257"/>
    </row>
    <row r="55" spans="1:42" s="252" customFormat="1" ht="16.899999999999999" customHeight="1">
      <c r="B55" s="136"/>
      <c r="C55" s="136"/>
      <c r="D55" s="136"/>
      <c r="E55" s="136"/>
      <c r="F55" s="136"/>
      <c r="G55" s="136"/>
      <c r="H55" s="136"/>
      <c r="I55" s="136"/>
      <c r="J55" s="136"/>
      <c r="K55" s="136"/>
      <c r="L55" s="136"/>
      <c r="M55" s="136"/>
      <c r="N55" s="136"/>
      <c r="O55" s="32"/>
      <c r="S55" s="31"/>
      <c r="T55" s="332"/>
      <c r="U55" s="332"/>
      <c r="V55" s="332"/>
      <c r="W55" s="332"/>
      <c r="X55" s="332"/>
      <c r="Y55" s="332"/>
      <c r="Z55" s="31"/>
    </row>
    <row r="56" spans="1:42" s="231" customFormat="1" ht="16.899999999999999" customHeight="1">
      <c r="B56" s="136"/>
      <c r="C56" s="136"/>
      <c r="D56" s="136"/>
      <c r="E56" s="136"/>
      <c r="F56" s="136"/>
      <c r="G56" s="136"/>
      <c r="H56" s="136"/>
      <c r="I56" s="136"/>
      <c r="J56" s="136"/>
      <c r="K56" s="136"/>
      <c r="L56" s="136"/>
      <c r="M56" s="136"/>
      <c r="N56" s="136"/>
      <c r="O56" s="45"/>
      <c r="S56" s="31"/>
      <c r="T56" s="332"/>
      <c r="U56" s="332"/>
      <c r="V56" s="332"/>
      <c r="W56" s="332"/>
      <c r="X56" s="332"/>
      <c r="Y56" s="332"/>
      <c r="Z56" s="31"/>
    </row>
    <row r="57" spans="1:42" s="42" customFormat="1" ht="16.899999999999999" customHeight="1">
      <c r="B57" s="359" t="s">
        <v>2152</v>
      </c>
      <c r="C57" s="358"/>
      <c r="D57" s="272"/>
      <c r="E57" s="272"/>
      <c r="F57" s="272"/>
      <c r="G57" s="357"/>
      <c r="H57" s="357"/>
      <c r="I57" s="357"/>
      <c r="J57" s="357"/>
      <c r="K57" s="357"/>
      <c r="L57" s="356"/>
      <c r="M57" s="356"/>
      <c r="N57" s="355" t="str">
        <f>N5</f>
        <v>Aktuell</v>
      </c>
      <c r="O57" s="45"/>
      <c r="P57" s="31"/>
      <c r="Q57" s="31"/>
      <c r="R57" s="31"/>
      <c r="S57" s="31"/>
      <c r="T57" s="31"/>
      <c r="U57" s="31"/>
      <c r="V57" s="31"/>
      <c r="W57" s="35"/>
      <c r="X57" s="331"/>
      <c r="Y57" s="31"/>
      <c r="Z57" s="35"/>
    </row>
    <row r="58" spans="1:42" s="42" customFormat="1" ht="12.75" customHeight="1">
      <c r="B58" s="354" t="s">
        <v>287</v>
      </c>
      <c r="C58" s="239"/>
      <c r="D58" s="281"/>
      <c r="E58" s="353"/>
      <c r="F58" s="352" t="s">
        <v>284</v>
      </c>
      <c r="G58" s="350">
        <f t="shared" ref="G58:L58" si="1">G6</f>
        <v>2017</v>
      </c>
      <c r="H58" s="350">
        <f t="shared" si="1"/>
        <v>2018</v>
      </c>
      <c r="I58" s="350">
        <f t="shared" si="1"/>
        <v>2019</v>
      </c>
      <c r="J58" s="350">
        <f t="shared" si="1"/>
        <v>2020</v>
      </c>
      <c r="K58" s="350">
        <f t="shared" si="1"/>
        <v>2021</v>
      </c>
      <c r="L58" s="349">
        <f t="shared" si="1"/>
        <v>2022</v>
      </c>
      <c r="M58" s="348">
        <v>2023</v>
      </c>
      <c r="N58" s="347">
        <f>N6</f>
        <v>2023</v>
      </c>
      <c r="Q58" s="225"/>
    </row>
    <row r="59" spans="1:42" s="42" customFormat="1" ht="18">
      <c r="B59" s="346">
        <v>1</v>
      </c>
      <c r="C59" s="345" t="s">
        <v>2181</v>
      </c>
      <c r="D59" s="345"/>
      <c r="E59" s="344"/>
      <c r="F59" s="343"/>
      <c r="G59" s="342"/>
      <c r="H59" s="342"/>
      <c r="I59" s="342"/>
      <c r="J59" s="342"/>
      <c r="K59" s="341"/>
      <c r="L59" s="341"/>
      <c r="M59" s="341">
        <v>140</v>
      </c>
      <c r="N59" s="340">
        <f>HLOOKUP($N$6,$G$6:M59,ROWS($N$6:N59),FALSE)</f>
        <v>140</v>
      </c>
      <c r="O59" s="45"/>
      <c r="P59" s="31"/>
      <c r="Q59" s="31"/>
      <c r="R59" s="31"/>
      <c r="V59" s="31"/>
      <c r="W59" s="31"/>
      <c r="X59" s="31"/>
      <c r="Y59" s="31"/>
      <c r="Z59" s="31"/>
    </row>
    <row r="60" spans="1:42" s="42" customFormat="1" ht="15">
      <c r="B60" s="346">
        <v>2</v>
      </c>
      <c r="C60" s="4041" t="s">
        <v>2153</v>
      </c>
      <c r="D60" s="4041"/>
      <c r="E60" s="2934"/>
      <c r="F60" s="4042"/>
      <c r="G60" s="368"/>
      <c r="H60" s="368"/>
      <c r="I60" s="368"/>
      <c r="J60" s="368"/>
      <c r="K60" s="365"/>
      <c r="L60" s="341"/>
      <c r="M60" s="341">
        <v>130</v>
      </c>
      <c r="N60" s="340">
        <f>HLOOKUP($N$6,$G$6:M60,ROWS($N$6:N60),FALSE)</f>
        <v>130</v>
      </c>
      <c r="O60" s="3908"/>
      <c r="P60" s="4033"/>
      <c r="Q60" s="4033"/>
      <c r="R60" s="4033"/>
      <c r="V60" s="4033"/>
      <c r="W60" s="4033"/>
      <c r="X60" s="4033"/>
      <c r="Y60" s="4033"/>
      <c r="Z60" s="4033"/>
    </row>
    <row r="61" spans="1:42" s="42" customFormat="1" ht="15">
      <c r="B61" s="346">
        <v>3</v>
      </c>
      <c r="C61" s="4041" t="s">
        <v>2154</v>
      </c>
      <c r="D61" s="4041"/>
      <c r="E61" s="2934"/>
      <c r="F61" s="4042"/>
      <c r="G61" s="368"/>
      <c r="H61" s="368"/>
      <c r="I61" s="368"/>
      <c r="J61" s="368"/>
      <c r="K61" s="365"/>
      <c r="L61" s="341"/>
      <c r="M61" s="341">
        <v>120</v>
      </c>
      <c r="N61" s="340">
        <f>HLOOKUP($N$6,$G$6:M61,ROWS($N$6:N61),FALSE)</f>
        <v>120</v>
      </c>
      <c r="O61" s="3908"/>
      <c r="P61" s="4033"/>
      <c r="Q61" s="4033"/>
      <c r="R61" s="4033"/>
      <c r="V61" s="4033"/>
      <c r="W61" s="4033"/>
      <c r="X61" s="4033"/>
      <c r="Y61" s="4033"/>
      <c r="Z61" s="4033"/>
    </row>
    <row r="62" spans="1:42" s="42" customFormat="1" ht="15">
      <c r="B62" s="346">
        <v>4</v>
      </c>
      <c r="C62" s="4041" t="s">
        <v>2155</v>
      </c>
      <c r="D62" s="4041"/>
      <c r="E62" s="2934"/>
      <c r="F62" s="4042"/>
      <c r="G62" s="368"/>
      <c r="H62" s="368"/>
      <c r="I62" s="368"/>
      <c r="J62" s="368"/>
      <c r="K62" s="365"/>
      <c r="L62" s="341"/>
      <c r="M62" s="341">
        <v>110</v>
      </c>
      <c r="N62" s="340">
        <f>HLOOKUP($N$6,$G$6:M62,ROWS($N$6:N62),FALSE)</f>
        <v>110</v>
      </c>
      <c r="O62" s="3908"/>
      <c r="P62" s="4033"/>
      <c r="Q62" s="4033"/>
      <c r="R62" s="4033"/>
      <c r="V62" s="4033"/>
      <c r="W62" s="4033"/>
      <c r="X62" s="4033"/>
      <c r="Y62" s="4033"/>
      <c r="Z62" s="4033"/>
    </row>
    <row r="63" spans="1:42" s="42" customFormat="1" ht="15">
      <c r="B63" s="346">
        <v>5</v>
      </c>
      <c r="C63" s="4041" t="s">
        <v>2156</v>
      </c>
      <c r="D63" s="4041"/>
      <c r="E63" s="2934"/>
      <c r="F63" s="4042"/>
      <c r="G63" s="368"/>
      <c r="H63" s="368"/>
      <c r="I63" s="368"/>
      <c r="J63" s="368"/>
      <c r="K63" s="365"/>
      <c r="L63" s="341"/>
      <c r="M63" s="341">
        <v>100</v>
      </c>
      <c r="N63" s="340">
        <f>HLOOKUP($N$6,$G$6:M63,ROWS($N$6:N63),FALSE)</f>
        <v>100</v>
      </c>
      <c r="O63" s="3908"/>
      <c r="P63" s="4033"/>
      <c r="Q63" s="4033"/>
      <c r="R63" s="4033"/>
      <c r="V63" s="4033"/>
      <c r="W63" s="4033"/>
      <c r="X63" s="4033"/>
      <c r="Y63" s="4033"/>
      <c r="Z63" s="4033"/>
    </row>
    <row r="64" spans="1:42" s="42" customFormat="1" ht="15">
      <c r="B64" s="346">
        <v>6</v>
      </c>
      <c r="C64" s="4041" t="s">
        <v>2157</v>
      </c>
      <c r="D64" s="4041"/>
      <c r="E64" s="2934"/>
      <c r="F64" s="4042"/>
      <c r="G64" s="368"/>
      <c r="H64" s="368"/>
      <c r="I64" s="368"/>
      <c r="J64" s="368"/>
      <c r="K64" s="365"/>
      <c r="L64" s="341"/>
      <c r="M64" s="341">
        <v>45</v>
      </c>
      <c r="N64" s="340">
        <f>HLOOKUP($N$6,$G$6:M64,ROWS($N$6:N64),FALSE)</f>
        <v>45</v>
      </c>
      <c r="O64" s="3908"/>
      <c r="P64" s="4033"/>
      <c r="Q64" s="4033"/>
      <c r="R64" s="4033"/>
      <c r="V64" s="4033"/>
      <c r="W64" s="4033"/>
      <c r="X64" s="4033"/>
      <c r="Y64" s="4033"/>
      <c r="Z64" s="4033"/>
    </row>
    <row r="65" spans="1:41" s="42" customFormat="1" ht="15">
      <c r="B65" s="346">
        <v>7</v>
      </c>
      <c r="C65" s="4041" t="s">
        <v>2158</v>
      </c>
      <c r="D65" s="4041"/>
      <c r="E65" s="2934"/>
      <c r="F65" s="4042"/>
      <c r="G65" s="368"/>
      <c r="H65" s="368"/>
      <c r="I65" s="368"/>
      <c r="J65" s="368"/>
      <c r="K65" s="365"/>
      <c r="L65" s="341"/>
      <c r="M65" s="341">
        <v>40</v>
      </c>
      <c r="N65" s="340">
        <f>HLOOKUP($N$6,$G$6:M65,ROWS($N$6:N65),FALSE)</f>
        <v>40</v>
      </c>
      <c r="O65" s="3908"/>
      <c r="P65" s="4033"/>
      <c r="Q65" s="4033"/>
      <c r="R65" s="4033"/>
      <c r="V65" s="4033"/>
      <c r="W65" s="4033"/>
      <c r="X65" s="4033"/>
      <c r="Y65" s="4033"/>
      <c r="Z65" s="4033"/>
    </row>
    <row r="66" spans="1:41" s="42" customFormat="1" ht="15">
      <c r="B66" s="346">
        <v>8</v>
      </c>
      <c r="C66" s="4041" t="s">
        <v>2159</v>
      </c>
      <c r="D66" s="4041"/>
      <c r="E66" s="2934"/>
      <c r="F66" s="4042"/>
      <c r="G66" s="368"/>
      <c r="H66" s="368"/>
      <c r="I66" s="368"/>
      <c r="J66" s="368"/>
      <c r="K66" s="365"/>
      <c r="L66" s="341"/>
      <c r="M66" s="341">
        <v>35</v>
      </c>
      <c r="N66" s="340">
        <f>HLOOKUP($N$6,$G$6:M66,ROWS($N$6:N66),FALSE)</f>
        <v>35</v>
      </c>
      <c r="O66" s="3908"/>
      <c r="P66" s="4033"/>
      <c r="Q66" s="4033"/>
      <c r="R66" s="4033"/>
      <c r="V66" s="4033"/>
      <c r="W66" s="4033"/>
      <c r="X66" s="4033"/>
      <c r="Y66" s="4033"/>
      <c r="Z66" s="4033"/>
    </row>
    <row r="67" spans="1:41" s="42" customFormat="1" ht="15">
      <c r="B67" s="346">
        <v>9</v>
      </c>
      <c r="C67" s="4041" t="s">
        <v>2160</v>
      </c>
      <c r="D67" s="4041"/>
      <c r="E67" s="2934"/>
      <c r="F67" s="4042"/>
      <c r="G67" s="368"/>
      <c r="H67" s="368"/>
      <c r="I67" s="368"/>
      <c r="J67" s="368"/>
      <c r="K67" s="365"/>
      <c r="L67" s="341"/>
      <c r="M67" s="341">
        <v>30</v>
      </c>
      <c r="N67" s="340">
        <f>HLOOKUP($N$6,$G$6:M67,ROWS($N$6:N67),FALSE)</f>
        <v>30</v>
      </c>
      <c r="O67" s="3908"/>
      <c r="P67" s="4033"/>
      <c r="Q67" s="4033"/>
      <c r="R67" s="4033"/>
      <c r="V67" s="4033"/>
      <c r="W67" s="4033"/>
      <c r="X67" s="4033"/>
      <c r="Y67" s="4033"/>
      <c r="Z67" s="4033"/>
    </row>
    <row r="68" spans="1:41" s="42" customFormat="1" ht="15">
      <c r="B68" s="346">
        <v>10</v>
      </c>
      <c r="C68" s="4041" t="s">
        <v>2161</v>
      </c>
      <c r="D68" s="4041"/>
      <c r="E68" s="2934"/>
      <c r="F68" s="4042"/>
      <c r="G68" s="368"/>
      <c r="H68" s="368"/>
      <c r="I68" s="368"/>
      <c r="J68" s="368"/>
      <c r="K68" s="365"/>
      <c r="L68" s="341"/>
      <c r="M68" s="341">
        <v>25</v>
      </c>
      <c r="N68" s="340">
        <f>HLOOKUP($N$6,$G$6:M68,ROWS($N$6:N68),FALSE)</f>
        <v>25</v>
      </c>
      <c r="O68" s="3908"/>
      <c r="P68" s="4033"/>
      <c r="Q68" s="4033"/>
      <c r="R68" s="4033"/>
      <c r="V68" s="4033"/>
      <c r="W68" s="4033"/>
      <c r="X68" s="4033"/>
      <c r="Y68" s="4033"/>
      <c r="Z68" s="4033"/>
    </row>
    <row r="69" spans="1:41" s="42" customFormat="1" ht="15">
      <c r="B69" s="346">
        <v>11</v>
      </c>
      <c r="C69" s="4041" t="s">
        <v>2162</v>
      </c>
      <c r="D69" s="4041"/>
      <c r="E69" s="2934"/>
      <c r="F69" s="4042"/>
      <c r="G69" s="368"/>
      <c r="H69" s="368"/>
      <c r="I69" s="368"/>
      <c r="J69" s="368"/>
      <c r="K69" s="365"/>
      <c r="L69" s="341"/>
      <c r="M69" s="341">
        <v>40</v>
      </c>
      <c r="N69" s="340">
        <f>HLOOKUP($N$6,$G$6:M69,ROWS($N$6:N69),FALSE)</f>
        <v>40</v>
      </c>
      <c r="O69" s="3908"/>
      <c r="P69" s="4033"/>
      <c r="Q69" s="4033"/>
      <c r="R69" s="4033"/>
      <c r="V69" s="4033"/>
      <c r="W69" s="4033"/>
      <c r="X69" s="4033"/>
      <c r="Y69" s="4033"/>
      <c r="Z69" s="4033"/>
    </row>
    <row r="70" spans="1:41" s="42" customFormat="1" ht="15">
      <c r="B70" s="346">
        <v>12</v>
      </c>
      <c r="C70" s="4041"/>
      <c r="D70" s="4041"/>
      <c r="E70" s="2934"/>
      <c r="F70" s="4042"/>
      <c r="G70" s="368"/>
      <c r="H70" s="368"/>
      <c r="I70" s="368"/>
      <c r="J70" s="368"/>
      <c r="K70" s="365"/>
      <c r="L70" s="341"/>
      <c r="M70" s="341"/>
      <c r="N70" s="340">
        <f>HLOOKUP($N$6,$G$6:M70,ROWS($N$6:N70),FALSE)</f>
        <v>0</v>
      </c>
      <c r="O70" s="3908"/>
      <c r="P70" s="4033"/>
      <c r="Q70" s="4033"/>
      <c r="R70" s="4033"/>
      <c r="V70" s="4033"/>
      <c r="W70" s="4033"/>
      <c r="X70" s="4033"/>
      <c r="Y70" s="4033"/>
      <c r="Z70" s="4033"/>
    </row>
    <row r="71" spans="1:41" s="42" customFormat="1" ht="15">
      <c r="B71" s="346">
        <v>13</v>
      </c>
      <c r="C71" s="4041" t="s">
        <v>2172</v>
      </c>
      <c r="D71" s="4041"/>
      <c r="E71" s="2934"/>
      <c r="F71" s="4042"/>
      <c r="G71" s="368"/>
      <c r="H71" s="368"/>
      <c r="I71" s="368"/>
      <c r="J71" s="368"/>
      <c r="K71" s="365"/>
      <c r="L71" s="341"/>
      <c r="M71" s="341">
        <v>158</v>
      </c>
      <c r="N71" s="340">
        <f>HLOOKUP($N$6,$G$6:M71,ROWS($N$6:N71),FALSE)</f>
        <v>158</v>
      </c>
      <c r="O71" s="3908"/>
      <c r="P71" s="4033"/>
      <c r="Q71" s="4033"/>
      <c r="R71" s="4033"/>
      <c r="V71" s="4033"/>
      <c r="W71" s="4033"/>
      <c r="X71" s="4033"/>
      <c r="Y71" s="4033"/>
      <c r="Z71" s="4033"/>
    </row>
    <row r="72" spans="1:41" s="42" customFormat="1" ht="18">
      <c r="B72" s="346">
        <v>14</v>
      </c>
      <c r="C72" s="4041" t="s">
        <v>2178</v>
      </c>
      <c r="D72" s="4041"/>
      <c r="E72" s="2934"/>
      <c r="F72" s="4042"/>
      <c r="G72" s="368"/>
      <c r="H72" s="368"/>
      <c r="I72" s="368"/>
      <c r="J72" s="368"/>
      <c r="K72" s="365"/>
      <c r="L72" s="341"/>
      <c r="M72" s="341">
        <v>63.4</v>
      </c>
      <c r="N72" s="340">
        <f>HLOOKUP($N$6,$G$6:M72,ROWS($N$6:N72),FALSE)</f>
        <v>63.4</v>
      </c>
      <c r="O72" s="3908"/>
      <c r="P72" s="4044"/>
      <c r="Q72" s="4044"/>
      <c r="R72" s="4044"/>
      <c r="V72" s="4044"/>
      <c r="W72" s="4044"/>
      <c r="X72" s="4044"/>
      <c r="Y72" s="4044"/>
      <c r="Z72" s="4044"/>
    </row>
    <row r="73" spans="1:41" s="42" customFormat="1" ht="18">
      <c r="B73" s="346">
        <v>15</v>
      </c>
      <c r="C73" s="4041" t="s">
        <v>2179</v>
      </c>
      <c r="D73" s="4041"/>
      <c r="E73" s="2934"/>
      <c r="F73" s="4042"/>
      <c r="G73" s="368"/>
      <c r="H73" s="368"/>
      <c r="I73" s="368"/>
      <c r="J73" s="368"/>
      <c r="K73" s="365"/>
      <c r="L73" s="341"/>
      <c r="M73" s="341">
        <v>134</v>
      </c>
      <c r="N73" s="340">
        <f>HLOOKUP($N$6,$G$6:M73,ROWS($N$6:N73),FALSE)</f>
        <v>134</v>
      </c>
      <c r="O73" s="3908"/>
      <c r="P73" s="4033"/>
      <c r="Q73" s="4033"/>
      <c r="R73" s="4033"/>
      <c r="V73" s="4033"/>
      <c r="W73" s="4033"/>
      <c r="X73" s="4033"/>
      <c r="Y73" s="4033"/>
      <c r="Z73" s="4033"/>
    </row>
    <row r="74" spans="1:41" ht="18">
      <c r="A74" s="320"/>
      <c r="B74" s="346">
        <v>16</v>
      </c>
      <c r="C74" s="339" t="s">
        <v>2180</v>
      </c>
      <c r="D74" s="339"/>
      <c r="E74" s="338"/>
      <c r="F74" s="337"/>
      <c r="G74" s="336"/>
      <c r="H74" s="336"/>
      <c r="I74" s="336"/>
      <c r="J74" s="335"/>
      <c r="K74" s="335"/>
      <c r="L74" s="334"/>
      <c r="M74" s="334"/>
      <c r="N74" s="333">
        <f>HLOOKUP($N$6,$G$6:M74,ROWS($N$6:N74),FALSE)</f>
        <v>0</v>
      </c>
      <c r="P74" s="31"/>
      <c r="Q74" s="31"/>
      <c r="R74" s="31"/>
      <c r="S74" s="35"/>
      <c r="T74" s="31"/>
      <c r="U74" s="329"/>
      <c r="V74" s="31"/>
      <c r="W74" s="31"/>
      <c r="X74" s="31"/>
      <c r="Y74" s="31"/>
      <c r="Z74" s="31"/>
      <c r="AA74" s="257"/>
      <c r="AB74" s="257"/>
      <c r="AC74" s="257"/>
      <c r="AD74" s="257"/>
      <c r="AE74" s="257"/>
      <c r="AF74" s="257"/>
      <c r="AG74" s="257"/>
      <c r="AH74" s="257"/>
      <c r="AI74" s="257"/>
      <c r="AJ74" s="257"/>
      <c r="AK74" s="257"/>
      <c r="AL74" s="257"/>
      <c r="AM74" s="257"/>
      <c r="AN74" s="257"/>
      <c r="AO74" s="257"/>
    </row>
    <row r="75" spans="1:41" s="136" customFormat="1" ht="17.649999999999999" customHeight="1">
      <c r="C75" s="136" t="s">
        <v>2173</v>
      </c>
    </row>
    <row r="76" spans="1:41" s="136" customFormat="1" ht="14.25">
      <c r="B76" s="31"/>
      <c r="C76" s="3128" t="s">
        <v>2175</v>
      </c>
      <c r="D76" s="31"/>
      <c r="E76" s="31"/>
      <c r="F76" s="31"/>
      <c r="G76" s="42"/>
      <c r="H76" s="42"/>
      <c r="I76" s="31"/>
      <c r="J76" s="31"/>
      <c r="K76" s="31"/>
      <c r="L76" s="31"/>
      <c r="M76" s="31"/>
      <c r="N76" s="31"/>
    </row>
    <row r="77" spans="1:41" s="136" customFormat="1" ht="14.25">
      <c r="C77" s="136" t="s">
        <v>2174</v>
      </c>
    </row>
    <row r="78" spans="1:41" s="136" customFormat="1"/>
    <row r="79" spans="1:41" s="136" customFormat="1">
      <c r="C79" s="136" t="s">
        <v>2163</v>
      </c>
    </row>
    <row r="80" spans="1:41" s="136" customFormat="1">
      <c r="C80" s="136" t="s">
        <v>2164</v>
      </c>
    </row>
    <row r="81" spans="2:14" s="136" customFormat="1"/>
    <row r="82" spans="2:14" s="136" customFormat="1"/>
    <row r="83" spans="2:14" s="136" customFormat="1"/>
    <row r="84" spans="2:14" s="136" customFormat="1"/>
    <row r="85" spans="2:14" s="136" customFormat="1"/>
    <row r="86" spans="2:14" s="136" customFormat="1"/>
    <row r="87" spans="2:14" s="136" customFormat="1"/>
    <row r="88" spans="2:14" s="136" customFormat="1"/>
    <row r="89" spans="2:14" s="136" customFormat="1"/>
    <row r="90" spans="2:14" s="136" customFormat="1"/>
    <row r="91" spans="2:14" s="136" customFormat="1"/>
    <row r="92" spans="2:14" s="136" customFormat="1"/>
    <row r="93" spans="2:14" s="136" customFormat="1"/>
    <row r="94" spans="2:14" s="42" customFormat="1" ht="14.25">
      <c r="B94" s="136"/>
      <c r="C94" s="136"/>
      <c r="D94" s="136"/>
      <c r="E94" s="136"/>
      <c r="F94" s="136"/>
      <c r="G94" s="136"/>
      <c r="H94" s="136"/>
      <c r="I94" s="136"/>
      <c r="J94" s="136"/>
      <c r="K94" s="136"/>
      <c r="L94" s="136"/>
      <c r="M94" s="136"/>
      <c r="N94" s="136"/>
    </row>
    <row r="95" spans="2:14">
      <c r="B95" s="136"/>
      <c r="C95" s="136"/>
      <c r="D95" s="136"/>
      <c r="E95" s="136"/>
      <c r="F95" s="136"/>
      <c r="G95" s="136"/>
      <c r="H95" s="136"/>
      <c r="I95" s="136"/>
      <c r="J95" s="136"/>
      <c r="K95" s="136"/>
      <c r="L95" s="136"/>
      <c r="M95" s="136"/>
      <c r="N95" s="136"/>
    </row>
    <row r="96" spans="2:14" s="136" customFormat="1"/>
    <row r="97" spans="2:14" s="136" customFormat="1"/>
    <row r="98" spans="2:14" s="136" customFormat="1" ht="14.25">
      <c r="B98" s="42"/>
      <c r="C98" s="42"/>
      <c r="D98" s="42"/>
      <c r="E98" s="42"/>
      <c r="F98" s="42"/>
      <c r="G98" s="42"/>
      <c r="H98" s="42"/>
      <c r="I98" s="42"/>
      <c r="J98" s="42"/>
      <c r="K98" s="42"/>
      <c r="L98" s="42"/>
      <c r="M98" s="42"/>
      <c r="N98" s="42"/>
    </row>
    <row r="99" spans="2:14" s="136" customFormat="1">
      <c r="B99" s="32"/>
      <c r="C99" s="38"/>
      <c r="D99" s="32"/>
      <c r="E99" s="32"/>
      <c r="F99" s="32"/>
      <c r="G99" s="32"/>
      <c r="H99" s="32"/>
      <c r="I99" s="39"/>
      <c r="J99" s="39"/>
      <c r="K99" s="39"/>
      <c r="L99" s="39"/>
      <c r="M99" s="39"/>
      <c r="N99" s="32"/>
    </row>
    <row r="100" spans="2:14" s="136" customFormat="1"/>
    <row r="101" spans="2:14" s="136" customFormat="1"/>
    <row r="102" spans="2:14" s="136" customFormat="1"/>
    <row r="103" spans="2:14" s="136" customFormat="1"/>
    <row r="104" spans="2:14" s="136" customFormat="1"/>
    <row r="105" spans="2:14" s="136" customFormat="1"/>
    <row r="106" spans="2:14" s="136" customFormat="1"/>
    <row r="107" spans="2:14" s="136" customFormat="1"/>
    <row r="108" spans="2:14" s="136" customFormat="1"/>
    <row r="109" spans="2:14" s="136" customFormat="1"/>
    <row r="110" spans="2:14" s="136" customFormat="1"/>
    <row r="111" spans="2:14" s="136" customFormat="1"/>
    <row r="112" spans="2:14" s="136" customFormat="1"/>
    <row r="113" spans="2:14" s="136" customFormat="1"/>
    <row r="114" spans="2:14" s="136" customFormat="1"/>
    <row r="115" spans="2:14">
      <c r="B115" s="136"/>
      <c r="C115" s="136"/>
      <c r="D115" s="136"/>
      <c r="E115" s="136"/>
      <c r="F115" s="136"/>
      <c r="G115" s="136"/>
      <c r="H115" s="136"/>
      <c r="I115" s="136"/>
      <c r="J115" s="136"/>
      <c r="K115" s="136"/>
      <c r="L115" s="136"/>
      <c r="M115" s="136"/>
      <c r="N115" s="136"/>
    </row>
    <row r="116" spans="2:14">
      <c r="B116" s="136"/>
      <c r="C116" s="136"/>
      <c r="D116" s="136"/>
      <c r="E116" s="136"/>
      <c r="F116" s="136"/>
      <c r="G116" s="136"/>
      <c r="H116" s="136"/>
      <c r="I116" s="136"/>
      <c r="J116" s="136"/>
      <c r="K116" s="136"/>
      <c r="L116" s="136"/>
      <c r="M116" s="136"/>
      <c r="N116" s="136"/>
    </row>
    <row r="117" spans="2:14">
      <c r="B117" s="136"/>
      <c r="C117" s="136"/>
      <c r="D117" s="136"/>
      <c r="E117" s="136"/>
      <c r="F117" s="136"/>
      <c r="G117" s="136"/>
      <c r="H117" s="136"/>
      <c r="I117" s="136"/>
      <c r="J117" s="136"/>
      <c r="K117" s="136"/>
      <c r="L117" s="136"/>
      <c r="M117" s="136"/>
      <c r="N117" s="136"/>
    </row>
    <row r="118" spans="2:14">
      <c r="B118" s="136"/>
      <c r="C118" s="136"/>
      <c r="D118" s="136"/>
      <c r="E118" s="136"/>
      <c r="F118" s="136"/>
      <c r="G118" s="136"/>
      <c r="H118" s="136"/>
      <c r="I118" s="136"/>
      <c r="J118" s="136"/>
      <c r="K118" s="136"/>
      <c r="L118" s="136"/>
      <c r="M118" s="136"/>
      <c r="N118" s="136"/>
    </row>
  </sheetData>
  <sheetProtection sheet="1" objects="1" scenarios="1"/>
  <mergeCells count="6">
    <mergeCell ref="B54:L54"/>
    <mergeCell ref="C48:F48"/>
    <mergeCell ref="C49:F49"/>
    <mergeCell ref="C7:N7"/>
    <mergeCell ref="L2:N2"/>
    <mergeCell ref="C47:F47"/>
  </mergeCells>
  <dataValidations disablePrompts="1" count="1">
    <dataValidation type="list" allowBlank="1" showInputMessage="1" showErrorMessage="1" sqref="N6">
      <formula1>$G$6:$M$6</formula1>
    </dataValidation>
  </dataValidation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1"/>
  <headerFooter alignWithMargins="0">
    <oddFooter>&amp;L&amp;11LEL Schwäbisch Gmünd&amp;C&amp;11&amp;P+8&amp;R&amp;11 &amp;F</oddFooter>
  </headerFooter>
  <rowBreaks count="1" manualBreakCount="1">
    <brk id="79"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00B0F0"/>
    <pageSetUpPr fitToPage="1"/>
  </sheetPr>
  <dimension ref="A1:AP156"/>
  <sheetViews>
    <sheetView showZeros="0" zoomScaleNormal="100" workbookViewId="0"/>
  </sheetViews>
  <sheetFormatPr baseColWidth="10" defaultColWidth="10.5" defaultRowHeight="11.25"/>
  <cols>
    <col min="1" max="1" width="2.25" style="371" customWidth="1"/>
    <col min="2" max="2" width="3.625" style="383" customWidth="1"/>
    <col min="3" max="3" width="37.75" style="383" bestFit="1" customWidth="1"/>
    <col min="4" max="4" width="6.875" style="383" customWidth="1"/>
    <col min="5" max="5" width="3.25" style="383" customWidth="1"/>
    <col min="6" max="6" width="6.625" style="383" customWidth="1"/>
    <col min="7" max="7" width="6" style="383" customWidth="1"/>
    <col min="8" max="8" width="6" style="370" customWidth="1"/>
    <col min="9" max="9" width="6" style="383" customWidth="1"/>
    <col min="10" max="15" width="6" style="370" customWidth="1"/>
    <col min="16" max="16" width="9.5" style="383" hidden="1" customWidth="1"/>
    <col min="17" max="17" width="42.25" style="371" hidden="1" customWidth="1"/>
    <col min="18" max="18" width="27.125" style="370" hidden="1" customWidth="1"/>
    <col min="19" max="19" width="86.125" style="371" hidden="1" customWidth="1"/>
    <col min="20" max="20" width="74" style="371" hidden="1" customWidth="1"/>
    <col min="21" max="21" width="68.375" style="371" hidden="1" customWidth="1"/>
    <col min="22" max="28" width="10.5" style="371" hidden="1" customWidth="1"/>
    <col min="29" max="16384" width="10.5" style="371"/>
  </cols>
  <sheetData>
    <row r="1" spans="1:42">
      <c r="A1" s="390"/>
      <c r="J1" s="371"/>
      <c r="M1" s="504"/>
      <c r="N1" s="504"/>
      <c r="O1" s="503"/>
      <c r="R1" s="371"/>
    </row>
    <row r="2" spans="1:42" ht="18">
      <c r="A2" s="3694"/>
      <c r="B2" s="48" t="s">
        <v>567</v>
      </c>
      <c r="C2" s="371"/>
      <c r="D2" s="371"/>
      <c r="E2" s="371"/>
      <c r="F2" s="371"/>
      <c r="G2" s="371"/>
      <c r="H2" s="371"/>
      <c r="I2" s="370"/>
      <c r="J2" s="371"/>
      <c r="K2" s="371"/>
      <c r="L2" s="371"/>
      <c r="M2" s="371"/>
      <c r="N2" s="371"/>
      <c r="O2" s="501" t="str">
        <f>'SDK1'!O2</f>
        <v>Marktfrüchte Konventionell</v>
      </c>
    </row>
    <row r="3" spans="1:42" ht="24" customHeight="1">
      <c r="A3" s="3694"/>
      <c r="B3" s="389"/>
      <c r="C3" s="502" t="s">
        <v>2099</v>
      </c>
      <c r="D3" s="371"/>
      <c r="I3" s="370"/>
      <c r="J3" s="371"/>
      <c r="K3" s="371"/>
      <c r="L3" s="371"/>
      <c r="M3" s="371"/>
      <c r="N3" s="371"/>
      <c r="O3" s="501">
        <f>'SDK1'!O3</f>
        <v>0</v>
      </c>
      <c r="Q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row>
    <row r="4" spans="1:42" ht="13.7" customHeight="1">
      <c r="A4" s="3694"/>
      <c r="B4" s="472"/>
      <c r="C4" s="371"/>
      <c r="D4" s="371"/>
      <c r="K4" s="371"/>
      <c r="L4" s="371"/>
      <c r="M4" s="371"/>
      <c r="N4" s="371"/>
      <c r="O4" s="371"/>
      <c r="Q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row>
    <row r="5" spans="1:42" ht="13.15" customHeight="1">
      <c r="A5" s="3694"/>
      <c r="B5" s="232" t="s">
        <v>566</v>
      </c>
      <c r="C5" s="330"/>
      <c r="D5" s="3455">
        <f>'SDK1'!O64</f>
        <v>1.5199999999999998</v>
      </c>
      <c r="E5" s="330" t="s">
        <v>560</v>
      </c>
      <c r="F5" s="330" t="s">
        <v>565</v>
      </c>
      <c r="G5" s="3456">
        <f>'SDK1'!O12/100</f>
        <v>0</v>
      </c>
      <c r="H5" s="330"/>
      <c r="I5" s="296" t="s">
        <v>564</v>
      </c>
      <c r="J5" s="3457">
        <v>0.21479999999999999</v>
      </c>
      <c r="K5" s="330" t="s">
        <v>560</v>
      </c>
      <c r="M5" s="296" t="s">
        <v>563</v>
      </c>
      <c r="N5" s="3458">
        <f>(S5)-J5</f>
        <v>1.0625109243697479</v>
      </c>
      <c r="O5" s="330" t="s">
        <v>560</v>
      </c>
      <c r="Q5" s="497" t="s">
        <v>561</v>
      </c>
      <c r="S5" s="2108">
        <f>D5/(100%+U5)</f>
        <v>1.2773109243697478</v>
      </c>
      <c r="T5" s="448" t="s">
        <v>560</v>
      </c>
      <c r="U5" s="448">
        <v>0.19</v>
      </c>
      <c r="V5" s="448"/>
      <c r="W5" s="448"/>
      <c r="X5" s="448"/>
      <c r="Y5" s="448"/>
      <c r="Z5" s="448"/>
      <c r="AA5" s="448"/>
      <c r="AB5" s="448"/>
      <c r="AC5" s="448"/>
      <c r="AD5" s="448"/>
      <c r="AE5" s="448"/>
      <c r="AF5" s="448"/>
      <c r="AG5" s="448"/>
      <c r="AH5" s="448"/>
      <c r="AI5" s="448"/>
      <c r="AJ5" s="448"/>
      <c r="AK5" s="448"/>
      <c r="AL5" s="448"/>
      <c r="AM5" s="448"/>
      <c r="AN5" s="448"/>
      <c r="AO5" s="448"/>
      <c r="AP5" s="448"/>
    </row>
    <row r="6" spans="1:42" ht="5.25" customHeight="1">
      <c r="A6" s="3694"/>
      <c r="K6" s="371"/>
      <c r="L6" s="371"/>
      <c r="M6" s="371"/>
      <c r="N6" s="371"/>
      <c r="O6" s="371"/>
      <c r="U6" s="383"/>
      <c r="W6" s="448"/>
      <c r="X6" s="448"/>
      <c r="Y6" s="448"/>
      <c r="Z6" s="448"/>
      <c r="AA6" s="448"/>
      <c r="AB6" s="448"/>
      <c r="AC6" s="448"/>
      <c r="AD6" s="448"/>
      <c r="AE6" s="448"/>
      <c r="AF6" s="448"/>
      <c r="AG6" s="448"/>
      <c r="AH6" s="448"/>
      <c r="AI6" s="448"/>
      <c r="AJ6" s="448"/>
      <c r="AK6" s="448"/>
      <c r="AL6" s="448"/>
      <c r="AM6" s="448"/>
      <c r="AN6" s="448"/>
      <c r="AO6" s="448"/>
      <c r="AP6" s="448"/>
    </row>
    <row r="7" spans="1:42" ht="12.75">
      <c r="A7" s="3694"/>
      <c r="B7" s="3459" t="s">
        <v>524</v>
      </c>
      <c r="C7" s="3460"/>
      <c r="D7" s="3695"/>
      <c r="G7" s="3606"/>
      <c r="H7" s="4249" t="s">
        <v>559</v>
      </c>
      <c r="I7" s="4250"/>
      <c r="J7" s="4250"/>
      <c r="K7" s="4250"/>
      <c r="L7" s="4250"/>
      <c r="M7" s="4250"/>
      <c r="N7" s="4250"/>
      <c r="O7" s="4250"/>
      <c r="Q7" s="383" t="s">
        <v>562</v>
      </c>
      <c r="R7" s="389"/>
      <c r="S7" s="448"/>
      <c r="T7" s="448"/>
      <c r="U7" s="448"/>
      <c r="V7" s="448"/>
      <c r="W7" s="448"/>
      <c r="X7" s="448"/>
      <c r="Y7" s="448"/>
      <c r="Z7" s="448"/>
      <c r="AA7" s="448"/>
      <c r="AB7" s="448"/>
      <c r="AC7" s="448"/>
      <c r="AD7" s="448"/>
      <c r="AE7" s="448"/>
      <c r="AF7" s="448"/>
      <c r="AG7" s="448"/>
      <c r="AH7" s="448"/>
      <c r="AI7" s="448"/>
      <c r="AJ7" s="448"/>
      <c r="AK7" s="448"/>
    </row>
    <row r="8" spans="1:42" ht="13.15" customHeight="1">
      <c r="A8" s="3694"/>
      <c r="B8" s="3691"/>
      <c r="C8" s="468"/>
      <c r="D8" s="4262" t="s">
        <v>520</v>
      </c>
      <c r="E8" s="4283"/>
      <c r="F8" s="4262" t="s">
        <v>557</v>
      </c>
      <c r="G8" s="4264"/>
      <c r="H8" s="467" t="s">
        <v>556</v>
      </c>
      <c r="I8" s="3696"/>
      <c r="J8" s="4262" t="s">
        <v>555</v>
      </c>
      <c r="K8" s="4263"/>
      <c r="L8" s="3690"/>
      <c r="M8" s="4253" t="s">
        <v>554</v>
      </c>
      <c r="N8" s="4254"/>
      <c r="O8" s="4254"/>
      <c r="P8" s="448"/>
      <c r="Q8" s="383"/>
      <c r="R8" s="389"/>
      <c r="S8" s="448"/>
      <c r="T8" s="448"/>
      <c r="U8" s="448"/>
      <c r="V8" s="448"/>
      <c r="W8" s="448"/>
      <c r="X8" s="448"/>
      <c r="Y8" s="448"/>
      <c r="Z8" s="448"/>
      <c r="AA8" s="448"/>
      <c r="AB8" s="448"/>
      <c r="AC8" s="448"/>
      <c r="AD8" s="448"/>
      <c r="AE8" s="448"/>
      <c r="AF8" s="448"/>
      <c r="AG8" s="448"/>
      <c r="AH8" s="448"/>
      <c r="AI8" s="448"/>
      <c r="AJ8" s="448"/>
      <c r="AK8" s="448"/>
    </row>
    <row r="9" spans="1:42" ht="13.15" customHeight="1">
      <c r="A9" s="3694"/>
      <c r="B9" s="330"/>
      <c r="C9" s="468"/>
      <c r="D9" s="4262" t="s">
        <v>518</v>
      </c>
      <c r="E9" s="4283"/>
      <c r="F9" s="4262" t="s">
        <v>553</v>
      </c>
      <c r="G9" s="4264"/>
      <c r="H9" s="467" t="s">
        <v>552</v>
      </c>
      <c r="I9" s="467"/>
      <c r="J9" s="4262" t="s">
        <v>551</v>
      </c>
      <c r="K9" s="4263"/>
      <c r="L9" s="3690"/>
      <c r="M9" s="4253" t="s">
        <v>550</v>
      </c>
      <c r="N9" s="4254"/>
      <c r="O9" s="4254"/>
      <c r="P9" s="448"/>
      <c r="Q9" s="389" t="s">
        <v>558</v>
      </c>
      <c r="R9" s="389"/>
      <c r="S9" s="448"/>
      <c r="T9" s="448"/>
      <c r="U9" s="448"/>
      <c r="V9" s="448"/>
      <c r="W9" s="448"/>
      <c r="X9" s="448"/>
      <c r="Y9" s="448"/>
      <c r="Z9" s="448"/>
      <c r="AA9" s="448"/>
      <c r="AB9" s="448"/>
      <c r="AC9" s="448"/>
      <c r="AD9" s="448"/>
      <c r="AE9" s="448"/>
      <c r="AF9" s="448"/>
      <c r="AG9" s="448"/>
      <c r="AH9" s="448"/>
      <c r="AI9" s="448"/>
      <c r="AJ9" s="448"/>
      <c r="AK9" s="448"/>
    </row>
    <row r="10" spans="1:42" ht="13.15" customHeight="1" thickBot="1">
      <c r="A10" s="3694"/>
      <c r="B10" s="330"/>
      <c r="C10" s="468"/>
      <c r="D10" s="4284"/>
      <c r="E10" s="4285"/>
      <c r="F10" s="4284"/>
      <c r="G10" s="4286"/>
      <c r="H10" s="495">
        <f>N5</f>
        <v>1.0625109243697479</v>
      </c>
      <c r="I10" s="494" t="s">
        <v>549</v>
      </c>
      <c r="J10" s="4262" t="s">
        <v>548</v>
      </c>
      <c r="K10" s="4263"/>
      <c r="L10" s="3690"/>
      <c r="M10" s="4253" t="s">
        <v>547</v>
      </c>
      <c r="N10" s="4254"/>
      <c r="O10" s="4254"/>
      <c r="P10" s="448"/>
      <c r="Q10" s="448"/>
      <c r="R10" s="389"/>
      <c r="S10" s="448"/>
      <c r="T10" s="448"/>
      <c r="U10" s="448"/>
      <c r="V10" s="448"/>
      <c r="W10" s="448"/>
      <c r="X10" s="448"/>
      <c r="Y10" s="448"/>
      <c r="Z10" s="448"/>
      <c r="AA10" s="448"/>
      <c r="AB10" s="448"/>
      <c r="AC10" s="448"/>
      <c r="AD10" s="448"/>
      <c r="AE10" s="448"/>
      <c r="AF10" s="448"/>
      <c r="AG10" s="448"/>
      <c r="AH10" s="448"/>
      <c r="AI10" s="448"/>
      <c r="AJ10" s="448"/>
      <c r="AK10" s="448"/>
    </row>
    <row r="11" spans="1:42" ht="13.15" customHeight="1">
      <c r="A11" s="3694"/>
      <c r="B11" s="1003" t="s">
        <v>546</v>
      </c>
      <c r="C11" s="457" t="s">
        <v>545</v>
      </c>
      <c r="D11" s="493"/>
      <c r="E11" s="492"/>
      <c r="F11" s="4260" t="s">
        <v>544</v>
      </c>
      <c r="G11" s="4265"/>
      <c r="H11" s="4260" t="s">
        <v>543</v>
      </c>
      <c r="I11" s="4265"/>
      <c r="J11" s="4260" t="s">
        <v>543</v>
      </c>
      <c r="K11" s="4261"/>
      <c r="L11" s="801"/>
      <c r="M11" s="491">
        <v>0.7</v>
      </c>
      <c r="N11" s="456">
        <v>1</v>
      </c>
      <c r="O11" s="456">
        <v>1.5</v>
      </c>
      <c r="P11" s="448"/>
      <c r="Q11" s="490" t="s">
        <v>542</v>
      </c>
      <c r="R11" s="389"/>
      <c r="S11" s="489" t="s">
        <v>541</v>
      </c>
      <c r="T11" s="488" t="s">
        <v>540</v>
      </c>
      <c r="U11" s="485" t="s">
        <v>349</v>
      </c>
      <c r="V11" s="487"/>
      <c r="W11" s="485"/>
      <c r="X11" s="485"/>
      <c r="Y11" s="486"/>
      <c r="Z11" s="485"/>
      <c r="AA11" s="484"/>
      <c r="AB11" s="448"/>
      <c r="AC11" s="448"/>
      <c r="AD11" s="448"/>
      <c r="AE11" s="448"/>
      <c r="AF11" s="448"/>
      <c r="AG11" s="448"/>
      <c r="AH11" s="448"/>
      <c r="AI11" s="448"/>
      <c r="AJ11" s="448"/>
      <c r="AK11" s="448"/>
    </row>
    <row r="12" spans="1:42" ht="12.95" customHeight="1">
      <c r="A12" s="3694"/>
      <c r="B12" s="3461">
        <v>1</v>
      </c>
      <c r="C12" s="483" t="s">
        <v>539</v>
      </c>
      <c r="D12" s="4275">
        <v>200</v>
      </c>
      <c r="E12" s="4276"/>
      <c r="F12" s="4277">
        <v>23.3</v>
      </c>
      <c r="G12" s="4278"/>
      <c r="H12" s="4279">
        <f>F12*($H$10)+J12</f>
        <v>36.756504537815132</v>
      </c>
      <c r="I12" s="4280"/>
      <c r="J12" s="4281">
        <v>12</v>
      </c>
      <c r="K12" s="4282"/>
      <c r="L12" s="480"/>
      <c r="M12" s="479">
        <f t="shared" ref="M12:O17" si="0">($F12*$N$5)*M$11+$J12</f>
        <v>29.32955317647059</v>
      </c>
      <c r="N12" s="482">
        <f t="shared" si="0"/>
        <v>36.756504537815132</v>
      </c>
      <c r="O12" s="479">
        <f t="shared" si="0"/>
        <v>49.134756806722692</v>
      </c>
      <c r="P12" s="448"/>
      <c r="Q12" s="388"/>
      <c r="R12" s="389"/>
      <c r="S12" s="370" t="s">
        <v>538</v>
      </c>
      <c r="T12" s="296"/>
      <c r="U12" s="296"/>
      <c r="V12" s="481"/>
      <c r="W12" s="296"/>
      <c r="X12" s="296"/>
      <c r="Y12" s="450"/>
      <c r="Z12" s="296"/>
      <c r="AA12" s="449"/>
      <c r="AB12" s="448"/>
      <c r="AC12" s="448"/>
      <c r="AD12" s="448"/>
      <c r="AE12" s="448"/>
      <c r="AF12" s="448"/>
      <c r="AG12" s="448"/>
      <c r="AH12" s="448"/>
      <c r="AI12" s="448"/>
      <c r="AJ12" s="448"/>
      <c r="AK12" s="448"/>
    </row>
    <row r="13" spans="1:42" ht="13.15" customHeight="1">
      <c r="A13" s="3694"/>
      <c r="B13" s="3461">
        <v>2</v>
      </c>
      <c r="C13" s="392" t="s">
        <v>537</v>
      </c>
      <c r="D13" s="4266">
        <v>120</v>
      </c>
      <c r="E13" s="4267"/>
      <c r="F13" s="4273">
        <v>14</v>
      </c>
      <c r="G13" s="4274"/>
      <c r="H13" s="4257">
        <f>F13*($H$10)+J13</f>
        <v>23.37515294117647</v>
      </c>
      <c r="I13" s="4258"/>
      <c r="J13" s="4251">
        <v>8.5</v>
      </c>
      <c r="K13" s="4252"/>
      <c r="L13" s="480"/>
      <c r="M13" s="479">
        <f t="shared" si="0"/>
        <v>18.912607058823529</v>
      </c>
      <c r="N13" s="478">
        <f t="shared" si="0"/>
        <v>23.37515294117647</v>
      </c>
      <c r="O13" s="479">
        <f t="shared" si="0"/>
        <v>30.812729411764707</v>
      </c>
      <c r="P13" s="448"/>
      <c r="Q13" s="388" t="s">
        <v>527</v>
      </c>
      <c r="R13" s="473"/>
      <c r="S13" s="370" t="s">
        <v>536</v>
      </c>
      <c r="T13" s="296"/>
      <c r="U13" s="296"/>
      <c r="V13" s="451"/>
      <c r="W13" s="296"/>
      <c r="X13" s="296"/>
      <c r="Y13" s="450"/>
      <c r="Z13" s="296"/>
      <c r="AA13" s="449"/>
      <c r="AB13" s="448"/>
      <c r="AC13" s="448"/>
      <c r="AD13" s="448"/>
      <c r="AE13" s="448"/>
      <c r="AF13" s="448"/>
      <c r="AG13" s="448"/>
      <c r="AH13" s="448"/>
      <c r="AI13" s="448"/>
      <c r="AJ13" s="448"/>
      <c r="AK13" s="448"/>
    </row>
    <row r="14" spans="1:42" ht="13.15" customHeight="1">
      <c r="A14" s="3694"/>
      <c r="B14" s="3461">
        <v>3</v>
      </c>
      <c r="C14" s="392" t="s">
        <v>535</v>
      </c>
      <c r="D14" s="4266">
        <v>102</v>
      </c>
      <c r="E14" s="4267"/>
      <c r="F14" s="4273">
        <v>11.9</v>
      </c>
      <c r="G14" s="4274"/>
      <c r="H14" s="4257">
        <f>F14*($H$10)+J14</f>
        <v>20.143880000000003</v>
      </c>
      <c r="I14" s="4258"/>
      <c r="J14" s="4251">
        <v>7.5</v>
      </c>
      <c r="K14" s="4252"/>
      <c r="L14" s="476"/>
      <c r="M14" s="475">
        <f t="shared" si="0"/>
        <v>16.350715999999998</v>
      </c>
      <c r="N14" s="474">
        <f t="shared" si="0"/>
        <v>20.143880000000003</v>
      </c>
      <c r="O14" s="479">
        <f t="shared" si="0"/>
        <v>26.465820000000001</v>
      </c>
      <c r="P14" s="448"/>
      <c r="Q14" s="388" t="s">
        <v>527</v>
      </c>
      <c r="R14" s="473"/>
      <c r="S14" s="370" t="s">
        <v>534</v>
      </c>
      <c r="T14" s="296"/>
      <c r="U14" s="296"/>
      <c r="V14" s="451"/>
      <c r="W14" s="296"/>
      <c r="X14" s="296"/>
      <c r="Y14" s="450"/>
      <c r="Z14" s="296"/>
      <c r="AA14" s="449"/>
      <c r="AB14" s="448"/>
      <c r="AC14" s="448"/>
      <c r="AD14" s="448"/>
      <c r="AE14" s="448"/>
      <c r="AF14" s="448"/>
      <c r="AG14" s="448"/>
      <c r="AH14" s="448"/>
      <c r="AI14" s="448"/>
      <c r="AJ14" s="448"/>
      <c r="AK14" s="448"/>
    </row>
    <row r="15" spans="1:42" ht="13.15" customHeight="1">
      <c r="A15" s="3694"/>
      <c r="B15" s="3461">
        <v>4</v>
      </c>
      <c r="C15" s="392" t="s">
        <v>533</v>
      </c>
      <c r="D15" s="4266">
        <v>83</v>
      </c>
      <c r="E15" s="4267"/>
      <c r="F15" s="4273">
        <v>9.6999999999999993</v>
      </c>
      <c r="G15" s="4274"/>
      <c r="H15" s="4257">
        <f>F15*($H$10)+J15</f>
        <v>17.306355966386555</v>
      </c>
      <c r="I15" s="4258"/>
      <c r="J15" s="4251">
        <v>7</v>
      </c>
      <c r="K15" s="4252"/>
      <c r="L15" s="476"/>
      <c r="M15" s="475">
        <f t="shared" si="0"/>
        <v>14.214449176470588</v>
      </c>
      <c r="N15" s="474">
        <f t="shared" si="0"/>
        <v>17.306355966386555</v>
      </c>
      <c r="O15" s="479">
        <f t="shared" si="0"/>
        <v>22.459533949579832</v>
      </c>
      <c r="P15" s="448"/>
      <c r="Q15" s="388" t="s">
        <v>527</v>
      </c>
      <c r="R15" s="473"/>
      <c r="S15" s="370" t="s">
        <v>532</v>
      </c>
      <c r="T15" s="296"/>
      <c r="U15" s="296"/>
      <c r="V15" s="451"/>
      <c r="W15" s="296"/>
      <c r="X15" s="296"/>
      <c r="Y15" s="450"/>
      <c r="Z15" s="296"/>
      <c r="AA15" s="449"/>
      <c r="AB15" s="448"/>
      <c r="AC15" s="448"/>
      <c r="AD15" s="448"/>
      <c r="AE15" s="448"/>
      <c r="AF15" s="448"/>
      <c r="AG15" s="448"/>
      <c r="AH15" s="448"/>
      <c r="AI15" s="448"/>
      <c r="AJ15" s="448"/>
      <c r="AK15" s="448"/>
    </row>
    <row r="16" spans="1:42" ht="13.15" customHeight="1">
      <c r="A16" s="3694"/>
      <c r="B16" s="3461">
        <v>5</v>
      </c>
      <c r="C16" s="392" t="s">
        <v>531</v>
      </c>
      <c r="D16" s="4266">
        <v>83</v>
      </c>
      <c r="E16" s="4267"/>
      <c r="F16" s="4273">
        <v>9.6999999999999993</v>
      </c>
      <c r="G16" s="4274"/>
      <c r="H16" s="4257">
        <f>F16*($H$10+0.01)+J16</f>
        <v>18.403355966386556</v>
      </c>
      <c r="I16" s="4258"/>
      <c r="J16" s="4251">
        <v>8</v>
      </c>
      <c r="K16" s="4252"/>
      <c r="L16" s="476"/>
      <c r="M16" s="475">
        <f t="shared" si="0"/>
        <v>15.214449176470588</v>
      </c>
      <c r="N16" s="474">
        <f t="shared" si="0"/>
        <v>18.306355966386555</v>
      </c>
      <c r="O16" s="479">
        <f t="shared" si="0"/>
        <v>23.459533949579832</v>
      </c>
      <c r="P16" s="448"/>
      <c r="Q16" s="388" t="s">
        <v>530</v>
      </c>
      <c r="R16" s="473"/>
      <c r="S16" s="370" t="s">
        <v>529</v>
      </c>
      <c r="T16" s="296"/>
      <c r="U16" s="296"/>
      <c r="V16" s="451"/>
      <c r="W16" s="296"/>
      <c r="X16" s="296"/>
      <c r="Y16" s="450"/>
      <c r="Z16" s="296"/>
      <c r="AA16" s="449"/>
      <c r="AB16" s="448"/>
      <c r="AC16" s="448"/>
      <c r="AD16" s="448"/>
      <c r="AE16" s="448"/>
      <c r="AF16" s="448"/>
      <c r="AG16" s="448"/>
      <c r="AH16" s="448"/>
      <c r="AI16" s="448"/>
      <c r="AJ16" s="448"/>
      <c r="AK16" s="448"/>
    </row>
    <row r="17" spans="1:42" ht="13.15" customHeight="1">
      <c r="A17" s="3694"/>
      <c r="B17" s="3461">
        <v>6</v>
      </c>
      <c r="C17" s="3892" t="s">
        <v>528</v>
      </c>
      <c r="D17" s="4266">
        <v>54</v>
      </c>
      <c r="E17" s="4267"/>
      <c r="F17" s="4273">
        <v>6.3</v>
      </c>
      <c r="G17" s="4274"/>
      <c r="H17" s="4257">
        <f>F17*($H$10)+J17</f>
        <v>12.793818823529412</v>
      </c>
      <c r="I17" s="4258"/>
      <c r="J17" s="4251">
        <v>6.1</v>
      </c>
      <c r="K17" s="4252"/>
      <c r="L17" s="476"/>
      <c r="M17" s="475">
        <f t="shared" si="0"/>
        <v>10.785673176470588</v>
      </c>
      <c r="N17" s="474">
        <f t="shared" si="0"/>
        <v>12.793818823529412</v>
      </c>
      <c r="O17" s="479">
        <f t="shared" si="0"/>
        <v>16.140728235294119</v>
      </c>
      <c r="P17" s="448"/>
      <c r="Q17" s="388" t="s">
        <v>527</v>
      </c>
      <c r="R17" s="473"/>
      <c r="S17" s="370" t="s">
        <v>526</v>
      </c>
      <c r="T17" s="296"/>
      <c r="U17" s="296"/>
      <c r="V17" s="451"/>
      <c r="W17" s="296"/>
      <c r="X17" s="296"/>
      <c r="Y17" s="450"/>
      <c r="Z17" s="296"/>
      <c r="AA17" s="449"/>
      <c r="AB17" s="448"/>
      <c r="AC17" s="448"/>
      <c r="AD17" s="448"/>
      <c r="AE17" s="448"/>
      <c r="AF17" s="448"/>
      <c r="AG17" s="448"/>
      <c r="AH17" s="448"/>
      <c r="AI17" s="448"/>
      <c r="AJ17" s="448"/>
      <c r="AK17" s="448"/>
    </row>
    <row r="18" spans="1:42" ht="1.1499999999999999" customHeight="1">
      <c r="A18" s="3694"/>
      <c r="B18" s="3462"/>
      <c r="C18" s="392"/>
      <c r="D18" s="4266"/>
      <c r="E18" s="4267"/>
      <c r="F18" s="4273"/>
      <c r="G18" s="4274"/>
      <c r="H18" s="4257"/>
      <c r="I18" s="4258"/>
      <c r="J18" s="4271"/>
      <c r="K18" s="4272"/>
      <c r="L18" s="476"/>
      <c r="M18" s="475"/>
      <c r="N18" s="474"/>
      <c r="O18" s="479"/>
      <c r="P18" s="448"/>
      <c r="Q18" s="388"/>
      <c r="R18" s="389"/>
      <c r="S18" s="370"/>
      <c r="T18" s="296"/>
      <c r="U18" s="296"/>
      <c r="V18" s="451"/>
      <c r="W18" s="296"/>
      <c r="X18" s="296"/>
      <c r="Y18" s="450"/>
      <c r="Z18" s="296"/>
      <c r="AA18" s="449"/>
      <c r="AB18" s="448"/>
      <c r="AC18" s="448"/>
      <c r="AD18" s="448"/>
      <c r="AE18" s="448"/>
      <c r="AF18" s="448"/>
      <c r="AG18" s="448"/>
      <c r="AH18" s="448"/>
      <c r="AI18" s="448"/>
      <c r="AJ18" s="448"/>
      <c r="AK18" s="448"/>
    </row>
    <row r="19" spans="1:42" ht="19.149999999999999" customHeight="1">
      <c r="A19" s="3694"/>
      <c r="B19" s="472"/>
      <c r="C19" s="471"/>
      <c r="D19" s="371"/>
      <c r="K19" s="3580"/>
      <c r="L19" s="371"/>
      <c r="M19" s="371"/>
      <c r="N19" s="470"/>
      <c r="O19" s="470"/>
      <c r="Q19" s="459"/>
      <c r="S19" s="296"/>
      <c r="T19" s="296"/>
      <c r="U19" s="296"/>
      <c r="V19" s="451"/>
      <c r="W19" s="296"/>
      <c r="X19" s="296"/>
      <c r="Y19" s="450"/>
      <c r="Z19" s="296"/>
      <c r="AA19" s="449"/>
      <c r="AB19" s="448"/>
      <c r="AC19" s="448"/>
      <c r="AD19" s="448"/>
      <c r="AE19" s="448"/>
      <c r="AF19" s="448"/>
      <c r="AG19" s="448"/>
      <c r="AH19" s="448"/>
      <c r="AI19" s="448"/>
      <c r="AJ19" s="448"/>
      <c r="AK19" s="448"/>
      <c r="AL19" s="448"/>
      <c r="AM19" s="448"/>
      <c r="AN19" s="448"/>
      <c r="AO19" s="448"/>
      <c r="AP19" s="448"/>
    </row>
    <row r="20" spans="1:42" ht="13.15" customHeight="1">
      <c r="A20" s="3606"/>
      <c r="B20" s="3463" t="s">
        <v>525</v>
      </c>
      <c r="C20" s="38"/>
      <c r="D20" s="3506" t="s">
        <v>354</v>
      </c>
      <c r="E20" s="4268" t="s">
        <v>524</v>
      </c>
      <c r="F20" s="4269"/>
      <c r="G20" s="4249" t="s">
        <v>523</v>
      </c>
      <c r="H20" s="4250"/>
      <c r="I20" s="4259"/>
      <c r="J20" s="4255" t="s">
        <v>522</v>
      </c>
      <c r="K20" s="4270"/>
      <c r="L20" s="2124"/>
      <c r="M20" s="2124"/>
      <c r="N20" s="4249" t="s">
        <v>521</v>
      </c>
      <c r="O20" s="4250"/>
      <c r="Q20" s="459"/>
      <c r="S20" s="296"/>
      <c r="T20" s="296"/>
      <c r="U20" s="296"/>
      <c r="V20" s="451"/>
      <c r="W20" s="296"/>
      <c r="X20" s="296"/>
      <c r="Y20" s="450"/>
      <c r="Z20" s="296"/>
      <c r="AA20" s="449"/>
      <c r="AB20" s="448"/>
      <c r="AC20" s="448"/>
      <c r="AD20" s="448"/>
      <c r="AE20" s="448"/>
      <c r="AF20" s="448"/>
      <c r="AG20" s="448"/>
      <c r="AH20" s="448"/>
      <c r="AI20" s="448"/>
      <c r="AJ20" s="448"/>
      <c r="AK20" s="448"/>
      <c r="AL20" s="448"/>
      <c r="AM20" s="448"/>
      <c r="AN20" s="448"/>
      <c r="AO20" s="448"/>
      <c r="AP20" s="448"/>
    </row>
    <row r="21" spans="1:42" ht="13.15" customHeight="1">
      <c r="A21" s="3606"/>
      <c r="B21" s="458"/>
      <c r="C21" s="468"/>
      <c r="D21" s="3506" t="s">
        <v>352</v>
      </c>
      <c r="E21" s="3689" t="s">
        <v>287</v>
      </c>
      <c r="F21" s="3516" t="s">
        <v>520</v>
      </c>
      <c r="G21" s="465"/>
      <c r="H21" s="464"/>
      <c r="I21" s="463"/>
      <c r="J21" s="4255" t="s">
        <v>519</v>
      </c>
      <c r="K21" s="4256"/>
      <c r="L21" s="462"/>
      <c r="M21" s="461"/>
      <c r="N21" s="460"/>
      <c r="O21" s="3511" t="s">
        <v>171</v>
      </c>
      <c r="Q21" s="459"/>
      <c r="S21" s="296"/>
      <c r="T21" s="296"/>
      <c r="U21" s="296"/>
      <c r="V21" s="451"/>
      <c r="W21" s="296"/>
      <c r="X21" s="296"/>
      <c r="Y21" s="450"/>
      <c r="Z21" s="296"/>
      <c r="AA21" s="449"/>
      <c r="AB21" s="448"/>
      <c r="AC21" s="448"/>
      <c r="AD21" s="448"/>
      <c r="AE21" s="448"/>
      <c r="AF21" s="448"/>
      <c r="AG21" s="448"/>
      <c r="AH21" s="448"/>
      <c r="AI21" s="448"/>
      <c r="AJ21" s="448"/>
      <c r="AK21" s="448"/>
      <c r="AL21" s="448"/>
      <c r="AM21" s="448"/>
      <c r="AN21" s="448"/>
      <c r="AO21" s="448"/>
      <c r="AP21" s="448"/>
    </row>
    <row r="22" spans="1:42" ht="13.15" customHeight="1">
      <c r="A22" s="3606"/>
      <c r="B22" s="458" t="s">
        <v>287</v>
      </c>
      <c r="C22" s="457" t="s">
        <v>353</v>
      </c>
      <c r="D22" s="3509" t="s">
        <v>351</v>
      </c>
      <c r="E22" s="3688"/>
      <c r="F22" s="3517" t="s">
        <v>518</v>
      </c>
      <c r="G22" s="456">
        <v>0.7</v>
      </c>
      <c r="H22" s="456">
        <v>1</v>
      </c>
      <c r="I22" s="455">
        <v>1.5</v>
      </c>
      <c r="J22" s="4245" t="s">
        <v>517</v>
      </c>
      <c r="K22" s="4246"/>
      <c r="L22" s="454"/>
      <c r="M22" s="453"/>
      <c r="N22" s="3688" t="s">
        <v>516</v>
      </c>
      <c r="O22" s="3512" t="str">
        <f>IF(G5=0,"o.MwSt.","m. MwSt.")</f>
        <v>o.MwSt.</v>
      </c>
      <c r="Q22" s="388"/>
      <c r="S22" s="383"/>
      <c r="T22" s="383"/>
      <c r="U22" s="383"/>
      <c r="V22" s="387"/>
      <c r="W22" s="383"/>
      <c r="X22" s="383"/>
      <c r="Y22" s="386"/>
      <c r="Z22" s="383"/>
      <c r="AA22" s="385"/>
      <c r="AB22" s="448"/>
      <c r="AC22" s="448"/>
      <c r="AD22" s="448"/>
      <c r="AE22" s="448"/>
      <c r="AF22" s="448"/>
      <c r="AG22" s="448"/>
      <c r="AH22" s="448"/>
      <c r="AI22" s="448"/>
      <c r="AJ22" s="448"/>
      <c r="AK22" s="448"/>
      <c r="AL22" s="448"/>
      <c r="AM22" s="448"/>
      <c r="AN22" s="448"/>
      <c r="AO22" s="448"/>
      <c r="AP22" s="448"/>
    </row>
    <row r="23" spans="1:42" ht="13.15" customHeight="1">
      <c r="A23" s="3606"/>
      <c r="B23" s="416"/>
      <c r="C23" s="392"/>
      <c r="D23" s="415"/>
      <c r="E23" s="414"/>
      <c r="F23" s="418"/>
      <c r="G23" s="412"/>
      <c r="H23" s="411"/>
      <c r="I23" s="410"/>
      <c r="J23" s="4247"/>
      <c r="K23" s="4248"/>
      <c r="L23" s="409"/>
      <c r="M23" s="408"/>
      <c r="N23" s="417"/>
      <c r="O23" s="3513"/>
      <c r="Q23" s="388"/>
      <c r="S23" s="296"/>
      <c r="T23" s="383"/>
      <c r="U23" s="296"/>
      <c r="V23" s="451"/>
      <c r="W23" s="296"/>
      <c r="X23" s="296"/>
      <c r="Y23" s="450"/>
      <c r="Z23" s="296"/>
      <c r="AA23" s="449"/>
      <c r="AB23" s="448"/>
      <c r="AC23" s="448"/>
      <c r="AD23" s="448"/>
      <c r="AE23" s="448"/>
      <c r="AF23" s="448"/>
      <c r="AG23" s="448"/>
      <c r="AH23" s="448"/>
      <c r="AI23" s="448"/>
      <c r="AJ23" s="448"/>
      <c r="AK23" s="448"/>
      <c r="AL23" s="448"/>
      <c r="AM23" s="448"/>
      <c r="AN23" s="448"/>
      <c r="AO23" s="448"/>
      <c r="AP23" s="448"/>
    </row>
    <row r="24" spans="1:42" s="384" customFormat="1" ht="13.15" customHeight="1">
      <c r="A24" s="3697"/>
      <c r="B24" s="416">
        <v>1</v>
      </c>
      <c r="C24" s="392" t="s">
        <v>515</v>
      </c>
      <c r="D24" s="3888">
        <v>12</v>
      </c>
      <c r="E24" s="414">
        <v>2</v>
      </c>
      <c r="F24" s="418">
        <f t="shared" ref="F24:F54" si="1">IF(E24=0,0,INDEX($D$12:$E$18,E24,1))</f>
        <v>120</v>
      </c>
      <c r="G24" s="412"/>
      <c r="H24" s="411"/>
      <c r="I24" s="410" t="s">
        <v>168</v>
      </c>
      <c r="J24" s="4243">
        <f>IF(I24="x",VLOOKUP(E24,$B$12:$O$18,14,FALSE),IF(H24="x",VLOOKUP(E24,$B$12:$O$18,13,FALSE),IF(G24="x",VLOOKUP(E24,$B$12:$O$18,12,FALSE),0)))</f>
        <v>30.812729411764707</v>
      </c>
      <c r="K24" s="4244"/>
      <c r="L24" s="409"/>
      <c r="M24" s="408"/>
      <c r="N24" s="417">
        <v>1.46</v>
      </c>
      <c r="O24" s="3514">
        <f>((J24*N24)+D24)*(1+$G$5)</f>
        <v>56.986584941176474</v>
      </c>
      <c r="P24" s="3889" t="s">
        <v>2079</v>
      </c>
      <c r="Q24" s="388" t="s">
        <v>511</v>
      </c>
      <c r="R24" s="440"/>
      <c r="S24" s="383" t="s">
        <v>514</v>
      </c>
      <c r="T24" s="445" t="s">
        <v>513</v>
      </c>
      <c r="U24" s="383">
        <v>0</v>
      </c>
      <c r="V24" s="387"/>
      <c r="W24" s="445"/>
      <c r="X24" s="445"/>
      <c r="Y24" s="446"/>
      <c r="Z24" s="445"/>
      <c r="AA24" s="444"/>
      <c r="AB24" s="33"/>
      <c r="AC24" s="33"/>
      <c r="AD24" s="33"/>
      <c r="AE24" s="33"/>
      <c r="AF24" s="33"/>
      <c r="AG24" s="447"/>
      <c r="AH24" s="447"/>
      <c r="AI24" s="447"/>
      <c r="AJ24" s="447"/>
      <c r="AK24" s="447"/>
      <c r="AL24" s="447"/>
      <c r="AM24" s="447"/>
      <c r="AN24" s="447"/>
      <c r="AO24" s="447"/>
      <c r="AP24" s="447"/>
    </row>
    <row r="25" spans="1:42" s="440" customFormat="1" ht="13.15" customHeight="1">
      <c r="A25" s="442"/>
      <c r="B25" s="416">
        <v>2</v>
      </c>
      <c r="C25" s="392" t="s">
        <v>512</v>
      </c>
      <c r="D25" s="3888">
        <v>5</v>
      </c>
      <c r="E25" s="414">
        <v>3</v>
      </c>
      <c r="F25" s="418">
        <f t="shared" si="1"/>
        <v>102</v>
      </c>
      <c r="G25" s="412"/>
      <c r="H25" s="411" t="s">
        <v>168</v>
      </c>
      <c r="I25" s="410"/>
      <c r="J25" s="4243">
        <f t="shared" ref="J25:J54" si="2">IF(I25="x",VLOOKUP(E25,$B$12:$O$18,14,FALSE),IF(H25="x",VLOOKUP(E25,$B$12:$O$18,13,FALSE),IF(G25="x",VLOOKUP(E25,$B$12:$O$18,12,FALSE),0)))</f>
        <v>20.143880000000003</v>
      </c>
      <c r="K25" s="4244"/>
      <c r="L25" s="409"/>
      <c r="M25" s="408"/>
      <c r="N25" s="417">
        <v>0.93</v>
      </c>
      <c r="O25" s="3514">
        <f t="shared" ref="O25:O86" si="3">((J25*N25)+D25)*(1+$G$5)</f>
        <v>23.733808400000004</v>
      </c>
      <c r="P25" s="3692"/>
      <c r="Q25" s="388" t="s">
        <v>511</v>
      </c>
      <c r="S25" s="383" t="s">
        <v>510</v>
      </c>
      <c r="T25" s="445" t="s">
        <v>509</v>
      </c>
      <c r="U25" s="383">
        <v>0</v>
      </c>
      <c r="V25" s="387"/>
      <c r="W25" s="445"/>
      <c r="X25" s="445"/>
      <c r="Y25" s="446"/>
      <c r="Z25" s="445"/>
      <c r="AA25" s="444"/>
      <c r="AB25" s="33"/>
      <c r="AC25" s="33"/>
      <c r="AD25" s="33"/>
      <c r="AE25" s="33"/>
      <c r="AF25" s="33"/>
    </row>
    <row r="26" spans="1:42" s="440" customFormat="1" ht="13.15" customHeight="1">
      <c r="B26" s="416">
        <v>3</v>
      </c>
      <c r="C26" s="392" t="s">
        <v>508</v>
      </c>
      <c r="D26" s="3888">
        <v>5.5</v>
      </c>
      <c r="E26" s="414">
        <v>3</v>
      </c>
      <c r="F26" s="418">
        <f t="shared" si="1"/>
        <v>102</v>
      </c>
      <c r="G26" s="412"/>
      <c r="H26" s="411" t="s">
        <v>168</v>
      </c>
      <c r="I26" s="410"/>
      <c r="J26" s="4243">
        <f t="shared" si="2"/>
        <v>20.143880000000003</v>
      </c>
      <c r="K26" s="4244"/>
      <c r="L26" s="409"/>
      <c r="M26" s="408"/>
      <c r="N26" s="417">
        <v>0.54</v>
      </c>
      <c r="O26" s="3514">
        <f t="shared" si="3"/>
        <v>16.377695200000002</v>
      </c>
      <c r="P26" s="3692"/>
      <c r="Q26" s="388" t="s">
        <v>507</v>
      </c>
      <c r="S26" s="383" t="s">
        <v>506</v>
      </c>
      <c r="T26" s="445" t="s">
        <v>505</v>
      </c>
      <c r="U26" s="383">
        <v>0</v>
      </c>
      <c r="V26" s="387"/>
      <c r="W26" s="445"/>
      <c r="X26" s="445"/>
      <c r="Y26" s="446"/>
      <c r="Z26" s="445"/>
      <c r="AA26" s="444"/>
    </row>
    <row r="27" spans="1:42" s="440" customFormat="1" ht="13.15" customHeight="1">
      <c r="B27" s="416"/>
      <c r="C27" s="425" t="s">
        <v>504</v>
      </c>
      <c r="D27" s="3890">
        <v>4</v>
      </c>
      <c r="E27" s="423">
        <v>4</v>
      </c>
      <c r="F27" s="418">
        <f t="shared" si="1"/>
        <v>83</v>
      </c>
      <c r="G27" s="412"/>
      <c r="H27" s="411" t="s">
        <v>168</v>
      </c>
      <c r="I27" s="410"/>
      <c r="J27" s="4243">
        <f t="shared" si="2"/>
        <v>17.306355966386555</v>
      </c>
      <c r="K27" s="4244"/>
      <c r="L27" s="409"/>
      <c r="M27" s="408"/>
      <c r="N27" s="419">
        <v>0.56999999999999995</v>
      </c>
      <c r="O27" s="3514">
        <f t="shared" si="3"/>
        <v>13.864622900840335</v>
      </c>
      <c r="P27" s="3692"/>
      <c r="Q27" s="388" t="s">
        <v>503</v>
      </c>
      <c r="S27" s="383" t="s">
        <v>368</v>
      </c>
      <c r="T27" s="445" t="s">
        <v>368</v>
      </c>
      <c r="U27" s="383">
        <v>0</v>
      </c>
      <c r="V27" s="387"/>
      <c r="W27" s="445"/>
      <c r="X27" s="445"/>
      <c r="Y27" s="446"/>
      <c r="Z27" s="445"/>
      <c r="AA27" s="444"/>
    </row>
    <row r="28" spans="1:42" s="440" customFormat="1" ht="13.15" customHeight="1">
      <c r="B28" s="416">
        <v>4</v>
      </c>
      <c r="C28" s="392" t="s">
        <v>500</v>
      </c>
      <c r="D28" s="3888">
        <v>7</v>
      </c>
      <c r="E28" s="414">
        <v>3</v>
      </c>
      <c r="F28" s="418">
        <f t="shared" si="1"/>
        <v>102</v>
      </c>
      <c r="G28" s="412"/>
      <c r="H28" s="411" t="s">
        <v>168</v>
      </c>
      <c r="I28" s="410"/>
      <c r="J28" s="4243">
        <f t="shared" si="2"/>
        <v>20.143880000000003</v>
      </c>
      <c r="K28" s="4244"/>
      <c r="L28" s="409"/>
      <c r="M28" s="408"/>
      <c r="N28" s="417">
        <v>1.01</v>
      </c>
      <c r="O28" s="3514">
        <f t="shared" si="3"/>
        <v>27.345318800000005</v>
      </c>
      <c r="P28" s="3692"/>
      <c r="Q28" s="388" t="s">
        <v>502</v>
      </c>
      <c r="S28" s="383" t="s">
        <v>501</v>
      </c>
      <c r="T28" s="445" t="s">
        <v>500</v>
      </c>
      <c r="U28" s="383">
        <v>0</v>
      </c>
      <c r="V28" s="387"/>
      <c r="W28" s="445"/>
      <c r="X28" s="445"/>
      <c r="Y28" s="446"/>
      <c r="Z28" s="445"/>
      <c r="AA28" s="444"/>
      <c r="AB28" s="3692"/>
      <c r="AC28" s="3692"/>
      <c r="AD28" s="3692"/>
    </row>
    <row r="29" spans="1:42" s="440" customFormat="1" ht="12.75">
      <c r="B29" s="416">
        <v>5</v>
      </c>
      <c r="C29" s="392" t="s">
        <v>497</v>
      </c>
      <c r="D29" s="3888">
        <v>1.5</v>
      </c>
      <c r="E29" s="414">
        <v>4</v>
      </c>
      <c r="F29" s="418">
        <f t="shared" si="1"/>
        <v>83</v>
      </c>
      <c r="G29" s="412" t="s">
        <v>168</v>
      </c>
      <c r="H29" s="411"/>
      <c r="I29" s="410"/>
      <c r="J29" s="4243">
        <f t="shared" si="2"/>
        <v>14.214449176470588</v>
      </c>
      <c r="K29" s="4244"/>
      <c r="L29" s="409"/>
      <c r="M29" s="408"/>
      <c r="N29" s="417">
        <v>0.61</v>
      </c>
      <c r="O29" s="3514">
        <f t="shared" si="3"/>
        <v>10.170813997647059</v>
      </c>
      <c r="P29" s="3692"/>
      <c r="Q29" s="388" t="s">
        <v>499</v>
      </c>
      <c r="R29" s="401"/>
      <c r="S29" s="383" t="s">
        <v>498</v>
      </c>
      <c r="T29" s="383" t="s">
        <v>497</v>
      </c>
      <c r="U29" s="383">
        <v>0</v>
      </c>
      <c r="V29" s="387"/>
      <c r="W29" s="383"/>
      <c r="X29" s="383"/>
      <c r="Y29" s="386"/>
      <c r="Z29" s="383"/>
      <c r="AA29" s="385"/>
    </row>
    <row r="30" spans="1:42" s="440" customFormat="1" ht="12.75">
      <c r="B30" s="416"/>
      <c r="C30" s="392" t="s">
        <v>496</v>
      </c>
      <c r="D30" s="3888">
        <v>7</v>
      </c>
      <c r="E30" s="414">
        <v>4</v>
      </c>
      <c r="F30" s="418">
        <f t="shared" si="1"/>
        <v>83</v>
      </c>
      <c r="G30" s="412" t="s">
        <v>168</v>
      </c>
      <c r="H30" s="411"/>
      <c r="I30" s="410"/>
      <c r="J30" s="4243">
        <f t="shared" si="2"/>
        <v>14.214449176470588</v>
      </c>
      <c r="K30" s="4244"/>
      <c r="L30" s="409"/>
      <c r="M30" s="408"/>
      <c r="N30" s="417">
        <v>1.04</v>
      </c>
      <c r="O30" s="3514">
        <f t="shared" si="3"/>
        <v>21.783027143529409</v>
      </c>
      <c r="P30" s="3692"/>
      <c r="Q30" s="388" t="s">
        <v>495</v>
      </c>
      <c r="R30" s="401"/>
      <c r="S30" s="383" t="s">
        <v>494</v>
      </c>
      <c r="T30" s="383"/>
      <c r="U30" s="383"/>
      <c r="V30" s="387"/>
      <c r="W30" s="383"/>
      <c r="X30" s="383"/>
      <c r="Y30" s="386"/>
      <c r="Z30" s="383"/>
      <c r="AA30" s="385"/>
    </row>
    <row r="31" spans="1:42" s="384" customFormat="1" ht="6" customHeight="1">
      <c r="A31" s="406"/>
      <c r="B31" s="416">
        <v>6</v>
      </c>
      <c r="C31" s="392"/>
      <c r="D31" s="415"/>
      <c r="E31" s="414"/>
      <c r="F31" s="418"/>
      <c r="G31" s="412"/>
      <c r="H31" s="411"/>
      <c r="I31" s="410"/>
      <c r="J31" s="4243"/>
      <c r="K31" s="4244"/>
      <c r="L31" s="409"/>
      <c r="M31" s="408"/>
      <c r="N31" s="417"/>
      <c r="O31" s="3514"/>
      <c r="P31" s="3692"/>
      <c r="Q31" s="388"/>
      <c r="R31" s="401"/>
      <c r="S31" s="383"/>
      <c r="T31" s="383"/>
      <c r="U31" s="383"/>
      <c r="V31" s="387"/>
      <c r="W31" s="383"/>
      <c r="X31" s="383"/>
      <c r="Y31" s="386"/>
      <c r="Z31" s="383"/>
      <c r="AA31" s="385"/>
      <c r="AI31" s="3692"/>
      <c r="AJ31" s="3692"/>
      <c r="AK31" s="3692"/>
    </row>
    <row r="32" spans="1:42" s="384" customFormat="1" ht="12.75">
      <c r="A32" s="440"/>
      <c r="B32" s="416">
        <v>7</v>
      </c>
      <c r="C32" s="392" t="s">
        <v>493</v>
      </c>
      <c r="D32" s="3891">
        <f>7+2.5</f>
        <v>9.5</v>
      </c>
      <c r="E32" s="414">
        <v>2</v>
      </c>
      <c r="F32" s="418">
        <f t="shared" si="1"/>
        <v>120</v>
      </c>
      <c r="G32" s="412"/>
      <c r="H32" s="411" t="s">
        <v>168</v>
      </c>
      <c r="I32" s="410"/>
      <c r="J32" s="4243">
        <f t="shared" si="2"/>
        <v>23.37515294117647</v>
      </c>
      <c r="K32" s="4244"/>
      <c r="L32" s="409"/>
      <c r="M32" s="408"/>
      <c r="N32" s="417">
        <v>1.03</v>
      </c>
      <c r="O32" s="3514">
        <f t="shared" si="3"/>
        <v>33.576407529411767</v>
      </c>
      <c r="P32" s="3692"/>
      <c r="Q32" s="388" t="s">
        <v>492</v>
      </c>
      <c r="R32" s="401"/>
      <c r="S32" s="383" t="s">
        <v>491</v>
      </c>
      <c r="T32" s="383" t="s">
        <v>490</v>
      </c>
      <c r="U32" s="383">
        <v>0</v>
      </c>
      <c r="V32" s="387"/>
      <c r="W32" s="383"/>
      <c r="X32" s="383"/>
      <c r="Y32" s="386"/>
      <c r="Z32" s="383"/>
      <c r="AA32" s="385"/>
    </row>
    <row r="33" spans="1:37" s="384" customFormat="1" ht="13.15" customHeight="1">
      <c r="A33" s="440"/>
      <c r="B33" s="416">
        <v>8</v>
      </c>
      <c r="C33" s="392" t="s">
        <v>489</v>
      </c>
      <c r="D33" s="3891">
        <f>5+7+2.5</f>
        <v>14.5</v>
      </c>
      <c r="E33" s="414">
        <v>2</v>
      </c>
      <c r="F33" s="418">
        <f t="shared" si="1"/>
        <v>120</v>
      </c>
      <c r="G33" s="412"/>
      <c r="H33" s="411" t="s">
        <v>168</v>
      </c>
      <c r="I33" s="410"/>
      <c r="J33" s="4243">
        <f t="shared" si="2"/>
        <v>23.37515294117647</v>
      </c>
      <c r="K33" s="4244"/>
      <c r="L33" s="409"/>
      <c r="M33" s="408"/>
      <c r="N33" s="417">
        <v>1.1399999999999999</v>
      </c>
      <c r="O33" s="3514">
        <f t="shared" si="3"/>
        <v>41.147674352941173</v>
      </c>
      <c r="P33" s="3692"/>
      <c r="Q33" s="388" t="s">
        <v>488</v>
      </c>
      <c r="R33" s="401"/>
      <c r="S33" s="383" t="s">
        <v>487</v>
      </c>
      <c r="T33" s="383" t="s">
        <v>486</v>
      </c>
      <c r="U33" s="383">
        <v>0</v>
      </c>
      <c r="V33" s="387"/>
      <c r="W33" s="383"/>
      <c r="X33" s="383"/>
      <c r="Y33" s="386"/>
      <c r="Z33" s="383"/>
      <c r="AA33" s="385"/>
      <c r="AI33" s="3692"/>
      <c r="AJ33" s="3692"/>
      <c r="AK33" s="3692"/>
    </row>
    <row r="34" spans="1:37" s="384" customFormat="1" ht="13.15" customHeight="1">
      <c r="A34" s="440"/>
      <c r="B34" s="416">
        <v>9</v>
      </c>
      <c r="C34" s="392" t="s">
        <v>485</v>
      </c>
      <c r="D34" s="3888">
        <v>2.5</v>
      </c>
      <c r="E34" s="414">
        <v>6</v>
      </c>
      <c r="F34" s="418">
        <f t="shared" si="1"/>
        <v>54</v>
      </c>
      <c r="G34" s="412"/>
      <c r="H34" s="411" t="s">
        <v>168</v>
      </c>
      <c r="I34" s="410"/>
      <c r="J34" s="4243">
        <f t="shared" si="2"/>
        <v>12.793818823529412</v>
      </c>
      <c r="K34" s="4244"/>
      <c r="L34" s="409"/>
      <c r="M34" s="408"/>
      <c r="N34" s="417">
        <v>0.81</v>
      </c>
      <c r="O34" s="3514">
        <f t="shared" si="3"/>
        <v>12.862993247058824</v>
      </c>
      <c r="P34" s="3692"/>
      <c r="Q34" s="388" t="s">
        <v>470</v>
      </c>
      <c r="R34" s="401"/>
      <c r="S34" s="383" t="s">
        <v>484</v>
      </c>
      <c r="T34" s="383" t="s">
        <v>483</v>
      </c>
      <c r="U34" s="383">
        <v>0</v>
      </c>
      <c r="V34" s="387"/>
      <c r="W34" s="383"/>
      <c r="X34" s="383"/>
      <c r="Y34" s="386"/>
      <c r="Z34" s="383"/>
      <c r="AA34" s="385"/>
      <c r="AI34" s="3692"/>
      <c r="AJ34" s="3692"/>
      <c r="AK34" s="3692"/>
    </row>
    <row r="35" spans="1:37" s="384" customFormat="1" ht="13.15" customHeight="1">
      <c r="A35" s="440"/>
      <c r="B35" s="416">
        <v>10</v>
      </c>
      <c r="C35" s="392" t="s">
        <v>482</v>
      </c>
      <c r="D35" s="3888">
        <v>8</v>
      </c>
      <c r="E35" s="414">
        <v>5</v>
      </c>
      <c r="F35" s="418">
        <f t="shared" si="1"/>
        <v>83</v>
      </c>
      <c r="G35" s="412" t="s">
        <v>168</v>
      </c>
      <c r="H35" s="411"/>
      <c r="I35" s="410"/>
      <c r="J35" s="4243">
        <f t="shared" si="2"/>
        <v>15.214449176470588</v>
      </c>
      <c r="K35" s="4244"/>
      <c r="L35" s="409"/>
      <c r="M35" s="408"/>
      <c r="N35" s="417">
        <v>0.8</v>
      </c>
      <c r="O35" s="3514">
        <f t="shared" si="3"/>
        <v>20.171559341176469</v>
      </c>
      <c r="P35" s="3692"/>
      <c r="Q35" s="388" t="s">
        <v>481</v>
      </c>
      <c r="R35" s="401"/>
      <c r="S35" s="383" t="s">
        <v>480</v>
      </c>
      <c r="T35" s="383" t="s">
        <v>479</v>
      </c>
      <c r="U35" s="383">
        <v>0</v>
      </c>
      <c r="V35" s="387"/>
      <c r="W35" s="383"/>
      <c r="X35" s="383"/>
      <c r="Y35" s="386"/>
      <c r="Z35" s="383"/>
      <c r="AA35" s="385"/>
      <c r="AI35" s="3692"/>
      <c r="AJ35" s="3692"/>
      <c r="AK35" s="3692"/>
    </row>
    <row r="36" spans="1:37" s="384" customFormat="1" ht="13.15" customHeight="1">
      <c r="A36" s="440"/>
      <c r="B36" s="416">
        <v>11</v>
      </c>
      <c r="C36" s="392" t="s">
        <v>478</v>
      </c>
      <c r="D36" s="3888">
        <v>8</v>
      </c>
      <c r="E36" s="414">
        <v>5</v>
      </c>
      <c r="F36" s="418">
        <f t="shared" si="1"/>
        <v>83</v>
      </c>
      <c r="G36" s="412" t="s">
        <v>168</v>
      </c>
      <c r="H36" s="411"/>
      <c r="I36" s="410"/>
      <c r="J36" s="4243">
        <f t="shared" si="2"/>
        <v>15.214449176470588</v>
      </c>
      <c r="K36" s="4244"/>
      <c r="L36" s="409"/>
      <c r="M36" s="408"/>
      <c r="N36" s="417">
        <v>0.98</v>
      </c>
      <c r="O36" s="3514">
        <f t="shared" si="3"/>
        <v>22.910160192941177</v>
      </c>
      <c r="P36" s="3692"/>
      <c r="Q36" s="388" t="s">
        <v>477</v>
      </c>
      <c r="R36" s="401"/>
      <c r="S36" s="383" t="s">
        <v>476</v>
      </c>
      <c r="T36" s="383" t="s">
        <v>475</v>
      </c>
      <c r="U36" s="383">
        <v>0</v>
      </c>
      <c r="V36" s="387"/>
      <c r="W36" s="383"/>
      <c r="X36" s="383"/>
      <c r="Y36" s="386"/>
      <c r="Z36" s="383"/>
      <c r="AA36" s="385"/>
      <c r="AI36" s="3692"/>
      <c r="AJ36" s="3692"/>
      <c r="AK36" s="3692"/>
    </row>
    <row r="37" spans="1:37" s="384" customFormat="1" ht="13.15" customHeight="1">
      <c r="A37" s="442"/>
      <c r="B37" s="416">
        <v>12</v>
      </c>
      <c r="C37" s="392" t="s">
        <v>474</v>
      </c>
      <c r="D37" s="3888">
        <v>8</v>
      </c>
      <c r="E37" s="414">
        <v>5</v>
      </c>
      <c r="F37" s="418">
        <f t="shared" si="1"/>
        <v>83</v>
      </c>
      <c r="G37" s="412" t="s">
        <v>168</v>
      </c>
      <c r="H37" s="411"/>
      <c r="I37" s="410"/>
      <c r="J37" s="4243">
        <f t="shared" si="2"/>
        <v>15.214449176470588</v>
      </c>
      <c r="K37" s="4244"/>
      <c r="L37" s="409"/>
      <c r="M37" s="408"/>
      <c r="N37" s="417">
        <v>0.53</v>
      </c>
      <c r="O37" s="3514">
        <f t="shared" si="3"/>
        <v>16.06365806352941</v>
      </c>
      <c r="P37" s="3692"/>
      <c r="Q37" s="388" t="s">
        <v>473</v>
      </c>
      <c r="R37" s="401"/>
      <c r="S37" s="383" t="s">
        <v>472</v>
      </c>
      <c r="T37" s="383" t="s">
        <v>471</v>
      </c>
      <c r="U37" s="383">
        <v>0</v>
      </c>
      <c r="V37" s="387"/>
      <c r="W37" s="383"/>
      <c r="X37" s="383"/>
      <c r="Y37" s="386"/>
      <c r="Z37" s="383"/>
      <c r="AA37" s="385"/>
      <c r="AI37" s="3692"/>
      <c r="AJ37" s="3692"/>
      <c r="AK37" s="3692"/>
    </row>
    <row r="38" spans="1:37" s="384" customFormat="1" ht="13.15" customHeight="1">
      <c r="A38" s="409"/>
      <c r="B38" s="416">
        <v>13</v>
      </c>
      <c r="C38" s="392" t="s">
        <v>468</v>
      </c>
      <c r="D38" s="3888">
        <v>12</v>
      </c>
      <c r="E38" s="414">
        <v>3</v>
      </c>
      <c r="F38" s="418">
        <f t="shared" si="1"/>
        <v>102</v>
      </c>
      <c r="G38" s="412"/>
      <c r="H38" s="411" t="s">
        <v>168</v>
      </c>
      <c r="I38" s="410"/>
      <c r="J38" s="4243">
        <f t="shared" si="2"/>
        <v>20.143880000000003</v>
      </c>
      <c r="K38" s="4244"/>
      <c r="L38" s="409"/>
      <c r="M38" s="408"/>
      <c r="N38" s="417">
        <v>0.7</v>
      </c>
      <c r="O38" s="3514">
        <f t="shared" si="3"/>
        <v>26.100715999999998</v>
      </c>
      <c r="P38" s="3692"/>
      <c r="Q38" s="388" t="s">
        <v>470</v>
      </c>
      <c r="R38" s="401"/>
      <c r="S38" s="383" t="s">
        <v>469</v>
      </c>
      <c r="T38" s="383" t="s">
        <v>468</v>
      </c>
      <c r="U38" s="383">
        <v>0</v>
      </c>
      <c r="V38" s="387"/>
      <c r="W38" s="383"/>
      <c r="X38" s="383"/>
      <c r="Y38" s="386"/>
      <c r="Z38" s="383"/>
      <c r="AA38" s="385"/>
      <c r="AI38" s="3692"/>
      <c r="AJ38" s="3692"/>
      <c r="AK38" s="3692"/>
    </row>
    <row r="39" spans="1:37" s="384" customFormat="1" ht="0.6" customHeight="1">
      <c r="A39" s="406"/>
      <c r="B39" s="416">
        <v>14</v>
      </c>
      <c r="C39" s="392"/>
      <c r="D39" s="415"/>
      <c r="E39" s="414"/>
      <c r="F39" s="418">
        <f t="shared" si="1"/>
        <v>0</v>
      </c>
      <c r="G39" s="412"/>
      <c r="H39" s="411"/>
      <c r="I39" s="410"/>
      <c r="J39" s="4243">
        <f t="shared" si="2"/>
        <v>0</v>
      </c>
      <c r="K39" s="4244"/>
      <c r="L39" s="409"/>
      <c r="M39" s="408"/>
      <c r="N39" s="417"/>
      <c r="O39" s="3514">
        <f t="shared" si="3"/>
        <v>0</v>
      </c>
      <c r="P39" s="3692"/>
      <c r="Q39" s="388"/>
      <c r="R39" s="401"/>
      <c r="S39" s="383"/>
      <c r="T39" s="383"/>
      <c r="U39" s="383"/>
      <c r="V39" s="387"/>
      <c r="W39" s="383"/>
      <c r="X39" s="383"/>
      <c r="Y39" s="386"/>
      <c r="Z39" s="383"/>
      <c r="AA39" s="385"/>
      <c r="AI39" s="3692"/>
      <c r="AJ39" s="3692"/>
      <c r="AK39" s="3692"/>
    </row>
    <row r="40" spans="1:37" s="384" customFormat="1" ht="13.15" customHeight="1">
      <c r="A40" s="440"/>
      <c r="B40" s="416">
        <v>15</v>
      </c>
      <c r="C40" s="392" t="s">
        <v>467</v>
      </c>
      <c r="D40" s="415">
        <v>0.15</v>
      </c>
      <c r="E40" s="414">
        <v>6</v>
      </c>
      <c r="F40" s="418">
        <f t="shared" si="1"/>
        <v>54</v>
      </c>
      <c r="G40" s="412" t="s">
        <v>168</v>
      </c>
      <c r="H40" s="411"/>
      <c r="I40" s="410"/>
      <c r="J40" s="4243">
        <f t="shared" si="2"/>
        <v>10.785673176470588</v>
      </c>
      <c r="K40" s="4244"/>
      <c r="L40" s="409"/>
      <c r="M40" s="408"/>
      <c r="N40" s="417">
        <v>0.32</v>
      </c>
      <c r="O40" s="3514">
        <f t="shared" si="3"/>
        <v>3.6014154164705885</v>
      </c>
      <c r="P40" s="3692"/>
      <c r="Q40" s="388" t="s">
        <v>465</v>
      </c>
      <c r="R40" s="401"/>
      <c r="S40" s="383" t="s">
        <v>464</v>
      </c>
      <c r="T40" s="383" t="s">
        <v>463</v>
      </c>
      <c r="U40" s="383">
        <v>0</v>
      </c>
      <c r="V40" s="387"/>
      <c r="W40" s="383"/>
      <c r="X40" s="383"/>
      <c r="Y40" s="386"/>
      <c r="Z40" s="383"/>
      <c r="AA40" s="385"/>
      <c r="AI40" s="3692"/>
      <c r="AJ40" s="3692"/>
      <c r="AK40" s="3692"/>
    </row>
    <row r="41" spans="1:37" s="384" customFormat="1" ht="13.15" customHeight="1">
      <c r="A41" s="440"/>
      <c r="B41" s="416"/>
      <c r="C41" s="392" t="s">
        <v>466</v>
      </c>
      <c r="D41" s="415">
        <v>0.15</v>
      </c>
      <c r="E41" s="414">
        <v>4</v>
      </c>
      <c r="F41" s="418">
        <f t="shared" si="1"/>
        <v>83</v>
      </c>
      <c r="G41" s="412" t="s">
        <v>168</v>
      </c>
      <c r="H41" s="411"/>
      <c r="I41" s="410"/>
      <c r="J41" s="4243">
        <f t="shared" si="2"/>
        <v>14.214449176470588</v>
      </c>
      <c r="K41" s="4244"/>
      <c r="L41" s="409"/>
      <c r="M41" s="408"/>
      <c r="N41" s="417">
        <v>0.16</v>
      </c>
      <c r="O41" s="3514">
        <f t="shared" si="3"/>
        <v>2.4243118682352938</v>
      </c>
      <c r="P41" s="3692"/>
      <c r="Q41" s="388" t="s">
        <v>465</v>
      </c>
      <c r="R41" s="401"/>
      <c r="S41" s="441" t="s">
        <v>464</v>
      </c>
      <c r="T41" s="383" t="s">
        <v>463</v>
      </c>
      <c r="U41" s="383"/>
      <c r="V41" s="387"/>
      <c r="W41" s="383"/>
      <c r="X41" s="383"/>
      <c r="Y41" s="386"/>
      <c r="Z41" s="383"/>
      <c r="AA41" s="385"/>
      <c r="AI41" s="3692"/>
      <c r="AJ41" s="3692"/>
      <c r="AK41" s="3692"/>
    </row>
    <row r="42" spans="1:37" s="384" customFormat="1" ht="13.15" customHeight="1">
      <c r="A42" s="440"/>
      <c r="B42" s="416">
        <v>16</v>
      </c>
      <c r="C42" s="425" t="s">
        <v>462</v>
      </c>
      <c r="D42" s="424">
        <f>0.01*20+0.4*20</f>
        <v>8.1999999999999993</v>
      </c>
      <c r="E42" s="423">
        <v>3</v>
      </c>
      <c r="F42" s="418">
        <f t="shared" si="1"/>
        <v>102</v>
      </c>
      <c r="G42" s="422" t="s">
        <v>168</v>
      </c>
      <c r="H42" s="421"/>
      <c r="I42" s="420"/>
      <c r="J42" s="4243">
        <f t="shared" si="2"/>
        <v>16.350715999999998</v>
      </c>
      <c r="K42" s="4244"/>
      <c r="L42" s="409"/>
      <c r="M42" s="408"/>
      <c r="N42" s="419">
        <v>1.52</v>
      </c>
      <c r="O42" s="3514">
        <f t="shared" si="3"/>
        <v>33.053088320000001</v>
      </c>
      <c r="P42" s="3692"/>
      <c r="Q42" s="388" t="s">
        <v>461</v>
      </c>
      <c r="R42" s="401"/>
      <c r="S42" s="383" t="s">
        <v>368</v>
      </c>
      <c r="T42" s="383" t="s">
        <v>368</v>
      </c>
      <c r="U42" s="383">
        <v>0</v>
      </c>
      <c r="V42" s="387"/>
      <c r="W42" s="383"/>
      <c r="X42" s="383"/>
      <c r="Y42" s="386"/>
      <c r="Z42" s="383"/>
      <c r="AA42" s="385"/>
      <c r="AI42" s="3692"/>
      <c r="AJ42" s="3692"/>
      <c r="AK42" s="3692"/>
    </row>
    <row r="43" spans="1:37" s="384" customFormat="1" ht="13.15" customHeight="1">
      <c r="A43" s="440"/>
      <c r="B43" s="416">
        <v>19</v>
      </c>
      <c r="C43" s="425" t="s">
        <v>460</v>
      </c>
      <c r="D43" s="424">
        <f>0.3*20+0.05*20</f>
        <v>7</v>
      </c>
      <c r="E43" s="423">
        <v>3</v>
      </c>
      <c r="F43" s="418">
        <f t="shared" si="1"/>
        <v>102</v>
      </c>
      <c r="G43" s="422" t="s">
        <v>168</v>
      </c>
      <c r="H43" s="421"/>
      <c r="I43" s="420"/>
      <c r="J43" s="4243">
        <f t="shared" si="2"/>
        <v>16.350715999999998</v>
      </c>
      <c r="K43" s="4244"/>
      <c r="L43" s="409"/>
      <c r="M43" s="408"/>
      <c r="N43" s="419">
        <v>0.86</v>
      </c>
      <c r="O43" s="3514">
        <f t="shared" si="3"/>
        <v>21.061615759999999</v>
      </c>
      <c r="P43" s="3692"/>
      <c r="Q43" s="388" t="s">
        <v>459</v>
      </c>
      <c r="R43" s="401"/>
      <c r="S43" s="383" t="s">
        <v>368</v>
      </c>
      <c r="T43" s="383" t="s">
        <v>368</v>
      </c>
      <c r="U43" s="383">
        <v>0</v>
      </c>
      <c r="V43" s="387"/>
      <c r="W43" s="383"/>
      <c r="X43" s="383"/>
      <c r="Y43" s="386"/>
      <c r="Z43" s="383"/>
      <c r="AA43" s="385"/>
    </row>
    <row r="44" spans="1:37" s="384" customFormat="1" ht="13.15" customHeight="1">
      <c r="A44" s="440"/>
      <c r="B44" s="416">
        <v>20</v>
      </c>
      <c r="C44" s="425" t="s">
        <v>458</v>
      </c>
      <c r="D44" s="424">
        <f>0.01*2+0.25*2</f>
        <v>0.52</v>
      </c>
      <c r="E44" s="423">
        <v>4</v>
      </c>
      <c r="F44" s="418">
        <f t="shared" si="1"/>
        <v>83</v>
      </c>
      <c r="G44" s="422" t="s">
        <v>168</v>
      </c>
      <c r="H44" s="421"/>
      <c r="I44" s="420"/>
      <c r="J44" s="4243">
        <f t="shared" si="2"/>
        <v>14.214449176470588</v>
      </c>
      <c r="K44" s="4244"/>
      <c r="L44" s="409"/>
      <c r="M44" s="408"/>
      <c r="N44" s="419">
        <f>0.09+0.14</f>
        <v>0.23</v>
      </c>
      <c r="O44" s="3514">
        <f t="shared" si="3"/>
        <v>3.7893233105882351</v>
      </c>
      <c r="P44" s="3692"/>
      <c r="Q44" s="388" t="s">
        <v>457</v>
      </c>
      <c r="R44" s="401"/>
      <c r="S44" s="383" t="s">
        <v>368</v>
      </c>
      <c r="T44" s="383" t="s">
        <v>368</v>
      </c>
      <c r="U44" s="383" t="s">
        <v>368</v>
      </c>
      <c r="V44" s="387"/>
      <c r="W44" s="383"/>
      <c r="X44" s="383"/>
      <c r="Y44" s="386"/>
      <c r="Z44" s="383"/>
      <c r="AA44" s="385"/>
    </row>
    <row r="45" spans="1:37" s="3503" customFormat="1" ht="6" customHeight="1">
      <c r="A45" s="440"/>
      <c r="B45" s="439">
        <v>21</v>
      </c>
      <c r="C45" s="438"/>
      <c r="D45" s="437"/>
      <c r="E45" s="436"/>
      <c r="F45" s="435"/>
      <c r="G45" s="434"/>
      <c r="H45" s="433"/>
      <c r="I45" s="432"/>
      <c r="J45" s="4287"/>
      <c r="K45" s="4288"/>
      <c r="L45" s="431"/>
      <c r="M45" s="430"/>
      <c r="N45" s="429"/>
      <c r="O45" s="3514"/>
      <c r="P45" s="428"/>
      <c r="Q45" s="427"/>
      <c r="R45" s="426"/>
      <c r="S45" s="3499"/>
      <c r="T45" s="3499"/>
      <c r="U45" s="3499"/>
      <c r="V45" s="3500"/>
      <c r="W45" s="3499"/>
      <c r="X45" s="3499"/>
      <c r="Y45" s="3501"/>
      <c r="Z45" s="3499"/>
      <c r="AA45" s="3502"/>
      <c r="AI45" s="3504"/>
      <c r="AJ45" s="3504"/>
      <c r="AK45" s="3504"/>
    </row>
    <row r="46" spans="1:37" s="384" customFormat="1" ht="13.15" customHeight="1">
      <c r="A46" s="409"/>
      <c r="B46" s="416">
        <v>22</v>
      </c>
      <c r="C46" s="392" t="s">
        <v>456</v>
      </c>
      <c r="D46" s="415">
        <f>0.15+0.5</f>
        <v>0.65</v>
      </c>
      <c r="E46" s="414">
        <v>4</v>
      </c>
      <c r="F46" s="418">
        <f t="shared" si="1"/>
        <v>83</v>
      </c>
      <c r="G46" s="412" t="s">
        <v>168</v>
      </c>
      <c r="H46" s="411"/>
      <c r="I46" s="410"/>
      <c r="J46" s="4243">
        <f t="shared" si="2"/>
        <v>14.214449176470588</v>
      </c>
      <c r="K46" s="4244"/>
      <c r="L46" s="409"/>
      <c r="M46" s="408"/>
      <c r="N46" s="417">
        <v>0.36</v>
      </c>
      <c r="O46" s="3514">
        <f t="shared" si="3"/>
        <v>5.7672017035294116</v>
      </c>
      <c r="P46" s="3692"/>
      <c r="Q46" s="388" t="s">
        <v>452</v>
      </c>
      <c r="R46" s="401"/>
      <c r="S46" s="383" t="s">
        <v>455</v>
      </c>
      <c r="T46" s="383" t="s">
        <v>454</v>
      </c>
      <c r="U46" s="383">
        <v>0</v>
      </c>
      <c r="V46" s="387"/>
      <c r="W46" s="383"/>
      <c r="X46" s="383"/>
      <c r="Y46" s="386"/>
      <c r="Z46" s="383"/>
      <c r="AA46" s="385"/>
      <c r="AI46" s="3692"/>
      <c r="AJ46" s="3692"/>
      <c r="AK46" s="3692"/>
    </row>
    <row r="47" spans="1:37" s="384" customFormat="1" ht="13.15" customHeight="1">
      <c r="A47" s="409"/>
      <c r="B47" s="416"/>
      <c r="C47" s="392" t="s">
        <v>453</v>
      </c>
      <c r="D47" s="415">
        <f>0.15+0.5</f>
        <v>0.65</v>
      </c>
      <c r="E47" s="414">
        <v>4</v>
      </c>
      <c r="F47" s="418">
        <f t="shared" si="1"/>
        <v>83</v>
      </c>
      <c r="G47" s="412" t="s">
        <v>168</v>
      </c>
      <c r="H47" s="411"/>
      <c r="I47" s="410"/>
      <c r="J47" s="4243">
        <f t="shared" si="2"/>
        <v>14.214449176470588</v>
      </c>
      <c r="K47" s="4244"/>
      <c r="L47" s="409"/>
      <c r="M47" s="408"/>
      <c r="N47" s="417">
        <v>0.19</v>
      </c>
      <c r="O47" s="3514">
        <f t="shared" si="3"/>
        <v>3.3507453435294114</v>
      </c>
      <c r="P47" s="3692"/>
      <c r="Q47" s="388" t="s">
        <v>452</v>
      </c>
      <c r="R47" s="401"/>
      <c r="S47" s="383" t="s">
        <v>451</v>
      </c>
      <c r="T47" s="383"/>
      <c r="U47" s="383"/>
      <c r="V47" s="387"/>
      <c r="W47" s="383"/>
      <c r="X47" s="383"/>
      <c r="Y47" s="386"/>
      <c r="Z47" s="383"/>
      <c r="AA47" s="385"/>
      <c r="AI47" s="3692"/>
      <c r="AJ47" s="3692"/>
      <c r="AK47" s="3692"/>
    </row>
    <row r="48" spans="1:37" s="384" customFormat="1" ht="13.15" customHeight="1">
      <c r="A48" s="409"/>
      <c r="B48" s="416">
        <v>23</v>
      </c>
      <c r="C48" s="392" t="s">
        <v>450</v>
      </c>
      <c r="D48" s="415">
        <v>2.9</v>
      </c>
      <c r="E48" s="414">
        <v>4</v>
      </c>
      <c r="F48" s="418">
        <f t="shared" si="1"/>
        <v>83</v>
      </c>
      <c r="G48" s="412"/>
      <c r="H48" s="411" t="s">
        <v>168</v>
      </c>
      <c r="I48" s="410"/>
      <c r="J48" s="4243">
        <f t="shared" si="2"/>
        <v>17.306355966386555</v>
      </c>
      <c r="K48" s="4244"/>
      <c r="L48" s="409"/>
      <c r="M48" s="408"/>
      <c r="N48" s="417">
        <v>1.19</v>
      </c>
      <c r="O48" s="3514">
        <f t="shared" si="3"/>
        <v>23.494563599999999</v>
      </c>
      <c r="P48" s="3692"/>
      <c r="Q48" s="388" t="s">
        <v>449</v>
      </c>
      <c r="R48" s="401"/>
      <c r="S48" s="383" t="s">
        <v>448</v>
      </c>
      <c r="T48" s="383" t="s">
        <v>447</v>
      </c>
      <c r="U48" s="383">
        <v>0</v>
      </c>
      <c r="V48" s="387"/>
      <c r="W48" s="383"/>
      <c r="X48" s="383"/>
      <c r="Y48" s="386"/>
      <c r="Z48" s="383"/>
      <c r="AA48" s="385"/>
      <c r="AI48" s="3692"/>
      <c r="AJ48" s="3692"/>
      <c r="AK48" s="3692"/>
    </row>
    <row r="49" spans="1:37" s="384" customFormat="1" ht="13.15" customHeight="1">
      <c r="A49" s="409"/>
      <c r="B49" s="416">
        <v>24</v>
      </c>
      <c r="C49" s="425" t="s">
        <v>446</v>
      </c>
      <c r="D49" s="424">
        <v>0.15</v>
      </c>
      <c r="E49" s="423">
        <v>6</v>
      </c>
      <c r="F49" s="418">
        <f t="shared" si="1"/>
        <v>54</v>
      </c>
      <c r="G49" s="422" t="s">
        <v>168</v>
      </c>
      <c r="H49" s="421"/>
      <c r="I49" s="420"/>
      <c r="J49" s="4243">
        <f t="shared" si="2"/>
        <v>10.785673176470588</v>
      </c>
      <c r="K49" s="4244"/>
      <c r="L49" s="409"/>
      <c r="M49" s="408"/>
      <c r="N49" s="419">
        <v>0.15</v>
      </c>
      <c r="O49" s="3514">
        <f t="shared" si="3"/>
        <v>1.7678509764705881</v>
      </c>
      <c r="P49" s="3692"/>
      <c r="Q49" s="388" t="s">
        <v>445</v>
      </c>
      <c r="R49" s="401"/>
      <c r="S49" s="383" t="s">
        <v>368</v>
      </c>
      <c r="T49" s="383" t="s">
        <v>368</v>
      </c>
      <c r="U49" s="383">
        <v>0</v>
      </c>
      <c r="V49" s="387"/>
      <c r="W49" s="383"/>
      <c r="X49" s="383"/>
      <c r="Y49" s="386"/>
      <c r="Z49" s="383"/>
      <c r="AA49" s="385"/>
      <c r="AI49" s="3692"/>
      <c r="AJ49" s="3692"/>
      <c r="AK49" s="3692"/>
    </row>
    <row r="50" spans="1:37" s="384" customFormat="1" ht="13.15" customHeight="1">
      <c r="A50" s="409"/>
      <c r="B50" s="416">
        <v>25</v>
      </c>
      <c r="C50" s="392" t="s">
        <v>444</v>
      </c>
      <c r="D50" s="415">
        <v>2</v>
      </c>
      <c r="E50" s="414">
        <v>4</v>
      </c>
      <c r="F50" s="418">
        <f t="shared" si="1"/>
        <v>83</v>
      </c>
      <c r="G50" s="412" t="s">
        <v>168</v>
      </c>
      <c r="H50" s="411"/>
      <c r="I50" s="410"/>
      <c r="J50" s="4243">
        <f t="shared" si="2"/>
        <v>14.214449176470588</v>
      </c>
      <c r="K50" s="4244"/>
      <c r="L50" s="409"/>
      <c r="M50" s="408"/>
      <c r="N50" s="417">
        <v>0.27</v>
      </c>
      <c r="O50" s="3514">
        <f t="shared" si="3"/>
        <v>5.8379012776470587</v>
      </c>
      <c r="P50" s="3692"/>
      <c r="Q50" s="388" t="s">
        <v>440</v>
      </c>
      <c r="R50" s="401"/>
      <c r="S50" s="383" t="s">
        <v>443</v>
      </c>
      <c r="T50" s="383" t="s">
        <v>442</v>
      </c>
      <c r="U50" s="383">
        <v>0</v>
      </c>
      <c r="V50" s="387"/>
      <c r="W50" s="383"/>
      <c r="X50" s="383"/>
      <c r="Y50" s="386"/>
      <c r="Z50" s="383"/>
      <c r="AA50" s="385"/>
      <c r="AI50" s="3692"/>
      <c r="AJ50" s="3692"/>
      <c r="AK50" s="3692"/>
    </row>
    <row r="51" spans="1:37" s="384" customFormat="1" ht="13.15" customHeight="1">
      <c r="A51" s="409"/>
      <c r="B51" s="416">
        <v>26</v>
      </c>
      <c r="C51" s="392" t="s">
        <v>441</v>
      </c>
      <c r="D51" s="415">
        <v>3</v>
      </c>
      <c r="E51" s="414">
        <v>6</v>
      </c>
      <c r="F51" s="418">
        <f t="shared" si="1"/>
        <v>54</v>
      </c>
      <c r="G51" s="412"/>
      <c r="H51" s="411" t="s">
        <v>168</v>
      </c>
      <c r="I51" s="410"/>
      <c r="J51" s="4243">
        <f t="shared" si="2"/>
        <v>12.793818823529412</v>
      </c>
      <c r="K51" s="4244"/>
      <c r="L51" s="409"/>
      <c r="M51" s="408"/>
      <c r="N51" s="417">
        <v>1.1100000000000001</v>
      </c>
      <c r="O51" s="3514">
        <f t="shared" si="3"/>
        <v>17.201138894117648</v>
      </c>
      <c r="P51" s="3692"/>
      <c r="Q51" s="388" t="s">
        <v>440</v>
      </c>
      <c r="R51" s="401"/>
      <c r="S51" s="383" t="s">
        <v>169</v>
      </c>
      <c r="T51" s="383" t="s">
        <v>439</v>
      </c>
      <c r="U51" s="383">
        <v>0</v>
      </c>
      <c r="V51" s="387"/>
      <c r="W51" s="383"/>
      <c r="X51" s="383"/>
      <c r="Y51" s="386"/>
      <c r="Z51" s="383"/>
      <c r="AA51" s="385"/>
      <c r="AI51" s="3692"/>
      <c r="AJ51" s="3692"/>
      <c r="AK51" s="3692"/>
    </row>
    <row r="52" spans="1:37" s="384" customFormat="1" ht="2.4500000000000002" customHeight="1">
      <c r="A52" s="406"/>
      <c r="B52" s="416">
        <v>27</v>
      </c>
      <c r="C52" s="392"/>
      <c r="D52" s="415"/>
      <c r="E52" s="414"/>
      <c r="F52" s="418"/>
      <c r="G52" s="412"/>
      <c r="H52" s="411"/>
      <c r="I52" s="410"/>
      <c r="J52" s="4243"/>
      <c r="K52" s="4244"/>
      <c r="L52" s="409"/>
      <c r="M52" s="408"/>
      <c r="N52" s="417"/>
      <c r="O52" s="3514"/>
      <c r="P52" s="3692"/>
      <c r="Q52" s="388"/>
      <c r="R52" s="401"/>
      <c r="S52" s="383"/>
      <c r="T52" s="383"/>
      <c r="U52" s="383"/>
      <c r="V52" s="387"/>
      <c r="W52" s="383"/>
      <c r="X52" s="383"/>
      <c r="Y52" s="386"/>
      <c r="Z52" s="383"/>
      <c r="AA52" s="385"/>
      <c r="AI52" s="3692"/>
      <c r="AJ52" s="3692"/>
      <c r="AK52" s="3692"/>
    </row>
    <row r="53" spans="1:37" s="384" customFormat="1" ht="13.15" customHeight="1">
      <c r="A53" s="409"/>
      <c r="B53" s="416">
        <v>28</v>
      </c>
      <c r="C53" s="392" t="s">
        <v>438</v>
      </c>
      <c r="D53" s="415"/>
      <c r="E53" s="414">
        <v>2</v>
      </c>
      <c r="F53" s="418">
        <f t="shared" si="1"/>
        <v>120</v>
      </c>
      <c r="G53" s="412" t="s">
        <v>168</v>
      </c>
      <c r="H53" s="411"/>
      <c r="I53" s="410"/>
      <c r="J53" s="4243">
        <f t="shared" si="2"/>
        <v>18.912607058823529</v>
      </c>
      <c r="K53" s="4244"/>
      <c r="L53" s="409"/>
      <c r="M53" s="408"/>
      <c r="N53" s="417">
        <v>2.13</v>
      </c>
      <c r="O53" s="3514">
        <f t="shared" si="3"/>
        <v>40.283853035294115</v>
      </c>
      <c r="P53" s="3692"/>
      <c r="Q53" s="388">
        <v>0</v>
      </c>
      <c r="R53" s="401"/>
      <c r="S53" s="383">
        <v>0</v>
      </c>
      <c r="T53" s="383">
        <v>0</v>
      </c>
      <c r="U53" s="383">
        <v>0</v>
      </c>
      <c r="V53" s="387"/>
      <c r="W53" s="383"/>
      <c r="X53" s="383"/>
      <c r="Y53" s="386"/>
      <c r="Z53" s="383"/>
      <c r="AA53" s="385"/>
      <c r="AI53" s="3692"/>
      <c r="AJ53" s="3692"/>
      <c r="AK53" s="3692"/>
    </row>
    <row r="54" spans="1:37" s="384" customFormat="1" ht="13.15" customHeight="1">
      <c r="A54" s="409"/>
      <c r="B54" s="416">
        <v>29</v>
      </c>
      <c r="C54" s="425" t="s">
        <v>437</v>
      </c>
      <c r="D54" s="424">
        <v>68</v>
      </c>
      <c r="E54" s="423">
        <v>4</v>
      </c>
      <c r="F54" s="418">
        <f t="shared" si="1"/>
        <v>83</v>
      </c>
      <c r="G54" s="422" t="s">
        <v>168</v>
      </c>
      <c r="H54" s="421"/>
      <c r="I54" s="420"/>
      <c r="J54" s="4243">
        <f t="shared" si="2"/>
        <v>14.214449176470588</v>
      </c>
      <c r="K54" s="4244"/>
      <c r="L54" s="409"/>
      <c r="M54" s="408"/>
      <c r="N54" s="419">
        <v>13.74</v>
      </c>
      <c r="O54" s="3514">
        <f t="shared" si="3"/>
        <v>263.30653168470587</v>
      </c>
      <c r="P54" s="3692"/>
      <c r="Q54" s="388" t="s">
        <v>436</v>
      </c>
      <c r="R54" s="401"/>
      <c r="S54" s="383" t="s">
        <v>368</v>
      </c>
      <c r="T54" s="383" t="s">
        <v>368</v>
      </c>
      <c r="U54" s="383">
        <v>0</v>
      </c>
      <c r="V54" s="387"/>
      <c r="W54" s="383"/>
      <c r="X54" s="383"/>
      <c r="Y54" s="386"/>
      <c r="Z54" s="383"/>
      <c r="AA54" s="385"/>
      <c r="AI54" s="3692"/>
      <c r="AJ54" s="3692"/>
      <c r="AK54" s="3692"/>
    </row>
    <row r="55" spans="1:37" s="384" customFormat="1" ht="3" customHeight="1">
      <c r="A55" s="406"/>
      <c r="B55" s="416">
        <v>30</v>
      </c>
      <c r="C55" s="425"/>
      <c r="D55" s="424"/>
      <c r="E55" s="423"/>
      <c r="F55" s="418"/>
      <c r="G55" s="422"/>
      <c r="H55" s="421"/>
      <c r="I55" s="420"/>
      <c r="J55" s="4243"/>
      <c r="K55" s="4244"/>
      <c r="L55" s="409"/>
      <c r="M55" s="408"/>
      <c r="N55" s="419"/>
      <c r="O55" s="3514"/>
      <c r="P55" s="3692"/>
      <c r="Q55" s="388"/>
      <c r="R55" s="401"/>
      <c r="S55" s="383"/>
      <c r="T55" s="383"/>
      <c r="U55" s="383"/>
      <c r="V55" s="387"/>
      <c r="W55" s="383"/>
      <c r="X55" s="383"/>
      <c r="Y55" s="386"/>
      <c r="Z55" s="383"/>
      <c r="AA55" s="385"/>
      <c r="AI55" s="3692"/>
      <c r="AJ55" s="3692"/>
      <c r="AK55" s="3692"/>
    </row>
    <row r="56" spans="1:37" s="384" customFormat="1" ht="13.15" customHeight="1">
      <c r="A56" s="409"/>
      <c r="B56" s="416">
        <v>31</v>
      </c>
      <c r="C56" s="392" t="s">
        <v>435</v>
      </c>
      <c r="D56" s="415">
        <f>6*0.2</f>
        <v>1.2000000000000002</v>
      </c>
      <c r="E56" s="414">
        <v>4</v>
      </c>
      <c r="F56" s="418">
        <f t="shared" ref="F56:F84" si="4">IF(E56=0,0,INDEX($D$12:$E$18,E56,1))</f>
        <v>83</v>
      </c>
      <c r="G56" s="412" t="s">
        <v>168</v>
      </c>
      <c r="H56" s="411"/>
      <c r="I56" s="410"/>
      <c r="J56" s="4243">
        <f t="shared" ref="J56:J86" si="5">IF(I56="x",VLOOKUP(E56,$B$12:$O$18,14,FALSE),IF(H56="x",VLOOKUP(E56,$B$12:$O$18,13,FALSE),IF(G56="x",VLOOKUP(E56,$B$12:$O$18,12,FALSE),0)))</f>
        <v>14.214449176470588</v>
      </c>
      <c r="K56" s="4244"/>
      <c r="L56" s="409"/>
      <c r="M56" s="408"/>
      <c r="N56" s="417">
        <v>0.4</v>
      </c>
      <c r="O56" s="3514">
        <f t="shared" si="3"/>
        <v>6.8857796705882359</v>
      </c>
      <c r="P56" s="3692"/>
      <c r="Q56" s="388" t="s">
        <v>434</v>
      </c>
      <c r="R56" s="401"/>
      <c r="S56" s="383" t="s">
        <v>433</v>
      </c>
      <c r="T56" s="383" t="s">
        <v>432</v>
      </c>
      <c r="U56" s="383">
        <v>0</v>
      </c>
      <c r="V56" s="387"/>
      <c r="W56" s="383"/>
      <c r="X56" s="383"/>
      <c r="Y56" s="386"/>
      <c r="Z56" s="383"/>
      <c r="AA56" s="385"/>
      <c r="AI56" s="3692"/>
      <c r="AJ56" s="3692"/>
      <c r="AK56" s="3692"/>
    </row>
    <row r="57" spans="1:37" s="384" customFormat="1" ht="13.15" customHeight="1">
      <c r="A57" s="409"/>
      <c r="B57" s="416">
        <v>32</v>
      </c>
      <c r="C57" s="392" t="s">
        <v>431</v>
      </c>
      <c r="D57" s="415">
        <f>6*0.2</f>
        <v>1.2000000000000002</v>
      </c>
      <c r="E57" s="414">
        <v>3</v>
      </c>
      <c r="F57" s="418">
        <f t="shared" si="4"/>
        <v>102</v>
      </c>
      <c r="G57" s="412" t="s">
        <v>168</v>
      </c>
      <c r="H57" s="411"/>
      <c r="I57" s="410"/>
      <c r="J57" s="4243">
        <f t="shared" si="5"/>
        <v>16.350715999999998</v>
      </c>
      <c r="K57" s="4244"/>
      <c r="L57" s="409"/>
      <c r="M57" s="408"/>
      <c r="N57" s="417">
        <v>0.19</v>
      </c>
      <c r="O57" s="3514">
        <f t="shared" si="3"/>
        <v>4.3066360399999999</v>
      </c>
      <c r="P57" s="3692"/>
      <c r="Q57" s="388" t="s">
        <v>430</v>
      </c>
      <c r="R57" s="401"/>
      <c r="S57" s="383" t="s">
        <v>429</v>
      </c>
      <c r="T57" s="383" t="s">
        <v>428</v>
      </c>
      <c r="U57" s="383">
        <v>0</v>
      </c>
      <c r="V57" s="387"/>
      <c r="W57" s="383"/>
      <c r="X57" s="383"/>
      <c r="Y57" s="386"/>
      <c r="Z57" s="383"/>
      <c r="AA57" s="385"/>
      <c r="AI57" s="3692"/>
      <c r="AJ57" s="3692"/>
      <c r="AK57" s="3692"/>
    </row>
    <row r="58" spans="1:37" s="384" customFormat="1" ht="13.15" customHeight="1">
      <c r="A58" s="409"/>
      <c r="B58" s="416">
        <v>33</v>
      </c>
      <c r="C58" s="392" t="s">
        <v>427</v>
      </c>
      <c r="D58" s="415">
        <f>50*0.2</f>
        <v>10</v>
      </c>
      <c r="E58" s="414">
        <v>3</v>
      </c>
      <c r="F58" s="418">
        <f t="shared" si="4"/>
        <v>102</v>
      </c>
      <c r="G58" s="412" t="s">
        <v>168</v>
      </c>
      <c r="H58" s="411"/>
      <c r="I58" s="410"/>
      <c r="J58" s="4243">
        <f t="shared" si="5"/>
        <v>16.350715999999998</v>
      </c>
      <c r="K58" s="4244"/>
      <c r="L58" s="409"/>
      <c r="M58" s="408"/>
      <c r="N58" s="417">
        <v>2.08</v>
      </c>
      <c r="O58" s="3514">
        <f t="shared" si="3"/>
        <v>44.009489279999997</v>
      </c>
      <c r="P58" s="3692"/>
      <c r="Q58" s="388" t="s">
        <v>426</v>
      </c>
      <c r="R58" s="401"/>
      <c r="S58" s="383">
        <v>0</v>
      </c>
      <c r="T58" s="383">
        <v>0</v>
      </c>
      <c r="U58" s="383">
        <v>0</v>
      </c>
      <c r="V58" s="387"/>
      <c r="W58" s="383"/>
      <c r="X58" s="383"/>
      <c r="Y58" s="386"/>
      <c r="Z58" s="383"/>
      <c r="AA58" s="385"/>
      <c r="AI58" s="3692"/>
      <c r="AJ58" s="3692"/>
      <c r="AK58" s="3692"/>
    </row>
    <row r="59" spans="1:37" s="384" customFormat="1" ht="13.15" customHeight="1">
      <c r="A59" s="409"/>
      <c r="B59" s="416">
        <v>34</v>
      </c>
      <c r="C59" s="392" t="s">
        <v>425</v>
      </c>
      <c r="D59" s="415">
        <f>0.2*4</f>
        <v>0.8</v>
      </c>
      <c r="E59" s="414">
        <v>5</v>
      </c>
      <c r="F59" s="418">
        <f t="shared" si="4"/>
        <v>83</v>
      </c>
      <c r="G59" s="412" t="s">
        <v>168</v>
      </c>
      <c r="H59" s="411"/>
      <c r="I59" s="410"/>
      <c r="J59" s="4243">
        <f t="shared" si="5"/>
        <v>15.214449176470588</v>
      </c>
      <c r="K59" s="4244"/>
      <c r="L59" s="409"/>
      <c r="M59" s="408"/>
      <c r="N59" s="417">
        <v>1</v>
      </c>
      <c r="O59" s="3514">
        <f t="shared" si="3"/>
        <v>16.014449176470588</v>
      </c>
      <c r="P59" s="3692"/>
      <c r="Q59" s="388" t="s">
        <v>424</v>
      </c>
      <c r="R59" s="401"/>
      <c r="S59" s="383" t="s">
        <v>423</v>
      </c>
      <c r="T59" s="383" t="s">
        <v>422</v>
      </c>
      <c r="U59" s="383">
        <v>0</v>
      </c>
      <c r="V59" s="387"/>
      <c r="W59" s="383"/>
      <c r="X59" s="383"/>
      <c r="Y59" s="386"/>
      <c r="Z59" s="383"/>
      <c r="AA59" s="385"/>
      <c r="AI59" s="3692"/>
      <c r="AJ59" s="3692"/>
      <c r="AK59" s="3692"/>
    </row>
    <row r="60" spans="1:37" s="384" customFormat="1" ht="6" customHeight="1">
      <c r="A60" s="406"/>
      <c r="B60" s="416">
        <v>35</v>
      </c>
      <c r="C60" s="392"/>
      <c r="D60" s="415"/>
      <c r="E60" s="414"/>
      <c r="F60" s="418"/>
      <c r="G60" s="412"/>
      <c r="H60" s="411"/>
      <c r="I60" s="410"/>
      <c r="J60" s="4243"/>
      <c r="K60" s="4244"/>
      <c r="L60" s="409"/>
      <c r="M60" s="408"/>
      <c r="N60" s="417"/>
      <c r="O60" s="3514"/>
      <c r="P60" s="3692"/>
      <c r="Q60" s="388"/>
      <c r="R60" s="401"/>
      <c r="S60" s="383"/>
      <c r="T60" s="383"/>
      <c r="U60" s="383"/>
      <c r="V60" s="387"/>
      <c r="W60" s="383"/>
      <c r="X60" s="383"/>
      <c r="Y60" s="386"/>
      <c r="Z60" s="383"/>
      <c r="AA60" s="385"/>
      <c r="AI60" s="3692"/>
      <c r="AJ60" s="3692"/>
      <c r="AK60" s="3692"/>
    </row>
    <row r="61" spans="1:37" s="384" customFormat="1" ht="13.15" customHeight="1">
      <c r="A61" s="409"/>
      <c r="B61" s="416">
        <v>36</v>
      </c>
      <c r="C61" s="392" t="s">
        <v>421</v>
      </c>
      <c r="D61" s="415">
        <v>0.2</v>
      </c>
      <c r="E61" s="414">
        <v>3</v>
      </c>
      <c r="F61" s="418">
        <f t="shared" si="4"/>
        <v>102</v>
      </c>
      <c r="G61" s="412" t="s">
        <v>168</v>
      </c>
      <c r="H61" s="411"/>
      <c r="I61" s="410"/>
      <c r="J61" s="4243">
        <f t="shared" si="5"/>
        <v>16.350715999999998</v>
      </c>
      <c r="K61" s="4244"/>
      <c r="L61" s="409"/>
      <c r="M61" s="408"/>
      <c r="N61" s="417">
        <v>0.86</v>
      </c>
      <c r="O61" s="3514">
        <f t="shared" si="3"/>
        <v>14.261615759999998</v>
      </c>
      <c r="P61" s="3692"/>
      <c r="Q61" s="388" t="s">
        <v>419</v>
      </c>
      <c r="R61" s="401"/>
      <c r="S61" s="383">
        <v>0</v>
      </c>
      <c r="T61" s="383">
        <v>0</v>
      </c>
      <c r="U61" s="383">
        <v>0</v>
      </c>
      <c r="V61" s="387"/>
      <c r="W61" s="383"/>
      <c r="X61" s="383"/>
      <c r="Y61" s="386"/>
      <c r="Z61" s="383"/>
      <c r="AA61" s="385"/>
      <c r="AI61" s="3692"/>
      <c r="AJ61" s="3692"/>
      <c r="AK61" s="3692"/>
    </row>
    <row r="62" spans="1:37" s="384" customFormat="1" ht="13.15" customHeight="1">
      <c r="A62" s="409"/>
      <c r="B62" s="416">
        <v>37</v>
      </c>
      <c r="C62" s="392" t="s">
        <v>420</v>
      </c>
      <c r="D62" s="415">
        <v>2.2000000000000002</v>
      </c>
      <c r="E62" s="414">
        <v>5</v>
      </c>
      <c r="F62" s="418">
        <f t="shared" si="4"/>
        <v>83</v>
      </c>
      <c r="G62" s="412" t="s">
        <v>168</v>
      </c>
      <c r="H62" s="411"/>
      <c r="I62" s="410"/>
      <c r="J62" s="4243">
        <f t="shared" si="5"/>
        <v>15.214449176470588</v>
      </c>
      <c r="K62" s="4244"/>
      <c r="L62" s="409"/>
      <c r="M62" s="408"/>
      <c r="N62" s="417">
        <v>0.48</v>
      </c>
      <c r="O62" s="3514">
        <f t="shared" si="3"/>
        <v>9.5029356047058826</v>
      </c>
      <c r="P62" s="3692"/>
      <c r="Q62" s="388" t="s">
        <v>419</v>
      </c>
      <c r="R62" s="401"/>
      <c r="S62" s="383">
        <v>0</v>
      </c>
      <c r="T62" s="383">
        <v>0</v>
      </c>
      <c r="U62" s="383">
        <v>0</v>
      </c>
      <c r="V62" s="387"/>
      <c r="W62" s="383"/>
      <c r="X62" s="383"/>
      <c r="Y62" s="386"/>
      <c r="Z62" s="383"/>
      <c r="AA62" s="385"/>
      <c r="AI62" s="3692"/>
      <c r="AJ62" s="3692"/>
      <c r="AK62" s="3692"/>
    </row>
    <row r="63" spans="1:37" s="384" customFormat="1" ht="13.15" customHeight="1">
      <c r="A63" s="409"/>
      <c r="B63" s="416">
        <v>38</v>
      </c>
      <c r="C63" s="392" t="s">
        <v>418</v>
      </c>
      <c r="D63" s="415">
        <v>2.25</v>
      </c>
      <c r="E63" s="414">
        <v>1</v>
      </c>
      <c r="F63" s="418">
        <f t="shared" si="4"/>
        <v>200</v>
      </c>
      <c r="G63" s="412"/>
      <c r="H63" s="411" t="s">
        <v>168</v>
      </c>
      <c r="I63" s="410"/>
      <c r="J63" s="4243">
        <f t="shared" si="5"/>
        <v>36.756504537815132</v>
      </c>
      <c r="K63" s="4244"/>
      <c r="L63" s="409"/>
      <c r="M63" s="408"/>
      <c r="N63" s="417">
        <v>0.34</v>
      </c>
      <c r="O63" s="3514">
        <f t="shared" si="3"/>
        <v>14.747211542857146</v>
      </c>
      <c r="P63" s="3692"/>
      <c r="Q63" s="388" t="s">
        <v>417</v>
      </c>
      <c r="R63" s="401"/>
      <c r="S63" s="383">
        <v>0</v>
      </c>
      <c r="T63" s="383">
        <v>0</v>
      </c>
      <c r="U63" s="383">
        <v>0</v>
      </c>
      <c r="V63" s="387"/>
      <c r="W63" s="383"/>
      <c r="X63" s="383"/>
      <c r="Y63" s="386"/>
      <c r="Z63" s="383"/>
      <c r="AA63" s="385"/>
      <c r="AI63" s="3692"/>
      <c r="AJ63" s="3692"/>
      <c r="AK63" s="3692"/>
    </row>
    <row r="64" spans="1:37" s="384" customFormat="1" ht="13.15" customHeight="1">
      <c r="A64" s="409"/>
      <c r="B64" s="416">
        <v>39</v>
      </c>
      <c r="C64" s="392" t="s">
        <v>416</v>
      </c>
      <c r="D64" s="415">
        <v>2.25</v>
      </c>
      <c r="E64" s="414">
        <v>3</v>
      </c>
      <c r="F64" s="418">
        <f t="shared" si="4"/>
        <v>102</v>
      </c>
      <c r="G64" s="412"/>
      <c r="H64" s="411" t="s">
        <v>168</v>
      </c>
      <c r="I64" s="410"/>
      <c r="J64" s="4243">
        <f t="shared" si="5"/>
        <v>20.143880000000003</v>
      </c>
      <c r="K64" s="4244"/>
      <c r="L64" s="409"/>
      <c r="M64" s="408"/>
      <c r="N64" s="417">
        <v>0.55000000000000004</v>
      </c>
      <c r="O64" s="3514">
        <f t="shared" si="3"/>
        <v>13.329134000000003</v>
      </c>
      <c r="P64" s="3692"/>
      <c r="Q64" s="388" t="s">
        <v>415</v>
      </c>
      <c r="R64" s="401"/>
      <c r="S64" s="383">
        <v>0</v>
      </c>
      <c r="T64" s="383">
        <v>0</v>
      </c>
      <c r="U64" s="383">
        <v>0</v>
      </c>
      <c r="V64" s="387"/>
      <c r="W64" s="383"/>
      <c r="X64" s="383"/>
      <c r="Y64" s="386"/>
      <c r="Z64" s="383"/>
      <c r="AA64" s="385"/>
      <c r="AI64" s="3692"/>
      <c r="AJ64" s="3692"/>
      <c r="AK64" s="3692"/>
    </row>
    <row r="65" spans="1:37" s="384" customFormat="1" ht="13.15" customHeight="1">
      <c r="A65" s="409"/>
      <c r="B65" s="416">
        <v>40</v>
      </c>
      <c r="C65" s="392" t="s">
        <v>414</v>
      </c>
      <c r="D65" s="415">
        <v>1.65</v>
      </c>
      <c r="E65" s="414">
        <v>5</v>
      </c>
      <c r="F65" s="418">
        <f t="shared" si="4"/>
        <v>83</v>
      </c>
      <c r="G65" s="412" t="s">
        <v>168</v>
      </c>
      <c r="H65" s="411"/>
      <c r="I65" s="410"/>
      <c r="J65" s="4243">
        <f t="shared" si="5"/>
        <v>15.214449176470588</v>
      </c>
      <c r="K65" s="4244"/>
      <c r="L65" s="409"/>
      <c r="M65" s="408"/>
      <c r="N65" s="417">
        <v>0.35</v>
      </c>
      <c r="O65" s="3514">
        <f t="shared" si="3"/>
        <v>6.9750572117647049</v>
      </c>
      <c r="P65" s="3692"/>
      <c r="Q65" s="388" t="s">
        <v>412</v>
      </c>
      <c r="R65" s="401"/>
      <c r="S65" s="383">
        <v>0</v>
      </c>
      <c r="T65" s="383">
        <v>0</v>
      </c>
      <c r="U65" s="383">
        <v>0</v>
      </c>
      <c r="V65" s="387"/>
      <c r="W65" s="383"/>
      <c r="X65" s="383"/>
      <c r="Y65" s="386"/>
      <c r="Z65" s="383"/>
      <c r="AA65" s="385"/>
      <c r="AI65" s="3692"/>
      <c r="AJ65" s="3692"/>
      <c r="AK65" s="3692"/>
    </row>
    <row r="66" spans="1:37" s="384" customFormat="1" ht="13.15" customHeight="1">
      <c r="A66" s="409"/>
      <c r="B66" s="416">
        <v>41</v>
      </c>
      <c r="C66" s="392" t="s">
        <v>413</v>
      </c>
      <c r="D66" s="415">
        <v>2.2999999999999998</v>
      </c>
      <c r="E66" s="414">
        <v>5</v>
      </c>
      <c r="F66" s="418">
        <f t="shared" si="4"/>
        <v>83</v>
      </c>
      <c r="G66" s="412"/>
      <c r="H66" s="411" t="s">
        <v>168</v>
      </c>
      <c r="I66" s="410"/>
      <c r="J66" s="4243">
        <f t="shared" si="5"/>
        <v>18.306355966386555</v>
      </c>
      <c r="K66" s="4244"/>
      <c r="L66" s="409"/>
      <c r="M66" s="408"/>
      <c r="N66" s="417">
        <v>0.26</v>
      </c>
      <c r="O66" s="3514">
        <f t="shared" si="3"/>
        <v>7.0596525512605046</v>
      </c>
      <c r="P66" s="3692"/>
      <c r="Q66" s="388" t="s">
        <v>412</v>
      </c>
      <c r="R66" s="401"/>
      <c r="S66" s="383">
        <v>0</v>
      </c>
      <c r="T66" s="383">
        <v>0</v>
      </c>
      <c r="U66" s="383">
        <v>0</v>
      </c>
      <c r="V66" s="387"/>
      <c r="W66" s="383"/>
      <c r="X66" s="383"/>
      <c r="Y66" s="386"/>
      <c r="Z66" s="383"/>
      <c r="AA66" s="385"/>
      <c r="AI66" s="3692"/>
      <c r="AJ66" s="3692"/>
      <c r="AK66" s="3692"/>
    </row>
    <row r="67" spans="1:37" s="384" customFormat="1" ht="13.15" customHeight="1">
      <c r="A67" s="409"/>
      <c r="B67" s="416">
        <v>42</v>
      </c>
      <c r="C67" s="392" t="s">
        <v>411</v>
      </c>
      <c r="D67" s="415">
        <v>5.4</v>
      </c>
      <c r="E67" s="414">
        <v>1</v>
      </c>
      <c r="F67" s="418">
        <f t="shared" si="4"/>
        <v>200</v>
      </c>
      <c r="G67" s="412"/>
      <c r="H67" s="411" t="s">
        <v>168</v>
      </c>
      <c r="I67" s="410"/>
      <c r="J67" s="4243">
        <f t="shared" si="5"/>
        <v>36.756504537815132</v>
      </c>
      <c r="K67" s="4244"/>
      <c r="L67" s="409"/>
      <c r="M67" s="408"/>
      <c r="N67" s="417">
        <v>0.8</v>
      </c>
      <c r="O67" s="3514">
        <f t="shared" si="3"/>
        <v>34.805203630252109</v>
      </c>
      <c r="P67" s="3692"/>
      <c r="Q67" s="388" t="s">
        <v>410</v>
      </c>
      <c r="R67" s="401"/>
      <c r="S67" s="383">
        <v>0</v>
      </c>
      <c r="T67" s="383" t="s">
        <v>409</v>
      </c>
      <c r="U67" s="383">
        <v>0</v>
      </c>
      <c r="V67" s="387"/>
      <c r="W67" s="383"/>
      <c r="X67" s="383"/>
      <c r="Y67" s="386"/>
      <c r="Z67" s="383"/>
      <c r="AA67" s="385"/>
      <c r="AI67" s="3692"/>
      <c r="AJ67" s="3692"/>
      <c r="AK67" s="3692"/>
    </row>
    <row r="68" spans="1:37" s="384" customFormat="1" ht="13.15" customHeight="1">
      <c r="A68" s="409"/>
      <c r="B68" s="416">
        <v>43</v>
      </c>
      <c r="C68" s="392" t="s">
        <v>408</v>
      </c>
      <c r="D68" s="415"/>
      <c r="E68" s="414">
        <v>2</v>
      </c>
      <c r="F68" s="418">
        <f t="shared" si="4"/>
        <v>120</v>
      </c>
      <c r="G68" s="412" t="s">
        <v>168</v>
      </c>
      <c r="H68" s="411"/>
      <c r="I68" s="410"/>
      <c r="J68" s="4243">
        <f t="shared" si="5"/>
        <v>18.912607058823529</v>
      </c>
      <c r="K68" s="4244"/>
      <c r="L68" s="409"/>
      <c r="M68" s="408"/>
      <c r="N68" s="417">
        <v>0.8</v>
      </c>
      <c r="O68" s="3514">
        <f t="shared" si="3"/>
        <v>15.130085647058824</v>
      </c>
      <c r="P68" s="3692"/>
      <c r="Q68" s="388" t="s">
        <v>407</v>
      </c>
      <c r="R68" s="401"/>
      <c r="S68" s="383">
        <v>0</v>
      </c>
      <c r="T68" s="383">
        <v>0</v>
      </c>
      <c r="U68" s="383">
        <v>0</v>
      </c>
      <c r="V68" s="387"/>
      <c r="W68" s="383"/>
      <c r="X68" s="383"/>
      <c r="Y68" s="386"/>
      <c r="Z68" s="383"/>
      <c r="AA68" s="385"/>
      <c r="AI68" s="3692"/>
      <c r="AJ68" s="3692"/>
      <c r="AK68" s="3692"/>
    </row>
    <row r="69" spans="1:37" s="384" customFormat="1" ht="0.6" customHeight="1">
      <c r="A69" s="406"/>
      <c r="B69" s="416">
        <v>44</v>
      </c>
      <c r="C69" s="392"/>
      <c r="D69" s="415"/>
      <c r="E69" s="414"/>
      <c r="F69" s="418">
        <f t="shared" si="4"/>
        <v>0</v>
      </c>
      <c r="G69" s="412"/>
      <c r="H69" s="411"/>
      <c r="I69" s="410"/>
      <c r="J69" s="4243">
        <f t="shared" si="5"/>
        <v>0</v>
      </c>
      <c r="K69" s="4244"/>
      <c r="L69" s="409"/>
      <c r="M69" s="408"/>
      <c r="N69" s="417"/>
      <c r="O69" s="3514">
        <f t="shared" si="3"/>
        <v>0</v>
      </c>
      <c r="P69" s="3692"/>
      <c r="Q69" s="388"/>
      <c r="R69" s="401"/>
      <c r="S69" s="383"/>
      <c r="T69" s="383"/>
      <c r="U69" s="383"/>
      <c r="V69" s="387"/>
      <c r="W69" s="383"/>
      <c r="X69" s="383"/>
      <c r="Y69" s="386"/>
      <c r="Z69" s="383"/>
      <c r="AA69" s="385"/>
      <c r="AI69" s="3692"/>
      <c r="AJ69" s="3692"/>
      <c r="AK69" s="3692"/>
    </row>
    <row r="70" spans="1:37" s="384" customFormat="1" ht="13.15" customHeight="1">
      <c r="A70" s="409"/>
      <c r="B70" s="416">
        <v>45</v>
      </c>
      <c r="C70" s="392" t="s">
        <v>406</v>
      </c>
      <c r="D70" s="415">
        <v>97.8</v>
      </c>
      <c r="E70" s="414"/>
      <c r="F70" s="418">
        <f t="shared" si="4"/>
        <v>0</v>
      </c>
      <c r="G70" s="412"/>
      <c r="H70" s="411"/>
      <c r="I70" s="410"/>
      <c r="J70" s="4243">
        <f t="shared" si="5"/>
        <v>0</v>
      </c>
      <c r="K70" s="4244"/>
      <c r="L70" s="409"/>
      <c r="M70" s="408"/>
      <c r="N70" s="417">
        <v>2.36</v>
      </c>
      <c r="O70" s="3514">
        <f t="shared" si="3"/>
        <v>97.8</v>
      </c>
      <c r="P70" s="3692"/>
      <c r="Q70" s="388" t="s">
        <v>405</v>
      </c>
      <c r="R70" s="401"/>
      <c r="S70" s="383">
        <v>0</v>
      </c>
      <c r="T70" s="383">
        <v>0</v>
      </c>
      <c r="U70" s="383">
        <v>0</v>
      </c>
      <c r="V70" s="387"/>
      <c r="W70" s="383"/>
      <c r="X70" s="383"/>
      <c r="Y70" s="386"/>
      <c r="Z70" s="383"/>
      <c r="AA70" s="385"/>
      <c r="AI70" s="3692"/>
      <c r="AJ70" s="3692"/>
      <c r="AK70" s="3692"/>
    </row>
    <row r="71" spans="1:37" s="384" customFormat="1" ht="13.15" customHeight="1">
      <c r="A71" s="409"/>
      <c r="B71" s="416">
        <v>46</v>
      </c>
      <c r="C71" s="392" t="s">
        <v>404</v>
      </c>
      <c r="D71" s="415">
        <f>((4.6)*0.07+0.01*2.5)+0.2*2.5</f>
        <v>0.84699999999999998</v>
      </c>
      <c r="E71" s="414">
        <v>6</v>
      </c>
      <c r="F71" s="418">
        <f t="shared" si="4"/>
        <v>54</v>
      </c>
      <c r="G71" s="412" t="s">
        <v>168</v>
      </c>
      <c r="H71" s="411"/>
      <c r="I71" s="410"/>
      <c r="J71" s="4243">
        <f t="shared" si="5"/>
        <v>10.785673176470588</v>
      </c>
      <c r="K71" s="4244"/>
      <c r="L71" s="409"/>
      <c r="M71" s="408"/>
      <c r="N71" s="417">
        <v>0.21</v>
      </c>
      <c r="O71" s="3514">
        <f t="shared" si="3"/>
        <v>3.1119913670588235</v>
      </c>
      <c r="P71" s="3692"/>
      <c r="Q71" s="388" t="s">
        <v>403</v>
      </c>
      <c r="R71" s="401"/>
      <c r="S71" s="383" t="s">
        <v>402</v>
      </c>
      <c r="T71" s="383" t="s">
        <v>401</v>
      </c>
      <c r="U71" s="383">
        <v>0</v>
      </c>
      <c r="V71" s="387"/>
      <c r="W71" s="383"/>
      <c r="X71" s="383"/>
      <c r="Y71" s="386"/>
      <c r="Z71" s="383"/>
      <c r="AA71" s="385"/>
      <c r="AI71" s="3692"/>
      <c r="AJ71" s="3692"/>
      <c r="AK71" s="3692"/>
    </row>
    <row r="72" spans="1:37" s="384" customFormat="1" ht="13.15" customHeight="1">
      <c r="A72" s="409"/>
      <c r="B72" s="416">
        <v>47</v>
      </c>
      <c r="C72" s="392" t="s">
        <v>400</v>
      </c>
      <c r="D72" s="415">
        <v>13</v>
      </c>
      <c r="E72" s="414">
        <v>5</v>
      </c>
      <c r="F72" s="418">
        <f t="shared" si="4"/>
        <v>83</v>
      </c>
      <c r="G72" s="412" t="s">
        <v>168</v>
      </c>
      <c r="H72" s="411"/>
      <c r="I72" s="410"/>
      <c r="J72" s="4243">
        <f t="shared" si="5"/>
        <v>15.214449176470588</v>
      </c>
      <c r="K72" s="4244"/>
      <c r="L72" s="409"/>
      <c r="M72" s="408"/>
      <c r="N72" s="417">
        <v>2</v>
      </c>
      <c r="O72" s="3514">
        <f t="shared" si="3"/>
        <v>43.428898352941175</v>
      </c>
      <c r="P72" s="3692"/>
      <c r="Q72" s="388" t="s">
        <v>399</v>
      </c>
      <c r="R72" s="401"/>
      <c r="S72" s="383" t="s">
        <v>398</v>
      </c>
      <c r="T72" s="383" t="s">
        <v>397</v>
      </c>
      <c r="U72" s="383" t="s">
        <v>396</v>
      </c>
      <c r="V72" s="387"/>
      <c r="W72" s="383"/>
      <c r="X72" s="383"/>
      <c r="Y72" s="386"/>
      <c r="Z72" s="383"/>
      <c r="AA72" s="385"/>
      <c r="AI72" s="3692"/>
      <c r="AJ72" s="3692"/>
      <c r="AK72" s="3692"/>
    </row>
    <row r="73" spans="1:37" s="384" customFormat="1" ht="13.15" customHeight="1">
      <c r="A73" s="409"/>
      <c r="B73" s="416">
        <v>48</v>
      </c>
      <c r="C73" s="392" t="s">
        <v>395</v>
      </c>
      <c r="D73" s="415">
        <v>13</v>
      </c>
      <c r="E73" s="414">
        <v>5</v>
      </c>
      <c r="F73" s="418">
        <f t="shared" si="4"/>
        <v>83</v>
      </c>
      <c r="G73" s="412" t="s">
        <v>168</v>
      </c>
      <c r="H73" s="411"/>
      <c r="I73" s="410"/>
      <c r="J73" s="4243">
        <f t="shared" si="5"/>
        <v>15.214449176470588</v>
      </c>
      <c r="K73" s="4244"/>
      <c r="L73" s="409"/>
      <c r="M73" s="408"/>
      <c r="N73" s="417">
        <v>1.1299999999999999</v>
      </c>
      <c r="O73" s="3514">
        <f t="shared" si="3"/>
        <v>30.192327569411763</v>
      </c>
      <c r="P73" s="3692"/>
      <c r="Q73" s="388" t="s">
        <v>394</v>
      </c>
      <c r="R73" s="401"/>
      <c r="S73" s="383" t="s">
        <v>393</v>
      </c>
      <c r="T73" s="383" t="s">
        <v>392</v>
      </c>
      <c r="U73" s="383" t="s">
        <v>383</v>
      </c>
      <c r="V73" s="387"/>
      <c r="W73" s="383"/>
      <c r="X73" s="383"/>
      <c r="Y73" s="386"/>
      <c r="Z73" s="383"/>
      <c r="AA73" s="385"/>
      <c r="AI73" s="3692"/>
      <c r="AJ73" s="3692"/>
      <c r="AK73" s="3692"/>
    </row>
    <row r="74" spans="1:37" s="384" customFormat="1" ht="13.15" customHeight="1">
      <c r="A74" s="409"/>
      <c r="B74" s="416">
        <v>49</v>
      </c>
      <c r="C74" s="392" t="s">
        <v>391</v>
      </c>
      <c r="D74" s="415">
        <v>3</v>
      </c>
      <c r="E74" s="414">
        <v>6</v>
      </c>
      <c r="F74" s="418">
        <f t="shared" si="4"/>
        <v>54</v>
      </c>
      <c r="G74" s="412"/>
      <c r="H74" s="411" t="s">
        <v>168</v>
      </c>
      <c r="I74" s="410"/>
      <c r="J74" s="4243">
        <f t="shared" si="5"/>
        <v>12.793818823529412</v>
      </c>
      <c r="K74" s="4244"/>
      <c r="L74" s="409"/>
      <c r="M74" s="408"/>
      <c r="N74" s="417">
        <v>0.69</v>
      </c>
      <c r="O74" s="3514">
        <f t="shared" si="3"/>
        <v>11.827734988235294</v>
      </c>
      <c r="P74" s="3692"/>
      <c r="Q74" s="388" t="s">
        <v>386</v>
      </c>
      <c r="R74" s="401"/>
      <c r="S74" s="383" t="s">
        <v>385</v>
      </c>
      <c r="T74" s="383" t="s">
        <v>390</v>
      </c>
      <c r="U74" s="383">
        <v>0</v>
      </c>
      <c r="V74" s="387"/>
      <c r="W74" s="383"/>
      <c r="X74" s="383"/>
      <c r="Y74" s="386"/>
      <c r="Z74" s="383"/>
      <c r="AA74" s="385"/>
      <c r="AI74" s="3692"/>
      <c r="AJ74" s="3692"/>
      <c r="AK74" s="3692"/>
    </row>
    <row r="75" spans="1:37" s="384" customFormat="1" ht="13.15" customHeight="1">
      <c r="A75" s="409"/>
      <c r="B75" s="416">
        <v>50</v>
      </c>
      <c r="C75" s="425" t="s">
        <v>389</v>
      </c>
      <c r="D75" s="424">
        <v>3</v>
      </c>
      <c r="E75" s="423">
        <v>6</v>
      </c>
      <c r="F75" s="418">
        <f t="shared" si="4"/>
        <v>54</v>
      </c>
      <c r="G75" s="422" t="s">
        <v>168</v>
      </c>
      <c r="H75" s="421"/>
      <c r="I75" s="420"/>
      <c r="J75" s="4243">
        <f t="shared" si="5"/>
        <v>10.785673176470588</v>
      </c>
      <c r="K75" s="4244"/>
      <c r="L75" s="409"/>
      <c r="M75" s="408"/>
      <c r="N75" s="419">
        <v>0.95</v>
      </c>
      <c r="O75" s="3514">
        <f t="shared" si="3"/>
        <v>13.246389517647058</v>
      </c>
      <c r="P75" s="3692"/>
      <c r="Q75" s="388" t="s">
        <v>388</v>
      </c>
      <c r="R75" s="401"/>
      <c r="S75" s="383" t="s">
        <v>368</v>
      </c>
      <c r="T75" s="383" t="s">
        <v>368</v>
      </c>
      <c r="U75" s="383" t="s">
        <v>368</v>
      </c>
      <c r="V75" s="387"/>
      <c r="W75" s="383"/>
      <c r="X75" s="383"/>
      <c r="Y75" s="386"/>
      <c r="Z75" s="383"/>
      <c r="AA75" s="385"/>
      <c r="AI75" s="3692"/>
      <c r="AJ75" s="3692"/>
      <c r="AK75" s="3692"/>
    </row>
    <row r="76" spans="1:37" s="384" customFormat="1" ht="13.15" customHeight="1">
      <c r="A76" s="409"/>
      <c r="B76" s="416">
        <v>52</v>
      </c>
      <c r="C76" s="392" t="s">
        <v>387</v>
      </c>
      <c r="D76" s="415">
        <v>3</v>
      </c>
      <c r="E76" s="414">
        <v>6</v>
      </c>
      <c r="F76" s="418">
        <f t="shared" si="4"/>
        <v>54</v>
      </c>
      <c r="G76" s="412"/>
      <c r="H76" s="411" t="s">
        <v>168</v>
      </c>
      <c r="I76" s="410"/>
      <c r="J76" s="4243">
        <f t="shared" si="5"/>
        <v>12.793818823529412</v>
      </c>
      <c r="K76" s="4244"/>
      <c r="L76" s="409"/>
      <c r="M76" s="408"/>
      <c r="N76" s="417">
        <v>0.95</v>
      </c>
      <c r="O76" s="3514">
        <f t="shared" si="3"/>
        <v>15.15412788235294</v>
      </c>
      <c r="P76" s="3692"/>
      <c r="Q76" s="388" t="s">
        <v>386</v>
      </c>
      <c r="R76" s="401"/>
      <c r="S76" s="383" t="s">
        <v>385</v>
      </c>
      <c r="T76" s="383" t="s">
        <v>384</v>
      </c>
      <c r="U76" s="383" t="s">
        <v>383</v>
      </c>
      <c r="V76" s="387"/>
      <c r="W76" s="383"/>
      <c r="X76" s="383"/>
      <c r="Y76" s="386"/>
      <c r="Z76" s="383"/>
      <c r="AA76" s="385"/>
      <c r="AI76" s="3692"/>
      <c r="AJ76" s="3692"/>
      <c r="AK76" s="3692"/>
    </row>
    <row r="77" spans="1:37" s="384" customFormat="1" ht="13.15" customHeight="1">
      <c r="A77" s="409"/>
      <c r="B77" s="416"/>
      <c r="C77" s="425" t="s">
        <v>382</v>
      </c>
      <c r="D77" s="424">
        <v>5.2</v>
      </c>
      <c r="E77" s="423">
        <v>6</v>
      </c>
      <c r="F77" s="418">
        <f t="shared" si="4"/>
        <v>54</v>
      </c>
      <c r="G77" s="422"/>
      <c r="H77" s="421" t="s">
        <v>168</v>
      </c>
      <c r="I77" s="420"/>
      <c r="J77" s="4243">
        <f t="shared" si="5"/>
        <v>12.793818823529412</v>
      </c>
      <c r="K77" s="4244"/>
      <c r="L77" s="409"/>
      <c r="M77" s="408"/>
      <c r="N77" s="419">
        <v>0.99</v>
      </c>
      <c r="O77" s="3514">
        <f t="shared" si="3"/>
        <v>17.865880635294118</v>
      </c>
      <c r="P77" s="3692"/>
      <c r="Q77" s="388" t="s">
        <v>381</v>
      </c>
      <c r="R77" s="401"/>
      <c r="S77" s="383" t="s">
        <v>368</v>
      </c>
      <c r="T77" s="383" t="s">
        <v>368</v>
      </c>
      <c r="U77" s="383" t="s">
        <v>368</v>
      </c>
      <c r="V77" s="387"/>
      <c r="W77" s="383"/>
      <c r="X77" s="383"/>
      <c r="Y77" s="386"/>
      <c r="Z77" s="383"/>
      <c r="AA77" s="385"/>
      <c r="AI77" s="3692"/>
      <c r="AJ77" s="3692"/>
      <c r="AK77" s="3692"/>
    </row>
    <row r="78" spans="1:37" s="384" customFormat="1" ht="13.15" customHeight="1">
      <c r="A78" s="409"/>
      <c r="B78" s="416"/>
      <c r="C78" s="425" t="s">
        <v>380</v>
      </c>
      <c r="D78" s="424">
        <v>40</v>
      </c>
      <c r="E78" s="423">
        <v>6</v>
      </c>
      <c r="F78" s="418">
        <f t="shared" si="4"/>
        <v>54</v>
      </c>
      <c r="G78" s="422" t="s">
        <v>168</v>
      </c>
      <c r="H78" s="421"/>
      <c r="I78" s="420"/>
      <c r="J78" s="4243">
        <f t="shared" si="5"/>
        <v>10.785673176470588</v>
      </c>
      <c r="K78" s="4244"/>
      <c r="L78" s="409"/>
      <c r="M78" s="408"/>
      <c r="N78" s="419">
        <v>6</v>
      </c>
      <c r="O78" s="3514">
        <f t="shared" si="3"/>
        <v>104.71403905882353</v>
      </c>
      <c r="P78" s="3692"/>
      <c r="Q78" s="388" t="s">
        <v>374</v>
      </c>
      <c r="R78" s="401"/>
      <c r="S78" s="383" t="s">
        <v>368</v>
      </c>
      <c r="T78" s="383" t="s">
        <v>368</v>
      </c>
      <c r="U78" s="383" t="s">
        <v>368</v>
      </c>
      <c r="V78" s="387"/>
      <c r="W78" s="383"/>
      <c r="X78" s="383"/>
      <c r="Y78" s="386"/>
      <c r="Z78" s="383"/>
      <c r="AA78" s="385"/>
      <c r="AI78" s="3692"/>
      <c r="AJ78" s="3692"/>
      <c r="AK78" s="3692"/>
    </row>
    <row r="79" spans="1:37" s="384" customFormat="1" ht="13.15" customHeight="1">
      <c r="A79" s="409"/>
      <c r="B79" s="416"/>
      <c r="C79" s="392" t="s">
        <v>379</v>
      </c>
      <c r="D79" s="415">
        <v>40</v>
      </c>
      <c r="E79" s="414">
        <v>4</v>
      </c>
      <c r="F79" s="418">
        <f t="shared" si="4"/>
        <v>83</v>
      </c>
      <c r="G79" s="412"/>
      <c r="H79" s="411" t="s">
        <v>168</v>
      </c>
      <c r="I79" s="410"/>
      <c r="J79" s="4243">
        <f t="shared" si="5"/>
        <v>17.306355966386555</v>
      </c>
      <c r="K79" s="4244"/>
      <c r="L79" s="409"/>
      <c r="M79" s="408"/>
      <c r="N79" s="417">
        <v>21.64</v>
      </c>
      <c r="O79" s="3514">
        <f t="shared" si="3"/>
        <v>414.50954311260506</v>
      </c>
      <c r="P79" s="3692"/>
      <c r="Q79" s="388" t="s">
        <v>374</v>
      </c>
      <c r="R79" s="401"/>
      <c r="S79" s="383" t="s">
        <v>378</v>
      </c>
      <c r="T79" s="383" t="s">
        <v>377</v>
      </c>
      <c r="U79" s="383" t="s">
        <v>376</v>
      </c>
      <c r="V79" s="387"/>
      <c r="W79" s="383"/>
      <c r="X79" s="383"/>
      <c r="Y79" s="386"/>
      <c r="Z79" s="383"/>
      <c r="AA79" s="385"/>
      <c r="AI79" s="3692"/>
      <c r="AJ79" s="3692"/>
      <c r="AK79" s="3692"/>
    </row>
    <row r="80" spans="1:37" s="384" customFormat="1" ht="13.15" customHeight="1">
      <c r="A80" s="409"/>
      <c r="B80" s="416"/>
      <c r="C80" s="392" t="s">
        <v>375</v>
      </c>
      <c r="D80" s="415">
        <v>40</v>
      </c>
      <c r="E80" s="414">
        <v>4</v>
      </c>
      <c r="F80" s="418">
        <f t="shared" si="4"/>
        <v>83</v>
      </c>
      <c r="G80" s="412"/>
      <c r="H80" s="411" t="s">
        <v>168</v>
      </c>
      <c r="I80" s="410"/>
      <c r="J80" s="4243">
        <f t="shared" si="5"/>
        <v>17.306355966386555</v>
      </c>
      <c r="K80" s="4244"/>
      <c r="L80" s="409"/>
      <c r="M80" s="408"/>
      <c r="N80" s="417">
        <v>13.96</v>
      </c>
      <c r="O80" s="3514">
        <f t="shared" si="3"/>
        <v>281.59672929075634</v>
      </c>
      <c r="P80" s="3692"/>
      <c r="Q80" s="388" t="s">
        <v>374</v>
      </c>
      <c r="R80" s="401"/>
      <c r="S80" s="383" t="s">
        <v>373</v>
      </c>
      <c r="T80" s="383" t="s">
        <v>372</v>
      </c>
      <c r="U80" s="383" t="s">
        <v>371</v>
      </c>
      <c r="V80" s="387"/>
      <c r="W80" s="383"/>
      <c r="X80" s="383"/>
      <c r="Y80" s="386"/>
      <c r="Z80" s="383"/>
      <c r="AA80" s="385"/>
      <c r="AI80" s="3692"/>
      <c r="AJ80" s="3692"/>
      <c r="AK80" s="3692"/>
    </row>
    <row r="81" spans="1:37" s="384" customFormat="1" ht="13.15" customHeight="1">
      <c r="A81" s="409"/>
      <c r="B81" s="416"/>
      <c r="C81" s="425" t="s">
        <v>370</v>
      </c>
      <c r="D81" s="424">
        <f>25*0.2</f>
        <v>5</v>
      </c>
      <c r="E81" s="423">
        <v>6</v>
      </c>
      <c r="F81" s="418">
        <f t="shared" si="4"/>
        <v>54</v>
      </c>
      <c r="G81" s="422"/>
      <c r="H81" s="421" t="s">
        <v>168</v>
      </c>
      <c r="I81" s="420"/>
      <c r="J81" s="4243">
        <f t="shared" si="5"/>
        <v>12.793818823529412</v>
      </c>
      <c r="K81" s="4244"/>
      <c r="L81" s="409"/>
      <c r="M81" s="408"/>
      <c r="N81" s="419">
        <v>1.24</v>
      </c>
      <c r="O81" s="3514">
        <f t="shared" si="3"/>
        <v>20.864335341176471</v>
      </c>
      <c r="P81" s="3692"/>
      <c r="Q81" s="388" t="s">
        <v>369</v>
      </c>
      <c r="R81" s="401"/>
      <c r="S81" s="383" t="s">
        <v>368</v>
      </c>
      <c r="T81" s="383" t="s">
        <v>368</v>
      </c>
      <c r="U81" s="383" t="s">
        <v>368</v>
      </c>
      <c r="V81" s="387"/>
      <c r="W81" s="383"/>
      <c r="X81" s="383"/>
      <c r="Y81" s="386"/>
      <c r="Z81" s="383"/>
      <c r="AA81" s="385"/>
      <c r="AI81" s="3692"/>
      <c r="AJ81" s="3692"/>
      <c r="AK81" s="3692"/>
    </row>
    <row r="82" spans="1:37" s="384" customFormat="1" ht="13.15" customHeight="1">
      <c r="A82" s="409"/>
      <c r="B82" s="416"/>
      <c r="C82" s="392" t="s">
        <v>367</v>
      </c>
      <c r="D82" s="415">
        <f>45*0.2</f>
        <v>9</v>
      </c>
      <c r="E82" s="414">
        <v>3</v>
      </c>
      <c r="F82" s="418">
        <f t="shared" si="4"/>
        <v>102</v>
      </c>
      <c r="G82" s="412" t="s">
        <v>168</v>
      </c>
      <c r="H82" s="411"/>
      <c r="I82" s="410"/>
      <c r="J82" s="4243">
        <f t="shared" si="5"/>
        <v>16.350715999999998</v>
      </c>
      <c r="K82" s="4244"/>
      <c r="L82" s="409"/>
      <c r="M82" s="408"/>
      <c r="N82" s="417">
        <v>1.5</v>
      </c>
      <c r="O82" s="3514">
        <f t="shared" si="3"/>
        <v>33.526073999999994</v>
      </c>
      <c r="P82" s="3692"/>
      <c r="Q82" s="388" t="s">
        <v>366</v>
      </c>
      <c r="R82" s="401"/>
      <c r="S82" s="383" t="s">
        <v>365</v>
      </c>
      <c r="T82" s="383" t="s">
        <v>364</v>
      </c>
      <c r="U82" s="383">
        <v>0</v>
      </c>
      <c r="V82" s="387"/>
      <c r="W82" s="383"/>
      <c r="X82" s="383"/>
      <c r="Y82" s="386"/>
      <c r="Z82" s="383"/>
      <c r="AA82" s="385"/>
      <c r="AI82" s="3692"/>
      <c r="AJ82" s="3692"/>
      <c r="AK82" s="3692"/>
    </row>
    <row r="83" spans="1:37" s="384" customFormat="1" ht="13.15" customHeight="1">
      <c r="A83" s="409"/>
      <c r="B83" s="416"/>
      <c r="C83" s="392" t="s">
        <v>363</v>
      </c>
      <c r="D83" s="415">
        <v>2</v>
      </c>
      <c r="E83" s="414"/>
      <c r="F83" s="418">
        <f t="shared" si="4"/>
        <v>0</v>
      </c>
      <c r="G83" s="412"/>
      <c r="H83" s="411"/>
      <c r="I83" s="410"/>
      <c r="J83" s="4243">
        <f t="shared" si="5"/>
        <v>0</v>
      </c>
      <c r="K83" s="4244"/>
      <c r="L83" s="409"/>
      <c r="M83" s="408"/>
      <c r="N83" s="417">
        <v>17</v>
      </c>
      <c r="O83" s="3514">
        <f t="shared" si="3"/>
        <v>2</v>
      </c>
      <c r="P83" s="3692"/>
      <c r="Q83" s="388">
        <v>0</v>
      </c>
      <c r="R83" s="401"/>
      <c r="S83" s="383">
        <v>0</v>
      </c>
      <c r="T83" s="383">
        <v>0</v>
      </c>
      <c r="U83" s="383"/>
      <c r="V83" s="387"/>
      <c r="W83" s="383"/>
      <c r="X83" s="383"/>
      <c r="Y83" s="386"/>
      <c r="Z83" s="383"/>
      <c r="AA83" s="385"/>
      <c r="AI83" s="3692"/>
      <c r="AJ83" s="3692"/>
      <c r="AK83" s="3692"/>
    </row>
    <row r="84" spans="1:37" s="384" customFormat="1" ht="13.15" customHeight="1">
      <c r="A84" s="409"/>
      <c r="B84" s="416"/>
      <c r="C84" s="392" t="s">
        <v>362</v>
      </c>
      <c r="D84" s="415">
        <v>5</v>
      </c>
      <c r="E84" s="414"/>
      <c r="F84" s="418">
        <f t="shared" si="4"/>
        <v>0</v>
      </c>
      <c r="G84" s="412"/>
      <c r="H84" s="411"/>
      <c r="I84" s="410"/>
      <c r="J84" s="4243">
        <f t="shared" si="5"/>
        <v>0</v>
      </c>
      <c r="K84" s="4244"/>
      <c r="L84" s="409"/>
      <c r="M84" s="408"/>
      <c r="N84" s="417">
        <v>17</v>
      </c>
      <c r="O84" s="3514">
        <f t="shared" si="3"/>
        <v>5</v>
      </c>
      <c r="P84" s="3692"/>
      <c r="Q84" s="388">
        <v>0</v>
      </c>
      <c r="R84" s="401"/>
      <c r="S84" s="383">
        <v>0</v>
      </c>
      <c r="T84" s="383">
        <v>0</v>
      </c>
      <c r="U84" s="383"/>
      <c r="V84" s="387"/>
      <c r="W84" s="383"/>
      <c r="X84" s="383"/>
      <c r="Y84" s="386"/>
      <c r="Z84" s="383"/>
      <c r="AA84" s="385"/>
      <c r="AI84" s="3692"/>
      <c r="AJ84" s="3692"/>
      <c r="AK84" s="3692"/>
    </row>
    <row r="85" spans="1:37" s="384" customFormat="1" ht="13.15" customHeight="1">
      <c r="A85" s="409"/>
      <c r="B85" s="416"/>
      <c r="C85" s="392" t="s">
        <v>361</v>
      </c>
      <c r="D85" s="415">
        <f>10.79+17.32</f>
        <v>28.11</v>
      </c>
      <c r="E85" s="414">
        <v>6</v>
      </c>
      <c r="F85" s="413">
        <v>54</v>
      </c>
      <c r="G85" s="412" t="s">
        <v>168</v>
      </c>
      <c r="H85" s="411"/>
      <c r="I85" s="410"/>
      <c r="J85" s="4243">
        <f t="shared" si="5"/>
        <v>10.785673176470588</v>
      </c>
      <c r="K85" s="4244"/>
      <c r="L85" s="409"/>
      <c r="M85" s="408"/>
      <c r="N85" s="417">
        <v>4.0999999999999996</v>
      </c>
      <c r="O85" s="3514">
        <f t="shared" si="3"/>
        <v>72.33126002352941</v>
      </c>
      <c r="P85" s="3692"/>
      <c r="Q85" s="388" t="s">
        <v>360</v>
      </c>
      <c r="R85" s="401"/>
      <c r="S85" s="383" t="s">
        <v>359</v>
      </c>
      <c r="T85" s="383">
        <v>0</v>
      </c>
      <c r="U85" s="383"/>
      <c r="V85" s="387"/>
      <c r="W85" s="383"/>
      <c r="X85" s="383"/>
      <c r="Y85" s="386"/>
      <c r="Z85" s="383"/>
      <c r="AA85" s="385"/>
      <c r="AI85" s="3692"/>
      <c r="AJ85" s="3692"/>
      <c r="AK85" s="3692"/>
    </row>
    <row r="86" spans="1:37" s="384" customFormat="1" ht="13.15" customHeight="1">
      <c r="A86" s="409"/>
      <c r="B86" s="416"/>
      <c r="C86" s="392" t="s">
        <v>358</v>
      </c>
      <c r="D86" s="415">
        <f>13.56+4</f>
        <v>17.560000000000002</v>
      </c>
      <c r="E86" s="414">
        <v>6</v>
      </c>
      <c r="F86" s="413">
        <v>54</v>
      </c>
      <c r="G86" s="412"/>
      <c r="H86" s="411" t="s">
        <v>168</v>
      </c>
      <c r="I86" s="410"/>
      <c r="J86" s="4243">
        <f t="shared" si="5"/>
        <v>12.793818823529412</v>
      </c>
      <c r="K86" s="4244"/>
      <c r="L86" s="409"/>
      <c r="M86" s="408"/>
      <c r="N86" s="417">
        <f>1.86+8.33</f>
        <v>10.19</v>
      </c>
      <c r="O86" s="3514">
        <f t="shared" si="3"/>
        <v>147.92901381176469</v>
      </c>
      <c r="P86" s="3692"/>
      <c r="Q86" s="388" t="s">
        <v>357</v>
      </c>
      <c r="R86" s="401"/>
      <c r="S86" s="383" t="s">
        <v>356</v>
      </c>
      <c r="T86" s="383">
        <v>0</v>
      </c>
      <c r="U86" s="383">
        <v>0</v>
      </c>
      <c r="V86" s="387"/>
      <c r="W86" s="383"/>
      <c r="X86" s="383"/>
      <c r="Y86" s="386"/>
      <c r="Z86" s="383"/>
      <c r="AA86" s="385"/>
      <c r="AI86" s="3692"/>
      <c r="AJ86" s="3692"/>
      <c r="AK86" s="3692"/>
    </row>
    <row r="87" spans="1:37" s="384" customFormat="1" ht="2.4500000000000002" customHeight="1">
      <c r="A87" s="406"/>
      <c r="B87" s="416"/>
      <c r="C87" s="392"/>
      <c r="D87" s="415"/>
      <c r="E87" s="414"/>
      <c r="F87" s="413"/>
      <c r="G87" s="412"/>
      <c r="H87" s="411"/>
      <c r="I87" s="410"/>
      <c r="J87" s="4243"/>
      <c r="K87" s="4244"/>
      <c r="L87" s="409"/>
      <c r="M87" s="408"/>
      <c r="N87" s="417"/>
      <c r="O87" s="3514"/>
      <c r="P87" s="3692"/>
      <c r="Q87" s="388"/>
      <c r="R87" s="401"/>
      <c r="S87" s="383"/>
      <c r="T87" s="383"/>
      <c r="U87" s="383"/>
      <c r="V87" s="387"/>
      <c r="W87" s="383"/>
      <c r="X87" s="383"/>
      <c r="Y87" s="386"/>
      <c r="Z87" s="383"/>
      <c r="AA87" s="385"/>
      <c r="AI87" s="3692"/>
      <c r="AJ87" s="3692"/>
      <c r="AK87" s="3692"/>
    </row>
    <row r="88" spans="1:37" s="384" customFormat="1" ht="13.15" customHeight="1">
      <c r="A88" s="409"/>
      <c r="B88" s="416"/>
      <c r="C88" s="392"/>
      <c r="D88" s="415"/>
      <c r="E88" s="414"/>
      <c r="F88" s="413"/>
      <c r="G88" s="412"/>
      <c r="H88" s="411"/>
      <c r="I88" s="410"/>
      <c r="J88" s="4243"/>
      <c r="K88" s="4244"/>
      <c r="L88" s="409"/>
      <c r="M88" s="408"/>
      <c r="N88" s="417"/>
      <c r="O88" s="3514"/>
      <c r="P88" s="3692"/>
      <c r="Q88" s="388">
        <v>0</v>
      </c>
      <c r="R88" s="401"/>
      <c r="S88" s="383">
        <v>0</v>
      </c>
      <c r="T88" s="383"/>
      <c r="U88" s="383">
        <v>0</v>
      </c>
      <c r="V88" s="387"/>
      <c r="W88" s="383"/>
      <c r="X88" s="383"/>
      <c r="Y88" s="386"/>
      <c r="Z88" s="383"/>
      <c r="AA88" s="385"/>
      <c r="AI88" s="3692"/>
      <c r="AJ88" s="3692"/>
      <c r="AK88" s="3692"/>
    </row>
    <row r="89" spans="1:37" s="384" customFormat="1" ht="12.75" customHeight="1">
      <c r="A89" s="409"/>
      <c r="B89" s="416"/>
      <c r="C89" s="392"/>
      <c r="D89" s="415"/>
      <c r="E89" s="414"/>
      <c r="F89" s="413"/>
      <c r="G89" s="412"/>
      <c r="H89" s="411"/>
      <c r="I89" s="410"/>
      <c r="J89" s="4243"/>
      <c r="K89" s="4244"/>
      <c r="L89" s="409"/>
      <c r="M89" s="408"/>
      <c r="N89" s="417"/>
      <c r="O89" s="3514"/>
      <c r="P89" s="3692"/>
      <c r="Q89" s="388">
        <v>0</v>
      </c>
      <c r="R89" s="401"/>
      <c r="S89" s="383">
        <v>0</v>
      </c>
      <c r="T89" s="383">
        <v>0</v>
      </c>
      <c r="U89" s="383">
        <v>0</v>
      </c>
      <c r="V89" s="387"/>
      <c r="W89" s="383"/>
      <c r="X89" s="383"/>
      <c r="Y89" s="386"/>
      <c r="Z89" s="383"/>
      <c r="AA89" s="385"/>
      <c r="AI89" s="3692"/>
      <c r="AJ89" s="3692"/>
      <c r="AK89" s="3692"/>
    </row>
    <row r="90" spans="1:37" s="384" customFormat="1" ht="12.75" customHeight="1">
      <c r="A90" s="409"/>
      <c r="B90" s="416"/>
      <c r="C90" s="392"/>
      <c r="D90" s="415"/>
      <c r="E90" s="414"/>
      <c r="F90" s="413"/>
      <c r="G90" s="412"/>
      <c r="H90" s="411"/>
      <c r="I90" s="410"/>
      <c r="J90" s="4243"/>
      <c r="K90" s="4244"/>
      <c r="L90" s="409"/>
      <c r="M90" s="408"/>
      <c r="N90" s="407"/>
      <c r="O90" s="3514"/>
      <c r="P90" s="3692"/>
      <c r="Q90" s="388">
        <v>0</v>
      </c>
      <c r="R90" s="401"/>
      <c r="S90" s="383">
        <v>0</v>
      </c>
      <c r="T90" s="383">
        <v>0</v>
      </c>
      <c r="U90" s="383">
        <v>0</v>
      </c>
      <c r="V90" s="387"/>
      <c r="W90" s="383"/>
      <c r="X90" s="383"/>
      <c r="Y90" s="386"/>
      <c r="Z90" s="383"/>
      <c r="AA90" s="385"/>
      <c r="AI90" s="3692"/>
      <c r="AJ90" s="3692"/>
      <c r="AK90" s="3692"/>
    </row>
    <row r="91" spans="1:37" s="384" customFormat="1" ht="12.75" customHeight="1">
      <c r="A91" s="409"/>
      <c r="B91" s="416"/>
      <c r="C91" s="392"/>
      <c r="D91" s="415"/>
      <c r="E91" s="414"/>
      <c r="F91" s="413"/>
      <c r="G91" s="412"/>
      <c r="H91" s="411"/>
      <c r="I91" s="410"/>
      <c r="J91" s="4243"/>
      <c r="K91" s="4244"/>
      <c r="L91" s="409"/>
      <c r="M91" s="408"/>
      <c r="N91" s="407"/>
      <c r="O91" s="3514"/>
      <c r="P91" s="3692"/>
      <c r="Q91" s="388">
        <v>0</v>
      </c>
      <c r="R91" s="401"/>
      <c r="S91" s="383">
        <v>0</v>
      </c>
      <c r="T91" s="383">
        <v>0</v>
      </c>
      <c r="U91" s="383">
        <v>0</v>
      </c>
      <c r="V91" s="387"/>
      <c r="W91" s="383"/>
      <c r="X91" s="383"/>
      <c r="Y91" s="386"/>
      <c r="Z91" s="383"/>
      <c r="AA91" s="385"/>
      <c r="AI91" s="3692"/>
      <c r="AJ91" s="3692"/>
      <c r="AK91" s="3692"/>
    </row>
    <row r="92" spans="1:37" s="384" customFormat="1" ht="6" customHeight="1">
      <c r="A92" s="406"/>
      <c r="B92" s="416"/>
      <c r="C92" s="392"/>
      <c r="D92" s="415"/>
      <c r="E92" s="414"/>
      <c r="F92" s="413"/>
      <c r="G92" s="412"/>
      <c r="H92" s="411"/>
      <c r="I92" s="410"/>
      <c r="J92" s="4243"/>
      <c r="K92" s="4244"/>
      <c r="L92" s="409"/>
      <c r="M92" s="408"/>
      <c r="N92" s="407"/>
      <c r="O92" s="3514"/>
      <c r="P92" s="3692"/>
      <c r="Q92" s="388"/>
      <c r="R92" s="401"/>
      <c r="S92" s="383"/>
      <c r="T92" s="383"/>
      <c r="U92" s="383"/>
      <c r="V92" s="387"/>
      <c r="W92" s="383"/>
      <c r="X92" s="383"/>
      <c r="Y92" s="386"/>
      <c r="Z92" s="383"/>
      <c r="AA92" s="385"/>
      <c r="AI92" s="3692"/>
      <c r="AJ92" s="3692"/>
      <c r="AK92" s="3692"/>
    </row>
    <row r="93" spans="1:37" ht="13.15" customHeight="1">
      <c r="B93" s="371"/>
      <c r="C93" s="371"/>
      <c r="D93" s="371"/>
      <c r="E93" s="371"/>
      <c r="F93" s="371"/>
      <c r="G93" s="371"/>
      <c r="H93" s="371"/>
      <c r="I93" s="371"/>
      <c r="J93" s="371"/>
      <c r="K93" s="371"/>
      <c r="L93" s="371"/>
      <c r="M93" s="371"/>
      <c r="N93" s="371"/>
      <c r="O93" s="371"/>
      <c r="P93" s="371"/>
      <c r="Q93" s="388"/>
      <c r="R93" s="389"/>
      <c r="S93" s="383"/>
      <c r="T93" s="383"/>
      <c r="U93" s="383"/>
      <c r="V93" s="387"/>
      <c r="W93" s="383"/>
      <c r="X93" s="383"/>
      <c r="Y93" s="386"/>
      <c r="Z93" s="383"/>
      <c r="AA93" s="385"/>
      <c r="AB93" s="384"/>
    </row>
    <row r="94" spans="1:37" ht="13.9" customHeight="1">
      <c r="A94" s="390"/>
      <c r="B94" s="3460" t="s">
        <v>355</v>
      </c>
      <c r="D94" s="3516" t="s">
        <v>354</v>
      </c>
      <c r="F94" s="371"/>
      <c r="G94" s="371"/>
      <c r="H94" s="371"/>
      <c r="I94" s="371"/>
      <c r="J94" s="371"/>
      <c r="K94" s="371"/>
      <c r="L94" s="371"/>
      <c r="M94" s="371"/>
      <c r="N94" s="371"/>
      <c r="O94" s="371"/>
      <c r="P94" s="371"/>
      <c r="Q94" s="388"/>
      <c r="R94" s="389"/>
      <c r="S94" s="383"/>
      <c r="T94" s="383"/>
      <c r="U94" s="383"/>
      <c r="V94" s="387"/>
      <c r="W94" s="383"/>
      <c r="X94" s="383"/>
      <c r="Y94" s="386"/>
      <c r="Z94" s="383"/>
      <c r="AA94" s="385"/>
      <c r="AB94" s="384"/>
    </row>
    <row r="95" spans="1:37" ht="13.15" customHeight="1">
      <c r="B95" s="3606" t="s">
        <v>287</v>
      </c>
      <c r="C95" s="399" t="s">
        <v>353</v>
      </c>
      <c r="D95" s="3516" t="s">
        <v>352</v>
      </c>
      <c r="E95" s="397"/>
      <c r="F95" s="371"/>
      <c r="G95" s="371"/>
      <c r="H95" s="371"/>
      <c r="I95" s="371"/>
      <c r="J95" s="371"/>
      <c r="K95" s="371"/>
      <c r="L95" s="371"/>
      <c r="M95" s="371"/>
      <c r="N95" s="371"/>
      <c r="O95" s="371"/>
      <c r="P95" s="371"/>
      <c r="Q95" s="388"/>
      <c r="R95" s="396"/>
      <c r="S95" s="383"/>
      <c r="T95" s="383"/>
      <c r="U95" s="383"/>
      <c r="V95" s="387"/>
      <c r="W95" s="383"/>
      <c r="X95" s="383"/>
      <c r="Y95" s="386"/>
      <c r="Z95" s="383"/>
      <c r="AA95" s="385"/>
      <c r="AB95" s="384"/>
    </row>
    <row r="96" spans="1:37" ht="13.15" customHeight="1">
      <c r="B96" s="1047"/>
      <c r="C96" s="395" t="s">
        <v>2080</v>
      </c>
      <c r="D96" s="3517" t="s">
        <v>351</v>
      </c>
      <c r="E96" s="371"/>
      <c r="F96" s="371"/>
      <c r="G96" s="371"/>
      <c r="H96" s="371"/>
      <c r="I96" s="371"/>
      <c r="J96" s="371"/>
      <c r="K96" s="371"/>
      <c r="L96" s="371"/>
      <c r="M96" s="371"/>
      <c r="N96" s="371"/>
      <c r="O96" s="371"/>
      <c r="P96" s="371"/>
      <c r="Q96" s="388"/>
      <c r="R96" s="389"/>
      <c r="S96" s="383"/>
      <c r="T96" s="383"/>
      <c r="U96" s="383"/>
      <c r="V96" s="387"/>
      <c r="W96" s="383"/>
      <c r="X96" s="383"/>
      <c r="Y96" s="386"/>
      <c r="Z96" s="383"/>
      <c r="AA96" s="385"/>
      <c r="AB96" s="384"/>
    </row>
    <row r="97" spans="2:28" ht="13.15" hidden="1" customHeight="1">
      <c r="B97" s="3607">
        <v>1</v>
      </c>
      <c r="C97" s="394"/>
      <c r="D97" s="469"/>
      <c r="E97" s="371"/>
      <c r="Q97" s="388" t="s">
        <v>350</v>
      </c>
      <c r="S97" s="383"/>
      <c r="T97" s="383"/>
      <c r="U97" s="383" t="s">
        <v>349</v>
      </c>
      <c r="V97" s="387"/>
      <c r="W97" s="383"/>
      <c r="X97" s="383"/>
      <c r="Y97" s="386"/>
      <c r="Z97" s="383"/>
      <c r="AA97" s="385"/>
      <c r="AB97" s="384"/>
    </row>
    <row r="98" spans="2:28" ht="13.15" customHeight="1">
      <c r="B98" s="3602">
        <v>1</v>
      </c>
      <c r="C98" s="392" t="s">
        <v>348</v>
      </c>
      <c r="D98" s="415">
        <v>136</v>
      </c>
      <c r="E98" s="371"/>
      <c r="F98" s="391"/>
      <c r="Q98" s="388" t="s">
        <v>347</v>
      </c>
      <c r="S98" s="383"/>
      <c r="T98" s="383"/>
      <c r="U98" s="383"/>
      <c r="V98" s="387"/>
      <c r="W98" s="383"/>
      <c r="X98" s="383"/>
      <c r="Y98" s="386"/>
      <c r="Z98" s="383"/>
      <c r="AA98" s="385"/>
      <c r="AB98" s="384"/>
    </row>
    <row r="99" spans="2:28" ht="13.15" customHeight="1">
      <c r="B99" s="2104">
        <f t="shared" ref="B99:B119" si="6">B98+1</f>
        <v>2</v>
      </c>
      <c r="C99" s="392" t="s">
        <v>346</v>
      </c>
      <c r="D99" s="415">
        <f>D98+15.9+15.9</f>
        <v>167.8</v>
      </c>
      <c r="E99" s="371"/>
      <c r="F99" s="391"/>
      <c r="Q99" s="388" t="s">
        <v>345</v>
      </c>
      <c r="S99" s="383"/>
      <c r="T99" s="383"/>
      <c r="U99" s="383"/>
      <c r="V99" s="387"/>
      <c r="W99" s="383"/>
      <c r="X99" s="383"/>
      <c r="Y99" s="386"/>
      <c r="Z99" s="383"/>
      <c r="AA99" s="385"/>
      <c r="AB99" s="384"/>
    </row>
    <row r="100" spans="2:28" ht="13.15" customHeight="1">
      <c r="B100" s="2104">
        <f t="shared" si="6"/>
        <v>3</v>
      </c>
      <c r="C100" s="392" t="s">
        <v>344</v>
      </c>
      <c r="D100" s="415">
        <f>D98+15.9+24.9</f>
        <v>176.8</v>
      </c>
      <c r="E100" s="371"/>
      <c r="F100" s="391"/>
      <c r="Q100" s="388" t="s">
        <v>343</v>
      </c>
      <c r="S100" s="383"/>
      <c r="T100" s="383"/>
      <c r="U100" s="383"/>
      <c r="V100" s="387"/>
      <c r="W100" s="383"/>
      <c r="X100" s="383"/>
      <c r="Y100" s="386"/>
      <c r="Z100" s="383"/>
      <c r="AA100" s="385"/>
      <c r="AB100" s="384"/>
    </row>
    <row r="101" spans="2:28" ht="13.15" customHeight="1">
      <c r="B101" s="2104">
        <f t="shared" si="6"/>
        <v>4</v>
      </c>
      <c r="C101" s="392" t="s">
        <v>342</v>
      </c>
      <c r="D101" s="415">
        <v>173.1</v>
      </c>
      <c r="E101" s="371"/>
      <c r="F101" s="391"/>
      <c r="Q101" s="388" t="s">
        <v>341</v>
      </c>
      <c r="S101" s="383"/>
      <c r="T101" s="383"/>
      <c r="U101" s="383"/>
      <c r="V101" s="387"/>
      <c r="W101" s="383"/>
      <c r="X101" s="383"/>
      <c r="Y101" s="386"/>
      <c r="Z101" s="383"/>
      <c r="AA101" s="385"/>
      <c r="AB101" s="384"/>
    </row>
    <row r="102" spans="2:28" ht="13.15" customHeight="1">
      <c r="B102" s="2104">
        <f t="shared" si="6"/>
        <v>5</v>
      </c>
      <c r="C102" s="392" t="s">
        <v>340</v>
      </c>
      <c r="D102" s="415">
        <f>D98+15.9</f>
        <v>151.9</v>
      </c>
      <c r="E102" s="371"/>
      <c r="F102" s="391"/>
      <c r="Q102" s="388" t="s">
        <v>339</v>
      </c>
      <c r="S102" s="383"/>
      <c r="T102" s="383"/>
      <c r="U102" s="383"/>
      <c r="V102" s="387"/>
      <c r="W102" s="383"/>
      <c r="X102" s="383"/>
      <c r="Y102" s="386"/>
      <c r="Z102" s="383"/>
      <c r="AA102" s="385"/>
      <c r="AB102" s="384"/>
    </row>
    <row r="103" spans="2:28" ht="13.15" customHeight="1">
      <c r="B103" s="2104">
        <f t="shared" si="6"/>
        <v>6</v>
      </c>
      <c r="C103" s="392" t="s">
        <v>338</v>
      </c>
      <c r="D103" s="415">
        <v>397.5</v>
      </c>
      <c r="E103" s="371"/>
      <c r="F103" s="391"/>
      <c r="Q103" s="388" t="s">
        <v>337</v>
      </c>
      <c r="S103" s="383"/>
      <c r="T103" s="383"/>
      <c r="U103" s="383"/>
      <c r="V103" s="387"/>
      <c r="W103" s="383"/>
      <c r="X103" s="383"/>
      <c r="Y103" s="386"/>
      <c r="Z103" s="383"/>
      <c r="AA103" s="385"/>
      <c r="AB103" s="384"/>
    </row>
    <row r="104" spans="2:28" ht="13.15" customHeight="1">
      <c r="B104" s="2104">
        <f t="shared" si="6"/>
        <v>7</v>
      </c>
      <c r="C104" s="392" t="s">
        <v>336</v>
      </c>
      <c r="D104" s="3894">
        <v>600</v>
      </c>
      <c r="E104" s="371"/>
      <c r="F104" s="391"/>
      <c r="Q104" s="388" t="s">
        <v>335</v>
      </c>
      <c r="S104" s="383"/>
      <c r="T104" s="383"/>
      <c r="U104" s="383" t="s">
        <v>334</v>
      </c>
      <c r="V104" s="387"/>
      <c r="W104" s="383"/>
      <c r="X104" s="383"/>
      <c r="Y104" s="386"/>
      <c r="Z104" s="383"/>
      <c r="AA104" s="385"/>
      <c r="AB104" s="384"/>
    </row>
    <row r="105" spans="2:28" ht="13.15" customHeight="1">
      <c r="B105" s="2104">
        <f t="shared" si="6"/>
        <v>8</v>
      </c>
      <c r="C105" s="392" t="s">
        <v>333</v>
      </c>
      <c r="D105" s="415">
        <f>18.9+(22.1+16.5)*1.91</f>
        <v>92.626000000000005</v>
      </c>
      <c r="E105" s="371"/>
      <c r="F105" s="391"/>
      <c r="Q105" s="388" t="s">
        <v>332</v>
      </c>
      <c r="S105" s="383"/>
      <c r="T105" s="383"/>
      <c r="U105" s="383"/>
      <c r="V105" s="387"/>
      <c r="W105" s="383"/>
      <c r="X105" s="383"/>
      <c r="Y105" s="386"/>
      <c r="Z105" s="383"/>
      <c r="AA105" s="385"/>
      <c r="AB105" s="384"/>
    </row>
    <row r="106" spans="2:28" ht="13.15" hidden="1" customHeight="1">
      <c r="B106" s="2104">
        <f t="shared" si="6"/>
        <v>9</v>
      </c>
      <c r="C106" s="392" t="s">
        <v>331</v>
      </c>
      <c r="D106" s="415">
        <v>150</v>
      </c>
      <c r="E106" s="371"/>
      <c r="F106" s="391"/>
      <c r="Q106" s="388"/>
      <c r="S106" s="383"/>
      <c r="T106" s="383"/>
      <c r="U106" s="383" t="s">
        <v>328</v>
      </c>
      <c r="V106" s="387"/>
      <c r="W106" s="383"/>
      <c r="X106" s="383"/>
      <c r="Y106" s="386"/>
      <c r="Z106" s="383"/>
      <c r="AA106" s="385"/>
      <c r="AB106" s="384"/>
    </row>
    <row r="107" spans="2:28" ht="13.15" hidden="1" customHeight="1">
      <c r="B107" s="2104">
        <f t="shared" si="6"/>
        <v>10</v>
      </c>
      <c r="C107" s="392" t="s">
        <v>330</v>
      </c>
      <c r="D107" s="415">
        <v>207.5</v>
      </c>
      <c r="E107" s="371"/>
      <c r="F107" s="391"/>
      <c r="Q107" s="388"/>
      <c r="S107" s="383"/>
      <c r="T107" s="383"/>
      <c r="U107" s="383" t="s">
        <v>328</v>
      </c>
      <c r="V107" s="387"/>
      <c r="W107" s="383"/>
      <c r="X107" s="383"/>
      <c r="Y107" s="386"/>
      <c r="Z107" s="383"/>
      <c r="AA107" s="385"/>
      <c r="AB107" s="384"/>
    </row>
    <row r="108" spans="2:28" ht="13.15" hidden="1" customHeight="1">
      <c r="B108" s="2104">
        <f t="shared" si="6"/>
        <v>11</v>
      </c>
      <c r="C108" s="392" t="s">
        <v>329</v>
      </c>
      <c r="D108" s="415">
        <v>267.5</v>
      </c>
      <c r="E108" s="371"/>
      <c r="F108" s="391"/>
      <c r="Q108" s="388"/>
      <c r="S108" s="383"/>
      <c r="T108" s="383"/>
      <c r="U108" s="383" t="s">
        <v>328</v>
      </c>
      <c r="V108" s="387"/>
      <c r="W108" s="383"/>
      <c r="X108" s="383"/>
      <c r="Y108" s="386"/>
      <c r="Z108" s="383"/>
      <c r="AA108" s="385"/>
      <c r="AB108" s="384"/>
    </row>
    <row r="109" spans="2:28" ht="13.15" customHeight="1">
      <c r="B109" s="2104">
        <f t="shared" si="6"/>
        <v>12</v>
      </c>
      <c r="C109" s="392" t="s">
        <v>327</v>
      </c>
      <c r="D109" s="415">
        <v>115</v>
      </c>
      <c r="E109" s="371"/>
      <c r="F109" s="391"/>
      <c r="Q109" s="388" t="s">
        <v>326</v>
      </c>
      <c r="S109" s="383"/>
      <c r="T109" s="383"/>
      <c r="U109" s="383" t="s">
        <v>325</v>
      </c>
      <c r="V109" s="387"/>
      <c r="W109" s="383"/>
      <c r="X109" s="383"/>
      <c r="Y109" s="386"/>
      <c r="Z109" s="383"/>
      <c r="AA109" s="385"/>
      <c r="AB109" s="384"/>
    </row>
    <row r="110" spans="2:28" ht="13.15" customHeight="1">
      <c r="B110" s="2104">
        <f t="shared" si="6"/>
        <v>13</v>
      </c>
      <c r="C110" s="392" t="s">
        <v>324</v>
      </c>
      <c r="D110" s="415">
        <f>(10*3+25.6+16.5)*1.19</f>
        <v>85.798999999999992</v>
      </c>
      <c r="E110" s="371"/>
      <c r="F110" s="391"/>
      <c r="Q110" s="388" t="s">
        <v>323</v>
      </c>
      <c r="S110" s="383"/>
      <c r="T110" s="383"/>
      <c r="U110" s="383"/>
      <c r="V110" s="387"/>
      <c r="W110" s="383"/>
      <c r="X110" s="383"/>
      <c r="Y110" s="386"/>
      <c r="Z110" s="383"/>
      <c r="AA110" s="385"/>
      <c r="AB110" s="384"/>
    </row>
    <row r="111" spans="2:28" ht="13.15" customHeight="1">
      <c r="B111" s="2104">
        <f t="shared" si="6"/>
        <v>14</v>
      </c>
      <c r="C111" s="392" t="s">
        <v>322</v>
      </c>
      <c r="D111" s="415">
        <f>ROUND(10/3.95,1)</f>
        <v>2.5</v>
      </c>
      <c r="E111" s="371"/>
      <c r="F111" s="391"/>
      <c r="Q111" s="388" t="s">
        <v>321</v>
      </c>
      <c r="S111" s="383"/>
      <c r="T111" s="383"/>
      <c r="U111" s="383"/>
      <c r="V111" s="387"/>
      <c r="W111" s="383"/>
      <c r="X111" s="383"/>
      <c r="Y111" s="386"/>
      <c r="Z111" s="383"/>
      <c r="AA111" s="385"/>
      <c r="AB111" s="384"/>
    </row>
    <row r="112" spans="2:28" ht="13.15" customHeight="1">
      <c r="B112" s="2104">
        <f t="shared" si="6"/>
        <v>15</v>
      </c>
      <c r="C112" s="392" t="s">
        <v>320</v>
      </c>
      <c r="D112" s="415">
        <f>4.8*1.1</f>
        <v>5.28</v>
      </c>
      <c r="E112" s="371"/>
      <c r="F112" s="391"/>
      <c r="Q112" s="388" t="s">
        <v>319</v>
      </c>
      <c r="S112" s="383"/>
      <c r="T112" s="383"/>
      <c r="U112" s="383"/>
      <c r="V112" s="387"/>
      <c r="W112" s="383"/>
      <c r="X112" s="383"/>
      <c r="Y112" s="386"/>
      <c r="Z112" s="383"/>
      <c r="AA112" s="385"/>
      <c r="AB112" s="384"/>
    </row>
    <row r="113" spans="2:28" ht="13.15" customHeight="1">
      <c r="B113" s="2104">
        <f t="shared" si="6"/>
        <v>16</v>
      </c>
      <c r="C113" s="392" t="s">
        <v>318</v>
      </c>
      <c r="D113" s="415">
        <f>ROUND(86+(0.95*275*0.3)+66*0.94,0)</f>
        <v>226</v>
      </c>
      <c r="E113" s="371"/>
      <c r="F113" s="391"/>
      <c r="Q113" s="388" t="s">
        <v>317</v>
      </c>
      <c r="R113" s="370" t="s">
        <v>316</v>
      </c>
      <c r="S113" s="383"/>
      <c r="T113" s="383"/>
      <c r="U113" s="383"/>
      <c r="V113" s="387"/>
      <c r="W113" s="383"/>
      <c r="X113" s="383"/>
      <c r="Y113" s="386"/>
      <c r="Z113" s="383"/>
      <c r="AA113" s="385"/>
      <c r="AB113" s="384"/>
    </row>
    <row r="114" spans="2:28" ht="13.15" customHeight="1">
      <c r="B114" s="2104">
        <f t="shared" si="6"/>
        <v>17</v>
      </c>
      <c r="C114" s="392" t="s">
        <v>315</v>
      </c>
      <c r="D114" s="415">
        <f>30.5+(18.3+16.5)*0.8</f>
        <v>58.34</v>
      </c>
      <c r="E114" s="371"/>
      <c r="F114" s="391"/>
      <c r="Q114" s="388" t="s">
        <v>314</v>
      </c>
      <c r="R114" s="370" t="s">
        <v>313</v>
      </c>
      <c r="S114" s="383"/>
      <c r="T114" s="383"/>
      <c r="U114" s="383" t="s">
        <v>301</v>
      </c>
      <c r="V114" s="387"/>
      <c r="W114" s="383"/>
      <c r="X114" s="383"/>
      <c r="Y114" s="386"/>
      <c r="Z114" s="383"/>
      <c r="AA114" s="385"/>
      <c r="AB114" s="384"/>
    </row>
    <row r="115" spans="2:28" ht="13.15" customHeight="1">
      <c r="B115" s="2104">
        <f t="shared" si="6"/>
        <v>18</v>
      </c>
      <c r="C115" s="392" t="s">
        <v>312</v>
      </c>
      <c r="D115" s="415">
        <f>ROUND(90.3+(275*0.29)*0.95,0)</f>
        <v>166</v>
      </c>
      <c r="E115" s="371"/>
      <c r="F115" s="391"/>
      <c r="Q115" s="388" t="s">
        <v>311</v>
      </c>
      <c r="R115" s="370" t="s">
        <v>310</v>
      </c>
      <c r="S115" s="383"/>
      <c r="T115" s="383"/>
      <c r="U115" s="383" t="s">
        <v>301</v>
      </c>
      <c r="V115" s="387"/>
      <c r="W115" s="383"/>
      <c r="X115" s="383"/>
      <c r="Y115" s="386"/>
      <c r="Z115" s="383"/>
      <c r="AA115" s="385"/>
      <c r="AB115" s="384"/>
    </row>
    <row r="116" spans="2:28" ht="13.15" customHeight="1">
      <c r="B116" s="2104">
        <f t="shared" si="6"/>
        <v>19</v>
      </c>
      <c r="C116" s="392" t="s">
        <v>309</v>
      </c>
      <c r="D116" s="415">
        <f>ROUND(60.5+(275*0.3)*0.95,0)</f>
        <v>139</v>
      </c>
      <c r="E116" s="371"/>
      <c r="F116" s="391"/>
      <c r="Q116" s="388" t="s">
        <v>308</v>
      </c>
      <c r="R116" s="370" t="s">
        <v>307</v>
      </c>
      <c r="S116" s="383"/>
      <c r="T116" s="383"/>
      <c r="U116" s="383" t="s">
        <v>301</v>
      </c>
      <c r="V116" s="387"/>
      <c r="W116" s="383"/>
      <c r="X116" s="383"/>
      <c r="Y116" s="386"/>
      <c r="Z116" s="383"/>
      <c r="AA116" s="385"/>
      <c r="AB116" s="384"/>
    </row>
    <row r="117" spans="2:28" ht="13.15" customHeight="1">
      <c r="B117" s="2104">
        <f t="shared" si="6"/>
        <v>20</v>
      </c>
      <c r="C117" s="392" t="s">
        <v>306</v>
      </c>
      <c r="D117" s="415">
        <f>ROUND(60.5+(0.95*275*0.3)+66*0.94,0)</f>
        <v>201</v>
      </c>
      <c r="E117" s="371"/>
      <c r="F117" s="391"/>
      <c r="Q117" s="388" t="s">
        <v>305</v>
      </c>
      <c r="R117" s="370" t="s">
        <v>304</v>
      </c>
      <c r="S117" s="383"/>
      <c r="T117" s="383"/>
      <c r="U117" s="383" t="s">
        <v>301</v>
      </c>
      <c r="V117" s="387"/>
      <c r="W117" s="383"/>
      <c r="X117" s="383"/>
      <c r="Y117" s="386"/>
      <c r="Z117" s="383"/>
      <c r="AA117" s="385"/>
      <c r="AB117" s="384"/>
    </row>
    <row r="118" spans="2:28" ht="13.15" customHeight="1">
      <c r="B118" s="2104">
        <f t="shared" si="6"/>
        <v>21</v>
      </c>
      <c r="C118" s="392" t="s">
        <v>303</v>
      </c>
      <c r="D118" s="415">
        <v>15</v>
      </c>
      <c r="E118" s="371"/>
      <c r="F118" s="391"/>
      <c r="Q118" s="388" t="s">
        <v>302</v>
      </c>
      <c r="S118" s="383"/>
      <c r="T118" s="383"/>
      <c r="U118" s="383" t="s">
        <v>301</v>
      </c>
      <c r="V118" s="387"/>
      <c r="W118" s="383"/>
      <c r="X118" s="383"/>
      <c r="Y118" s="386"/>
      <c r="Z118" s="383"/>
      <c r="AA118" s="385"/>
      <c r="AB118" s="384"/>
    </row>
    <row r="119" spans="2:28" ht="13.15" customHeight="1">
      <c r="B119" s="2104">
        <f t="shared" si="6"/>
        <v>22</v>
      </c>
      <c r="C119" s="392" t="s">
        <v>300</v>
      </c>
      <c r="D119" s="415">
        <f>((43.85+18)*0.59)/15+(2.6*0.59)+0.8</f>
        <v>4.7667666666666664</v>
      </c>
      <c r="E119" s="371"/>
      <c r="F119" s="391"/>
      <c r="Q119" s="388" t="s">
        <v>299</v>
      </c>
      <c r="R119" s="370" t="s">
        <v>298</v>
      </c>
      <c r="S119" s="383"/>
      <c r="T119" s="383"/>
      <c r="U119" s="383"/>
      <c r="V119" s="387"/>
      <c r="W119" s="383"/>
      <c r="X119" s="383"/>
      <c r="Y119" s="386"/>
      <c r="Z119" s="383"/>
      <c r="AA119" s="385"/>
      <c r="AB119" s="384"/>
    </row>
    <row r="120" spans="2:28" ht="13.15" customHeight="1">
      <c r="B120" s="371"/>
      <c r="C120" s="371"/>
      <c r="D120" s="371"/>
      <c r="E120" s="371"/>
      <c r="F120" s="371"/>
      <c r="G120" s="371"/>
      <c r="H120" s="371"/>
      <c r="I120" s="371"/>
      <c r="J120" s="371"/>
      <c r="K120" s="371"/>
      <c r="L120" s="371"/>
      <c r="M120" s="371"/>
      <c r="N120" s="371"/>
      <c r="O120" s="371"/>
      <c r="P120" s="371"/>
      <c r="Q120" s="388"/>
      <c r="S120" s="383"/>
      <c r="T120" s="383"/>
      <c r="U120" s="383"/>
      <c r="V120" s="387"/>
      <c r="W120" s="383"/>
      <c r="X120" s="383"/>
      <c r="Y120" s="386"/>
      <c r="Z120" s="383"/>
      <c r="AA120" s="385"/>
      <c r="AB120" s="384"/>
    </row>
    <row r="121" spans="2:28" ht="13.15" customHeight="1">
      <c r="B121" s="390"/>
      <c r="C121" s="371"/>
      <c r="D121" s="371"/>
      <c r="E121" s="371"/>
      <c r="F121" s="371"/>
      <c r="G121" s="371"/>
      <c r="H121" s="371"/>
      <c r="I121" s="371"/>
      <c r="J121" s="371"/>
      <c r="K121" s="371"/>
      <c r="L121" s="371"/>
      <c r="M121" s="371"/>
      <c r="N121" s="371"/>
      <c r="O121" s="371"/>
      <c r="P121" s="371"/>
      <c r="Q121" s="388"/>
      <c r="S121" s="383"/>
      <c r="T121" s="383"/>
      <c r="U121" s="383"/>
      <c r="V121" s="387"/>
      <c r="W121" s="383"/>
      <c r="X121" s="383"/>
      <c r="Y121" s="386"/>
      <c r="Z121" s="383"/>
      <c r="AA121" s="385"/>
      <c r="AB121" s="384"/>
    </row>
    <row r="122" spans="2:28" ht="13.15" customHeight="1">
      <c r="B122" s="371"/>
      <c r="C122" s="371"/>
      <c r="D122" s="371"/>
      <c r="E122" s="371"/>
      <c r="F122" s="371"/>
      <c r="G122" s="371"/>
      <c r="H122" s="371"/>
      <c r="I122" s="371"/>
      <c r="J122" s="371"/>
      <c r="K122" s="371"/>
      <c r="L122" s="371"/>
      <c r="M122" s="371"/>
      <c r="N122" s="371"/>
      <c r="O122" s="371"/>
      <c r="P122" s="371"/>
      <c r="Q122" s="388"/>
      <c r="S122" s="383"/>
      <c r="T122" s="383"/>
      <c r="U122" s="383"/>
      <c r="V122" s="387"/>
      <c r="W122" s="383"/>
      <c r="X122" s="383"/>
      <c r="Y122" s="386"/>
      <c r="Z122" s="383"/>
      <c r="AA122" s="385"/>
      <c r="AB122" s="384"/>
    </row>
    <row r="123" spans="2:28" ht="13.9" customHeight="1">
      <c r="B123" s="3443"/>
      <c r="C123" s="371"/>
      <c r="D123" s="371"/>
      <c r="E123" s="371"/>
      <c r="F123" s="371"/>
      <c r="G123" s="371"/>
      <c r="H123" s="371"/>
      <c r="I123" s="371"/>
      <c r="J123" s="371"/>
      <c r="K123" s="371"/>
      <c r="L123" s="371"/>
      <c r="M123" s="371"/>
      <c r="N123" s="371"/>
      <c r="O123" s="371"/>
      <c r="P123" s="371"/>
      <c r="Q123" s="388"/>
      <c r="R123" s="389"/>
      <c r="S123" s="383"/>
      <c r="T123" s="383"/>
      <c r="U123" s="383"/>
      <c r="V123" s="387"/>
      <c r="W123" s="383"/>
      <c r="X123" s="383"/>
      <c r="Y123" s="386"/>
      <c r="Z123" s="383"/>
      <c r="AA123" s="385"/>
      <c r="AB123" s="384"/>
    </row>
    <row r="124" spans="2:28" ht="16.5" customHeight="1">
      <c r="B124" s="371"/>
      <c r="C124" s="371"/>
      <c r="D124" s="371"/>
      <c r="E124" s="371"/>
      <c r="F124" s="371"/>
      <c r="G124" s="371"/>
      <c r="H124" s="371"/>
      <c r="I124" s="371"/>
      <c r="J124" s="371"/>
      <c r="K124" s="371"/>
      <c r="L124" s="371"/>
      <c r="M124" s="371"/>
      <c r="N124" s="371"/>
      <c r="O124" s="371"/>
      <c r="P124" s="371"/>
      <c r="Q124" s="388"/>
      <c r="R124" s="389"/>
      <c r="S124" s="383"/>
      <c r="T124" s="383"/>
      <c r="U124" s="383"/>
      <c r="V124" s="387"/>
      <c r="W124" s="383"/>
      <c r="X124" s="383"/>
      <c r="Y124" s="386"/>
      <c r="Z124" s="383"/>
      <c r="AA124" s="385"/>
      <c r="AB124" s="384"/>
    </row>
    <row r="125" spans="2:28" ht="16.5" customHeight="1">
      <c r="B125" s="371"/>
      <c r="C125" s="371"/>
      <c r="D125" s="371"/>
      <c r="E125" s="371"/>
      <c r="F125" s="371"/>
      <c r="G125" s="371"/>
      <c r="H125" s="371"/>
      <c r="I125" s="371"/>
      <c r="J125" s="371"/>
      <c r="K125" s="371"/>
      <c r="L125" s="371"/>
      <c r="M125" s="371"/>
      <c r="N125" s="371"/>
      <c r="O125" s="371"/>
      <c r="P125" s="371"/>
      <c r="Q125" s="388"/>
      <c r="R125" s="389"/>
      <c r="S125" s="383"/>
      <c r="T125" s="383"/>
      <c r="U125" s="383"/>
      <c r="V125" s="387"/>
      <c r="W125" s="383"/>
      <c r="X125" s="383"/>
      <c r="Y125" s="386"/>
      <c r="Z125" s="383"/>
      <c r="AA125" s="385"/>
      <c r="AB125" s="384"/>
    </row>
    <row r="126" spans="2:28" ht="16.5" customHeight="1">
      <c r="B126" s="371"/>
      <c r="C126" s="371"/>
      <c r="D126" s="371"/>
      <c r="E126" s="371"/>
      <c r="F126" s="371"/>
      <c r="G126" s="371"/>
      <c r="H126" s="371"/>
      <c r="I126" s="371"/>
      <c r="J126" s="371"/>
      <c r="K126" s="371"/>
      <c r="L126" s="371"/>
      <c r="M126" s="371"/>
      <c r="N126" s="371"/>
      <c r="O126" s="371"/>
      <c r="P126" s="371"/>
      <c r="Q126" s="388"/>
      <c r="R126" s="389"/>
      <c r="S126" s="383"/>
      <c r="T126" s="383"/>
      <c r="U126" s="383"/>
      <c r="V126" s="387"/>
      <c r="W126" s="383"/>
      <c r="X126" s="383"/>
      <c r="Y126" s="386"/>
      <c r="Z126" s="383"/>
      <c r="AA126" s="385"/>
      <c r="AB126" s="384"/>
    </row>
    <row r="127" spans="2:28" ht="16.5" customHeight="1">
      <c r="B127" s="371"/>
      <c r="C127" s="371"/>
      <c r="D127" s="371"/>
      <c r="E127" s="371"/>
      <c r="F127" s="371"/>
      <c r="G127" s="371"/>
      <c r="H127" s="371"/>
      <c r="I127" s="371"/>
      <c r="J127" s="371"/>
      <c r="K127" s="371"/>
      <c r="L127" s="371"/>
      <c r="M127" s="371"/>
      <c r="N127" s="371"/>
      <c r="O127" s="371"/>
      <c r="P127" s="371"/>
      <c r="Q127" s="388"/>
      <c r="R127" s="389"/>
      <c r="S127" s="383"/>
      <c r="T127" s="383"/>
      <c r="U127" s="383"/>
      <c r="V127" s="387"/>
      <c r="W127" s="383"/>
      <c r="X127" s="383"/>
      <c r="Y127" s="386"/>
      <c r="Z127" s="383"/>
      <c r="AA127" s="385"/>
      <c r="AB127" s="384"/>
    </row>
    <row r="128" spans="2:28" ht="16.5" customHeight="1">
      <c r="B128" s="371"/>
      <c r="C128" s="371"/>
      <c r="D128" s="371"/>
      <c r="E128" s="371"/>
      <c r="F128" s="371"/>
      <c r="G128" s="371"/>
      <c r="H128" s="371"/>
      <c r="I128" s="371"/>
      <c r="J128" s="371"/>
      <c r="K128" s="371"/>
      <c r="L128" s="371"/>
      <c r="M128" s="371"/>
      <c r="N128" s="371"/>
      <c r="O128" s="371"/>
      <c r="P128" s="371"/>
      <c r="Q128" s="388"/>
      <c r="R128" s="389"/>
      <c r="S128" s="383"/>
      <c r="T128" s="383"/>
      <c r="U128" s="383"/>
      <c r="V128" s="387"/>
      <c r="W128" s="383"/>
      <c r="X128" s="383"/>
      <c r="Y128" s="386"/>
      <c r="Z128" s="383"/>
      <c r="AA128" s="385"/>
      <c r="AB128" s="384"/>
    </row>
    <row r="129" spans="2:28" ht="16.5" customHeight="1">
      <c r="B129" s="371"/>
      <c r="C129" s="371"/>
      <c r="D129" s="371"/>
      <c r="E129" s="371"/>
      <c r="F129" s="371"/>
      <c r="G129" s="371"/>
      <c r="H129" s="371"/>
      <c r="I129" s="371"/>
      <c r="J129" s="371"/>
      <c r="K129" s="371"/>
      <c r="L129" s="371"/>
      <c r="M129" s="371"/>
      <c r="N129" s="371"/>
      <c r="O129" s="371"/>
      <c r="P129" s="371"/>
      <c r="Q129" s="388"/>
      <c r="R129" s="389"/>
      <c r="S129" s="383"/>
      <c r="T129" s="383"/>
      <c r="U129" s="383"/>
      <c r="V129" s="387"/>
      <c r="W129" s="383"/>
      <c r="X129" s="383"/>
      <c r="Y129" s="386"/>
      <c r="Z129" s="383"/>
      <c r="AA129" s="385"/>
      <c r="AB129" s="384"/>
    </row>
    <row r="130" spans="2:28" s="33" customFormat="1" ht="16.5" customHeight="1">
      <c r="Q130" s="388"/>
      <c r="S130" s="383"/>
      <c r="T130" s="383"/>
      <c r="U130" s="383"/>
      <c r="V130" s="387"/>
      <c r="W130" s="383"/>
      <c r="X130" s="383"/>
      <c r="Y130" s="386"/>
      <c r="Z130" s="383"/>
      <c r="AA130" s="385"/>
      <c r="AB130" s="384"/>
    </row>
    <row r="131" spans="2:28" s="33" customFormat="1" ht="16.5" customHeight="1">
      <c r="Q131" s="388"/>
      <c r="S131" s="383"/>
      <c r="T131" s="383"/>
      <c r="U131" s="383"/>
      <c r="V131" s="387"/>
      <c r="W131" s="383"/>
      <c r="X131" s="383"/>
      <c r="Y131" s="386"/>
      <c r="Z131" s="383"/>
      <c r="AA131" s="385"/>
      <c r="AB131" s="384"/>
    </row>
    <row r="132" spans="2:28" s="33" customFormat="1" ht="16.5" customHeight="1">
      <c r="Q132" s="388"/>
      <c r="S132" s="383"/>
      <c r="T132" s="383"/>
      <c r="U132" s="383"/>
      <c r="V132" s="387"/>
      <c r="W132" s="383"/>
      <c r="X132" s="383"/>
      <c r="Y132" s="386"/>
      <c r="Z132" s="383"/>
      <c r="AA132" s="385"/>
      <c r="AB132" s="384"/>
    </row>
    <row r="133" spans="2:28" s="33" customFormat="1" ht="16.5" customHeight="1">
      <c r="Q133" s="388"/>
      <c r="S133" s="383"/>
      <c r="T133" s="383"/>
      <c r="U133" s="383"/>
      <c r="V133" s="387"/>
      <c r="W133" s="383"/>
      <c r="X133" s="383"/>
      <c r="Y133" s="386"/>
      <c r="Z133" s="383"/>
      <c r="AA133" s="385"/>
      <c r="AB133" s="384"/>
    </row>
    <row r="134" spans="2:28" s="33" customFormat="1" ht="16.5" customHeight="1">
      <c r="Q134" s="388"/>
      <c r="S134" s="383"/>
      <c r="T134" s="383"/>
      <c r="U134" s="383"/>
      <c r="V134" s="387"/>
      <c r="W134" s="383"/>
      <c r="X134" s="383"/>
      <c r="Y134" s="386"/>
      <c r="Z134" s="383"/>
      <c r="AA134" s="385"/>
      <c r="AB134" s="384"/>
    </row>
    <row r="135" spans="2:28" s="33" customFormat="1" ht="16.5" customHeight="1">
      <c r="Q135" s="388"/>
      <c r="S135" s="383"/>
      <c r="T135" s="383"/>
      <c r="U135" s="383"/>
      <c r="V135" s="387"/>
      <c r="W135" s="383"/>
      <c r="X135" s="383"/>
      <c r="Y135" s="386"/>
      <c r="Z135" s="383"/>
      <c r="AA135" s="385"/>
      <c r="AB135" s="384"/>
    </row>
    <row r="136" spans="2:28" s="33" customFormat="1" ht="16.5" customHeight="1">
      <c r="Q136" s="388"/>
      <c r="S136" s="383"/>
      <c r="T136" s="383"/>
      <c r="U136" s="383"/>
      <c r="V136" s="387"/>
      <c r="W136" s="383"/>
      <c r="X136" s="383"/>
      <c r="Y136" s="386"/>
      <c r="Z136" s="383"/>
      <c r="AA136" s="385"/>
      <c r="AB136" s="384"/>
    </row>
    <row r="137" spans="2:28" s="33" customFormat="1" ht="16.5" customHeight="1">
      <c r="Q137" s="388"/>
      <c r="S137" s="383"/>
      <c r="T137" s="383"/>
      <c r="U137" s="383"/>
      <c r="V137" s="387"/>
      <c r="W137" s="383"/>
      <c r="X137" s="383"/>
      <c r="Y137" s="386"/>
      <c r="Z137" s="383"/>
      <c r="AA137" s="385"/>
      <c r="AB137" s="384"/>
    </row>
    <row r="138" spans="2:28" s="33" customFormat="1" ht="16.5" customHeight="1">
      <c r="Q138" s="388"/>
      <c r="S138" s="383"/>
      <c r="T138" s="383"/>
      <c r="U138" s="383"/>
      <c r="V138" s="387"/>
      <c r="W138" s="383"/>
      <c r="X138" s="383"/>
      <c r="Y138" s="386"/>
      <c r="Z138" s="383"/>
      <c r="AA138" s="385"/>
      <c r="AB138" s="384"/>
    </row>
    <row r="139" spans="2:28" s="33" customFormat="1" ht="16.5" customHeight="1">
      <c r="Q139" s="388"/>
      <c r="S139" s="383"/>
      <c r="T139" s="383"/>
      <c r="U139" s="383"/>
      <c r="V139" s="387"/>
      <c r="W139" s="383"/>
      <c r="X139" s="383"/>
      <c r="Y139" s="386"/>
      <c r="Z139" s="383"/>
      <c r="AA139" s="385"/>
      <c r="AB139" s="384"/>
    </row>
    <row r="140" spans="2:28" s="33" customFormat="1" ht="16.5" customHeight="1">
      <c r="Q140" s="371"/>
      <c r="S140" s="371"/>
      <c r="T140" s="371"/>
      <c r="U140" s="371"/>
      <c r="V140" s="371"/>
      <c r="W140" s="371"/>
      <c r="X140" s="371"/>
      <c r="Y140" s="371"/>
      <c r="Z140" s="371"/>
      <c r="AA140" s="371"/>
    </row>
    <row r="141" spans="2:28" s="33" customFormat="1" ht="16.5" customHeight="1">
      <c r="Q141" s="371"/>
      <c r="S141" s="371"/>
      <c r="T141" s="371"/>
      <c r="U141" s="371"/>
      <c r="V141" s="371"/>
      <c r="W141" s="371"/>
      <c r="X141" s="371"/>
      <c r="Y141" s="371"/>
      <c r="Z141" s="371"/>
      <c r="AA141" s="371"/>
    </row>
    <row r="142" spans="2:28" s="33" customFormat="1" ht="16.5" customHeight="1">
      <c r="Q142" s="371"/>
      <c r="S142" s="371"/>
      <c r="T142" s="371"/>
      <c r="U142" s="371"/>
      <c r="V142" s="371"/>
      <c r="W142" s="371"/>
      <c r="X142" s="371"/>
      <c r="Y142" s="371"/>
      <c r="Z142" s="371"/>
      <c r="AA142" s="371"/>
    </row>
    <row r="143" spans="2:28" s="33" customFormat="1" ht="16.5" customHeight="1">
      <c r="Q143" s="371"/>
      <c r="S143" s="371"/>
      <c r="T143" s="371"/>
      <c r="U143" s="371"/>
      <c r="V143" s="371"/>
      <c r="W143" s="371"/>
      <c r="X143" s="371"/>
      <c r="Y143" s="371"/>
      <c r="Z143" s="371"/>
      <c r="AA143" s="371"/>
    </row>
    <row r="144" spans="2:28" s="33" customFormat="1" ht="16.5" customHeight="1">
      <c r="Q144" s="371"/>
      <c r="S144" s="371"/>
      <c r="T144" s="371"/>
      <c r="U144" s="371"/>
      <c r="V144" s="371"/>
      <c r="W144" s="371"/>
      <c r="X144" s="371"/>
      <c r="Y144" s="371"/>
      <c r="Z144" s="371"/>
      <c r="AA144" s="371"/>
    </row>
    <row r="145" spans="17:27" s="33" customFormat="1" ht="16.5" customHeight="1">
      <c r="Q145" s="371"/>
      <c r="S145" s="371"/>
      <c r="T145" s="371"/>
      <c r="U145" s="371"/>
      <c r="V145" s="371"/>
      <c r="W145" s="371"/>
      <c r="X145" s="371"/>
      <c r="Y145" s="371"/>
      <c r="Z145" s="371"/>
      <c r="AA145" s="371"/>
    </row>
    <row r="146" spans="17:27" s="33" customFormat="1" ht="16.5" customHeight="1">
      <c r="Q146" s="371"/>
      <c r="S146" s="371"/>
      <c r="T146" s="371"/>
      <c r="U146" s="371"/>
      <c r="V146" s="371"/>
      <c r="W146" s="371"/>
      <c r="X146" s="371"/>
      <c r="Y146" s="371"/>
      <c r="Z146" s="371"/>
      <c r="AA146" s="371"/>
    </row>
    <row r="147" spans="17:27" s="33" customFormat="1" ht="16.5" customHeight="1">
      <c r="Q147" s="371"/>
      <c r="S147" s="371"/>
      <c r="T147" s="371"/>
      <c r="U147" s="371"/>
      <c r="V147" s="371"/>
      <c r="W147" s="371"/>
      <c r="X147" s="371"/>
      <c r="Y147" s="371"/>
      <c r="Z147" s="371"/>
      <c r="AA147" s="371"/>
    </row>
    <row r="148" spans="17:27" s="33" customFormat="1" ht="16.5" customHeight="1">
      <c r="Q148" s="371"/>
      <c r="S148" s="371"/>
      <c r="T148" s="371"/>
      <c r="U148" s="371"/>
      <c r="V148" s="371"/>
      <c r="W148" s="371"/>
      <c r="X148" s="371"/>
      <c r="Y148" s="371"/>
      <c r="Z148" s="371"/>
      <c r="AA148" s="371"/>
    </row>
    <row r="149" spans="17:27" s="33" customFormat="1" ht="16.5" customHeight="1">
      <c r="Q149" s="371"/>
      <c r="S149" s="371"/>
      <c r="T149" s="371"/>
      <c r="U149" s="371"/>
      <c r="V149" s="371"/>
      <c r="W149" s="371"/>
      <c r="X149" s="371"/>
      <c r="Y149" s="371"/>
      <c r="Z149" s="371"/>
      <c r="AA149" s="371"/>
    </row>
    <row r="150" spans="17:27" s="33" customFormat="1" ht="16.5" customHeight="1">
      <c r="Q150" s="371"/>
      <c r="S150" s="371"/>
      <c r="T150" s="371"/>
      <c r="U150" s="371"/>
      <c r="V150" s="371"/>
      <c r="W150" s="371"/>
      <c r="X150" s="371"/>
      <c r="Y150" s="371"/>
      <c r="Z150" s="371"/>
      <c r="AA150" s="371"/>
    </row>
    <row r="151" spans="17:27" s="33" customFormat="1" ht="12.75">
      <c r="Q151" s="371"/>
      <c r="S151" s="371"/>
      <c r="T151" s="371"/>
      <c r="U151" s="371"/>
      <c r="V151" s="371"/>
      <c r="W151" s="371"/>
      <c r="X151" s="371"/>
      <c r="Y151" s="371"/>
      <c r="Z151" s="371"/>
      <c r="AA151" s="371"/>
    </row>
    <row r="152" spans="17:27" s="33" customFormat="1" ht="12.75">
      <c r="Q152" s="371"/>
      <c r="S152" s="371"/>
      <c r="T152" s="371"/>
      <c r="U152" s="371"/>
      <c r="V152" s="371"/>
      <c r="W152" s="371"/>
      <c r="X152" s="371"/>
      <c r="Y152" s="371"/>
      <c r="Z152" s="371"/>
      <c r="AA152" s="371"/>
    </row>
    <row r="153" spans="17:27" s="33" customFormat="1" ht="12.75">
      <c r="Q153" s="371"/>
      <c r="S153" s="371"/>
      <c r="T153" s="371"/>
      <c r="U153" s="371"/>
      <c r="V153" s="371"/>
      <c r="W153" s="371"/>
      <c r="X153" s="371"/>
      <c r="Y153" s="371"/>
      <c r="Z153" s="371"/>
      <c r="AA153" s="371"/>
    </row>
    <row r="154" spans="17:27" s="33" customFormat="1" ht="12.75">
      <c r="Q154" s="371"/>
      <c r="S154" s="371"/>
      <c r="T154" s="371"/>
      <c r="U154" s="371"/>
      <c r="V154" s="371"/>
      <c r="W154" s="371"/>
      <c r="X154" s="371"/>
      <c r="Y154" s="371"/>
      <c r="Z154" s="371"/>
      <c r="AA154" s="371"/>
    </row>
    <row r="155" spans="17:27" s="33" customFormat="1" ht="12.75">
      <c r="Q155" s="371"/>
      <c r="S155" s="371"/>
      <c r="T155" s="371"/>
      <c r="U155" s="371"/>
      <c r="V155" s="371"/>
      <c r="W155" s="371"/>
      <c r="X155" s="371"/>
      <c r="Y155" s="371"/>
      <c r="Z155" s="371"/>
      <c r="AA155" s="371"/>
    </row>
    <row r="156" spans="17:27" s="33" customFormat="1" ht="12.75">
      <c r="Q156" s="371"/>
      <c r="S156" s="371"/>
      <c r="T156" s="371"/>
      <c r="U156" s="371"/>
      <c r="V156" s="371"/>
      <c r="W156" s="371"/>
      <c r="X156" s="371"/>
      <c r="Y156" s="371"/>
      <c r="Z156" s="371"/>
      <c r="AA156" s="371"/>
    </row>
  </sheetData>
  <mergeCells count="120">
    <mergeCell ref="J30:K30"/>
    <mergeCell ref="J32:K32"/>
    <mergeCell ref="J33:K33"/>
    <mergeCell ref="J34:K34"/>
    <mergeCell ref="J35:K35"/>
    <mergeCell ref="J73:K73"/>
    <mergeCell ref="J74:K74"/>
    <mergeCell ref="J75:K75"/>
    <mergeCell ref="J38:K38"/>
    <mergeCell ref="J68:K68"/>
    <mergeCell ref="J69:K69"/>
    <mergeCell ref="J70:K70"/>
    <mergeCell ref="J71:K71"/>
    <mergeCell ref="J72:K72"/>
    <mergeCell ref="J41:K41"/>
    <mergeCell ref="J47:K47"/>
    <mergeCell ref="J61:K61"/>
    <mergeCell ref="J60:K60"/>
    <mergeCell ref="J36:K36"/>
    <mergeCell ref="J57:K57"/>
    <mergeCell ref="J45:K45"/>
    <mergeCell ref="J46:K46"/>
    <mergeCell ref="J48:K48"/>
    <mergeCell ref="J49:K49"/>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J92:K92"/>
    <mergeCell ref="J88:K88"/>
    <mergeCell ref="J89:K89"/>
    <mergeCell ref="J90:K90"/>
    <mergeCell ref="J91:K91"/>
    <mergeCell ref="J82:K82"/>
    <mergeCell ref="J83:K83"/>
    <mergeCell ref="J29:K29"/>
    <mergeCell ref="J31:K31"/>
    <mergeCell ref="J67:K67"/>
    <mergeCell ref="J66:K66"/>
    <mergeCell ref="J65:K65"/>
    <mergeCell ref="J64:K64"/>
    <mergeCell ref="J63:K63"/>
    <mergeCell ref="J62:K62"/>
    <mergeCell ref="J76:K76"/>
    <mergeCell ref="J77:K77"/>
    <mergeCell ref="J78:K78"/>
    <mergeCell ref="J84:K84"/>
    <mergeCell ref="J85:K85"/>
    <mergeCell ref="J86:K86"/>
    <mergeCell ref="J58:K58"/>
    <mergeCell ref="J81:K81"/>
    <mergeCell ref="J87:K87"/>
    <mergeCell ref="J79:K79"/>
    <mergeCell ref="J80:K80"/>
    <mergeCell ref="J52:K52"/>
    <mergeCell ref="J53:K53"/>
    <mergeCell ref="J54:K54"/>
    <mergeCell ref="J55:K55"/>
    <mergeCell ref="J50:K50"/>
    <mergeCell ref="J59:K59"/>
    <mergeCell ref="J37:K37"/>
    <mergeCell ref="J39:K39"/>
    <mergeCell ref="J40:K40"/>
    <mergeCell ref="J42:K42"/>
    <mergeCell ref="J43:K43"/>
    <mergeCell ref="J44:K44"/>
    <mergeCell ref="J51:K51"/>
    <mergeCell ref="J56:K56"/>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1"/>
  <headerFooter alignWithMargins="0">
    <oddFooter>&amp;L&amp;11LEL Schwäbisch Gmünd&amp;C&amp;11&amp;P+8&amp;R&amp;11 &amp;F</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7">
    <tabColor rgb="FF00B0F0"/>
    <pageSetUpPr fitToPage="1"/>
  </sheetPr>
  <dimension ref="A1:AO193"/>
  <sheetViews>
    <sheetView showZeros="0" zoomScaleNormal="100" workbookViewId="0"/>
  </sheetViews>
  <sheetFormatPr baseColWidth="10" defaultColWidth="10.5" defaultRowHeight="11.25"/>
  <cols>
    <col min="1" max="1" width="2.75" style="384" customWidth="1"/>
    <col min="2" max="2" width="3.625" style="2071" customWidth="1"/>
    <col min="3" max="3" width="27.5" style="2071" customWidth="1"/>
    <col min="4" max="4" width="7.75" style="2071" customWidth="1"/>
    <col min="5" max="5" width="8.5" style="2071" customWidth="1"/>
    <col min="6" max="6" width="6.625" style="2071" bestFit="1" customWidth="1"/>
    <col min="7" max="7" width="6.625" style="2071" customWidth="1"/>
    <col min="8" max="8" width="7.125" style="401" customWidth="1"/>
    <col min="9" max="9" width="6" style="2071" customWidth="1"/>
    <col min="10" max="10" width="4.5" style="401" bestFit="1" customWidth="1"/>
    <col min="11" max="11" width="7.375" style="401" customWidth="1"/>
    <col min="12" max="12" width="5.125" style="401" customWidth="1"/>
    <col min="13" max="13" width="5.375" style="401" customWidth="1"/>
    <col min="14" max="14" width="6.375" style="401" bestFit="1" customWidth="1"/>
    <col min="15" max="15" width="6.375" style="401" customWidth="1"/>
    <col min="16" max="16" width="14.375" style="401" customWidth="1"/>
    <col min="17" max="17" width="17" style="384" hidden="1" customWidth="1"/>
    <col min="18" max="21" width="0" style="384" hidden="1" customWidth="1"/>
    <col min="22" max="16384" width="10.5" style="384"/>
  </cols>
  <sheetData>
    <row r="1" spans="1:41" ht="23.25">
      <c r="A1" s="2081"/>
      <c r="C1" s="2117"/>
      <c r="J1" s="384"/>
      <c r="M1" s="2086"/>
      <c r="N1" s="2086"/>
    </row>
    <row r="2" spans="1:41" ht="18">
      <c r="A2" s="2103"/>
      <c r="B2" s="2116" t="s">
        <v>567</v>
      </c>
      <c r="H2" s="2071"/>
      <c r="I2" s="401"/>
      <c r="J2" s="2071"/>
      <c r="K2" s="2071"/>
      <c r="L2" s="2071"/>
      <c r="M2" s="2071"/>
      <c r="N2" s="2071"/>
      <c r="O2" s="501" t="str">
        <f>SDÖ1!O2</f>
        <v>Marktfrüchte Öko</v>
      </c>
    </row>
    <row r="3" spans="1:41" ht="33" customHeight="1">
      <c r="A3" s="2103"/>
      <c r="B3" s="4291"/>
      <c r="C3" s="4291"/>
      <c r="D3" s="4291"/>
      <c r="E3" s="4291"/>
      <c r="F3" s="4291"/>
      <c r="G3" s="4291"/>
      <c r="H3" s="4291"/>
      <c r="I3" s="4291"/>
      <c r="J3" s="4291"/>
      <c r="K3" s="4291"/>
      <c r="L3" s="4291"/>
      <c r="M3" s="4291"/>
      <c r="N3" s="4291"/>
      <c r="O3" s="501">
        <f>SDÖ1!O3</f>
        <v>0</v>
      </c>
      <c r="P3" s="3362"/>
      <c r="Q3" s="400"/>
      <c r="R3" s="400"/>
      <c r="S3" s="400"/>
      <c r="T3" s="400"/>
      <c r="U3" s="400"/>
      <c r="V3" s="400"/>
      <c r="W3" s="400"/>
      <c r="X3" s="447"/>
      <c r="Y3" s="447"/>
      <c r="Z3" s="447"/>
      <c r="AA3" s="447"/>
      <c r="AB3" s="447"/>
      <c r="AC3" s="447"/>
      <c r="AD3" s="447"/>
      <c r="AE3" s="447"/>
      <c r="AF3" s="447"/>
      <c r="AG3" s="447"/>
      <c r="AH3" s="447"/>
      <c r="AI3" s="447"/>
      <c r="AJ3" s="447"/>
      <c r="AK3" s="447"/>
      <c r="AL3" s="447"/>
      <c r="AM3" s="447"/>
      <c r="AN3" s="447"/>
      <c r="AO3" s="447"/>
    </row>
    <row r="4" spans="1:41" ht="13.15" customHeight="1">
      <c r="A4" s="2103"/>
      <c r="B4" s="2115" t="s">
        <v>566</v>
      </c>
      <c r="C4" s="2112"/>
      <c r="D4" s="2114">
        <f>'SDK1'!O64</f>
        <v>1.5199999999999998</v>
      </c>
      <c r="E4" s="2113" t="s">
        <v>560</v>
      </c>
      <c r="F4" s="2113" t="s">
        <v>565</v>
      </c>
      <c r="G4" s="3493">
        <f>SDÖ1!O12/100</f>
        <v>0</v>
      </c>
      <c r="H4" s="2113"/>
      <c r="I4" s="296" t="s">
        <v>564</v>
      </c>
      <c r="J4" s="2114">
        <f>'SDK3'!J5</f>
        <v>0.21479999999999999</v>
      </c>
      <c r="K4" s="2113" t="s">
        <v>560</v>
      </c>
      <c r="L4" s="2112" t="s">
        <v>1512</v>
      </c>
      <c r="M4" s="296" t="s">
        <v>563</v>
      </c>
      <c r="N4" s="2111">
        <f>'SDK3'!N5</f>
        <v>1.0625109243697479</v>
      </c>
      <c r="O4" s="330" t="s">
        <v>560</v>
      </c>
      <c r="P4" s="3362"/>
      <c r="Q4" s="3231" t="s">
        <v>1511</v>
      </c>
      <c r="R4" s="2108">
        <f>'SDK3'!S5</f>
        <v>1.2773109243697478</v>
      </c>
      <c r="S4" s="2110"/>
      <c r="T4" s="2109">
        <v>19</v>
      </c>
      <c r="U4" s="2108">
        <f>D4*T4/100</f>
        <v>0.28879999999999995</v>
      </c>
      <c r="W4" s="2107"/>
      <c r="Z4" s="447"/>
      <c r="AA4" s="447"/>
      <c r="AB4" s="447"/>
      <c r="AC4" s="447"/>
      <c r="AD4" s="447"/>
      <c r="AE4" s="447"/>
      <c r="AF4" s="447"/>
      <c r="AG4" s="447"/>
      <c r="AH4" s="447"/>
      <c r="AI4" s="447"/>
      <c r="AJ4" s="447"/>
      <c r="AK4" s="447"/>
      <c r="AL4" s="447"/>
      <c r="AM4" s="447"/>
      <c r="AN4" s="447"/>
      <c r="AO4" s="447"/>
    </row>
    <row r="5" spans="1:41" ht="13.15" customHeight="1">
      <c r="A5" s="2103"/>
      <c r="K5" s="384"/>
      <c r="L5" s="384"/>
      <c r="M5" s="384"/>
      <c r="N5" s="384"/>
      <c r="O5" s="400"/>
      <c r="P5" s="3362"/>
      <c r="Q5" s="400"/>
      <c r="R5" s="400"/>
      <c r="S5" s="400"/>
      <c r="T5" s="400"/>
      <c r="U5" s="400"/>
      <c r="V5" s="400"/>
      <c r="W5" s="400"/>
      <c r="X5" s="447"/>
      <c r="Y5" s="447"/>
      <c r="Z5" s="447"/>
      <c r="AA5" s="447"/>
      <c r="AB5" s="447"/>
      <c r="AC5" s="447"/>
      <c r="AD5" s="447"/>
      <c r="AE5" s="447"/>
      <c r="AF5" s="447"/>
      <c r="AG5" s="447"/>
      <c r="AH5" s="447"/>
      <c r="AI5" s="447"/>
      <c r="AJ5" s="447"/>
      <c r="AK5" s="447"/>
      <c r="AL5" s="447"/>
      <c r="AM5" s="447"/>
      <c r="AN5" s="447"/>
      <c r="AO5" s="447"/>
    </row>
    <row r="6" spans="1:41" ht="12.75">
      <c r="A6" s="2103"/>
      <c r="B6" s="3464" t="s">
        <v>524</v>
      </c>
      <c r="C6" s="3465"/>
      <c r="D6" s="3466"/>
      <c r="E6" s="3467"/>
      <c r="F6" s="3467"/>
      <c r="G6" s="3468"/>
      <c r="H6" s="4289" t="s">
        <v>559</v>
      </c>
      <c r="I6" s="4290"/>
      <c r="J6" s="4290"/>
      <c r="K6" s="4290"/>
      <c r="L6" s="4290"/>
      <c r="M6" s="4290"/>
      <c r="N6" s="4290"/>
      <c r="O6" s="4290"/>
      <c r="P6" s="3362"/>
      <c r="Q6" s="400"/>
      <c r="R6" s="400"/>
      <c r="S6" s="400"/>
      <c r="T6" s="400"/>
      <c r="U6" s="400"/>
      <c r="V6" s="400"/>
      <c r="W6" s="400"/>
      <c r="X6" s="447"/>
      <c r="Y6" s="447"/>
      <c r="Z6" s="447"/>
      <c r="AA6" s="447"/>
      <c r="AB6" s="447"/>
      <c r="AC6" s="447"/>
      <c r="AD6" s="447"/>
      <c r="AE6" s="447"/>
      <c r="AF6" s="447"/>
      <c r="AG6" s="447"/>
      <c r="AH6" s="447"/>
      <c r="AI6" s="447"/>
      <c r="AJ6" s="447"/>
    </row>
    <row r="7" spans="1:41" ht="13.15" customHeight="1">
      <c r="A7" s="2103"/>
      <c r="B7" s="3436"/>
      <c r="C7" s="3428"/>
      <c r="D7" s="4292" t="s">
        <v>520</v>
      </c>
      <c r="E7" s="4293"/>
      <c r="F7" s="4292" t="s">
        <v>557</v>
      </c>
      <c r="G7" s="4294"/>
      <c r="H7" s="4295" t="s">
        <v>1510</v>
      </c>
      <c r="I7" s="4296"/>
      <c r="J7" s="4292" t="s">
        <v>555</v>
      </c>
      <c r="K7" s="4297"/>
      <c r="L7" s="3429"/>
      <c r="M7" s="3496" t="s">
        <v>554</v>
      </c>
      <c r="N7" s="3497"/>
      <c r="O7" s="3498"/>
      <c r="P7" s="3362"/>
      <c r="Q7" s="400"/>
      <c r="R7" s="400"/>
      <c r="S7" s="400"/>
      <c r="T7" s="400"/>
      <c r="U7" s="400"/>
      <c r="V7" s="400"/>
      <c r="W7" s="400"/>
      <c r="X7" s="447"/>
      <c r="Y7" s="447"/>
      <c r="Z7" s="447"/>
      <c r="AA7" s="447"/>
      <c r="AB7" s="447"/>
      <c r="AC7" s="447"/>
      <c r="AD7" s="447"/>
      <c r="AE7" s="447"/>
      <c r="AF7" s="447"/>
      <c r="AG7" s="447"/>
      <c r="AH7" s="447"/>
      <c r="AI7" s="447"/>
      <c r="AJ7" s="447"/>
    </row>
    <row r="8" spans="1:41" ht="13.15" customHeight="1">
      <c r="A8" s="2103"/>
      <c r="B8" s="3469"/>
      <c r="C8" s="3428"/>
      <c r="D8" s="4292" t="s">
        <v>518</v>
      </c>
      <c r="E8" s="4293"/>
      <c r="F8" s="4292" t="s">
        <v>553</v>
      </c>
      <c r="G8" s="4294"/>
      <c r="H8" s="4295"/>
      <c r="I8" s="4296"/>
      <c r="J8" s="4292" t="s">
        <v>551</v>
      </c>
      <c r="K8" s="4297"/>
      <c r="L8" s="3429"/>
      <c r="M8" s="3496" t="s">
        <v>550</v>
      </c>
      <c r="N8" s="3497"/>
      <c r="O8" s="3498"/>
      <c r="P8" s="3362"/>
      <c r="Q8" s="400"/>
      <c r="R8" s="400"/>
      <c r="S8" s="400"/>
      <c r="T8" s="400"/>
      <c r="U8" s="400"/>
      <c r="V8" s="400"/>
      <c r="W8" s="400"/>
      <c r="X8" s="447"/>
      <c r="Y8" s="447"/>
      <c r="Z8" s="447"/>
      <c r="AA8" s="447"/>
      <c r="AB8" s="447"/>
      <c r="AC8" s="447"/>
      <c r="AD8" s="447"/>
      <c r="AE8" s="447"/>
      <c r="AF8" s="447"/>
      <c r="AG8" s="447"/>
      <c r="AH8" s="447"/>
      <c r="AI8" s="447"/>
      <c r="AJ8" s="447"/>
    </row>
    <row r="9" spans="1:41" ht="13.15" customHeight="1">
      <c r="A9" s="2103"/>
      <c r="B9" s="3469"/>
      <c r="C9" s="3428"/>
      <c r="D9" s="4300"/>
      <c r="E9" s="4301"/>
      <c r="F9" s="4300"/>
      <c r="G9" s="4302"/>
      <c r="H9" s="3430">
        <f>N4</f>
        <v>1.0625109243697479</v>
      </c>
      <c r="I9" s="3431" t="s">
        <v>549</v>
      </c>
      <c r="J9" s="4292" t="s">
        <v>548</v>
      </c>
      <c r="K9" s="4297"/>
      <c r="L9" s="3429"/>
      <c r="M9" s="3496" t="s">
        <v>547</v>
      </c>
      <c r="N9" s="3497"/>
      <c r="O9" s="3498"/>
      <c r="P9" s="3362"/>
      <c r="Q9" s="3230" t="s">
        <v>1509</v>
      </c>
      <c r="R9" s="400"/>
      <c r="S9" s="400"/>
      <c r="T9" s="400"/>
      <c r="U9" s="400"/>
      <c r="V9" s="400"/>
      <c r="W9" s="400"/>
      <c r="X9" s="447"/>
      <c r="Y9" s="447"/>
      <c r="Z9" s="447"/>
      <c r="AA9" s="447"/>
      <c r="AB9" s="447"/>
      <c r="AC9" s="447"/>
      <c r="AD9" s="447"/>
      <c r="AE9" s="447"/>
      <c r="AF9" s="447"/>
      <c r="AG9" s="447"/>
      <c r="AH9" s="447"/>
      <c r="AI9" s="447"/>
      <c r="AJ9" s="447"/>
    </row>
    <row r="10" spans="1:41" ht="13.15" customHeight="1">
      <c r="A10" s="2103"/>
      <c r="B10" s="3434" t="s">
        <v>287</v>
      </c>
      <c r="C10" s="3432" t="s">
        <v>545</v>
      </c>
      <c r="D10" s="3433"/>
      <c r="E10" s="3434"/>
      <c r="F10" s="4307" t="s">
        <v>544</v>
      </c>
      <c r="G10" s="4308"/>
      <c r="H10" s="3435" t="s">
        <v>543</v>
      </c>
      <c r="I10" s="3436"/>
      <c r="J10" s="4307" t="s">
        <v>543</v>
      </c>
      <c r="K10" s="4309"/>
      <c r="L10" s="3437"/>
      <c r="M10" s="3438">
        <v>0.7</v>
      </c>
      <c r="N10" s="3439">
        <v>1</v>
      </c>
      <c r="O10" s="456">
        <v>1.5</v>
      </c>
      <c r="P10" s="3494"/>
      <c r="Q10" s="2089"/>
      <c r="R10" s="400"/>
      <c r="S10" s="400"/>
      <c r="T10" s="400"/>
      <c r="U10" s="400"/>
      <c r="V10" s="400"/>
      <c r="W10" s="400"/>
      <c r="X10" s="447"/>
      <c r="Y10" s="447"/>
      <c r="Z10" s="447"/>
      <c r="AA10" s="447"/>
      <c r="AB10" s="447"/>
      <c r="AC10" s="447"/>
      <c r="AD10" s="447"/>
      <c r="AE10" s="447"/>
      <c r="AF10" s="447"/>
      <c r="AG10" s="447"/>
      <c r="AH10" s="447"/>
      <c r="AI10" s="447"/>
      <c r="AJ10" s="447"/>
    </row>
    <row r="11" spans="1:41" ht="13.15" customHeight="1">
      <c r="A11" s="2103"/>
      <c r="B11" s="2104">
        <v>1</v>
      </c>
      <c r="C11" s="483" t="s">
        <v>1508</v>
      </c>
      <c r="D11" s="4275">
        <v>200</v>
      </c>
      <c r="E11" s="4310"/>
      <c r="F11" s="4277">
        <v>23.3</v>
      </c>
      <c r="G11" s="4282"/>
      <c r="H11" s="4277">
        <f t="shared" ref="H11:H16" si="0">F11*($H$9)+J11</f>
        <v>36.756504537815132</v>
      </c>
      <c r="I11" s="4282"/>
      <c r="J11" s="4281">
        <v>12</v>
      </c>
      <c r="K11" s="4282"/>
      <c r="L11" s="2106"/>
      <c r="M11" s="479">
        <f>($F11*$N$4)*M$10+$J11</f>
        <v>29.32955317647059</v>
      </c>
      <c r="N11" s="482">
        <f>($F11*$N$4)*N$10+$J11</f>
        <v>36.756504537815132</v>
      </c>
      <c r="O11" s="3495">
        <f>($F11*$N$4)*O$10+$J11</f>
        <v>49.134756806722692</v>
      </c>
      <c r="P11" s="639"/>
      <c r="Q11" s="2089" t="s">
        <v>1963</v>
      </c>
      <c r="R11" s="400"/>
      <c r="S11" s="400"/>
      <c r="T11" s="400"/>
      <c r="U11" s="400"/>
      <c r="V11" s="400"/>
      <c r="W11" s="400"/>
      <c r="X11" s="447"/>
      <c r="Y11" s="447"/>
      <c r="Z11" s="447"/>
      <c r="AA11" s="447"/>
      <c r="AB11" s="447"/>
      <c r="AC11" s="447"/>
      <c r="AD11" s="447"/>
      <c r="AE11" s="447"/>
      <c r="AF11" s="447"/>
      <c r="AG11" s="447"/>
      <c r="AH11" s="447"/>
      <c r="AI11" s="447"/>
      <c r="AJ11" s="447"/>
    </row>
    <row r="12" spans="1:41" ht="13.15" customHeight="1">
      <c r="A12" s="2103"/>
      <c r="B12" s="2104">
        <v>2</v>
      </c>
      <c r="C12" s="392" t="s">
        <v>536</v>
      </c>
      <c r="D12" s="4266">
        <v>120</v>
      </c>
      <c r="E12" s="4267"/>
      <c r="F12" s="4273">
        <v>14</v>
      </c>
      <c r="G12" s="4274"/>
      <c r="H12" s="4273">
        <f t="shared" si="0"/>
        <v>23.37515294117647</v>
      </c>
      <c r="I12" s="4252"/>
      <c r="J12" s="4251">
        <v>8.5</v>
      </c>
      <c r="K12" s="4252"/>
      <c r="L12" s="2106"/>
      <c r="M12" s="479">
        <f t="shared" ref="M12:N16" si="1">($F12*$N$4)*M$10+$J12</f>
        <v>18.912607058823529</v>
      </c>
      <c r="N12" s="478">
        <f t="shared" si="1"/>
        <v>23.37515294117647</v>
      </c>
      <c r="O12" s="474">
        <f>($F12*$N$4)*O$10+$J12</f>
        <v>30.812729411764707</v>
      </c>
      <c r="P12" s="639"/>
      <c r="Q12" s="2089" t="s">
        <v>1963</v>
      </c>
      <c r="R12" s="400"/>
      <c r="S12" s="400"/>
      <c r="T12" s="400"/>
      <c r="U12" s="400"/>
      <c r="V12" s="400"/>
      <c r="W12" s="400"/>
      <c r="X12" s="447"/>
      <c r="Y12" s="447"/>
      <c r="Z12" s="447"/>
      <c r="AA12" s="447"/>
      <c r="AB12" s="447"/>
      <c r="AC12" s="447"/>
      <c r="AD12" s="447"/>
      <c r="AE12" s="447"/>
      <c r="AF12" s="447"/>
      <c r="AG12" s="447"/>
      <c r="AH12" s="447"/>
      <c r="AI12" s="447"/>
      <c r="AJ12" s="447"/>
    </row>
    <row r="13" spans="1:41" ht="13.15" customHeight="1">
      <c r="A13" s="2103"/>
      <c r="B13" s="2104">
        <v>3</v>
      </c>
      <c r="C13" s="392" t="s">
        <v>534</v>
      </c>
      <c r="D13" s="4266">
        <v>102</v>
      </c>
      <c r="E13" s="4267"/>
      <c r="F13" s="4273">
        <v>11.9</v>
      </c>
      <c r="G13" s="4274"/>
      <c r="H13" s="4273">
        <f t="shared" si="0"/>
        <v>20.143880000000003</v>
      </c>
      <c r="I13" s="4252"/>
      <c r="J13" s="4251">
        <v>7.5</v>
      </c>
      <c r="K13" s="4252"/>
      <c r="L13" s="2105"/>
      <c r="M13" s="475">
        <f t="shared" si="1"/>
        <v>16.350715999999998</v>
      </c>
      <c r="N13" s="474">
        <f t="shared" si="1"/>
        <v>20.143880000000003</v>
      </c>
      <c r="O13" s="474">
        <f>($F13*$N$4)*O$10+$J13</f>
        <v>26.465820000000001</v>
      </c>
      <c r="P13" s="639"/>
      <c r="Q13" s="2089" t="s">
        <v>1963</v>
      </c>
      <c r="R13" s="400"/>
      <c r="S13" s="400"/>
      <c r="T13" s="400"/>
      <c r="U13" s="400"/>
      <c r="V13" s="400"/>
      <c r="W13" s="400"/>
      <c r="X13" s="447"/>
      <c r="Y13" s="447"/>
      <c r="Z13" s="447"/>
      <c r="AA13" s="447"/>
      <c r="AB13" s="447"/>
      <c r="AC13" s="447"/>
      <c r="AD13" s="447"/>
      <c r="AE13" s="447"/>
      <c r="AF13" s="447"/>
      <c r="AG13" s="447"/>
      <c r="AH13" s="447"/>
      <c r="AI13" s="447"/>
      <c r="AJ13" s="447"/>
    </row>
    <row r="14" spans="1:41" ht="13.15" customHeight="1">
      <c r="A14" s="2103"/>
      <c r="B14" s="2104">
        <v>4</v>
      </c>
      <c r="C14" s="392" t="s">
        <v>532</v>
      </c>
      <c r="D14" s="4266">
        <v>83</v>
      </c>
      <c r="E14" s="4267"/>
      <c r="F14" s="4273">
        <v>9.6999999999999993</v>
      </c>
      <c r="G14" s="4274"/>
      <c r="H14" s="4273">
        <f t="shared" si="0"/>
        <v>17.306355966386555</v>
      </c>
      <c r="I14" s="4252"/>
      <c r="J14" s="4251">
        <v>7</v>
      </c>
      <c r="K14" s="4252"/>
      <c r="L14" s="2105"/>
      <c r="M14" s="475">
        <f t="shared" si="1"/>
        <v>14.214449176470588</v>
      </c>
      <c r="N14" s="474">
        <f t="shared" si="1"/>
        <v>17.306355966386555</v>
      </c>
      <c r="O14" s="474">
        <f>($F14*$N$4)*O$10+$J14</f>
        <v>22.459533949579832</v>
      </c>
      <c r="P14" s="639"/>
      <c r="Q14" s="2089" t="s">
        <v>1963</v>
      </c>
      <c r="R14" s="400"/>
      <c r="S14" s="400"/>
      <c r="T14" s="400"/>
      <c r="U14" s="400"/>
      <c r="V14" s="400"/>
      <c r="W14" s="400"/>
      <c r="X14" s="447"/>
      <c r="Y14" s="447"/>
      <c r="Z14" s="447"/>
      <c r="AA14" s="447"/>
      <c r="AB14" s="447"/>
      <c r="AC14" s="447"/>
      <c r="AD14" s="447"/>
      <c r="AE14" s="447"/>
      <c r="AF14" s="447"/>
      <c r="AG14" s="447"/>
      <c r="AH14" s="447"/>
      <c r="AI14" s="447"/>
      <c r="AJ14" s="447"/>
    </row>
    <row r="15" spans="1:41" ht="13.15" customHeight="1">
      <c r="A15" s="2103"/>
      <c r="B15" s="2104">
        <v>5</v>
      </c>
      <c r="C15" s="392" t="s">
        <v>531</v>
      </c>
      <c r="D15" s="4266">
        <v>83</v>
      </c>
      <c r="E15" s="4322"/>
      <c r="F15" s="4273">
        <v>9.6999999999999993</v>
      </c>
      <c r="G15" s="4252"/>
      <c r="H15" s="4273">
        <f t="shared" si="0"/>
        <v>18.306355966386555</v>
      </c>
      <c r="I15" s="4252"/>
      <c r="J15" s="4251">
        <v>8</v>
      </c>
      <c r="K15" s="4252"/>
      <c r="L15" s="2105"/>
      <c r="M15" s="475">
        <f t="shared" si="1"/>
        <v>15.214449176470588</v>
      </c>
      <c r="N15" s="474">
        <f t="shared" si="1"/>
        <v>18.306355966386555</v>
      </c>
      <c r="O15" s="474">
        <f>($F15*$N$4)*O$10+$J15</f>
        <v>23.459533949579832</v>
      </c>
      <c r="P15" s="639"/>
      <c r="Q15" s="2089" t="s">
        <v>1964</v>
      </c>
      <c r="R15" s="400"/>
      <c r="S15" s="400"/>
      <c r="T15" s="33"/>
      <c r="U15" s="33"/>
      <c r="V15" s="400"/>
      <c r="W15" s="400"/>
      <c r="X15" s="447"/>
      <c r="Y15" s="447"/>
      <c r="Z15" s="447"/>
      <c r="AA15" s="447"/>
      <c r="AB15" s="447"/>
      <c r="AC15" s="447"/>
      <c r="AD15" s="447"/>
      <c r="AE15" s="447"/>
      <c r="AF15" s="447"/>
      <c r="AG15" s="447"/>
      <c r="AH15" s="447"/>
      <c r="AI15" s="447"/>
      <c r="AJ15" s="447"/>
    </row>
    <row r="16" spans="1:41" ht="13.15" customHeight="1">
      <c r="A16" s="2103"/>
      <c r="B16" s="2104">
        <v>6</v>
      </c>
      <c r="C16" s="392" t="s">
        <v>526</v>
      </c>
      <c r="D16" s="4266">
        <v>54</v>
      </c>
      <c r="E16" s="4322"/>
      <c r="F16" s="4273">
        <v>6.3</v>
      </c>
      <c r="G16" s="4252"/>
      <c r="H16" s="4273">
        <f t="shared" si="0"/>
        <v>12.793818823529412</v>
      </c>
      <c r="I16" s="4252"/>
      <c r="J16" s="4251">
        <v>6.1</v>
      </c>
      <c r="K16" s="4252"/>
      <c r="L16" s="2105"/>
      <c r="M16" s="475">
        <f t="shared" si="1"/>
        <v>10.785673176470588</v>
      </c>
      <c r="N16" s="474">
        <f t="shared" si="1"/>
        <v>12.793818823529412</v>
      </c>
      <c r="O16" s="474">
        <f>($F16*$N$4)*O$10+$J16</f>
        <v>16.140728235294119</v>
      </c>
      <c r="P16" s="400"/>
      <c r="Q16" s="33"/>
      <c r="R16" s="33"/>
      <c r="S16" s="33"/>
      <c r="T16" s="33"/>
      <c r="U16" s="33"/>
      <c r="V16" s="33"/>
      <c r="W16" s="33"/>
      <c r="X16" s="33"/>
      <c r="Y16" s="33"/>
      <c r="Z16" s="33"/>
      <c r="AA16" s="33"/>
      <c r="AB16" s="33"/>
      <c r="AC16" s="447"/>
      <c r="AD16" s="447"/>
      <c r="AE16" s="447"/>
      <c r="AF16" s="447"/>
      <c r="AG16" s="447"/>
    </row>
    <row r="17" spans="1:41" ht="13.15" customHeight="1">
      <c r="A17" s="2103"/>
      <c r="B17" s="33"/>
      <c r="C17" s="33"/>
      <c r="D17" s="33"/>
      <c r="E17" s="33"/>
      <c r="F17" s="33"/>
      <c r="G17" s="33"/>
      <c r="H17" s="33"/>
      <c r="I17" s="33"/>
      <c r="J17" s="33"/>
      <c r="K17" s="33"/>
      <c r="L17" s="33"/>
      <c r="M17" s="33"/>
      <c r="N17" s="33"/>
      <c r="O17" s="33"/>
      <c r="P17" s="639"/>
      <c r="Q17" s="2089"/>
      <c r="R17" s="400"/>
      <c r="S17" s="400"/>
      <c r="T17" s="33"/>
      <c r="U17" s="33"/>
      <c r="V17" s="33"/>
      <c r="W17" s="33"/>
      <c r="X17" s="33"/>
      <c r="Y17" s="33"/>
      <c r="Z17" s="33"/>
      <c r="AA17" s="33"/>
      <c r="AB17" s="33"/>
      <c r="AC17" s="33"/>
      <c r="AD17" s="33"/>
      <c r="AE17" s="33"/>
      <c r="AF17" s="447"/>
      <c r="AG17" s="447"/>
      <c r="AH17" s="447"/>
      <c r="AI17" s="447"/>
      <c r="AJ17" s="447"/>
    </row>
    <row r="18" spans="1:41" ht="1.35" customHeight="1">
      <c r="A18" s="2103"/>
      <c r="B18" s="2104"/>
      <c r="C18" s="400"/>
      <c r="D18" s="400"/>
      <c r="E18" s="400"/>
      <c r="F18" s="400"/>
      <c r="G18" s="400"/>
      <c r="H18" s="400"/>
      <c r="I18" s="400"/>
      <c r="J18" s="400"/>
      <c r="K18" s="400"/>
      <c r="L18" s="400"/>
      <c r="O18" s="479"/>
      <c r="T18" s="33"/>
      <c r="U18" s="33"/>
      <c r="V18" s="33"/>
      <c r="W18" s="33"/>
      <c r="X18" s="33"/>
      <c r="Y18" s="33"/>
      <c r="Z18" s="33"/>
      <c r="AA18" s="33"/>
      <c r="AB18" s="33"/>
      <c r="AC18" s="33"/>
      <c r="AD18" s="33"/>
      <c r="AE18" s="33"/>
      <c r="AF18" s="447"/>
      <c r="AG18" s="447"/>
      <c r="AH18" s="447"/>
      <c r="AI18" s="447"/>
      <c r="AJ18" s="447"/>
    </row>
    <row r="19" spans="1:41" ht="2.1" customHeight="1">
      <c r="A19" s="2103"/>
      <c r="B19" s="2104"/>
      <c r="O19" s="479">
        <f>($F19*$N$4)*O$10+$J19</f>
        <v>0</v>
      </c>
      <c r="R19" s="400"/>
      <c r="S19" s="400"/>
      <c r="T19" s="33"/>
      <c r="U19" s="33"/>
      <c r="V19" s="33"/>
      <c r="W19" s="33"/>
      <c r="X19" s="33"/>
      <c r="Y19" s="33"/>
      <c r="Z19" s="33"/>
      <c r="AA19" s="33"/>
      <c r="AB19" s="33"/>
      <c r="AC19" s="33"/>
      <c r="AD19" s="33"/>
      <c r="AE19" s="33"/>
      <c r="AF19" s="447"/>
      <c r="AG19" s="447"/>
      <c r="AH19" s="447"/>
      <c r="AI19" s="447"/>
      <c r="AJ19" s="447"/>
    </row>
    <row r="20" spans="1:41" ht="12.75">
      <c r="A20" s="2103"/>
      <c r="C20" s="3519"/>
      <c r="D20" s="528"/>
      <c r="E20" s="4311"/>
      <c r="F20" s="4311"/>
      <c r="G20" s="4311"/>
      <c r="H20" s="4311"/>
      <c r="I20" s="4311"/>
      <c r="J20" s="4311"/>
      <c r="K20" s="4311"/>
      <c r="L20" s="3486"/>
      <c r="M20" s="3486"/>
      <c r="N20" s="3481"/>
      <c r="O20" s="400"/>
      <c r="P20" s="3362"/>
      <c r="T20" s="33"/>
      <c r="U20" s="33"/>
      <c r="V20" s="33"/>
      <c r="W20" s="33"/>
      <c r="X20" s="33"/>
      <c r="Y20" s="33"/>
      <c r="Z20" s="33"/>
      <c r="AA20" s="33"/>
      <c r="AB20" s="33"/>
      <c r="AC20" s="33"/>
      <c r="AD20" s="33"/>
      <c r="AE20" s="33"/>
      <c r="AI20" s="447"/>
      <c r="AJ20" s="447"/>
      <c r="AK20" s="447"/>
      <c r="AL20" s="447"/>
      <c r="AM20" s="447"/>
      <c r="AN20" s="447"/>
      <c r="AO20" s="447"/>
    </row>
    <row r="21" spans="1:41" ht="12.75">
      <c r="A21" s="2103"/>
      <c r="B21" s="3518" t="s">
        <v>525</v>
      </c>
      <c r="C21" s="3519"/>
      <c r="D21" s="3506" t="s">
        <v>354</v>
      </c>
      <c r="E21" s="4319" t="s">
        <v>519</v>
      </c>
      <c r="F21" s="4321"/>
      <c r="G21" s="4319" t="s">
        <v>523</v>
      </c>
      <c r="H21" s="4320"/>
      <c r="I21" s="4321"/>
      <c r="J21" s="4270" t="s">
        <v>522</v>
      </c>
      <c r="K21" s="4270"/>
      <c r="L21" s="4303"/>
      <c r="M21" s="4304"/>
      <c r="N21" s="4249" t="s">
        <v>521</v>
      </c>
      <c r="O21" s="4250"/>
      <c r="P21" s="3362"/>
      <c r="U21" s="33"/>
      <c r="V21" s="33"/>
      <c r="W21" s="33"/>
      <c r="X21" s="33"/>
      <c r="Y21" s="33"/>
      <c r="Z21" s="33"/>
      <c r="AA21" s="33"/>
      <c r="AB21" s="33"/>
      <c r="AC21" s="33"/>
      <c r="AD21" s="33"/>
      <c r="AE21" s="33"/>
      <c r="AF21" s="447"/>
      <c r="AG21" s="447"/>
      <c r="AH21" s="447"/>
      <c r="AI21" s="447"/>
      <c r="AJ21" s="447"/>
      <c r="AK21" s="447"/>
      <c r="AL21" s="447"/>
      <c r="AM21" s="447"/>
      <c r="AN21" s="447"/>
      <c r="AO21" s="447"/>
    </row>
    <row r="22" spans="1:41" ht="16.5" thickBot="1">
      <c r="A22" s="2103"/>
      <c r="B22" s="3518"/>
      <c r="C22" s="3519"/>
      <c r="D22" s="3506" t="s">
        <v>352</v>
      </c>
      <c r="E22" s="3507"/>
      <c r="F22" s="3508" t="s">
        <v>520</v>
      </c>
      <c r="G22" s="3440"/>
      <c r="H22" s="3441"/>
      <c r="I22" s="3442"/>
      <c r="J22" s="4255" t="s">
        <v>519</v>
      </c>
      <c r="K22" s="4270"/>
      <c r="L22" s="4303"/>
      <c r="M22" s="4304"/>
      <c r="N22" s="460"/>
      <c r="O22" s="3511" t="s">
        <v>171</v>
      </c>
      <c r="P22" s="3362"/>
      <c r="Q22" s="400"/>
      <c r="R22" s="400"/>
      <c r="S22" s="400"/>
      <c r="T22" s="400"/>
      <c r="U22" s="33"/>
      <c r="V22" s="33"/>
      <c r="W22" s="33"/>
      <c r="X22" s="33"/>
      <c r="Y22" s="33"/>
      <c r="Z22" s="33"/>
      <c r="AA22" s="33"/>
      <c r="AB22" s="33"/>
      <c r="AC22" s="33"/>
      <c r="AD22" s="33"/>
      <c r="AE22" s="33"/>
      <c r="AF22" s="447"/>
      <c r="AG22" s="447"/>
      <c r="AH22" s="447"/>
      <c r="AI22" s="447"/>
      <c r="AJ22" s="447"/>
      <c r="AK22" s="447"/>
      <c r="AL22" s="447"/>
      <c r="AM22" s="447"/>
      <c r="AN22" s="447"/>
      <c r="AO22" s="447"/>
    </row>
    <row r="23" spans="1:41" ht="14.25" thickBot="1">
      <c r="A23" s="2103"/>
      <c r="B23" s="2347" t="s">
        <v>287</v>
      </c>
      <c r="C23" s="3487" t="s">
        <v>353</v>
      </c>
      <c r="D23" s="3509" t="s">
        <v>351</v>
      </c>
      <c r="E23" s="3515" t="s">
        <v>287</v>
      </c>
      <c r="F23" s="3510" t="s">
        <v>518</v>
      </c>
      <c r="G23" s="3488">
        <v>0.7</v>
      </c>
      <c r="H23" s="3489">
        <v>1</v>
      </c>
      <c r="I23" s="3490">
        <v>1.5</v>
      </c>
      <c r="J23" s="4245" t="s">
        <v>517</v>
      </c>
      <c r="K23" s="4323"/>
      <c r="L23" s="4305"/>
      <c r="M23" s="4306"/>
      <c r="N23" s="3505" t="s">
        <v>516</v>
      </c>
      <c r="O23" s="3512" t="str">
        <f>IF(G4=0,"o.MwSt.","m. MwSt.")</f>
        <v>o.MwSt.</v>
      </c>
      <c r="P23" s="3362"/>
      <c r="Q23" s="490" t="s">
        <v>542</v>
      </c>
      <c r="R23" s="489" t="s">
        <v>541</v>
      </c>
      <c r="S23" s="487" t="s">
        <v>540</v>
      </c>
      <c r="T23" s="486" t="s">
        <v>349</v>
      </c>
      <c r="U23" s="33"/>
      <c r="V23" s="33"/>
      <c r="W23" s="33"/>
      <c r="X23" s="33"/>
      <c r="Y23" s="33"/>
      <c r="Z23" s="33"/>
      <c r="AA23" s="33"/>
      <c r="AB23" s="33"/>
      <c r="AC23" s="33"/>
      <c r="AD23" s="33"/>
      <c r="AE23" s="33"/>
      <c r="AF23" s="447"/>
      <c r="AG23" s="447"/>
      <c r="AH23" s="447"/>
      <c r="AI23" s="447"/>
      <c r="AJ23" s="447"/>
      <c r="AK23" s="447"/>
      <c r="AL23" s="447"/>
      <c r="AM23" s="447"/>
      <c r="AN23" s="447"/>
      <c r="AO23" s="447"/>
    </row>
    <row r="24" spans="1:41" ht="13.15" customHeight="1">
      <c r="A24" s="2103"/>
      <c r="B24" s="416">
        <v>1</v>
      </c>
      <c r="C24" s="392" t="s">
        <v>515</v>
      </c>
      <c r="D24" s="443">
        <f>'SDK3'!D24</f>
        <v>12</v>
      </c>
      <c r="E24" s="414">
        <v>2</v>
      </c>
      <c r="F24" s="413">
        <f t="shared" ref="F24:F58" si="2">IF(E24=0,0,INDEX($D$11:$E$17,E24,1))</f>
        <v>120</v>
      </c>
      <c r="G24" s="412"/>
      <c r="H24" s="411"/>
      <c r="I24" s="410" t="s">
        <v>168</v>
      </c>
      <c r="J24" s="4324">
        <f t="shared" ref="J24:J29" si="3">IF(I24="x",VLOOKUP(E24,$B$11:$O$16,14,FALSE),IF(H24="x",VLOOKUP(E24,$B$11:$O$16,13,FALSE),IF(G24="x",VLOOKUP(E24,$B$11:$O$16,12,FALSE),0)))</f>
        <v>30.812729411764707</v>
      </c>
      <c r="K24" s="4325"/>
      <c r="L24" s="409"/>
      <c r="M24" s="408"/>
      <c r="N24" s="3596">
        <f>'SDK3'!N24</f>
        <v>1.46</v>
      </c>
      <c r="O24" s="474">
        <f t="shared" ref="O24:O29" si="4">((J24*N24)+D24)*(1+$G$4)</f>
        <v>56.986584941176474</v>
      </c>
      <c r="P24" s="440"/>
      <c r="Q24" s="4298" t="s">
        <v>1965</v>
      </c>
      <c r="R24" s="392" t="s">
        <v>514</v>
      </c>
      <c r="S24" s="392" t="s">
        <v>513</v>
      </c>
      <c r="T24" s="392">
        <v>0</v>
      </c>
      <c r="U24" s="33"/>
      <c r="V24" s="33"/>
      <c r="W24" s="33"/>
      <c r="X24" s="33"/>
      <c r="Y24" s="33"/>
      <c r="Z24" s="33"/>
      <c r="AA24" s="33"/>
      <c r="AB24" s="33"/>
      <c r="AC24" s="33"/>
      <c r="AD24" s="33"/>
      <c r="AE24" s="33"/>
      <c r="AF24" s="447"/>
      <c r="AG24" s="447"/>
      <c r="AH24" s="447"/>
      <c r="AI24" s="447"/>
      <c r="AJ24" s="447"/>
      <c r="AK24" s="447"/>
      <c r="AL24" s="447"/>
      <c r="AM24" s="447"/>
      <c r="AN24" s="447"/>
      <c r="AO24" s="447"/>
    </row>
    <row r="25" spans="1:41" s="440" customFormat="1" ht="13.15" customHeight="1">
      <c r="B25" s="416">
        <v>2</v>
      </c>
      <c r="C25" s="392" t="s">
        <v>512</v>
      </c>
      <c r="D25" s="443">
        <f>'SDK3'!D25</f>
        <v>5</v>
      </c>
      <c r="E25" s="414">
        <v>3</v>
      </c>
      <c r="F25" s="413">
        <f t="shared" si="2"/>
        <v>102</v>
      </c>
      <c r="G25" s="412"/>
      <c r="H25" s="411" t="s">
        <v>168</v>
      </c>
      <c r="I25" s="410"/>
      <c r="J25" s="4324">
        <f t="shared" si="3"/>
        <v>20.143880000000003</v>
      </c>
      <c r="K25" s="4325"/>
      <c r="L25" s="409"/>
      <c r="M25" s="408"/>
      <c r="N25" s="3596">
        <f>'SDK3'!N25</f>
        <v>0.93</v>
      </c>
      <c r="O25" s="474">
        <f t="shared" si="4"/>
        <v>23.733808400000004</v>
      </c>
      <c r="Q25" s="4299"/>
      <c r="R25" s="392" t="s">
        <v>510</v>
      </c>
      <c r="S25" s="392" t="s">
        <v>509</v>
      </c>
      <c r="T25" s="392">
        <v>0</v>
      </c>
      <c r="U25" s="33"/>
      <c r="V25" s="33"/>
      <c r="W25" s="33"/>
      <c r="X25" s="33"/>
      <c r="Y25" s="33"/>
      <c r="Z25" s="33"/>
      <c r="AA25" s="33"/>
      <c r="AB25" s="33"/>
      <c r="AC25" s="33"/>
      <c r="AD25" s="33"/>
      <c r="AE25" s="33"/>
    </row>
    <row r="26" spans="1:41" s="440" customFormat="1" ht="13.15" customHeight="1">
      <c r="B26" s="416">
        <v>3</v>
      </c>
      <c r="C26" s="392" t="s">
        <v>508</v>
      </c>
      <c r="D26" s="443">
        <f>'SDK3'!D26</f>
        <v>5.5</v>
      </c>
      <c r="E26" s="414">
        <v>3</v>
      </c>
      <c r="F26" s="413">
        <f t="shared" si="2"/>
        <v>102</v>
      </c>
      <c r="G26" s="412"/>
      <c r="H26" s="411" t="s">
        <v>168</v>
      </c>
      <c r="I26" s="410"/>
      <c r="J26" s="4324">
        <f t="shared" si="3"/>
        <v>20.143880000000003</v>
      </c>
      <c r="K26" s="4325"/>
      <c r="L26" s="3340"/>
      <c r="M26" s="408"/>
      <c r="N26" s="3596">
        <f>'SDK3'!N26</f>
        <v>0.54</v>
      </c>
      <c r="O26" s="474">
        <f t="shared" si="4"/>
        <v>16.377695200000002</v>
      </c>
      <c r="Q26" s="4299"/>
      <c r="R26" s="392" t="s">
        <v>506</v>
      </c>
      <c r="S26" s="392" t="s">
        <v>505</v>
      </c>
      <c r="T26" s="392">
        <v>0</v>
      </c>
      <c r="U26" s="400"/>
      <c r="V26" s="400"/>
      <c r="W26" s="400"/>
    </row>
    <row r="27" spans="1:41" s="440" customFormat="1" ht="13.15" customHeight="1">
      <c r="B27" s="416"/>
      <c r="C27" s="425" t="s">
        <v>504</v>
      </c>
      <c r="D27" s="443">
        <f>'SDK3'!D27</f>
        <v>4</v>
      </c>
      <c r="E27" s="423">
        <v>4</v>
      </c>
      <c r="F27" s="413">
        <f t="shared" si="2"/>
        <v>83</v>
      </c>
      <c r="G27" s="412"/>
      <c r="H27" s="411" t="s">
        <v>168</v>
      </c>
      <c r="I27" s="410"/>
      <c r="J27" s="4324">
        <f t="shared" si="3"/>
        <v>17.306355966386555</v>
      </c>
      <c r="K27" s="4325"/>
      <c r="L27" s="409"/>
      <c r="M27" s="408"/>
      <c r="N27" s="3596">
        <f>'SDK3'!N27</f>
        <v>0.56999999999999995</v>
      </c>
      <c r="O27" s="474">
        <f t="shared" si="4"/>
        <v>13.864622900840335</v>
      </c>
      <c r="Q27" s="4299"/>
      <c r="R27" s="392" t="s">
        <v>368</v>
      </c>
      <c r="S27" s="392" t="s">
        <v>368</v>
      </c>
      <c r="T27" s="392">
        <v>0</v>
      </c>
      <c r="U27" s="400"/>
      <c r="V27" s="400"/>
      <c r="W27" s="400"/>
    </row>
    <row r="28" spans="1:41" s="440" customFormat="1" ht="13.15" customHeight="1">
      <c r="B28" s="416">
        <v>4</v>
      </c>
      <c r="C28" s="392" t="s">
        <v>500</v>
      </c>
      <c r="D28" s="443">
        <f>'SDK3'!D28</f>
        <v>7</v>
      </c>
      <c r="E28" s="414">
        <v>3</v>
      </c>
      <c r="F28" s="413">
        <f t="shared" si="2"/>
        <v>102</v>
      </c>
      <c r="G28" s="412"/>
      <c r="H28" s="411" t="s">
        <v>168</v>
      </c>
      <c r="I28" s="410"/>
      <c r="J28" s="4324">
        <f t="shared" si="3"/>
        <v>20.143880000000003</v>
      </c>
      <c r="K28" s="4325"/>
      <c r="L28" s="409"/>
      <c r="M28" s="408"/>
      <c r="N28" s="3596">
        <f>'SDK3'!N28</f>
        <v>1.01</v>
      </c>
      <c r="O28" s="474">
        <f t="shared" si="4"/>
        <v>27.345318800000005</v>
      </c>
      <c r="Q28" s="4299"/>
      <c r="R28" s="392" t="s">
        <v>501</v>
      </c>
      <c r="S28" s="392" t="s">
        <v>500</v>
      </c>
      <c r="T28" s="392">
        <v>0</v>
      </c>
      <c r="U28" s="400"/>
      <c r="V28" s="400"/>
      <c r="W28" s="400"/>
      <c r="X28" s="400"/>
      <c r="Y28" s="400"/>
      <c r="Z28" s="400"/>
      <c r="AA28" s="400"/>
      <c r="AB28" s="400"/>
      <c r="AC28" s="400"/>
    </row>
    <row r="29" spans="1:41" s="440" customFormat="1" ht="13.15" customHeight="1">
      <c r="B29" s="416">
        <v>5</v>
      </c>
      <c r="C29" s="392" t="s">
        <v>497</v>
      </c>
      <c r="D29" s="443">
        <f>'SDK3'!D29</f>
        <v>1.5</v>
      </c>
      <c r="E29" s="414">
        <v>5</v>
      </c>
      <c r="F29" s="413">
        <f t="shared" si="2"/>
        <v>83</v>
      </c>
      <c r="G29" s="412" t="s">
        <v>168</v>
      </c>
      <c r="H29" s="411"/>
      <c r="I29" s="410"/>
      <c r="J29" s="4324">
        <f t="shared" si="3"/>
        <v>15.214449176470588</v>
      </c>
      <c r="K29" s="4325"/>
      <c r="L29" s="409"/>
      <c r="M29" s="408"/>
      <c r="N29" s="3596">
        <f>'SDK3'!N29</f>
        <v>0.61</v>
      </c>
      <c r="O29" s="474">
        <f t="shared" si="4"/>
        <v>10.780813997647058</v>
      </c>
      <c r="P29" s="401"/>
      <c r="Q29" s="4299"/>
      <c r="R29" s="392" t="s">
        <v>498</v>
      </c>
      <c r="S29" s="392" t="s">
        <v>497</v>
      </c>
      <c r="T29" s="392">
        <v>0</v>
      </c>
      <c r="U29" s="400"/>
      <c r="V29" s="400"/>
      <c r="W29" s="400"/>
    </row>
    <row r="30" spans="1:41" ht="6" customHeight="1">
      <c r="A30" s="406"/>
      <c r="B30" s="416">
        <v>6</v>
      </c>
      <c r="C30" s="392"/>
      <c r="D30" s="443"/>
      <c r="E30" s="414"/>
      <c r="F30" s="413"/>
      <c r="G30" s="412"/>
      <c r="H30" s="411"/>
      <c r="I30" s="410"/>
      <c r="J30" s="4324"/>
      <c r="K30" s="4325"/>
      <c r="L30" s="409"/>
      <c r="M30" s="408"/>
      <c r="N30" s="3596"/>
      <c r="O30" s="474"/>
      <c r="Q30" s="4299"/>
      <c r="R30" s="392"/>
      <c r="S30" s="392"/>
      <c r="T30" s="392"/>
      <c r="U30" s="400"/>
      <c r="V30" s="400"/>
      <c r="W30" s="400"/>
      <c r="AH30" s="400"/>
      <c r="AI30" s="400"/>
      <c r="AJ30" s="400"/>
    </row>
    <row r="31" spans="1:41" ht="12.75">
      <c r="A31" s="440"/>
      <c r="B31" s="416">
        <v>7</v>
      </c>
      <c r="C31" s="392" t="s">
        <v>493</v>
      </c>
      <c r="D31" s="443">
        <f>'SDK3'!D32</f>
        <v>9.5</v>
      </c>
      <c r="E31" s="414">
        <v>2</v>
      </c>
      <c r="F31" s="413">
        <f t="shared" si="2"/>
        <v>120</v>
      </c>
      <c r="G31" s="412"/>
      <c r="H31" s="411" t="s">
        <v>168</v>
      </c>
      <c r="I31" s="410"/>
      <c r="J31" s="4324">
        <f t="shared" ref="J31:J77" si="5">IF(I31="x",VLOOKUP(E31,$B$11:$O$16,14,FALSE),IF(H31="x",VLOOKUP(E31,$B$11:$O$16,13,FALSE),IF(G31="x",VLOOKUP(E31,$B$11:$O$16,12,FALSE),0)))</f>
        <v>23.37515294117647</v>
      </c>
      <c r="K31" s="4325"/>
      <c r="L31" s="409"/>
      <c r="M31" s="408"/>
      <c r="N31" s="3596">
        <f>'SDK3'!N32</f>
        <v>1.03</v>
      </c>
      <c r="O31" s="474">
        <f t="shared" ref="O31:O38" si="6">((J31*N31)+D31)*(1+$G$4)</f>
        <v>33.576407529411767</v>
      </c>
      <c r="Q31" s="4299"/>
      <c r="R31" s="392" t="s">
        <v>491</v>
      </c>
      <c r="S31" s="392" t="s">
        <v>490</v>
      </c>
      <c r="T31" s="392">
        <v>0</v>
      </c>
      <c r="U31" s="400"/>
      <c r="V31" s="400"/>
      <c r="W31" s="400"/>
    </row>
    <row r="32" spans="1:41" ht="13.15" customHeight="1">
      <c r="A32" s="440"/>
      <c r="B32" s="416">
        <v>8</v>
      </c>
      <c r="C32" s="392" t="s">
        <v>489</v>
      </c>
      <c r="D32" s="443">
        <f>'SDK3'!D33</f>
        <v>14.5</v>
      </c>
      <c r="E32" s="414">
        <v>2</v>
      </c>
      <c r="F32" s="413">
        <f t="shared" si="2"/>
        <v>120</v>
      </c>
      <c r="G32" s="412"/>
      <c r="H32" s="411" t="s">
        <v>168</v>
      </c>
      <c r="I32" s="410"/>
      <c r="J32" s="4324">
        <f t="shared" si="5"/>
        <v>23.37515294117647</v>
      </c>
      <c r="K32" s="4325"/>
      <c r="L32" s="409"/>
      <c r="M32" s="408"/>
      <c r="N32" s="3596">
        <f>'SDK3'!N33</f>
        <v>1.1399999999999999</v>
      </c>
      <c r="O32" s="474">
        <f t="shared" si="6"/>
        <v>41.147674352941173</v>
      </c>
      <c r="Q32" s="4299"/>
      <c r="R32" s="392" t="s">
        <v>487</v>
      </c>
      <c r="S32" s="392" t="s">
        <v>486</v>
      </c>
      <c r="T32" s="392">
        <v>0</v>
      </c>
      <c r="U32" s="400"/>
      <c r="V32" s="400"/>
      <c r="W32" s="400"/>
      <c r="AH32" s="400"/>
      <c r="AI32" s="400"/>
      <c r="AJ32" s="400"/>
    </row>
    <row r="33" spans="1:36" ht="13.15" customHeight="1">
      <c r="A33" s="440"/>
      <c r="B33" s="416">
        <v>9</v>
      </c>
      <c r="C33" s="392" t="s">
        <v>485</v>
      </c>
      <c r="D33" s="443">
        <f>'SDK3'!D34</f>
        <v>2.5</v>
      </c>
      <c r="E33" s="414">
        <v>6</v>
      </c>
      <c r="F33" s="413">
        <f t="shared" si="2"/>
        <v>54</v>
      </c>
      <c r="G33" s="412"/>
      <c r="H33" s="411" t="s">
        <v>168</v>
      </c>
      <c r="I33" s="410"/>
      <c r="J33" s="4324">
        <f t="shared" si="5"/>
        <v>12.793818823529412</v>
      </c>
      <c r="K33" s="4325"/>
      <c r="L33" s="409"/>
      <c r="M33" s="408"/>
      <c r="N33" s="3596">
        <f>'SDK3'!N34</f>
        <v>0.81</v>
      </c>
      <c r="O33" s="474">
        <f t="shared" si="6"/>
        <v>12.862993247058824</v>
      </c>
      <c r="Q33" s="4299"/>
      <c r="R33" s="392" t="s">
        <v>484</v>
      </c>
      <c r="S33" s="392" t="s">
        <v>483</v>
      </c>
      <c r="T33" s="392">
        <v>0</v>
      </c>
      <c r="U33" s="400"/>
      <c r="V33" s="400"/>
      <c r="W33" s="400"/>
      <c r="AH33" s="400"/>
      <c r="AI33" s="400"/>
      <c r="AJ33" s="400"/>
    </row>
    <row r="34" spans="1:36" ht="13.15" customHeight="1">
      <c r="A34" s="440"/>
      <c r="B34" s="416">
        <v>10</v>
      </c>
      <c r="C34" s="392" t="s">
        <v>482</v>
      </c>
      <c r="D34" s="443">
        <f>'SDK3'!D35</f>
        <v>8</v>
      </c>
      <c r="E34" s="414">
        <v>5</v>
      </c>
      <c r="F34" s="413">
        <f t="shared" si="2"/>
        <v>83</v>
      </c>
      <c r="G34" s="412" t="s">
        <v>168</v>
      </c>
      <c r="H34" s="411"/>
      <c r="I34" s="410"/>
      <c r="J34" s="4324">
        <f t="shared" si="5"/>
        <v>15.214449176470588</v>
      </c>
      <c r="K34" s="4325"/>
      <c r="L34" s="409"/>
      <c r="M34" s="408"/>
      <c r="N34" s="3596">
        <f>'SDK3'!N35</f>
        <v>0.8</v>
      </c>
      <c r="O34" s="474">
        <f t="shared" si="6"/>
        <v>20.171559341176469</v>
      </c>
      <c r="Q34" s="4299"/>
      <c r="R34" s="392" t="s">
        <v>480</v>
      </c>
      <c r="S34" s="392" t="s">
        <v>479</v>
      </c>
      <c r="T34" s="392">
        <v>0</v>
      </c>
      <c r="U34" s="400"/>
      <c r="V34" s="400"/>
      <c r="W34" s="400"/>
      <c r="AH34" s="400"/>
      <c r="AI34" s="400"/>
      <c r="AJ34" s="400"/>
    </row>
    <row r="35" spans="1:36" ht="13.15" customHeight="1">
      <c r="A35" s="440"/>
      <c r="B35" s="416">
        <v>11</v>
      </c>
      <c r="C35" s="392" t="s">
        <v>478</v>
      </c>
      <c r="D35" s="443">
        <f>'SDK3'!D36</f>
        <v>8</v>
      </c>
      <c r="E35" s="414">
        <v>5</v>
      </c>
      <c r="F35" s="413">
        <f t="shared" si="2"/>
        <v>83</v>
      </c>
      <c r="G35" s="412" t="s">
        <v>168</v>
      </c>
      <c r="H35" s="411"/>
      <c r="I35" s="410"/>
      <c r="J35" s="4324">
        <f t="shared" si="5"/>
        <v>15.214449176470588</v>
      </c>
      <c r="K35" s="4325"/>
      <c r="L35" s="409"/>
      <c r="M35" s="408"/>
      <c r="N35" s="3596">
        <f>'SDK3'!N36</f>
        <v>0.98</v>
      </c>
      <c r="O35" s="474">
        <f t="shared" si="6"/>
        <v>22.910160192941177</v>
      </c>
      <c r="Q35" s="4299"/>
      <c r="R35" s="392" t="s">
        <v>476</v>
      </c>
      <c r="S35" s="392" t="s">
        <v>475</v>
      </c>
      <c r="T35" s="392">
        <v>0</v>
      </c>
      <c r="U35" s="400"/>
      <c r="V35" s="400"/>
      <c r="W35" s="400"/>
      <c r="AH35" s="400"/>
      <c r="AI35" s="400"/>
      <c r="AJ35" s="400"/>
    </row>
    <row r="36" spans="1:36" ht="13.15" customHeight="1">
      <c r="A36" s="440"/>
      <c r="B36" s="416"/>
      <c r="C36" s="392" t="s">
        <v>474</v>
      </c>
      <c r="D36" s="443">
        <f>'SDK3'!D36</f>
        <v>8</v>
      </c>
      <c r="E36" s="414">
        <v>5</v>
      </c>
      <c r="F36" s="413">
        <f t="shared" si="2"/>
        <v>83</v>
      </c>
      <c r="G36" s="412" t="s">
        <v>168</v>
      </c>
      <c r="H36" s="411"/>
      <c r="I36" s="410"/>
      <c r="J36" s="4324">
        <f>IF(I36="x",VLOOKUP(E36,$B$11:$O$16,14,FALSE),IF(H36="x",VLOOKUP(E36,$B$11:$O$16,13,FALSE),IF(G36="x",VLOOKUP(E36,$B$11:$O$16,12,FALSE),0)))</f>
        <v>15.214449176470588</v>
      </c>
      <c r="K36" s="4325"/>
      <c r="L36" s="409"/>
      <c r="M36" s="408"/>
      <c r="N36" s="3596">
        <f>'SDK3'!N36</f>
        <v>0.98</v>
      </c>
      <c r="O36" s="474"/>
      <c r="Q36" s="4299"/>
      <c r="R36" s="392"/>
      <c r="S36" s="392"/>
      <c r="T36" s="392"/>
      <c r="U36" s="3692"/>
      <c r="V36" s="3692"/>
      <c r="W36" s="3692"/>
      <c r="AH36" s="3692"/>
      <c r="AI36" s="3692"/>
      <c r="AJ36" s="3692"/>
    </row>
    <row r="37" spans="1:36" ht="13.15" customHeight="1">
      <c r="A37" s="442"/>
      <c r="B37" s="416">
        <v>12</v>
      </c>
      <c r="C37" s="392" t="s">
        <v>468</v>
      </c>
      <c r="D37" s="443">
        <f>'SDK3'!D37</f>
        <v>8</v>
      </c>
      <c r="E37" s="414">
        <v>3</v>
      </c>
      <c r="F37" s="413">
        <f t="shared" si="2"/>
        <v>102</v>
      </c>
      <c r="G37" s="412"/>
      <c r="H37" s="411" t="s">
        <v>168</v>
      </c>
      <c r="I37" s="410"/>
      <c r="J37" s="4324">
        <f t="shared" si="5"/>
        <v>20.143880000000003</v>
      </c>
      <c r="K37" s="4325"/>
      <c r="L37" s="409"/>
      <c r="M37" s="408"/>
      <c r="N37" s="3596">
        <f>'SDK3'!N37</f>
        <v>0.53</v>
      </c>
      <c r="O37" s="474">
        <f t="shared" si="6"/>
        <v>18.6762564</v>
      </c>
      <c r="Q37" s="4299"/>
      <c r="R37" s="392" t="s">
        <v>472</v>
      </c>
      <c r="S37" s="392" t="s">
        <v>471</v>
      </c>
      <c r="T37" s="392">
        <v>0</v>
      </c>
      <c r="U37" s="400"/>
      <c r="V37" s="400"/>
      <c r="W37" s="400"/>
      <c r="AH37" s="400"/>
      <c r="AI37" s="400"/>
      <c r="AJ37" s="400"/>
    </row>
    <row r="38" spans="1:36" ht="13.15" customHeight="1">
      <c r="A38" s="409"/>
      <c r="B38" s="416">
        <v>13</v>
      </c>
      <c r="C38" s="392" t="s">
        <v>2053</v>
      </c>
      <c r="D38" s="443">
        <v>2.5</v>
      </c>
      <c r="E38" s="414">
        <v>6</v>
      </c>
      <c r="F38" s="413">
        <f t="shared" si="2"/>
        <v>54</v>
      </c>
      <c r="G38" s="412"/>
      <c r="H38" s="411" t="s">
        <v>168</v>
      </c>
      <c r="I38" s="410"/>
      <c r="J38" s="4324">
        <f t="shared" si="5"/>
        <v>12.793818823529412</v>
      </c>
      <c r="K38" s="4325"/>
      <c r="L38" s="409"/>
      <c r="M38" s="408"/>
      <c r="N38" s="3596">
        <v>0.93</v>
      </c>
      <c r="O38" s="474">
        <f t="shared" si="6"/>
        <v>14.398251505882353</v>
      </c>
      <c r="Q38" s="4299"/>
      <c r="R38" s="392" t="s">
        <v>469</v>
      </c>
      <c r="S38" s="392" t="s">
        <v>468</v>
      </c>
      <c r="T38" s="392">
        <v>0</v>
      </c>
      <c r="U38" s="400"/>
      <c r="V38" s="400"/>
      <c r="W38" s="400"/>
      <c r="AH38" s="400"/>
      <c r="AI38" s="400"/>
      <c r="AJ38" s="400"/>
    </row>
    <row r="39" spans="1:36" ht="6" customHeight="1">
      <c r="A39" s="406"/>
      <c r="B39" s="416">
        <v>14</v>
      </c>
      <c r="C39" s="392"/>
      <c r="D39" s="443"/>
      <c r="E39" s="414"/>
      <c r="F39" s="413"/>
      <c r="G39" s="412"/>
      <c r="H39" s="411"/>
      <c r="I39" s="410"/>
      <c r="J39" s="4324"/>
      <c r="K39" s="4325"/>
      <c r="L39" s="409"/>
      <c r="M39" s="408"/>
      <c r="N39" s="3596"/>
      <c r="O39" s="474"/>
      <c r="Q39" s="4299"/>
      <c r="R39" s="392"/>
      <c r="S39" s="392"/>
      <c r="T39" s="392"/>
      <c r="U39" s="400"/>
      <c r="V39" s="400"/>
      <c r="W39" s="400"/>
      <c r="AH39" s="400"/>
      <c r="AI39" s="400"/>
      <c r="AJ39" s="400"/>
    </row>
    <row r="40" spans="1:36" ht="13.15" customHeight="1">
      <c r="A40" s="440"/>
      <c r="B40" s="416">
        <v>15</v>
      </c>
      <c r="C40" s="392" t="s">
        <v>467</v>
      </c>
      <c r="D40" s="443">
        <f>'SDK3'!D40</f>
        <v>0.15</v>
      </c>
      <c r="E40" s="414">
        <v>4</v>
      </c>
      <c r="F40" s="413">
        <f t="shared" si="2"/>
        <v>83</v>
      </c>
      <c r="G40" s="412" t="s">
        <v>168</v>
      </c>
      <c r="H40" s="411"/>
      <c r="I40" s="410"/>
      <c r="J40" s="4324">
        <f t="shared" si="5"/>
        <v>14.214449176470588</v>
      </c>
      <c r="K40" s="4325"/>
      <c r="L40" s="409"/>
      <c r="M40" s="408"/>
      <c r="N40" s="3596">
        <f>'SDK3'!N40</f>
        <v>0.32</v>
      </c>
      <c r="O40" s="474">
        <f t="shared" ref="O40:O51" si="7">((J40*N40)+D40)*(1+$G$4)</f>
        <v>4.6986237364705881</v>
      </c>
      <c r="Q40" s="4299"/>
      <c r="R40" s="392" t="s">
        <v>464</v>
      </c>
      <c r="S40" s="392" t="s">
        <v>463</v>
      </c>
      <c r="T40" s="392">
        <v>0</v>
      </c>
      <c r="U40" s="400"/>
      <c r="V40" s="400"/>
      <c r="W40" s="400"/>
      <c r="AH40" s="400"/>
      <c r="AI40" s="400"/>
      <c r="AJ40" s="400"/>
    </row>
    <row r="41" spans="1:36" ht="13.15" customHeight="1">
      <c r="A41" s="440"/>
      <c r="B41" s="416">
        <v>16</v>
      </c>
      <c r="C41" s="425" t="s">
        <v>462</v>
      </c>
      <c r="D41" s="3595">
        <f>'SDK3'!D42</f>
        <v>8.1999999999999993</v>
      </c>
      <c r="E41" s="423">
        <v>3</v>
      </c>
      <c r="F41" s="413">
        <f t="shared" si="2"/>
        <v>102</v>
      </c>
      <c r="G41" s="422" t="s">
        <v>168</v>
      </c>
      <c r="H41" s="421"/>
      <c r="I41" s="420"/>
      <c r="J41" s="4324">
        <f t="shared" si="5"/>
        <v>16.350715999999998</v>
      </c>
      <c r="K41" s="4325"/>
      <c r="L41" s="409"/>
      <c r="M41" s="408"/>
      <c r="N41" s="3597">
        <f>'SDK3'!N42</f>
        <v>1.52</v>
      </c>
      <c r="O41" s="474">
        <f t="shared" si="7"/>
        <v>33.053088320000001</v>
      </c>
      <c r="Q41" s="4299"/>
      <c r="R41" s="392" t="s">
        <v>368</v>
      </c>
      <c r="S41" s="392" t="s">
        <v>368</v>
      </c>
      <c r="T41" s="392">
        <v>0</v>
      </c>
      <c r="U41" s="400"/>
      <c r="V41" s="400"/>
      <c r="W41" s="400"/>
      <c r="AH41" s="400"/>
      <c r="AI41" s="400"/>
      <c r="AJ41" s="400"/>
    </row>
    <row r="42" spans="1:36" ht="13.15" customHeight="1">
      <c r="A42" s="440"/>
      <c r="B42" s="416">
        <v>19</v>
      </c>
      <c r="C42" s="425" t="s">
        <v>460</v>
      </c>
      <c r="D42" s="3595">
        <f>'SDK3'!D43</f>
        <v>7</v>
      </c>
      <c r="E42" s="423">
        <v>3</v>
      </c>
      <c r="F42" s="413">
        <f t="shared" si="2"/>
        <v>102</v>
      </c>
      <c r="G42" s="422" t="s">
        <v>168</v>
      </c>
      <c r="H42" s="421"/>
      <c r="I42" s="420"/>
      <c r="J42" s="4324">
        <f t="shared" si="5"/>
        <v>16.350715999999998</v>
      </c>
      <c r="K42" s="4325"/>
      <c r="L42" s="409"/>
      <c r="M42" s="408"/>
      <c r="N42" s="3597">
        <f>'SDK3'!N43</f>
        <v>0.86</v>
      </c>
      <c r="O42" s="474">
        <f t="shared" si="7"/>
        <v>21.061615759999999</v>
      </c>
      <c r="Q42" s="4299"/>
      <c r="R42" s="392" t="s">
        <v>368</v>
      </c>
      <c r="S42" s="392" t="s">
        <v>368</v>
      </c>
      <c r="T42" s="392">
        <v>0</v>
      </c>
      <c r="U42" s="400"/>
      <c r="V42" s="400"/>
      <c r="W42" s="400"/>
    </row>
    <row r="43" spans="1:36" ht="13.15" customHeight="1">
      <c r="A43" s="440"/>
      <c r="B43" s="416"/>
      <c r="C43" s="392" t="s">
        <v>2055</v>
      </c>
      <c r="D43" s="3595">
        <v>1.5</v>
      </c>
      <c r="E43" s="423">
        <v>6</v>
      </c>
      <c r="F43" s="413">
        <f t="shared" si="2"/>
        <v>54</v>
      </c>
      <c r="G43" s="422" t="s">
        <v>168</v>
      </c>
      <c r="H43" s="421"/>
      <c r="I43" s="420"/>
      <c r="J43" s="4324">
        <f>IF(I43="x",VLOOKUP(E43,$B$11:$O$16,14,FALSE),IF(H43="x",VLOOKUP(E43,$B$11:$O$16,13,FALSE),IF(G43="x",VLOOKUP(E43,$B$11:$O$16,12,FALSE),0)))</f>
        <v>10.785673176470588</v>
      </c>
      <c r="K43" s="4325"/>
      <c r="L43" s="409"/>
      <c r="M43" s="408"/>
      <c r="N43" s="3597">
        <v>1.39</v>
      </c>
      <c r="O43" s="474">
        <f t="shared" si="7"/>
        <v>16.492085715294117</v>
      </c>
      <c r="Q43" s="4299"/>
      <c r="R43" s="392"/>
      <c r="S43" s="392"/>
      <c r="T43" s="392"/>
      <c r="U43" s="3692"/>
      <c r="V43" s="3692"/>
      <c r="W43" s="3692"/>
    </row>
    <row r="44" spans="1:36" ht="14.45" customHeight="1">
      <c r="A44" s="440"/>
      <c r="B44" s="416">
        <v>20</v>
      </c>
      <c r="C44" s="425" t="s">
        <v>1507</v>
      </c>
      <c r="D44" s="3595">
        <f>'SDK3'!D44</f>
        <v>0.52</v>
      </c>
      <c r="E44" s="423">
        <v>4</v>
      </c>
      <c r="F44" s="413">
        <f t="shared" si="2"/>
        <v>83</v>
      </c>
      <c r="G44" s="422" t="s">
        <v>168</v>
      </c>
      <c r="H44" s="421"/>
      <c r="I44" s="420"/>
      <c r="J44" s="4324">
        <f t="shared" si="5"/>
        <v>14.214449176470588</v>
      </c>
      <c r="K44" s="4325"/>
      <c r="L44" s="409"/>
      <c r="M44" s="408"/>
      <c r="N44" s="3597">
        <f>'SDK3'!N44</f>
        <v>0.23</v>
      </c>
      <c r="O44" s="474">
        <f t="shared" si="7"/>
        <v>3.7893233105882351</v>
      </c>
      <c r="Q44" s="4299"/>
      <c r="R44" s="392" t="s">
        <v>368</v>
      </c>
      <c r="S44" s="392" t="s">
        <v>368</v>
      </c>
      <c r="T44" s="392" t="s">
        <v>368</v>
      </c>
      <c r="U44" s="400"/>
      <c r="V44" s="400"/>
      <c r="W44" s="400"/>
    </row>
    <row r="45" spans="1:36" ht="6" hidden="1" customHeight="1">
      <c r="A45" s="406"/>
      <c r="B45" s="416">
        <v>21</v>
      </c>
      <c r="C45" s="425"/>
      <c r="D45" s="3595"/>
      <c r="E45" s="423"/>
      <c r="F45" s="413">
        <f t="shared" si="2"/>
        <v>0</v>
      </c>
      <c r="G45" s="422"/>
      <c r="H45" s="421"/>
      <c r="I45" s="420"/>
      <c r="J45" s="4324">
        <f t="shared" si="5"/>
        <v>0</v>
      </c>
      <c r="K45" s="4325"/>
      <c r="L45" s="409"/>
      <c r="M45" s="408"/>
      <c r="N45" s="3597"/>
      <c r="O45" s="474">
        <f t="shared" si="7"/>
        <v>0</v>
      </c>
      <c r="Q45" s="4299"/>
      <c r="R45" s="392"/>
      <c r="S45" s="392"/>
      <c r="T45" s="392"/>
      <c r="U45" s="400"/>
      <c r="V45" s="400"/>
      <c r="W45" s="400"/>
      <c r="AH45" s="400"/>
      <c r="AI45" s="400"/>
      <c r="AJ45" s="400"/>
    </row>
    <row r="46" spans="1:36" ht="13.15" customHeight="1">
      <c r="A46" s="409"/>
      <c r="B46" s="416">
        <v>22</v>
      </c>
      <c r="C46" s="392" t="s">
        <v>456</v>
      </c>
      <c r="D46" s="443">
        <f>'SDK3'!D46</f>
        <v>0.65</v>
      </c>
      <c r="E46" s="414">
        <v>4</v>
      </c>
      <c r="F46" s="413">
        <f t="shared" si="2"/>
        <v>83</v>
      </c>
      <c r="G46" s="412" t="s">
        <v>168</v>
      </c>
      <c r="H46" s="411"/>
      <c r="I46" s="410"/>
      <c r="J46" s="4324">
        <f t="shared" si="5"/>
        <v>14.214449176470588</v>
      </c>
      <c r="K46" s="4325"/>
      <c r="L46" s="409"/>
      <c r="M46" s="408"/>
      <c r="N46" s="3596">
        <f>'SDK3'!N46</f>
        <v>0.36</v>
      </c>
      <c r="O46" s="474">
        <f t="shared" si="7"/>
        <v>5.7672017035294116</v>
      </c>
      <c r="Q46" s="4299"/>
      <c r="R46" s="392" t="s">
        <v>455</v>
      </c>
      <c r="S46" s="392" t="s">
        <v>454</v>
      </c>
      <c r="T46" s="392">
        <v>0</v>
      </c>
      <c r="U46" s="400"/>
      <c r="V46" s="400"/>
      <c r="W46" s="400"/>
      <c r="AH46" s="400"/>
      <c r="AI46" s="400"/>
      <c r="AJ46" s="400"/>
    </row>
    <row r="47" spans="1:36" ht="13.15" customHeight="1">
      <c r="A47" s="409"/>
      <c r="B47" s="416">
        <v>23</v>
      </c>
      <c r="C47" s="392" t="s">
        <v>450</v>
      </c>
      <c r="D47" s="443">
        <f>'SDK3'!D48</f>
        <v>2.9</v>
      </c>
      <c r="E47" s="414">
        <v>4</v>
      </c>
      <c r="F47" s="413">
        <f t="shared" si="2"/>
        <v>83</v>
      </c>
      <c r="G47" s="412"/>
      <c r="H47" s="411" t="s">
        <v>168</v>
      </c>
      <c r="I47" s="410"/>
      <c r="J47" s="4324">
        <f t="shared" si="5"/>
        <v>17.306355966386555</v>
      </c>
      <c r="K47" s="4325"/>
      <c r="L47" s="409"/>
      <c r="M47" s="408"/>
      <c r="N47" s="3596">
        <f>'SDK3'!N48</f>
        <v>1.19</v>
      </c>
      <c r="O47" s="474">
        <f t="shared" si="7"/>
        <v>23.494563599999999</v>
      </c>
      <c r="Q47" s="4299"/>
      <c r="R47" s="392" t="s">
        <v>448</v>
      </c>
      <c r="S47" s="392" t="s">
        <v>447</v>
      </c>
      <c r="T47" s="392">
        <v>0</v>
      </c>
      <c r="U47" s="400"/>
      <c r="V47" s="400"/>
      <c r="W47" s="400"/>
      <c r="AH47" s="400"/>
      <c r="AI47" s="400"/>
      <c r="AJ47" s="400"/>
    </row>
    <row r="48" spans="1:36" ht="13.15" customHeight="1">
      <c r="A48" s="409"/>
      <c r="B48" s="416">
        <v>24</v>
      </c>
      <c r="C48" s="425" t="s">
        <v>446</v>
      </c>
      <c r="D48" s="3595">
        <f>'SDK3'!D49</f>
        <v>0.15</v>
      </c>
      <c r="E48" s="423">
        <v>6</v>
      </c>
      <c r="F48" s="413">
        <f t="shared" si="2"/>
        <v>54</v>
      </c>
      <c r="G48" s="422" t="s">
        <v>168</v>
      </c>
      <c r="H48" s="421"/>
      <c r="I48" s="420"/>
      <c r="J48" s="4324">
        <f t="shared" si="5"/>
        <v>10.785673176470588</v>
      </c>
      <c r="K48" s="4325"/>
      <c r="L48" s="409"/>
      <c r="M48" s="408"/>
      <c r="N48" s="3596">
        <f>'SDK3'!N49</f>
        <v>0.15</v>
      </c>
      <c r="O48" s="474">
        <f t="shared" si="7"/>
        <v>1.7678509764705881</v>
      </c>
      <c r="Q48" s="4299"/>
      <c r="R48" s="392" t="s">
        <v>368</v>
      </c>
      <c r="S48" s="392" t="s">
        <v>368</v>
      </c>
      <c r="T48" s="392">
        <v>0</v>
      </c>
      <c r="U48" s="400"/>
      <c r="V48" s="400"/>
      <c r="W48" s="400"/>
      <c r="AH48" s="400"/>
      <c r="AI48" s="400"/>
      <c r="AJ48" s="400"/>
    </row>
    <row r="49" spans="1:36" ht="13.15" customHeight="1">
      <c r="A49" s="409"/>
      <c r="B49" s="416">
        <v>25</v>
      </c>
      <c r="C49" s="392" t="s">
        <v>444</v>
      </c>
      <c r="D49" s="3595">
        <f>'SDK3'!D50</f>
        <v>2</v>
      </c>
      <c r="E49" s="414">
        <v>4</v>
      </c>
      <c r="F49" s="413">
        <f t="shared" si="2"/>
        <v>83</v>
      </c>
      <c r="G49" s="412" t="s">
        <v>168</v>
      </c>
      <c r="H49" s="411"/>
      <c r="I49" s="410"/>
      <c r="J49" s="4324">
        <f t="shared" si="5"/>
        <v>14.214449176470588</v>
      </c>
      <c r="K49" s="4325"/>
      <c r="L49" s="409"/>
      <c r="M49" s="408"/>
      <c r="N49" s="3596">
        <f>'SDK3'!N50</f>
        <v>0.27</v>
      </c>
      <c r="O49" s="474">
        <f t="shared" si="7"/>
        <v>5.8379012776470587</v>
      </c>
      <c r="Q49" s="4299"/>
      <c r="R49" s="392" t="s">
        <v>443</v>
      </c>
      <c r="S49" s="392" t="s">
        <v>442</v>
      </c>
      <c r="T49" s="392">
        <v>0</v>
      </c>
      <c r="U49" s="400"/>
      <c r="V49" s="400"/>
      <c r="W49" s="400"/>
      <c r="AH49" s="400"/>
      <c r="AI49" s="400"/>
      <c r="AJ49" s="400"/>
    </row>
    <row r="50" spans="1:36" ht="13.15" customHeight="1">
      <c r="A50" s="409"/>
      <c r="B50" s="416"/>
      <c r="C50" s="392" t="s">
        <v>2054</v>
      </c>
      <c r="D50" s="3595">
        <v>5</v>
      </c>
      <c r="E50" s="414">
        <v>6</v>
      </c>
      <c r="F50" s="413">
        <f t="shared" si="2"/>
        <v>54</v>
      </c>
      <c r="G50" s="412" t="s">
        <v>168</v>
      </c>
      <c r="H50" s="411"/>
      <c r="I50" s="410"/>
      <c r="J50" s="4324">
        <f>IF(I50="x",VLOOKUP(E50,$B$11:$O$16,14,FALSE),IF(H50="x",VLOOKUP(E50,$B$11:$O$16,13,FALSE),IF(G50="x",VLOOKUP(E50,$B$11:$O$16,12,FALSE),0)))</f>
        <v>10.785673176470588</v>
      </c>
      <c r="K50" s="4325"/>
      <c r="L50" s="409"/>
      <c r="M50" s="408"/>
      <c r="N50" s="3596">
        <v>1.26</v>
      </c>
      <c r="O50" s="474"/>
      <c r="Q50" s="4299"/>
      <c r="R50" s="392"/>
      <c r="S50" s="392"/>
      <c r="T50" s="392"/>
      <c r="U50" s="3692"/>
      <c r="V50" s="3692"/>
      <c r="W50" s="3692"/>
      <c r="AH50" s="3692"/>
      <c r="AI50" s="3692"/>
      <c r="AJ50" s="3692"/>
    </row>
    <row r="51" spans="1:36" ht="13.15" customHeight="1">
      <c r="A51" s="409"/>
      <c r="B51" s="416">
        <v>26</v>
      </c>
      <c r="C51" s="392" t="s">
        <v>441</v>
      </c>
      <c r="D51" s="3595">
        <f>'SDK3'!D51</f>
        <v>3</v>
      </c>
      <c r="E51" s="414">
        <v>6</v>
      </c>
      <c r="F51" s="413">
        <f t="shared" si="2"/>
        <v>54</v>
      </c>
      <c r="G51" s="412"/>
      <c r="H51" s="411" t="s">
        <v>168</v>
      </c>
      <c r="I51" s="410"/>
      <c r="J51" s="4324">
        <f t="shared" si="5"/>
        <v>12.793818823529412</v>
      </c>
      <c r="K51" s="4325"/>
      <c r="L51" s="409"/>
      <c r="M51" s="408"/>
      <c r="N51" s="3596">
        <f>'SDK3'!N51</f>
        <v>1.1100000000000001</v>
      </c>
      <c r="O51" s="474">
        <f t="shared" si="7"/>
        <v>17.201138894117648</v>
      </c>
      <c r="Q51" s="4299"/>
      <c r="R51" s="392" t="s">
        <v>169</v>
      </c>
      <c r="S51" s="392" t="s">
        <v>439</v>
      </c>
      <c r="T51" s="392">
        <v>0</v>
      </c>
      <c r="U51" s="400"/>
      <c r="V51" s="400"/>
      <c r="W51" s="400"/>
      <c r="AH51" s="400"/>
      <c r="AI51" s="400"/>
      <c r="AJ51" s="400"/>
    </row>
    <row r="52" spans="1:36" ht="6" customHeight="1">
      <c r="A52" s="406"/>
      <c r="B52" s="416">
        <v>27</v>
      </c>
      <c r="C52" s="392"/>
      <c r="D52" s="443"/>
      <c r="E52" s="414"/>
      <c r="F52" s="413"/>
      <c r="G52" s="412"/>
      <c r="H52" s="411"/>
      <c r="I52" s="410"/>
      <c r="J52" s="4324"/>
      <c r="K52" s="4325"/>
      <c r="L52" s="409"/>
      <c r="M52" s="408"/>
      <c r="N52" s="3596"/>
      <c r="O52" s="474"/>
      <c r="Q52" s="4299"/>
      <c r="R52" s="392"/>
      <c r="S52" s="392"/>
      <c r="T52" s="392"/>
      <c r="U52" s="400"/>
      <c r="V52" s="400"/>
      <c r="W52" s="400"/>
      <c r="AH52" s="400"/>
      <c r="AI52" s="400"/>
      <c r="AJ52" s="400"/>
    </row>
    <row r="53" spans="1:36" ht="13.15" customHeight="1">
      <c r="A53" s="409"/>
      <c r="B53" s="416">
        <v>28</v>
      </c>
      <c r="C53" s="392" t="s">
        <v>438</v>
      </c>
      <c r="D53" s="443">
        <f>'SDK3'!D53</f>
        <v>0</v>
      </c>
      <c r="E53" s="414">
        <v>2</v>
      </c>
      <c r="F53" s="413">
        <f t="shared" si="2"/>
        <v>120</v>
      </c>
      <c r="G53" s="412" t="s">
        <v>168</v>
      </c>
      <c r="H53" s="411"/>
      <c r="I53" s="410"/>
      <c r="J53" s="4324">
        <f t="shared" si="5"/>
        <v>18.912607058823529</v>
      </c>
      <c r="K53" s="4325"/>
      <c r="L53" s="409"/>
      <c r="M53" s="408"/>
      <c r="N53" s="3596">
        <f>'SDK3'!N53</f>
        <v>2.13</v>
      </c>
      <c r="O53" s="474">
        <f>((J53*N53)+D53)*(1+$G$4)</f>
        <v>40.283853035294115</v>
      </c>
      <c r="Q53" s="4299"/>
      <c r="R53" s="392">
        <v>0</v>
      </c>
      <c r="S53" s="392">
        <v>0</v>
      </c>
      <c r="T53" s="392">
        <v>0</v>
      </c>
      <c r="U53" s="400"/>
      <c r="V53" s="400"/>
      <c r="W53" s="400"/>
      <c r="AH53" s="400"/>
      <c r="AI53" s="400"/>
      <c r="AJ53" s="400"/>
    </row>
    <row r="54" spans="1:36" ht="13.15" customHeight="1">
      <c r="A54" s="409"/>
      <c r="B54" s="416">
        <v>29</v>
      </c>
      <c r="C54" s="425" t="s">
        <v>437</v>
      </c>
      <c r="D54" s="443">
        <f>'SDK3'!D54</f>
        <v>68</v>
      </c>
      <c r="E54" s="423">
        <v>4</v>
      </c>
      <c r="F54" s="413">
        <f t="shared" si="2"/>
        <v>83</v>
      </c>
      <c r="G54" s="422" t="s">
        <v>168</v>
      </c>
      <c r="H54" s="421"/>
      <c r="I54" s="420"/>
      <c r="J54" s="4324">
        <f t="shared" si="5"/>
        <v>14.214449176470588</v>
      </c>
      <c r="K54" s="4325"/>
      <c r="L54" s="409"/>
      <c r="M54" s="408"/>
      <c r="N54" s="3596">
        <f>'SDK3'!N54</f>
        <v>13.74</v>
      </c>
      <c r="O54" s="474">
        <f>((J54*N54)+D54)*(1+$G$4)</f>
        <v>263.30653168470587</v>
      </c>
      <c r="Q54" s="4299"/>
      <c r="R54" s="392" t="s">
        <v>368</v>
      </c>
      <c r="S54" s="392" t="s">
        <v>368</v>
      </c>
      <c r="T54" s="392">
        <v>0</v>
      </c>
      <c r="U54" s="400"/>
      <c r="V54" s="400"/>
      <c r="W54" s="400"/>
      <c r="AH54" s="400"/>
      <c r="AI54" s="400"/>
      <c r="AJ54" s="400"/>
    </row>
    <row r="55" spans="1:36" ht="6" customHeight="1">
      <c r="A55" s="406"/>
      <c r="B55" s="416">
        <v>30</v>
      </c>
      <c r="C55" s="425"/>
      <c r="D55" s="3595"/>
      <c r="E55" s="423"/>
      <c r="F55" s="413"/>
      <c r="G55" s="422"/>
      <c r="H55" s="421"/>
      <c r="I55" s="420"/>
      <c r="J55" s="4324"/>
      <c r="K55" s="4325"/>
      <c r="L55" s="409"/>
      <c r="M55" s="408"/>
      <c r="N55" s="3596"/>
      <c r="O55" s="474"/>
      <c r="Q55" s="4299"/>
      <c r="R55" s="392"/>
      <c r="S55" s="392"/>
      <c r="T55" s="392"/>
      <c r="U55" s="400"/>
      <c r="V55" s="400"/>
      <c r="W55" s="400"/>
      <c r="AH55" s="400"/>
      <c r="AI55" s="400"/>
      <c r="AJ55" s="400"/>
    </row>
    <row r="56" spans="1:36" ht="13.15" customHeight="1">
      <c r="A56" s="409"/>
      <c r="B56" s="416">
        <v>31</v>
      </c>
      <c r="C56" s="392" t="s">
        <v>435</v>
      </c>
      <c r="D56" s="443">
        <f>'SDK3'!D56</f>
        <v>1.2000000000000002</v>
      </c>
      <c r="E56" s="414">
        <v>4</v>
      </c>
      <c r="F56" s="413">
        <f t="shared" si="2"/>
        <v>83</v>
      </c>
      <c r="G56" s="412" t="s">
        <v>168</v>
      </c>
      <c r="H56" s="411"/>
      <c r="I56" s="410"/>
      <c r="J56" s="4324">
        <f t="shared" si="5"/>
        <v>14.214449176470588</v>
      </c>
      <c r="K56" s="4325"/>
      <c r="L56" s="409"/>
      <c r="M56" s="408"/>
      <c r="N56" s="3596">
        <f>'SDK3'!N56</f>
        <v>0.4</v>
      </c>
      <c r="O56" s="474">
        <f>((J56*N56)+D56)*(1+$G$4)</f>
        <v>6.8857796705882359</v>
      </c>
      <c r="Q56" s="4299"/>
      <c r="R56" s="392" t="s">
        <v>433</v>
      </c>
      <c r="S56" s="392" t="s">
        <v>432</v>
      </c>
      <c r="T56" s="392">
        <v>0</v>
      </c>
      <c r="U56" s="400"/>
      <c r="V56" s="400"/>
      <c r="W56" s="400"/>
      <c r="AH56" s="400"/>
      <c r="AI56" s="400"/>
      <c r="AJ56" s="400"/>
    </row>
    <row r="57" spans="1:36" ht="13.15" customHeight="1">
      <c r="A57" s="409"/>
      <c r="B57" s="416">
        <v>32</v>
      </c>
      <c r="C57" s="392" t="s">
        <v>431</v>
      </c>
      <c r="D57" s="443">
        <f>'SDK3'!D57</f>
        <v>1.2000000000000002</v>
      </c>
      <c r="E57" s="414">
        <v>3</v>
      </c>
      <c r="F57" s="413">
        <f t="shared" si="2"/>
        <v>102</v>
      </c>
      <c r="G57" s="412" t="s">
        <v>168</v>
      </c>
      <c r="H57" s="411"/>
      <c r="I57" s="410"/>
      <c r="J57" s="4324">
        <f t="shared" si="5"/>
        <v>16.350715999999998</v>
      </c>
      <c r="K57" s="4325"/>
      <c r="L57" s="409"/>
      <c r="M57" s="408"/>
      <c r="N57" s="3596">
        <f>'SDK3'!N57</f>
        <v>0.19</v>
      </c>
      <c r="O57" s="474">
        <f>((J57*N57)+D57)*(1+$G$4)</f>
        <v>4.3066360399999999</v>
      </c>
      <c r="Q57" s="4299"/>
      <c r="R57" s="392" t="s">
        <v>429</v>
      </c>
      <c r="S57" s="392" t="s">
        <v>428</v>
      </c>
      <c r="T57" s="392">
        <v>0</v>
      </c>
      <c r="U57" s="400"/>
      <c r="V57" s="400"/>
      <c r="W57" s="400"/>
      <c r="AH57" s="400"/>
      <c r="AI57" s="400"/>
      <c r="AJ57" s="400"/>
    </row>
    <row r="58" spans="1:36" ht="13.15" customHeight="1">
      <c r="A58" s="409"/>
      <c r="B58" s="416">
        <v>33</v>
      </c>
      <c r="C58" s="392" t="s">
        <v>427</v>
      </c>
      <c r="D58" s="443">
        <f>'SDK3'!D58</f>
        <v>10</v>
      </c>
      <c r="E58" s="414">
        <v>3</v>
      </c>
      <c r="F58" s="413">
        <f t="shared" si="2"/>
        <v>102</v>
      </c>
      <c r="G58" s="412" t="s">
        <v>168</v>
      </c>
      <c r="H58" s="411"/>
      <c r="I58" s="410"/>
      <c r="J58" s="4324">
        <f t="shared" si="5"/>
        <v>16.350715999999998</v>
      </c>
      <c r="K58" s="4325"/>
      <c r="L58" s="409"/>
      <c r="M58" s="408"/>
      <c r="N58" s="3596">
        <f>'SDK3'!N58</f>
        <v>2.08</v>
      </c>
      <c r="O58" s="474">
        <f>((J58*N58)+D58)*(1+$G$4)</f>
        <v>44.009489279999997</v>
      </c>
      <c r="Q58" s="4299"/>
      <c r="R58" s="392">
        <v>0</v>
      </c>
      <c r="S58" s="392">
        <v>0</v>
      </c>
      <c r="T58" s="392">
        <v>0</v>
      </c>
      <c r="U58" s="400"/>
      <c r="V58" s="400"/>
      <c r="W58" s="400"/>
      <c r="AH58" s="400"/>
      <c r="AI58" s="400"/>
      <c r="AJ58" s="400"/>
    </row>
    <row r="59" spans="1:36" ht="13.15" customHeight="1">
      <c r="A59" s="409"/>
      <c r="B59" s="416">
        <v>34</v>
      </c>
      <c r="C59" s="392" t="s">
        <v>425</v>
      </c>
      <c r="D59" s="443">
        <f>'SDK3'!D59</f>
        <v>0.8</v>
      </c>
      <c r="E59" s="414">
        <v>5</v>
      </c>
      <c r="F59" s="413">
        <f t="shared" ref="F59:F87" si="8">IF(E59=0,0,INDEX($D$11:$E$17,E59,1))</f>
        <v>83</v>
      </c>
      <c r="G59" s="412" t="s">
        <v>168</v>
      </c>
      <c r="H59" s="411"/>
      <c r="I59" s="410"/>
      <c r="J59" s="4324">
        <f t="shared" si="5"/>
        <v>15.214449176470588</v>
      </c>
      <c r="K59" s="4325"/>
      <c r="L59" s="409"/>
      <c r="M59" s="408"/>
      <c r="N59" s="3596">
        <f>'SDK3'!N59</f>
        <v>1</v>
      </c>
      <c r="O59" s="474">
        <f>((J59*N59)+D59)*(1+$G$4)</f>
        <v>16.014449176470588</v>
      </c>
      <c r="Q59" s="4299"/>
      <c r="R59" s="392" t="s">
        <v>423</v>
      </c>
      <c r="S59" s="392" t="s">
        <v>422</v>
      </c>
      <c r="T59" s="392">
        <v>0</v>
      </c>
      <c r="U59" s="400"/>
      <c r="V59" s="400"/>
      <c r="W59" s="400"/>
      <c r="AH59" s="400"/>
      <c r="AI59" s="400"/>
      <c r="AJ59" s="400"/>
    </row>
    <row r="60" spans="1:36" ht="6" customHeight="1">
      <c r="A60" s="406"/>
      <c r="B60" s="416">
        <v>35</v>
      </c>
      <c r="C60" s="392"/>
      <c r="D60" s="443"/>
      <c r="E60" s="414"/>
      <c r="F60" s="413"/>
      <c r="G60" s="412"/>
      <c r="H60" s="411"/>
      <c r="I60" s="410"/>
      <c r="J60" s="4324"/>
      <c r="K60" s="4325"/>
      <c r="L60" s="409"/>
      <c r="M60" s="408"/>
      <c r="N60" s="3596"/>
      <c r="O60" s="474"/>
      <c r="Q60" s="4299"/>
      <c r="R60" s="392"/>
      <c r="S60" s="392"/>
      <c r="T60" s="392"/>
      <c r="U60" s="400"/>
      <c r="V60" s="400"/>
      <c r="W60" s="400"/>
      <c r="AH60" s="400"/>
      <c r="AI60" s="400"/>
      <c r="AJ60" s="400"/>
    </row>
    <row r="61" spans="1:36" ht="13.15" customHeight="1">
      <c r="A61" s="409"/>
      <c r="B61" s="416">
        <v>36</v>
      </c>
      <c r="C61" s="392" t="s">
        <v>421</v>
      </c>
      <c r="D61" s="443">
        <f>'SDK3'!D61</f>
        <v>0.2</v>
      </c>
      <c r="E61" s="414">
        <v>3</v>
      </c>
      <c r="F61" s="413">
        <f t="shared" si="8"/>
        <v>102</v>
      </c>
      <c r="G61" s="412" t="s">
        <v>168</v>
      </c>
      <c r="H61" s="411"/>
      <c r="I61" s="410"/>
      <c r="J61" s="4324">
        <f t="shared" si="5"/>
        <v>16.350715999999998</v>
      </c>
      <c r="K61" s="4325"/>
      <c r="L61" s="409"/>
      <c r="M61" s="408"/>
      <c r="N61" s="3596">
        <f>'SDK3'!N61</f>
        <v>0.86</v>
      </c>
      <c r="O61" s="474">
        <f t="shared" ref="O61:O69" si="9">((J61*N61)+D61)*(1+$G$4)</f>
        <v>14.261615759999998</v>
      </c>
      <c r="Q61" s="4299"/>
      <c r="R61" s="392">
        <v>0</v>
      </c>
      <c r="S61" s="392">
        <v>0</v>
      </c>
      <c r="T61" s="392">
        <v>0</v>
      </c>
      <c r="U61" s="400"/>
      <c r="V61" s="400"/>
      <c r="W61" s="400"/>
      <c r="AH61" s="400"/>
      <c r="AI61" s="400"/>
      <c r="AJ61" s="400"/>
    </row>
    <row r="62" spans="1:36" ht="13.15" customHeight="1">
      <c r="A62" s="409"/>
      <c r="B62" s="416">
        <v>37</v>
      </c>
      <c r="C62" s="392" t="s">
        <v>420</v>
      </c>
      <c r="D62" s="443">
        <f>'SDK3'!D62</f>
        <v>2.2000000000000002</v>
      </c>
      <c r="E62" s="414">
        <v>5</v>
      </c>
      <c r="F62" s="413">
        <f t="shared" si="8"/>
        <v>83</v>
      </c>
      <c r="G62" s="412" t="s">
        <v>168</v>
      </c>
      <c r="H62" s="411"/>
      <c r="I62" s="410"/>
      <c r="J62" s="4324">
        <f t="shared" si="5"/>
        <v>15.214449176470588</v>
      </c>
      <c r="K62" s="4325"/>
      <c r="L62" s="409"/>
      <c r="M62" s="408"/>
      <c r="N62" s="3596">
        <f>'SDK3'!N62</f>
        <v>0.48</v>
      </c>
      <c r="O62" s="474">
        <f t="shared" si="9"/>
        <v>9.5029356047058826</v>
      </c>
      <c r="Q62" s="4299"/>
      <c r="R62" s="392">
        <v>0</v>
      </c>
      <c r="S62" s="392">
        <v>0</v>
      </c>
      <c r="T62" s="392">
        <v>0</v>
      </c>
      <c r="U62" s="400"/>
      <c r="V62" s="400"/>
      <c r="W62" s="400"/>
      <c r="AH62" s="400"/>
      <c r="AI62" s="400"/>
      <c r="AJ62" s="400"/>
    </row>
    <row r="63" spans="1:36" ht="13.15" customHeight="1">
      <c r="A63" s="409"/>
      <c r="B63" s="416">
        <v>38</v>
      </c>
      <c r="C63" s="392" t="s">
        <v>418</v>
      </c>
      <c r="D63" s="443">
        <f>'SDK3'!D63</f>
        <v>2.25</v>
      </c>
      <c r="E63" s="414">
        <v>2</v>
      </c>
      <c r="F63" s="413">
        <f t="shared" si="8"/>
        <v>120</v>
      </c>
      <c r="G63" s="412" t="s">
        <v>168</v>
      </c>
      <c r="H63" s="411"/>
      <c r="I63" s="410"/>
      <c r="J63" s="4324">
        <f t="shared" si="5"/>
        <v>18.912607058823529</v>
      </c>
      <c r="K63" s="4325"/>
      <c r="L63" s="409"/>
      <c r="M63" s="408"/>
      <c r="N63" s="3596">
        <f>'SDK3'!N63</f>
        <v>0.34</v>
      </c>
      <c r="O63" s="474">
        <f t="shared" si="9"/>
        <v>8.6802864</v>
      </c>
      <c r="Q63" s="4299"/>
      <c r="R63" s="392">
        <v>0</v>
      </c>
      <c r="S63" s="392">
        <v>0</v>
      </c>
      <c r="T63" s="392">
        <v>0</v>
      </c>
      <c r="U63" s="400"/>
      <c r="V63" s="400"/>
      <c r="W63" s="400"/>
      <c r="AH63" s="400"/>
      <c r="AI63" s="400"/>
      <c r="AJ63" s="400"/>
    </row>
    <row r="64" spans="1:36" ht="13.15" customHeight="1">
      <c r="A64" s="409"/>
      <c r="B64" s="416"/>
      <c r="C64" s="3907" t="s">
        <v>2081</v>
      </c>
      <c r="D64" s="443">
        <v>2.25</v>
      </c>
      <c r="E64" s="414">
        <v>2</v>
      </c>
      <c r="F64" s="413">
        <f t="shared" si="8"/>
        <v>120</v>
      </c>
      <c r="G64" s="412"/>
      <c r="H64" s="411" t="s">
        <v>168</v>
      </c>
      <c r="I64" s="410"/>
      <c r="J64" s="4324">
        <f>IF(I64="x",VLOOKUP(E64,$B$11:$O$16,14,FALSE),IF(H64="x",VLOOKUP(E64,$B$11:$O$16,13,FALSE),IF(G64="x",VLOOKUP(E64,$B$11:$O$16,12,FALSE),0)))</f>
        <v>23.37515294117647</v>
      </c>
      <c r="K64" s="4325"/>
      <c r="L64" s="409"/>
      <c r="M64" s="408"/>
      <c r="N64" s="3596">
        <v>0.3</v>
      </c>
      <c r="O64" s="474">
        <f t="shared" si="9"/>
        <v>9.2625458823529421</v>
      </c>
      <c r="Q64" s="4299"/>
      <c r="R64" s="392"/>
      <c r="S64" s="392"/>
      <c r="T64" s="392"/>
      <c r="U64" s="3906"/>
      <c r="V64" s="3906"/>
      <c r="W64" s="3906"/>
      <c r="AH64" s="3906"/>
      <c r="AI64" s="3906"/>
      <c r="AJ64" s="3906"/>
    </row>
    <row r="65" spans="1:36" ht="13.15" customHeight="1">
      <c r="A65" s="409"/>
      <c r="B65" s="416">
        <v>39</v>
      </c>
      <c r="C65" s="392" t="s">
        <v>416</v>
      </c>
      <c r="D65" s="443">
        <f>'SDK3'!D64</f>
        <v>2.25</v>
      </c>
      <c r="E65" s="414">
        <v>3</v>
      </c>
      <c r="F65" s="413">
        <f t="shared" si="8"/>
        <v>102</v>
      </c>
      <c r="G65" s="412"/>
      <c r="H65" s="411" t="s">
        <v>168</v>
      </c>
      <c r="I65" s="410"/>
      <c r="J65" s="4324">
        <f t="shared" si="5"/>
        <v>20.143880000000003</v>
      </c>
      <c r="K65" s="4325"/>
      <c r="L65" s="409"/>
      <c r="M65" s="408"/>
      <c r="N65" s="3596">
        <f>'SDK3'!N64</f>
        <v>0.55000000000000004</v>
      </c>
      <c r="O65" s="474">
        <f t="shared" si="9"/>
        <v>13.329134000000003</v>
      </c>
      <c r="Q65" s="4299"/>
      <c r="R65" s="392">
        <v>0</v>
      </c>
      <c r="S65" s="392">
        <v>0</v>
      </c>
      <c r="T65" s="392">
        <v>0</v>
      </c>
      <c r="U65" s="400"/>
      <c r="V65" s="400"/>
      <c r="W65" s="400"/>
      <c r="AH65" s="400"/>
      <c r="AI65" s="400"/>
      <c r="AJ65" s="400"/>
    </row>
    <row r="66" spans="1:36" ht="13.15" customHeight="1">
      <c r="A66" s="409"/>
      <c r="B66" s="416">
        <v>40</v>
      </c>
      <c r="C66" s="392" t="s">
        <v>414</v>
      </c>
      <c r="D66" s="443">
        <f>'SDK3'!D65</f>
        <v>1.65</v>
      </c>
      <c r="E66" s="2102">
        <v>5</v>
      </c>
      <c r="F66" s="413">
        <f t="shared" si="8"/>
        <v>83</v>
      </c>
      <c r="G66" s="412" t="s">
        <v>168</v>
      </c>
      <c r="H66" s="411"/>
      <c r="I66" s="410"/>
      <c r="J66" s="4324">
        <f t="shared" si="5"/>
        <v>15.214449176470588</v>
      </c>
      <c r="K66" s="4325"/>
      <c r="L66" s="409"/>
      <c r="M66" s="408"/>
      <c r="N66" s="3596">
        <f>'SDK3'!N65</f>
        <v>0.35</v>
      </c>
      <c r="O66" s="474">
        <f t="shared" si="9"/>
        <v>6.9750572117647049</v>
      </c>
      <c r="Q66" s="4299"/>
      <c r="R66" s="392">
        <v>0</v>
      </c>
      <c r="S66" s="392">
        <v>0</v>
      </c>
      <c r="T66" s="392">
        <v>0</v>
      </c>
      <c r="U66" s="400"/>
      <c r="V66" s="400"/>
      <c r="W66" s="400"/>
      <c r="AH66" s="400"/>
      <c r="AI66" s="400"/>
      <c r="AJ66" s="400"/>
    </row>
    <row r="67" spans="1:36" ht="13.15" customHeight="1">
      <c r="A67" s="409"/>
      <c r="B67" s="416">
        <v>41</v>
      </c>
      <c r="C67" s="392" t="s">
        <v>413</v>
      </c>
      <c r="D67" s="443">
        <f>'SDK3'!D66</f>
        <v>2.2999999999999998</v>
      </c>
      <c r="E67" s="414">
        <v>5</v>
      </c>
      <c r="F67" s="413">
        <f t="shared" si="8"/>
        <v>83</v>
      </c>
      <c r="G67" s="412"/>
      <c r="H67" s="411" t="s">
        <v>168</v>
      </c>
      <c r="I67" s="410"/>
      <c r="J67" s="4324">
        <f t="shared" si="5"/>
        <v>18.306355966386555</v>
      </c>
      <c r="K67" s="4325"/>
      <c r="L67" s="409"/>
      <c r="M67" s="408"/>
      <c r="N67" s="3596">
        <f>'SDK3'!N66</f>
        <v>0.26</v>
      </c>
      <c r="O67" s="474">
        <f t="shared" si="9"/>
        <v>7.0596525512605046</v>
      </c>
      <c r="Q67" s="4299"/>
      <c r="R67" s="392">
        <v>0</v>
      </c>
      <c r="S67" s="392">
        <v>0</v>
      </c>
      <c r="T67" s="392">
        <v>0</v>
      </c>
      <c r="U67" s="400"/>
      <c r="V67" s="400"/>
      <c r="W67" s="400"/>
      <c r="AH67" s="400"/>
      <c r="AI67" s="400"/>
      <c r="AJ67" s="400"/>
    </row>
    <row r="68" spans="1:36" ht="13.15" customHeight="1">
      <c r="A68" s="409"/>
      <c r="B68" s="416">
        <v>42</v>
      </c>
      <c r="C68" s="392" t="s">
        <v>411</v>
      </c>
      <c r="D68" s="443">
        <f>'SDK3'!D67</f>
        <v>5.4</v>
      </c>
      <c r="E68" s="414">
        <v>1</v>
      </c>
      <c r="F68" s="413">
        <f t="shared" si="8"/>
        <v>200</v>
      </c>
      <c r="G68" s="412"/>
      <c r="H68" s="411" t="s">
        <v>168</v>
      </c>
      <c r="I68" s="410"/>
      <c r="J68" s="4324">
        <f t="shared" si="5"/>
        <v>36.756504537815132</v>
      </c>
      <c r="K68" s="4325"/>
      <c r="L68" s="409"/>
      <c r="M68" s="408"/>
      <c r="N68" s="3596">
        <f>'SDK3'!N67</f>
        <v>0.8</v>
      </c>
      <c r="O68" s="474">
        <f t="shared" si="9"/>
        <v>34.805203630252109</v>
      </c>
      <c r="Q68" s="4299"/>
      <c r="R68" s="392">
        <v>0</v>
      </c>
      <c r="S68" s="392" t="s">
        <v>409</v>
      </c>
      <c r="T68" s="392">
        <v>0</v>
      </c>
      <c r="U68" s="400"/>
      <c r="V68" s="400"/>
      <c r="W68" s="400"/>
      <c r="AH68" s="400"/>
      <c r="AI68" s="400"/>
      <c r="AJ68" s="400"/>
    </row>
    <row r="69" spans="1:36" ht="13.15" customHeight="1">
      <c r="A69" s="409"/>
      <c r="B69" s="416">
        <v>43</v>
      </c>
      <c r="C69" s="392" t="s">
        <v>408</v>
      </c>
      <c r="D69" s="443">
        <f>'SDK3'!D68</f>
        <v>0</v>
      </c>
      <c r="E69" s="414">
        <v>2</v>
      </c>
      <c r="F69" s="413">
        <f t="shared" si="8"/>
        <v>120</v>
      </c>
      <c r="G69" s="412" t="s">
        <v>168</v>
      </c>
      <c r="H69" s="411"/>
      <c r="I69" s="410"/>
      <c r="J69" s="4324">
        <f t="shared" si="5"/>
        <v>18.912607058823529</v>
      </c>
      <c r="K69" s="4325"/>
      <c r="L69" s="409"/>
      <c r="M69" s="408"/>
      <c r="N69" s="3596">
        <f>'SDK3'!N68</f>
        <v>0.8</v>
      </c>
      <c r="O69" s="474">
        <f t="shared" si="9"/>
        <v>15.130085647058824</v>
      </c>
      <c r="Q69" s="4299"/>
      <c r="R69" s="392">
        <v>0</v>
      </c>
      <c r="S69" s="392">
        <v>0</v>
      </c>
      <c r="T69" s="392">
        <v>0</v>
      </c>
      <c r="U69" s="400"/>
      <c r="V69" s="400"/>
      <c r="W69" s="400"/>
      <c r="AH69" s="400"/>
      <c r="AI69" s="400"/>
      <c r="AJ69" s="400"/>
    </row>
    <row r="70" spans="1:36" ht="12" customHeight="1">
      <c r="A70" s="406"/>
      <c r="B70" s="416">
        <v>44</v>
      </c>
      <c r="C70" s="392"/>
      <c r="D70" s="443"/>
      <c r="E70" s="414"/>
      <c r="F70" s="413"/>
      <c r="G70" s="412"/>
      <c r="H70" s="411"/>
      <c r="I70" s="410"/>
      <c r="J70" s="4324"/>
      <c r="K70" s="4325"/>
      <c r="L70" s="409"/>
      <c r="M70" s="408"/>
      <c r="N70" s="3596"/>
      <c r="O70" s="474"/>
      <c r="Q70" s="4299"/>
      <c r="R70" s="392"/>
      <c r="S70" s="392"/>
      <c r="T70" s="392"/>
      <c r="U70" s="400"/>
      <c r="V70" s="400"/>
      <c r="W70" s="400"/>
      <c r="AH70" s="400"/>
      <c r="AI70" s="400"/>
      <c r="AJ70" s="400"/>
    </row>
    <row r="71" spans="1:36" ht="13.15" customHeight="1">
      <c r="A71" s="409"/>
      <c r="B71" s="416">
        <v>45</v>
      </c>
      <c r="C71" s="392" t="s">
        <v>406</v>
      </c>
      <c r="D71" s="443">
        <f>'SDK3'!D70</f>
        <v>97.8</v>
      </c>
      <c r="E71" s="414"/>
      <c r="F71" s="413">
        <f t="shared" si="8"/>
        <v>0</v>
      </c>
      <c r="G71" s="412"/>
      <c r="H71" s="411"/>
      <c r="I71" s="410"/>
      <c r="J71" s="4324">
        <f t="shared" si="5"/>
        <v>0</v>
      </c>
      <c r="K71" s="4325"/>
      <c r="L71" s="409"/>
      <c r="M71" s="408"/>
      <c r="N71" s="3596">
        <f>'SDK3'!N70</f>
        <v>2.36</v>
      </c>
      <c r="O71" s="474">
        <f t="shared" ref="O71:O87" si="10">((J71*N71)+D71)*(1+$G$4)</f>
        <v>97.8</v>
      </c>
      <c r="Q71" s="4299"/>
      <c r="R71" s="392">
        <v>0</v>
      </c>
      <c r="S71" s="392">
        <v>0</v>
      </c>
      <c r="T71" s="392">
        <v>0</v>
      </c>
      <c r="U71" s="400"/>
      <c r="V71" s="400"/>
      <c r="W71" s="400"/>
      <c r="AH71" s="400"/>
      <c r="AI71" s="400"/>
      <c r="AJ71" s="400"/>
    </row>
    <row r="72" spans="1:36" ht="13.15" customHeight="1">
      <c r="A72" s="409"/>
      <c r="B72" s="416">
        <v>46</v>
      </c>
      <c r="C72" s="392" t="s">
        <v>404</v>
      </c>
      <c r="D72" s="443">
        <f>'SDK3'!D71</f>
        <v>0.84699999999999998</v>
      </c>
      <c r="E72" s="414">
        <v>6</v>
      </c>
      <c r="F72" s="413">
        <f t="shared" si="8"/>
        <v>54</v>
      </c>
      <c r="G72" s="412" t="s">
        <v>168</v>
      </c>
      <c r="H72" s="411"/>
      <c r="I72" s="410"/>
      <c r="J72" s="4324">
        <f t="shared" si="5"/>
        <v>10.785673176470588</v>
      </c>
      <c r="K72" s="4325"/>
      <c r="L72" s="409"/>
      <c r="M72" s="408"/>
      <c r="N72" s="3596">
        <f>'SDK3'!N71</f>
        <v>0.21</v>
      </c>
      <c r="O72" s="474">
        <f t="shared" si="10"/>
        <v>3.1119913670588235</v>
      </c>
      <c r="Q72" s="4299"/>
      <c r="R72" s="392" t="s">
        <v>402</v>
      </c>
      <c r="S72" s="392" t="s">
        <v>401</v>
      </c>
      <c r="T72" s="392">
        <v>0</v>
      </c>
      <c r="U72" s="400"/>
      <c r="V72" s="400"/>
      <c r="W72" s="400"/>
      <c r="AH72" s="400"/>
      <c r="AI72" s="400"/>
      <c r="AJ72" s="400"/>
    </row>
    <row r="73" spans="1:36" ht="13.15" customHeight="1">
      <c r="A73" s="409"/>
      <c r="B73" s="416">
        <v>47</v>
      </c>
      <c r="C73" s="392" t="s">
        <v>400</v>
      </c>
      <c r="D73" s="443">
        <f>'SDK3'!D72</f>
        <v>13</v>
      </c>
      <c r="E73" s="414">
        <v>5</v>
      </c>
      <c r="F73" s="413">
        <f t="shared" si="8"/>
        <v>83</v>
      </c>
      <c r="G73" s="412" t="s">
        <v>168</v>
      </c>
      <c r="H73" s="411"/>
      <c r="I73" s="410"/>
      <c r="J73" s="4324">
        <f t="shared" si="5"/>
        <v>15.214449176470588</v>
      </c>
      <c r="K73" s="4325"/>
      <c r="L73" s="409"/>
      <c r="M73" s="408"/>
      <c r="N73" s="3596">
        <f>'SDK3'!N72</f>
        <v>2</v>
      </c>
      <c r="O73" s="474">
        <f t="shared" si="10"/>
        <v>43.428898352941175</v>
      </c>
      <c r="Q73" s="4299"/>
      <c r="R73" s="392" t="s">
        <v>398</v>
      </c>
      <c r="S73" s="392" t="s">
        <v>397</v>
      </c>
      <c r="T73" s="392" t="s">
        <v>396</v>
      </c>
      <c r="U73" s="400"/>
      <c r="V73" s="400"/>
      <c r="W73" s="400"/>
      <c r="AH73" s="400"/>
      <c r="AI73" s="400"/>
      <c r="AJ73" s="400"/>
    </row>
    <row r="74" spans="1:36" ht="13.15" customHeight="1">
      <c r="A74" s="409"/>
      <c r="B74" s="416">
        <v>48</v>
      </c>
      <c r="C74" s="392" t="s">
        <v>395</v>
      </c>
      <c r="D74" s="443">
        <f>'SDK3'!D73</f>
        <v>13</v>
      </c>
      <c r="E74" s="414">
        <v>5</v>
      </c>
      <c r="F74" s="413">
        <f t="shared" si="8"/>
        <v>83</v>
      </c>
      <c r="G74" s="412" t="s">
        <v>168</v>
      </c>
      <c r="H74" s="411"/>
      <c r="I74" s="410"/>
      <c r="J74" s="4324">
        <f t="shared" si="5"/>
        <v>15.214449176470588</v>
      </c>
      <c r="K74" s="4325"/>
      <c r="L74" s="409"/>
      <c r="M74" s="408"/>
      <c r="N74" s="3596">
        <f>'SDK3'!N73</f>
        <v>1.1299999999999999</v>
      </c>
      <c r="O74" s="474">
        <f t="shared" si="10"/>
        <v>30.192327569411763</v>
      </c>
      <c r="Q74" s="4299"/>
      <c r="R74" s="392" t="s">
        <v>393</v>
      </c>
      <c r="S74" s="392" t="s">
        <v>392</v>
      </c>
      <c r="T74" s="392" t="s">
        <v>383</v>
      </c>
      <c r="U74" s="400"/>
      <c r="V74" s="400"/>
      <c r="W74" s="400"/>
      <c r="AH74" s="400"/>
      <c r="AI74" s="400"/>
      <c r="AJ74" s="400"/>
    </row>
    <row r="75" spans="1:36" ht="13.15" customHeight="1">
      <c r="A75" s="409"/>
      <c r="B75" s="416">
        <v>49</v>
      </c>
      <c r="C75" s="392" t="s">
        <v>391</v>
      </c>
      <c r="D75" s="443">
        <f>'SDK3'!D74</f>
        <v>3</v>
      </c>
      <c r="E75" s="414">
        <v>6</v>
      </c>
      <c r="F75" s="413">
        <f t="shared" si="8"/>
        <v>54</v>
      </c>
      <c r="G75" s="412"/>
      <c r="H75" s="411" t="s">
        <v>168</v>
      </c>
      <c r="I75" s="410"/>
      <c r="J75" s="4324">
        <f t="shared" si="5"/>
        <v>12.793818823529412</v>
      </c>
      <c r="K75" s="4325"/>
      <c r="L75" s="409"/>
      <c r="M75" s="408"/>
      <c r="N75" s="3596">
        <f>'SDK3'!N74</f>
        <v>0.69</v>
      </c>
      <c r="O75" s="474">
        <f t="shared" si="10"/>
        <v>11.827734988235294</v>
      </c>
      <c r="Q75" s="4299"/>
      <c r="R75" s="392" t="s">
        <v>385</v>
      </c>
      <c r="S75" s="392" t="s">
        <v>390</v>
      </c>
      <c r="T75" s="392">
        <v>0</v>
      </c>
      <c r="U75" s="400"/>
      <c r="V75" s="400"/>
      <c r="W75" s="400"/>
      <c r="AH75" s="400"/>
      <c r="AI75" s="400"/>
      <c r="AJ75" s="400"/>
    </row>
    <row r="76" spans="1:36" ht="13.15" customHeight="1">
      <c r="A76" s="409"/>
      <c r="B76" s="416">
        <v>50</v>
      </c>
      <c r="C76" s="425" t="s">
        <v>389</v>
      </c>
      <c r="D76" s="443">
        <f>'SDK3'!D75</f>
        <v>3</v>
      </c>
      <c r="E76" s="423">
        <v>6</v>
      </c>
      <c r="F76" s="413">
        <f t="shared" si="8"/>
        <v>54</v>
      </c>
      <c r="G76" s="422" t="s">
        <v>168</v>
      </c>
      <c r="H76" s="421"/>
      <c r="I76" s="420"/>
      <c r="J76" s="4324">
        <f t="shared" si="5"/>
        <v>10.785673176470588</v>
      </c>
      <c r="K76" s="4325"/>
      <c r="L76" s="409"/>
      <c r="M76" s="408"/>
      <c r="N76" s="3596">
        <f>'SDK3'!N75</f>
        <v>0.95</v>
      </c>
      <c r="O76" s="474">
        <f t="shared" si="10"/>
        <v>13.246389517647058</v>
      </c>
      <c r="Q76" s="4299"/>
      <c r="R76" s="392" t="s">
        <v>368</v>
      </c>
      <c r="S76" s="392" t="s">
        <v>368</v>
      </c>
      <c r="T76" s="392" t="s">
        <v>368</v>
      </c>
      <c r="U76" s="400"/>
      <c r="V76" s="400"/>
      <c r="W76" s="400"/>
      <c r="AH76" s="400"/>
      <c r="AI76" s="400"/>
      <c r="AJ76" s="400"/>
    </row>
    <row r="77" spans="1:36" ht="13.15" customHeight="1">
      <c r="A77" s="409"/>
      <c r="B77" s="416">
        <v>52</v>
      </c>
      <c r="C77" s="392" t="s">
        <v>387</v>
      </c>
      <c r="D77" s="443">
        <f>'SDK3'!D76</f>
        <v>3</v>
      </c>
      <c r="E77" s="414">
        <v>6</v>
      </c>
      <c r="F77" s="413">
        <f t="shared" si="8"/>
        <v>54</v>
      </c>
      <c r="G77" s="412"/>
      <c r="H77" s="411" t="s">
        <v>168</v>
      </c>
      <c r="I77" s="410"/>
      <c r="J77" s="4324">
        <f t="shared" si="5"/>
        <v>12.793818823529412</v>
      </c>
      <c r="K77" s="4325"/>
      <c r="L77" s="409"/>
      <c r="M77" s="408"/>
      <c r="N77" s="3596">
        <f>'SDK3'!N76</f>
        <v>0.95</v>
      </c>
      <c r="O77" s="474">
        <f t="shared" si="10"/>
        <v>15.15412788235294</v>
      </c>
      <c r="Q77" s="4299"/>
      <c r="R77" s="392" t="s">
        <v>385</v>
      </c>
      <c r="S77" s="392" t="s">
        <v>384</v>
      </c>
      <c r="T77" s="392" t="s">
        <v>383</v>
      </c>
      <c r="U77" s="400"/>
      <c r="V77" s="400"/>
      <c r="W77" s="400"/>
      <c r="AH77" s="400"/>
      <c r="AI77" s="400"/>
      <c r="AJ77" s="400"/>
    </row>
    <row r="78" spans="1:36" ht="13.15" customHeight="1">
      <c r="A78" s="409"/>
      <c r="B78" s="416"/>
      <c r="C78" s="425" t="s">
        <v>382</v>
      </c>
      <c r="D78" s="443">
        <f>'SDK3'!D77</f>
        <v>5.2</v>
      </c>
      <c r="E78" s="423">
        <v>6</v>
      </c>
      <c r="F78" s="413">
        <f t="shared" si="8"/>
        <v>54</v>
      </c>
      <c r="G78" s="422"/>
      <c r="H78" s="421" t="s">
        <v>168</v>
      </c>
      <c r="I78" s="420"/>
      <c r="J78" s="4243">
        <f>IF(I78="x",VLOOKUP(E78,$B$11:$O$16,14,FALSE),IF(H78="x",VLOOKUP(E78,$B$11:$O$16,13,FALSE),IF(G78="x",VLOOKUP(E78,$B$11:$O$16,12,FALSE),0)))</f>
        <v>12.793818823529412</v>
      </c>
      <c r="K78" s="4244"/>
      <c r="L78" s="409"/>
      <c r="M78" s="408"/>
      <c r="N78" s="3596">
        <f>'SDK3'!N77</f>
        <v>0.99</v>
      </c>
      <c r="O78" s="474">
        <f t="shared" si="10"/>
        <v>17.865880635294118</v>
      </c>
      <c r="Q78" s="4299"/>
      <c r="R78" s="392" t="s">
        <v>368</v>
      </c>
      <c r="S78" s="392" t="s">
        <v>368</v>
      </c>
      <c r="T78" s="392" t="s">
        <v>368</v>
      </c>
      <c r="U78" s="400"/>
      <c r="V78" s="400"/>
      <c r="W78" s="400"/>
      <c r="AH78" s="400"/>
      <c r="AI78" s="400"/>
      <c r="AJ78" s="400"/>
    </row>
    <row r="79" spans="1:36" ht="13.15" customHeight="1">
      <c r="A79" s="409"/>
      <c r="B79" s="416"/>
      <c r="C79" s="425" t="s">
        <v>380</v>
      </c>
      <c r="D79" s="443">
        <f>'SDK3'!D78</f>
        <v>40</v>
      </c>
      <c r="E79" s="423">
        <v>6</v>
      </c>
      <c r="F79" s="413">
        <f t="shared" si="8"/>
        <v>54</v>
      </c>
      <c r="G79" s="422" t="s">
        <v>168</v>
      </c>
      <c r="H79" s="421"/>
      <c r="I79" s="420"/>
      <c r="J79" s="4243">
        <f t="shared" ref="J79:J86" si="11">IF(I79="x",VLOOKUP(E79,$B$11:$O$16,14,FALSE),IF(H79="x",VLOOKUP(E79,$B$11:$O$16,13,FALSE),IF(G79="x",VLOOKUP(E79,$B$11:$O$16,12,FALSE),0)))</f>
        <v>10.785673176470588</v>
      </c>
      <c r="K79" s="4244"/>
      <c r="L79" s="409"/>
      <c r="M79" s="408"/>
      <c r="N79" s="3596">
        <f>'SDK3'!N78</f>
        <v>6</v>
      </c>
      <c r="O79" s="474">
        <f t="shared" si="10"/>
        <v>104.71403905882353</v>
      </c>
      <c r="Q79" s="4299"/>
      <c r="R79" s="392" t="s">
        <v>368</v>
      </c>
      <c r="S79" s="392" t="s">
        <v>368</v>
      </c>
      <c r="T79" s="392" t="s">
        <v>368</v>
      </c>
      <c r="U79" s="400"/>
      <c r="V79" s="400"/>
      <c r="W79" s="400"/>
      <c r="AH79" s="400"/>
      <c r="AI79" s="400"/>
      <c r="AJ79" s="400"/>
    </row>
    <row r="80" spans="1:36" ht="13.15" customHeight="1">
      <c r="A80" s="409"/>
      <c r="B80" s="416"/>
      <c r="C80" s="392" t="s">
        <v>379</v>
      </c>
      <c r="D80" s="443">
        <f>'SDK3'!D79</f>
        <v>40</v>
      </c>
      <c r="E80" s="414">
        <v>4</v>
      </c>
      <c r="F80" s="413">
        <f t="shared" si="8"/>
        <v>83</v>
      </c>
      <c r="G80" s="412"/>
      <c r="H80" s="411" t="s">
        <v>168</v>
      </c>
      <c r="I80" s="410"/>
      <c r="J80" s="4243">
        <f t="shared" si="11"/>
        <v>17.306355966386555</v>
      </c>
      <c r="K80" s="4244"/>
      <c r="L80" s="409"/>
      <c r="M80" s="408"/>
      <c r="N80" s="3596">
        <f>'SDK3'!N79</f>
        <v>21.64</v>
      </c>
      <c r="O80" s="474">
        <f t="shared" si="10"/>
        <v>414.50954311260506</v>
      </c>
      <c r="Q80" s="4299"/>
      <c r="R80" s="392" t="s">
        <v>378</v>
      </c>
      <c r="S80" s="392" t="s">
        <v>377</v>
      </c>
      <c r="T80" s="392" t="s">
        <v>376</v>
      </c>
      <c r="U80" s="400"/>
      <c r="V80" s="400"/>
      <c r="W80" s="400"/>
      <c r="AH80" s="400"/>
      <c r="AI80" s="400"/>
      <c r="AJ80" s="400"/>
    </row>
    <row r="81" spans="1:36" ht="13.15" customHeight="1">
      <c r="A81" s="409"/>
      <c r="B81" s="416"/>
      <c r="C81" s="392" t="s">
        <v>375</v>
      </c>
      <c r="D81" s="443">
        <f>'SDK3'!D80</f>
        <v>40</v>
      </c>
      <c r="E81" s="414"/>
      <c r="F81" s="413">
        <f t="shared" si="8"/>
        <v>0</v>
      </c>
      <c r="G81" s="412"/>
      <c r="H81" s="411"/>
      <c r="I81" s="410"/>
      <c r="J81" s="4243">
        <f t="shared" si="11"/>
        <v>0</v>
      </c>
      <c r="K81" s="4244"/>
      <c r="L81" s="409"/>
      <c r="M81" s="408"/>
      <c r="N81" s="3596">
        <f>'SDK3'!N80</f>
        <v>13.96</v>
      </c>
      <c r="O81" s="474">
        <f t="shared" si="10"/>
        <v>40</v>
      </c>
      <c r="Q81" s="4299"/>
      <c r="R81" s="392">
        <v>0</v>
      </c>
      <c r="S81" s="392">
        <v>0</v>
      </c>
      <c r="T81" s="392" t="s">
        <v>371</v>
      </c>
      <c r="U81" s="400"/>
      <c r="V81" s="400"/>
      <c r="W81" s="400"/>
      <c r="AH81" s="400"/>
      <c r="AI81" s="400"/>
      <c r="AJ81" s="400"/>
    </row>
    <row r="82" spans="1:36" ht="13.15" customHeight="1">
      <c r="A82" s="409"/>
      <c r="B82" s="416"/>
      <c r="C82" s="425" t="s">
        <v>370</v>
      </c>
      <c r="D82" s="443">
        <f>'SDK3'!D81</f>
        <v>5</v>
      </c>
      <c r="E82" s="423">
        <v>6</v>
      </c>
      <c r="F82" s="413">
        <f t="shared" si="8"/>
        <v>54</v>
      </c>
      <c r="G82" s="422"/>
      <c r="H82" s="421" t="s">
        <v>168</v>
      </c>
      <c r="I82" s="420"/>
      <c r="J82" s="4243">
        <f t="shared" si="11"/>
        <v>12.793818823529412</v>
      </c>
      <c r="K82" s="4244"/>
      <c r="L82" s="409"/>
      <c r="M82" s="408"/>
      <c r="N82" s="3596">
        <f>'SDK3'!N81</f>
        <v>1.24</v>
      </c>
      <c r="O82" s="474">
        <f t="shared" si="10"/>
        <v>20.864335341176471</v>
      </c>
      <c r="Q82" s="4299"/>
      <c r="R82" s="392" t="s">
        <v>368</v>
      </c>
      <c r="S82" s="392" t="s">
        <v>368</v>
      </c>
      <c r="T82" s="392" t="s">
        <v>368</v>
      </c>
      <c r="U82" s="400"/>
      <c r="V82" s="400"/>
      <c r="W82" s="400"/>
      <c r="AH82" s="400"/>
      <c r="AI82" s="400"/>
      <c r="AJ82" s="400"/>
    </row>
    <row r="83" spans="1:36" ht="13.15" customHeight="1">
      <c r="A83" s="409"/>
      <c r="B83" s="416"/>
      <c r="C83" s="392" t="s">
        <v>367</v>
      </c>
      <c r="D83" s="443">
        <f>'SDK3'!D82</f>
        <v>9</v>
      </c>
      <c r="E83" s="414">
        <v>3</v>
      </c>
      <c r="F83" s="413">
        <f t="shared" si="8"/>
        <v>102</v>
      </c>
      <c r="G83" s="412" t="s">
        <v>168</v>
      </c>
      <c r="H83" s="411"/>
      <c r="I83" s="410"/>
      <c r="J83" s="4243">
        <f t="shared" si="11"/>
        <v>16.350715999999998</v>
      </c>
      <c r="K83" s="4244"/>
      <c r="L83" s="409"/>
      <c r="M83" s="408"/>
      <c r="N83" s="3596">
        <f>'SDK3'!N82</f>
        <v>1.5</v>
      </c>
      <c r="O83" s="474">
        <f t="shared" si="10"/>
        <v>33.526073999999994</v>
      </c>
      <c r="Q83" s="4299"/>
      <c r="R83" s="392" t="s">
        <v>365</v>
      </c>
      <c r="S83" s="392" t="s">
        <v>364</v>
      </c>
      <c r="T83" s="392">
        <v>0</v>
      </c>
      <c r="U83" s="400"/>
      <c r="V83" s="400"/>
      <c r="W83" s="400"/>
      <c r="AH83" s="400"/>
      <c r="AI83" s="400"/>
      <c r="AJ83" s="400"/>
    </row>
    <row r="84" spans="1:36" ht="13.15" customHeight="1">
      <c r="A84" s="409"/>
      <c r="B84" s="416"/>
      <c r="C84" s="392" t="s">
        <v>363</v>
      </c>
      <c r="D84" s="443">
        <f>'SDK3'!D83</f>
        <v>2</v>
      </c>
      <c r="E84" s="414"/>
      <c r="F84" s="413">
        <f t="shared" si="8"/>
        <v>0</v>
      </c>
      <c r="G84" s="412"/>
      <c r="H84" s="411"/>
      <c r="I84" s="410"/>
      <c r="J84" s="4243">
        <f t="shared" si="11"/>
        <v>0</v>
      </c>
      <c r="K84" s="4244"/>
      <c r="L84" s="409"/>
      <c r="M84" s="408"/>
      <c r="N84" s="3596">
        <f>'SDK3'!N83</f>
        <v>17</v>
      </c>
      <c r="O84" s="474">
        <f t="shared" si="10"/>
        <v>2</v>
      </c>
      <c r="Q84" s="4299"/>
      <c r="R84" s="392">
        <v>0</v>
      </c>
      <c r="S84" s="392">
        <v>0</v>
      </c>
      <c r="T84" s="392" t="s">
        <v>1505</v>
      </c>
      <c r="U84" s="400"/>
      <c r="V84" s="400"/>
      <c r="W84" s="400"/>
      <c r="AH84" s="400"/>
      <c r="AI84" s="400"/>
      <c r="AJ84" s="400"/>
    </row>
    <row r="85" spans="1:36" ht="13.15" customHeight="1">
      <c r="A85" s="409"/>
      <c r="B85" s="416"/>
      <c r="C85" s="392" t="s">
        <v>362</v>
      </c>
      <c r="D85" s="443">
        <f>'SDK3'!D84</f>
        <v>5</v>
      </c>
      <c r="E85" s="414"/>
      <c r="F85" s="413">
        <f t="shared" si="8"/>
        <v>0</v>
      </c>
      <c r="G85" s="412"/>
      <c r="H85" s="411"/>
      <c r="I85" s="410"/>
      <c r="J85" s="4243">
        <f t="shared" si="11"/>
        <v>0</v>
      </c>
      <c r="K85" s="4244"/>
      <c r="L85" s="409"/>
      <c r="M85" s="408"/>
      <c r="N85" s="3596">
        <f>'SDK3'!N84</f>
        <v>17</v>
      </c>
      <c r="O85" s="474">
        <f t="shared" si="10"/>
        <v>5</v>
      </c>
      <c r="Q85" s="4299"/>
      <c r="R85" s="392">
        <v>0</v>
      </c>
      <c r="S85" s="392">
        <v>0</v>
      </c>
      <c r="T85" s="392" t="s">
        <v>1505</v>
      </c>
      <c r="U85" s="400"/>
      <c r="V85" s="400"/>
      <c r="W85" s="400"/>
      <c r="AH85" s="400"/>
      <c r="AI85" s="400"/>
      <c r="AJ85" s="400"/>
    </row>
    <row r="86" spans="1:36" ht="13.15" customHeight="1">
      <c r="A86" s="409"/>
      <c r="B86" s="416"/>
      <c r="C86" s="392" t="s">
        <v>361</v>
      </c>
      <c r="D86" s="443">
        <f>'SDK3'!D85</f>
        <v>28.11</v>
      </c>
      <c r="E86" s="414">
        <v>6</v>
      </c>
      <c r="F86" s="413">
        <f t="shared" si="8"/>
        <v>54</v>
      </c>
      <c r="G86" s="412" t="s">
        <v>168</v>
      </c>
      <c r="H86" s="411"/>
      <c r="I86" s="410"/>
      <c r="J86" s="4243">
        <f t="shared" si="11"/>
        <v>10.785673176470588</v>
      </c>
      <c r="K86" s="4244"/>
      <c r="L86" s="409"/>
      <c r="M86" s="408"/>
      <c r="N86" s="3596">
        <f>'SDK3'!N85</f>
        <v>4.0999999999999996</v>
      </c>
      <c r="O86" s="474">
        <f t="shared" si="10"/>
        <v>72.33126002352941</v>
      </c>
      <c r="Q86" s="4299"/>
      <c r="R86" s="392">
        <v>0</v>
      </c>
      <c r="S86" s="392">
        <v>0</v>
      </c>
      <c r="T86" s="392" t="s">
        <v>1504</v>
      </c>
      <c r="U86" s="400"/>
      <c r="V86" s="400"/>
      <c r="W86" s="400"/>
      <c r="AH86" s="400"/>
      <c r="AI86" s="400"/>
      <c r="AJ86" s="400"/>
    </row>
    <row r="87" spans="1:36" ht="13.15" customHeight="1">
      <c r="A87" s="409"/>
      <c r="B87" s="416"/>
      <c r="C87" s="392" t="s">
        <v>358</v>
      </c>
      <c r="D87" s="443">
        <f>'SDK3'!D86</f>
        <v>17.560000000000002</v>
      </c>
      <c r="E87" s="414">
        <v>6</v>
      </c>
      <c r="F87" s="413">
        <f t="shared" si="8"/>
        <v>54</v>
      </c>
      <c r="G87" s="412"/>
      <c r="H87" s="411" t="s">
        <v>168</v>
      </c>
      <c r="I87" s="410"/>
      <c r="J87" s="4243">
        <f>IF(I87="x",VLOOKUP(E87,$B$11:$O$16,14,FALSE),IF(H87="x",VLOOKUP(E87,$B$11:$O$16,13,FALSE),IF(G87="x",VLOOKUP(E87,$B$11:$O$16,12,FALSE),0)))</f>
        <v>12.793818823529412</v>
      </c>
      <c r="K87" s="4244"/>
      <c r="L87" s="409"/>
      <c r="M87" s="408"/>
      <c r="N87" s="3596">
        <f>'SDK3'!N86</f>
        <v>10.19</v>
      </c>
      <c r="O87" s="474">
        <f t="shared" si="10"/>
        <v>147.92901381176469</v>
      </c>
      <c r="Q87" s="4299"/>
      <c r="R87" s="392">
        <v>0</v>
      </c>
      <c r="S87" s="392">
        <v>0</v>
      </c>
      <c r="T87" s="392">
        <v>0</v>
      </c>
      <c r="U87" s="400"/>
      <c r="V87" s="400"/>
      <c r="W87" s="400"/>
      <c r="AH87" s="400"/>
      <c r="AI87" s="400"/>
      <c r="AJ87" s="400"/>
    </row>
    <row r="88" spans="1:36" ht="6" customHeight="1">
      <c r="A88" s="406"/>
      <c r="B88" s="416"/>
      <c r="C88" s="392"/>
      <c r="D88" s="415"/>
      <c r="E88" s="414"/>
      <c r="F88" s="413"/>
      <c r="G88" s="412"/>
      <c r="H88" s="411"/>
      <c r="I88" s="410"/>
      <c r="J88" s="4243"/>
      <c r="K88" s="4244"/>
      <c r="L88" s="409"/>
      <c r="M88" s="408"/>
      <c r="N88" s="3596"/>
      <c r="O88" s="474"/>
      <c r="Q88" s="392"/>
      <c r="R88" s="392"/>
      <c r="S88" s="392"/>
      <c r="T88" s="392"/>
      <c r="U88" s="400"/>
      <c r="V88" s="400"/>
      <c r="W88" s="400"/>
      <c r="AH88" s="400"/>
      <c r="AI88" s="400"/>
      <c r="AJ88" s="400"/>
    </row>
    <row r="89" spans="1:36" ht="13.15" customHeight="1">
      <c r="A89" s="409"/>
      <c r="B89" s="416"/>
      <c r="C89" s="392" t="s">
        <v>1502</v>
      </c>
      <c r="D89" s="415">
        <v>1.65</v>
      </c>
      <c r="E89" s="414">
        <v>5</v>
      </c>
      <c r="F89" s="413"/>
      <c r="G89" s="412" t="s">
        <v>168</v>
      </c>
      <c r="H89" s="411"/>
      <c r="I89" s="410"/>
      <c r="J89" s="4324"/>
      <c r="K89" s="4325"/>
      <c r="L89" s="409"/>
      <c r="M89" s="408"/>
      <c r="N89" s="3596">
        <v>0.35</v>
      </c>
      <c r="O89" s="474">
        <f>((J89*N89)+D89)*(1+$G$4)</f>
        <v>1.65</v>
      </c>
      <c r="Q89" s="3232">
        <v>0</v>
      </c>
      <c r="R89" s="392">
        <v>0</v>
      </c>
      <c r="S89" s="392" t="s">
        <v>1501</v>
      </c>
      <c r="T89" s="392">
        <v>0</v>
      </c>
      <c r="U89" s="400"/>
      <c r="V89" s="400"/>
      <c r="W89" s="400"/>
      <c r="AH89" s="400"/>
      <c r="AI89" s="400"/>
      <c r="AJ89" s="400"/>
    </row>
    <row r="90" spans="1:36" ht="12.75" customHeight="1">
      <c r="A90" s="409"/>
      <c r="B90" s="416"/>
      <c r="C90" s="392" t="s">
        <v>1500</v>
      </c>
      <c r="D90" s="415">
        <v>1.3</v>
      </c>
      <c r="E90" s="414">
        <v>4</v>
      </c>
      <c r="F90" s="413"/>
      <c r="G90" s="412" t="s">
        <v>168</v>
      </c>
      <c r="H90" s="411"/>
      <c r="I90" s="410"/>
      <c r="J90" s="4243"/>
      <c r="K90" s="4244"/>
      <c r="L90" s="409"/>
      <c r="M90" s="408"/>
      <c r="N90" s="3596">
        <v>0.48</v>
      </c>
      <c r="O90" s="474">
        <f>((J90*N90)+D90)*(1+$G$4)</f>
        <v>1.3</v>
      </c>
      <c r="Q90" s="392">
        <v>0</v>
      </c>
      <c r="R90" s="392">
        <v>0</v>
      </c>
      <c r="S90" s="392">
        <v>0</v>
      </c>
      <c r="T90" s="392">
        <v>0</v>
      </c>
      <c r="U90" s="400"/>
      <c r="V90" s="400"/>
      <c r="W90" s="400"/>
      <c r="AH90" s="400"/>
      <c r="AI90" s="400"/>
      <c r="AJ90" s="400"/>
    </row>
    <row r="91" spans="1:36" ht="12.75" customHeight="1">
      <c r="A91" s="409"/>
      <c r="B91" s="416">
        <v>54</v>
      </c>
      <c r="C91" s="392" t="s">
        <v>1499</v>
      </c>
      <c r="D91" s="415">
        <v>0.2</v>
      </c>
      <c r="E91" s="414">
        <v>2</v>
      </c>
      <c r="F91" s="413">
        <f>IF(E91=0,0,INDEX($D$11:$E$17,E91,1))</f>
        <v>120</v>
      </c>
      <c r="G91" s="412" t="s">
        <v>168</v>
      </c>
      <c r="H91" s="411"/>
      <c r="I91" s="410"/>
      <c r="J91" s="4324">
        <f>IF(I91="x",VLOOKUP(E91,$B$11:$N$17,14,FALSE),IF(H91="x",VLOOKUP(E91,$B$11:$N$17,13,FALSE),IF(G91="x",VLOOKUP(E91,$B$11:$N$17,12,FALSE),0)))</f>
        <v>18.912607058823529</v>
      </c>
      <c r="K91" s="4325"/>
      <c r="L91" s="409"/>
      <c r="M91" s="408"/>
      <c r="N91" s="3598">
        <v>2.5</v>
      </c>
      <c r="O91" s="474">
        <f>((J91*N91)+D91)*(1+$G$4)</f>
        <v>47.481517647058823</v>
      </c>
      <c r="Q91" s="392">
        <v>0</v>
      </c>
      <c r="R91" s="392">
        <v>0</v>
      </c>
      <c r="S91" s="392">
        <v>0</v>
      </c>
      <c r="T91" s="392">
        <v>0</v>
      </c>
      <c r="U91" s="400"/>
      <c r="V91" s="400"/>
      <c r="W91" s="400"/>
      <c r="AH91" s="400"/>
      <c r="AI91" s="400"/>
      <c r="AJ91" s="400"/>
    </row>
    <row r="92" spans="1:36" ht="12.75" customHeight="1">
      <c r="A92" s="409"/>
      <c r="B92" s="416">
        <v>55</v>
      </c>
      <c r="C92" s="392" t="s">
        <v>1498</v>
      </c>
      <c r="D92" s="415">
        <v>1.3</v>
      </c>
      <c r="E92" s="414">
        <v>4</v>
      </c>
      <c r="F92" s="413">
        <f>IF(E92=0,0,INDEX($D$11:$E$17,E92,1))</f>
        <v>83</v>
      </c>
      <c r="G92" s="412" t="s">
        <v>168</v>
      </c>
      <c r="H92" s="411"/>
      <c r="I92" s="410"/>
      <c r="J92" s="4243">
        <f>IF(I92="x",VLOOKUP(E92,$B$11:$N$17,14,FALSE),IF(H92="x",VLOOKUP(E92,$B$11:$N$17,13,FALSE),IF(G92="x",VLOOKUP(E92,$B$11:$N$17,12,FALSE),0)))</f>
        <v>14.214449176470588</v>
      </c>
      <c r="K92" s="4244"/>
      <c r="L92" s="409"/>
      <c r="M92" s="408"/>
      <c r="N92" s="3598">
        <v>3</v>
      </c>
      <c r="O92" s="474">
        <f>((J92*N92)+D92)*(1+$G$4)</f>
        <v>43.94334752941176</v>
      </c>
      <c r="Q92" s="392">
        <v>0</v>
      </c>
      <c r="R92" s="392">
        <v>0</v>
      </c>
      <c r="S92" s="392">
        <v>0</v>
      </c>
      <c r="T92" s="392">
        <v>0</v>
      </c>
      <c r="U92" s="400"/>
      <c r="V92" s="400"/>
      <c r="W92" s="400"/>
      <c r="AH92" s="400"/>
      <c r="AI92" s="400"/>
      <c r="AJ92" s="400"/>
    </row>
    <row r="93" spans="1:36" ht="10.9" customHeight="1">
      <c r="A93" s="406"/>
      <c r="B93" s="416">
        <v>56</v>
      </c>
      <c r="C93" s="392"/>
      <c r="D93" s="415"/>
      <c r="E93" s="414"/>
      <c r="F93" s="413"/>
      <c r="G93" s="412"/>
      <c r="H93" s="411"/>
      <c r="I93" s="410"/>
      <c r="J93" s="4324"/>
      <c r="K93" s="4325"/>
      <c r="L93" s="409"/>
      <c r="M93" s="408"/>
      <c r="N93" s="3598"/>
      <c r="O93" s="474"/>
      <c r="Q93" s="392"/>
      <c r="R93" s="392"/>
      <c r="S93" s="392"/>
      <c r="T93" s="392"/>
      <c r="U93" s="400"/>
      <c r="V93" s="400"/>
      <c r="W93" s="400"/>
      <c r="AH93" s="400"/>
      <c r="AI93" s="400"/>
      <c r="AJ93" s="400"/>
    </row>
    <row r="94" spans="1:36" ht="13.15" customHeight="1">
      <c r="A94" s="409"/>
      <c r="B94" s="416">
        <v>57</v>
      </c>
      <c r="C94" s="425" t="s">
        <v>1497</v>
      </c>
      <c r="D94" s="424"/>
      <c r="E94" s="423"/>
      <c r="F94" s="413"/>
      <c r="G94" s="422"/>
      <c r="H94" s="421"/>
      <c r="I94" s="420"/>
      <c r="J94" s="4243">
        <f>IF(I94="x",VLOOKUP(E94,$B$11:$N$17,14,FALSE),IF(H94="x",VLOOKUP(E94,$B$11:$N$17,13,FALSE),IF(G94="x",VLOOKUP(E94,$B$11:$N$17,12,FALSE),0)))</f>
        <v>0</v>
      </c>
      <c r="K94" s="4244"/>
      <c r="L94" s="409"/>
      <c r="M94" s="408"/>
      <c r="N94" s="3598">
        <f>F118</f>
        <v>202</v>
      </c>
      <c r="O94" s="474"/>
      <c r="Q94" s="392" t="s">
        <v>1496</v>
      </c>
      <c r="R94" s="392" t="s">
        <v>368</v>
      </c>
      <c r="S94" s="392" t="s">
        <v>368</v>
      </c>
      <c r="T94" s="392" t="s">
        <v>368</v>
      </c>
      <c r="U94" s="400"/>
      <c r="V94" s="400"/>
      <c r="W94" s="400"/>
      <c r="AH94" s="400"/>
      <c r="AI94" s="400"/>
      <c r="AJ94" s="400"/>
    </row>
    <row r="95" spans="1:36" ht="13.15" customHeight="1">
      <c r="A95" s="409"/>
      <c r="B95" s="416"/>
      <c r="C95" s="425" t="s">
        <v>1495</v>
      </c>
      <c r="D95" s="424"/>
      <c r="E95" s="423"/>
      <c r="F95" s="413"/>
      <c r="G95" s="422"/>
      <c r="H95" s="421"/>
      <c r="I95" s="420"/>
      <c r="J95" s="4324"/>
      <c r="K95" s="4325"/>
      <c r="L95" s="409"/>
      <c r="M95" s="408"/>
      <c r="N95" s="3598">
        <f>E118</f>
        <v>1.1000000000000001</v>
      </c>
      <c r="O95" s="474"/>
      <c r="Q95" s="392" t="s">
        <v>1494</v>
      </c>
      <c r="R95" s="392" t="s">
        <v>368</v>
      </c>
      <c r="S95" s="392" t="s">
        <v>368</v>
      </c>
      <c r="T95" s="392" t="s">
        <v>368</v>
      </c>
      <c r="U95" s="400"/>
      <c r="V95" s="400"/>
      <c r="W95" s="400"/>
      <c r="AH95" s="400"/>
      <c r="AI95" s="400"/>
      <c r="AJ95" s="400"/>
    </row>
    <row r="96" spans="1:36" ht="13.15" customHeight="1">
      <c r="A96" s="409"/>
      <c r="B96" s="416">
        <v>58</v>
      </c>
      <c r="C96" s="425" t="s">
        <v>1493</v>
      </c>
      <c r="D96" s="424"/>
      <c r="E96" s="423"/>
      <c r="F96" s="413"/>
      <c r="G96" s="422"/>
      <c r="H96" s="421"/>
      <c r="I96" s="420"/>
      <c r="J96" s="4243">
        <f>IF(I96="x",VLOOKUP(E96,$B$11:$N$17,14,FALSE),IF(H96="x",VLOOKUP(E96,$B$11:$N$17,13,FALSE),IF(G96="x",VLOOKUP(E96,$B$11:$N$17,12,FALSE),0)))</f>
        <v>0</v>
      </c>
      <c r="K96" s="4244"/>
      <c r="L96" s="409"/>
      <c r="M96" s="408"/>
      <c r="N96" s="3598">
        <f>G118</f>
        <v>0</v>
      </c>
      <c r="O96" s="474"/>
      <c r="Q96" s="392">
        <v>0</v>
      </c>
      <c r="R96" s="392" t="s">
        <v>368</v>
      </c>
      <c r="S96" s="392" t="s">
        <v>368</v>
      </c>
      <c r="T96" s="392" t="s">
        <v>368</v>
      </c>
      <c r="U96" s="400"/>
      <c r="V96" s="400"/>
      <c r="W96" s="400"/>
      <c r="AH96" s="400"/>
      <c r="AI96" s="400"/>
      <c r="AJ96" s="400"/>
    </row>
    <row r="97" spans="1:36" ht="13.15" customHeight="1">
      <c r="A97" s="409"/>
      <c r="B97" s="416"/>
      <c r="C97" s="425" t="s">
        <v>1492</v>
      </c>
      <c r="D97" s="424"/>
      <c r="E97" s="423"/>
      <c r="F97" s="413"/>
      <c r="G97" s="422"/>
      <c r="H97" s="421"/>
      <c r="I97" s="420"/>
      <c r="J97" s="4324"/>
      <c r="K97" s="4325"/>
      <c r="L97" s="409"/>
      <c r="M97" s="408"/>
      <c r="N97" s="3598">
        <f>E130</f>
        <v>51.17</v>
      </c>
      <c r="O97" s="474"/>
      <c r="Q97" s="392">
        <v>0</v>
      </c>
      <c r="R97" s="392" t="s">
        <v>368</v>
      </c>
      <c r="S97" s="392" t="s">
        <v>368</v>
      </c>
      <c r="T97" s="392" t="s">
        <v>368</v>
      </c>
      <c r="U97" s="400"/>
      <c r="V97" s="400"/>
      <c r="W97" s="400"/>
      <c r="AH97" s="400"/>
      <c r="AI97" s="400"/>
      <c r="AJ97" s="400"/>
    </row>
    <row r="98" spans="1:36" ht="13.15" customHeight="1">
      <c r="A98" s="409"/>
      <c r="B98" s="416"/>
      <c r="C98" s="425" t="s">
        <v>1491</v>
      </c>
      <c r="D98" s="424"/>
      <c r="E98" s="423"/>
      <c r="F98" s="413"/>
      <c r="G98" s="422"/>
      <c r="H98" s="421"/>
      <c r="I98" s="420"/>
      <c r="J98" s="4243"/>
      <c r="K98" s="4244"/>
      <c r="L98" s="409"/>
      <c r="M98" s="408"/>
      <c r="N98" s="3598">
        <f>F130</f>
        <v>246.75</v>
      </c>
      <c r="O98" s="474"/>
      <c r="Q98" s="392">
        <v>0</v>
      </c>
      <c r="R98" s="392" t="s">
        <v>368</v>
      </c>
      <c r="S98" s="392" t="s">
        <v>368</v>
      </c>
      <c r="T98" s="392" t="s">
        <v>368</v>
      </c>
      <c r="U98" s="400"/>
      <c r="V98" s="400"/>
      <c r="W98" s="400"/>
      <c r="AH98" s="400"/>
      <c r="AI98" s="400"/>
      <c r="AJ98" s="400"/>
    </row>
    <row r="99" spans="1:36" ht="12.6" customHeight="1">
      <c r="A99" s="409"/>
      <c r="B99" s="416"/>
      <c r="C99" s="425" t="s">
        <v>1490</v>
      </c>
      <c r="D99" s="424"/>
      <c r="E99" s="423"/>
      <c r="F99" s="413"/>
      <c r="G99" s="422"/>
      <c r="H99" s="421"/>
      <c r="I99" s="420"/>
      <c r="J99" s="4324">
        <f>IF(I99="x",VLOOKUP(E99,$B$11:$N$17,14,FALSE),IF(H99="x",VLOOKUP(E99,$B$11:$N$17,13,FALSE),IF(G99="x",VLOOKUP(E99,$B$11:$N$17,12,FALSE),0)))</f>
        <v>0</v>
      </c>
      <c r="K99" s="4325"/>
      <c r="L99" s="409"/>
      <c r="M99" s="408"/>
      <c r="N99" s="3598">
        <f>G130</f>
        <v>0</v>
      </c>
      <c r="O99" s="474"/>
      <c r="Q99" s="392">
        <v>0</v>
      </c>
      <c r="R99" s="392" t="s">
        <v>368</v>
      </c>
      <c r="S99" s="392" t="s">
        <v>368</v>
      </c>
      <c r="T99" s="392" t="s">
        <v>368</v>
      </c>
      <c r="U99" s="400"/>
      <c r="V99" s="400"/>
      <c r="W99" s="400"/>
      <c r="AH99" s="400"/>
      <c r="AI99" s="400"/>
      <c r="AJ99" s="400"/>
    </row>
    <row r="100" spans="1:36" ht="0.6" customHeight="1">
      <c r="B100" s="416"/>
      <c r="C100" s="425"/>
      <c r="D100" s="424"/>
      <c r="E100" s="423"/>
      <c r="F100" s="413">
        <f>IF(E100=0,0,INDEX($D$11:$E$17,E100,1))</f>
        <v>0</v>
      </c>
      <c r="G100" s="422"/>
      <c r="H100" s="421"/>
      <c r="I100" s="420"/>
      <c r="J100" s="2101">
        <f>IF(I100="x",VLOOKUP(E100,$B$11:$N$17,14,FALSE),IF(H100="x",VLOOKUP(E100,$B$11:$N$17,13,FALSE),IF(G100="x",VLOOKUP(E100,$B$11:$N$17,12,FALSE),0)))</f>
        <v>0</v>
      </c>
      <c r="K100" s="2100"/>
      <c r="L100" s="409"/>
      <c r="M100" s="408"/>
      <c r="N100" s="419"/>
      <c r="O100" s="400"/>
      <c r="P100" s="3362"/>
      <c r="Q100" s="400"/>
      <c r="R100" s="400"/>
      <c r="S100" s="400"/>
      <c r="T100" s="400"/>
      <c r="U100" s="400"/>
      <c r="V100" s="400"/>
      <c r="W100" s="400"/>
    </row>
    <row r="101" spans="1:36" s="400" customFormat="1" ht="13.5" hidden="1" customHeight="1" thickBot="1">
      <c r="B101" s="405">
        <v>59</v>
      </c>
      <c r="C101" s="2074"/>
      <c r="D101" s="2099"/>
      <c r="E101" s="2098"/>
      <c r="F101" s="404">
        <f>IF(E101=0,0,INDEX($D$11:$E$17,E101,1))</f>
        <v>0</v>
      </c>
      <c r="G101" s="2097"/>
      <c r="H101" s="2096"/>
      <c r="I101" s="2095"/>
      <c r="J101" s="2094">
        <f>IF(I101="x",VLOOKUP(E101,$B$11:$N$17,14,FALSE),IF(H101="x",VLOOKUP(E101,$B$11:$N$17,13,FALSE),IF(G101="x",VLOOKUP(E101,$B$11:$N$17,12,FALSE),0)))</f>
        <v>0</v>
      </c>
      <c r="K101" s="2093"/>
      <c r="L101" s="403"/>
      <c r="M101" s="402"/>
      <c r="N101" s="2092"/>
      <c r="P101" s="3362"/>
    </row>
    <row r="102" spans="1:36" s="400" customFormat="1" ht="0.6" hidden="1" customHeight="1">
      <c r="P102" s="3362"/>
    </row>
    <row r="103" spans="1:36" s="400" customFormat="1" ht="13.15" hidden="1" customHeight="1">
      <c r="A103" s="384"/>
      <c r="C103" s="2091" t="s">
        <v>1489</v>
      </c>
      <c r="D103" s="2090">
        <v>5.7</v>
      </c>
      <c r="E103" s="2089" t="s">
        <v>1488</v>
      </c>
      <c r="F103" s="2089"/>
      <c r="G103" s="2089"/>
      <c r="H103" s="2089"/>
      <c r="I103" s="2089"/>
      <c r="J103" s="2089"/>
      <c r="K103" s="2089"/>
      <c r="L103" s="2089"/>
      <c r="M103" s="2089"/>
      <c r="N103" s="447"/>
      <c r="P103" s="3362"/>
    </row>
    <row r="104" spans="1:36" s="400" customFormat="1" ht="13.15" customHeight="1">
      <c r="P104" s="3362"/>
    </row>
    <row r="105" spans="1:36" s="400" customFormat="1" ht="21.75" customHeight="1">
      <c r="B105" s="3464" t="s">
        <v>1487</v>
      </c>
      <c r="C105" s="3608"/>
      <c r="D105" s="4312" t="s">
        <v>1486</v>
      </c>
      <c r="E105" s="4314" t="s">
        <v>1485</v>
      </c>
      <c r="F105" s="4314" t="s">
        <v>1465</v>
      </c>
      <c r="G105" s="4316" t="s">
        <v>1464</v>
      </c>
      <c r="I105" s="2071"/>
      <c r="J105" s="401"/>
      <c r="K105" s="401"/>
      <c r="L105" s="401"/>
      <c r="M105" s="401"/>
      <c r="N105" s="401"/>
      <c r="P105" s="3362"/>
    </row>
    <row r="106" spans="1:36" s="400" customFormat="1" ht="13.15" customHeight="1">
      <c r="B106" s="3468"/>
      <c r="C106" s="3599"/>
      <c r="D106" s="4312"/>
      <c r="E106" s="4314"/>
      <c r="F106" s="4314"/>
      <c r="G106" s="4317"/>
      <c r="I106" s="384"/>
      <c r="J106" s="384"/>
      <c r="K106" s="384"/>
      <c r="L106" s="384"/>
      <c r="M106" s="384"/>
      <c r="N106" s="384"/>
      <c r="P106" s="3362"/>
    </row>
    <row r="107" spans="1:36" s="400" customFormat="1" ht="18.399999999999999" customHeight="1" thickBot="1">
      <c r="B107" s="3601"/>
      <c r="C107" s="3600" t="s">
        <v>1463</v>
      </c>
      <c r="D107" s="4313"/>
      <c r="E107" s="4315"/>
      <c r="F107" s="4315"/>
      <c r="G107" s="4318"/>
      <c r="I107" s="384"/>
      <c r="J107" s="384"/>
      <c r="K107" s="384"/>
      <c r="L107" s="384"/>
      <c r="M107" s="384"/>
      <c r="N107" s="384"/>
      <c r="P107" s="3362"/>
    </row>
    <row r="108" spans="1:36" s="400" customFormat="1" ht="13.15" customHeight="1">
      <c r="B108" s="3602"/>
      <c r="C108" s="425" t="s">
        <v>1484</v>
      </c>
      <c r="D108" s="2075">
        <v>2.36</v>
      </c>
      <c r="E108" s="2075"/>
      <c r="F108" s="2087"/>
      <c r="G108" s="3609"/>
      <c r="I108" s="2088"/>
      <c r="J108" s="384"/>
      <c r="K108" s="384"/>
      <c r="L108" s="384"/>
      <c r="M108" s="384"/>
      <c r="N108" s="384"/>
      <c r="P108" s="3362"/>
      <c r="Q108" s="400" t="s">
        <v>1483</v>
      </c>
    </row>
    <row r="109" spans="1:36" s="400" customFormat="1" ht="13.15" customHeight="1">
      <c r="B109" s="2104"/>
      <c r="C109" s="425" t="s">
        <v>1482</v>
      </c>
      <c r="D109" s="2075">
        <v>6.82</v>
      </c>
      <c r="E109" s="2075"/>
      <c r="F109" s="2087"/>
      <c r="G109" s="3609"/>
      <c r="I109" s="401"/>
      <c r="J109" s="384"/>
      <c r="K109" s="384"/>
      <c r="L109" s="384"/>
      <c r="M109" s="384"/>
      <c r="N109" s="384"/>
      <c r="P109" s="3362"/>
    </row>
    <row r="110" spans="1:36" s="400" customFormat="1" ht="13.15" customHeight="1">
      <c r="B110" s="2104"/>
      <c r="C110" s="425"/>
      <c r="D110" s="2079"/>
      <c r="E110" s="2087"/>
      <c r="F110" s="2087"/>
      <c r="G110" s="3609"/>
      <c r="I110" s="384"/>
      <c r="J110" s="384"/>
      <c r="K110" s="384"/>
      <c r="L110" s="384"/>
      <c r="M110" s="384"/>
      <c r="N110" s="384"/>
      <c r="P110" s="3362"/>
    </row>
    <row r="111" spans="1:36" s="400" customFormat="1" ht="13.15" customHeight="1">
      <c r="B111" s="2104"/>
      <c r="C111" s="425" t="s">
        <v>1481</v>
      </c>
      <c r="D111" s="2075">
        <v>51</v>
      </c>
      <c r="E111" s="2075"/>
      <c r="F111" s="2075">
        <v>2</v>
      </c>
      <c r="G111" s="424"/>
      <c r="I111" s="2086"/>
      <c r="J111" s="384"/>
      <c r="K111" s="384"/>
      <c r="L111" s="384"/>
      <c r="M111" s="384"/>
      <c r="N111" s="384"/>
      <c r="P111" s="3362"/>
      <c r="Q111" s="400" t="s">
        <v>1480</v>
      </c>
    </row>
    <row r="112" spans="1:36" s="400" customFormat="1" ht="13.15" customHeight="1">
      <c r="B112" s="2104"/>
      <c r="C112" s="425" t="s">
        <v>1479</v>
      </c>
      <c r="D112" s="2075">
        <v>50</v>
      </c>
      <c r="E112" s="2075"/>
      <c r="F112" s="2075">
        <v>2</v>
      </c>
      <c r="G112" s="424"/>
      <c r="I112" s="2086"/>
      <c r="J112" s="440"/>
      <c r="K112" s="384"/>
      <c r="L112" s="384"/>
      <c r="M112" s="384"/>
      <c r="N112" s="384"/>
      <c r="P112" s="3362"/>
    </row>
    <row r="113" spans="2:17" s="400" customFormat="1" ht="13.15" customHeight="1">
      <c r="B113" s="2104"/>
      <c r="C113" s="425" t="s">
        <v>1478</v>
      </c>
      <c r="D113" s="2075">
        <v>15</v>
      </c>
      <c r="E113" s="2075"/>
      <c r="F113" s="2079"/>
      <c r="G113" s="424"/>
      <c r="I113" s="401"/>
      <c r="J113" s="384"/>
      <c r="K113" s="401"/>
      <c r="L113" s="2071"/>
      <c r="M113" s="401"/>
      <c r="N113" s="401"/>
      <c r="P113" s="3362"/>
      <c r="Q113" s="400" t="s">
        <v>1477</v>
      </c>
    </row>
    <row r="114" spans="2:17" s="400" customFormat="1" ht="13.15" customHeight="1">
      <c r="B114" s="2104"/>
      <c r="C114" s="425" t="s">
        <v>1476</v>
      </c>
      <c r="D114" s="2075">
        <v>3.92</v>
      </c>
      <c r="E114" s="2079"/>
      <c r="F114" s="2079"/>
      <c r="G114" s="424"/>
      <c r="L114" s="2071"/>
      <c r="M114" s="401"/>
      <c r="N114" s="401"/>
      <c r="P114" s="3362"/>
      <c r="Q114" s="400" t="s">
        <v>1475</v>
      </c>
    </row>
    <row r="115" spans="2:17" s="400" customFormat="1" ht="13.15" customHeight="1">
      <c r="B115" s="2104"/>
      <c r="C115" s="425" t="s">
        <v>1474</v>
      </c>
      <c r="D115" s="2075">
        <v>3.13</v>
      </c>
      <c r="E115" s="2079"/>
      <c r="F115" s="2079"/>
      <c r="G115" s="424"/>
      <c r="L115" s="2071"/>
      <c r="M115" s="401"/>
      <c r="N115" s="401"/>
      <c r="P115" s="3362"/>
      <c r="Q115" s="400" t="s">
        <v>1473</v>
      </c>
    </row>
    <row r="116" spans="2:17" s="400" customFormat="1" ht="13.15" customHeight="1">
      <c r="B116" s="2104"/>
      <c r="C116" s="425" t="s">
        <v>1472</v>
      </c>
      <c r="D116" s="2075">
        <f>N65</f>
        <v>0.55000000000000004</v>
      </c>
      <c r="E116" s="2075">
        <v>2</v>
      </c>
      <c r="F116" s="2079"/>
      <c r="G116" s="424"/>
      <c r="L116" s="384"/>
      <c r="M116" s="384"/>
      <c r="N116" s="384"/>
      <c r="P116" s="3362"/>
      <c r="Q116" s="2077" t="s">
        <v>1471</v>
      </c>
    </row>
    <row r="117" spans="2:17" s="400" customFormat="1" ht="13.15" customHeight="1">
      <c r="B117" s="2104"/>
      <c r="C117" s="425" t="s">
        <v>1470</v>
      </c>
      <c r="D117" s="2075">
        <v>824</v>
      </c>
      <c r="E117" s="3610"/>
      <c r="F117" s="3610"/>
      <c r="G117" s="3611"/>
      <c r="I117" s="2071"/>
      <c r="L117" s="384"/>
      <c r="M117" s="384"/>
      <c r="N117" s="384"/>
      <c r="P117" s="3362"/>
      <c r="Q117" s="400" t="s">
        <v>1469</v>
      </c>
    </row>
    <row r="118" spans="2:17" s="400" customFormat="1" ht="13.15" customHeight="1">
      <c r="B118" s="3602"/>
      <c r="C118" s="3612" t="s">
        <v>1468</v>
      </c>
      <c r="D118" s="3613"/>
      <c r="E118" s="3614">
        <f>SUMPRODUCT($D$108:$D$117,E108:E117)</f>
        <v>1.1000000000000001</v>
      </c>
      <c r="F118" s="3614">
        <f>SUMPRODUCT($D$108:$D$117,F108:F117)</f>
        <v>202</v>
      </c>
      <c r="G118" s="3615">
        <f>SUMPRODUCT($D$108:$D$117,G108:G117)</f>
        <v>0</v>
      </c>
      <c r="I118" s="384"/>
      <c r="J118" s="384"/>
      <c r="K118" s="384"/>
      <c r="L118" s="384"/>
      <c r="M118" s="384"/>
      <c r="N118" s="384"/>
      <c r="P118" s="3362"/>
    </row>
    <row r="119" spans="2:17" s="400" customFormat="1" ht="13.15" customHeight="1">
      <c r="B119" s="33"/>
      <c r="C119" s="33"/>
      <c r="D119" s="2085"/>
      <c r="E119" s="2085"/>
      <c r="F119" s="2085"/>
      <c r="G119" s="33"/>
      <c r="H119" s="33"/>
      <c r="I119" s="2084"/>
      <c r="J119" s="384"/>
      <c r="K119" s="384"/>
      <c r="L119" s="384"/>
      <c r="M119" s="384"/>
      <c r="N119" s="384"/>
      <c r="P119" s="3362"/>
    </row>
    <row r="120" spans="2:17" s="400" customFormat="1" ht="17.649999999999999" customHeight="1">
      <c r="B120" s="3464" t="s">
        <v>1467</v>
      </c>
      <c r="C120" s="3608"/>
      <c r="D120" s="4312" t="s">
        <v>1466</v>
      </c>
      <c r="E120" s="4314" t="s">
        <v>2035</v>
      </c>
      <c r="F120" s="4314" t="s">
        <v>1465</v>
      </c>
      <c r="G120" s="4316" t="s">
        <v>1464</v>
      </c>
      <c r="H120" s="33"/>
      <c r="P120" s="3362"/>
    </row>
    <row r="121" spans="2:17" s="400" customFormat="1" ht="13.15" customHeight="1">
      <c r="B121" s="3468"/>
      <c r="C121" s="3599"/>
      <c r="D121" s="4312"/>
      <c r="E121" s="4314"/>
      <c r="F121" s="4314"/>
      <c r="G121" s="4317"/>
      <c r="H121" s="33"/>
      <c r="P121" s="3362"/>
    </row>
    <row r="122" spans="2:17" s="400" customFormat="1" ht="20.45" customHeight="1" thickBot="1">
      <c r="B122" s="3601"/>
      <c r="C122" s="3600" t="s">
        <v>1463</v>
      </c>
      <c r="D122" s="4313"/>
      <c r="E122" s="4315"/>
      <c r="F122" s="4315"/>
      <c r="G122" s="4318"/>
      <c r="H122" s="33"/>
      <c r="P122" s="3362"/>
    </row>
    <row r="123" spans="2:17" s="400" customFormat="1" ht="13.15" customHeight="1">
      <c r="B123" s="2104"/>
      <c r="C123" s="425" t="s">
        <v>1462</v>
      </c>
      <c r="D123" s="2075">
        <v>61.14</v>
      </c>
      <c r="E123" s="2079"/>
      <c r="F123" s="2079"/>
      <c r="G123" s="3609"/>
      <c r="H123" s="33"/>
      <c r="I123" s="384"/>
      <c r="J123" s="384"/>
      <c r="K123" s="384"/>
      <c r="L123" s="384"/>
      <c r="M123" s="384"/>
      <c r="N123" s="384"/>
      <c r="P123" s="3362"/>
      <c r="Q123" s="2077" t="s">
        <v>1461</v>
      </c>
    </row>
    <row r="124" spans="2:17" s="400" customFormat="1" ht="13.15" customHeight="1">
      <c r="B124" s="2104"/>
      <c r="C124" s="425" t="s">
        <v>1460</v>
      </c>
      <c r="D124" s="2075">
        <v>246.75</v>
      </c>
      <c r="E124" s="2079"/>
      <c r="F124" s="2075">
        <v>1</v>
      </c>
      <c r="G124" s="3609"/>
      <c r="H124" s="33"/>
      <c r="I124" s="384"/>
      <c r="J124" s="384"/>
      <c r="K124" s="384"/>
      <c r="L124" s="384"/>
      <c r="M124" s="384"/>
      <c r="N124" s="384"/>
      <c r="P124" s="3362"/>
      <c r="Q124" s="2077" t="s">
        <v>1459</v>
      </c>
    </row>
    <row r="125" spans="2:17" s="400" customFormat="1" ht="13.15" customHeight="1">
      <c r="B125" s="2104"/>
      <c r="C125" s="425"/>
      <c r="D125" s="2079"/>
      <c r="E125" s="2079"/>
      <c r="F125" s="2079"/>
      <c r="G125" s="3609"/>
      <c r="H125" s="33"/>
      <c r="I125" s="384"/>
      <c r="J125" s="384"/>
      <c r="K125" s="384"/>
      <c r="L125" s="384"/>
      <c r="M125" s="384"/>
      <c r="N125" s="384"/>
      <c r="P125" s="3362"/>
    </row>
    <row r="126" spans="2:17" s="400" customFormat="1" ht="13.15" customHeight="1">
      <c r="B126" s="2104"/>
      <c r="C126" s="425" t="s">
        <v>1458</v>
      </c>
      <c r="D126" s="2075">
        <v>51.17</v>
      </c>
      <c r="E126" s="2075">
        <v>1</v>
      </c>
      <c r="F126" s="2079"/>
      <c r="G126" s="424"/>
      <c r="H126" s="33"/>
      <c r="I126" s="384"/>
      <c r="J126" s="384"/>
      <c r="K126" s="384"/>
      <c r="L126" s="384"/>
      <c r="M126" s="384"/>
      <c r="N126" s="384"/>
      <c r="P126" s="3362"/>
      <c r="Q126" s="400" t="s">
        <v>1457</v>
      </c>
    </row>
    <row r="127" spans="2:17" s="400" customFormat="1" ht="13.15" customHeight="1">
      <c r="B127" s="2104"/>
      <c r="C127" s="425" t="s">
        <v>1456</v>
      </c>
      <c r="D127" s="2075">
        <v>100</v>
      </c>
      <c r="E127" s="2079"/>
      <c r="F127" s="2079"/>
      <c r="G127" s="424"/>
      <c r="H127" s="33"/>
      <c r="I127" s="384"/>
      <c r="J127" s="384"/>
      <c r="K127" s="384"/>
      <c r="L127" s="384"/>
      <c r="M127" s="384"/>
      <c r="N127" s="384"/>
      <c r="P127" s="3362"/>
    </row>
    <row r="128" spans="2:17" s="400" customFormat="1" ht="13.15" customHeight="1">
      <c r="B128" s="2104"/>
      <c r="C128" s="425"/>
      <c r="D128" s="2079"/>
      <c r="E128" s="2079"/>
      <c r="F128" s="2079"/>
      <c r="G128" s="424"/>
      <c r="H128" s="33"/>
      <c r="I128" s="2083"/>
      <c r="J128" s="2083"/>
      <c r="K128" s="384"/>
      <c r="L128" s="384"/>
      <c r="M128" s="384"/>
      <c r="N128" s="384"/>
      <c r="P128" s="3362"/>
    </row>
    <row r="129" spans="1:36" s="400" customFormat="1" ht="13.15" customHeight="1">
      <c r="B129" s="2104"/>
      <c r="C129" s="425"/>
      <c r="D129" s="2079"/>
      <c r="E129" s="2079"/>
      <c r="F129" s="2079"/>
      <c r="G129" s="424"/>
      <c r="H129" s="33"/>
      <c r="P129" s="3362"/>
    </row>
    <row r="130" spans="1:36" s="400" customFormat="1" ht="13.15" customHeight="1">
      <c r="B130" s="3616"/>
      <c r="C130" s="3612" t="s">
        <v>1455</v>
      </c>
      <c r="D130" s="3613"/>
      <c r="E130" s="3614">
        <f>SUMPRODUCT($D$123:$D$129,E123:E129)</f>
        <v>51.17</v>
      </c>
      <c r="F130" s="3614">
        <f>SUMPRODUCT($D$123:$D$129,F123:F129)</f>
        <v>246.75</v>
      </c>
      <c r="G130" s="3615">
        <f>SUMPRODUCT($D$123:$D$129,G123:G129)</f>
        <v>0</v>
      </c>
      <c r="H130" s="33"/>
      <c r="P130" s="3362"/>
    </row>
    <row r="131" spans="1:36" s="400" customFormat="1" ht="13.15" customHeight="1">
      <c r="B131" s="33"/>
      <c r="C131" s="33"/>
      <c r="D131" s="33"/>
      <c r="E131" s="33"/>
      <c r="F131" s="33"/>
      <c r="G131" s="33"/>
      <c r="H131" s="33"/>
      <c r="P131" s="3362"/>
    </row>
    <row r="132" spans="1:36" s="400" customFormat="1" ht="13.15" customHeight="1">
      <c r="H132" s="33"/>
      <c r="P132" s="3362"/>
    </row>
    <row r="133" spans="1:36" s="400" customFormat="1" ht="14.25" customHeight="1">
      <c r="H133" s="33"/>
      <c r="P133" s="3362"/>
    </row>
    <row r="134" spans="1:36" s="400" customFormat="1" ht="17.649999999999999" customHeight="1">
      <c r="B134" s="3464" t="s">
        <v>355</v>
      </c>
      <c r="C134" s="3486"/>
      <c r="D134" s="3516" t="s">
        <v>354</v>
      </c>
      <c r="E134" s="2071"/>
      <c r="F134" s="2071"/>
      <c r="G134" s="384"/>
      <c r="H134" s="384"/>
      <c r="I134" s="384"/>
      <c r="J134" s="384"/>
      <c r="K134" s="384"/>
      <c r="L134" s="384"/>
      <c r="M134" s="384"/>
      <c r="N134" s="384"/>
      <c r="P134" s="3362"/>
      <c r="Q134" s="2077" t="s">
        <v>1454</v>
      </c>
    </row>
    <row r="135" spans="1:36" ht="13.15" customHeight="1">
      <c r="A135" s="400"/>
      <c r="B135" s="3468" t="s">
        <v>287</v>
      </c>
      <c r="C135" s="3594" t="s">
        <v>353</v>
      </c>
      <c r="D135" s="3516" t="s">
        <v>352</v>
      </c>
      <c r="E135" s="2082"/>
      <c r="F135" s="384"/>
      <c r="G135" s="384"/>
      <c r="H135" s="384"/>
      <c r="I135" s="384"/>
      <c r="J135" s="384"/>
      <c r="K135" s="384"/>
      <c r="L135" s="384"/>
      <c r="M135" s="384"/>
      <c r="N135" s="384"/>
      <c r="O135" s="400"/>
      <c r="P135" s="3362"/>
      <c r="Q135" s="2077" t="s">
        <v>1453</v>
      </c>
      <c r="R135" s="400"/>
      <c r="S135" s="400"/>
      <c r="T135" s="400"/>
      <c r="U135" s="400"/>
      <c r="V135" s="400"/>
      <c r="W135" s="400"/>
    </row>
    <row r="136" spans="1:36" ht="19.149999999999999" customHeight="1">
      <c r="A136" s="2081"/>
      <c r="B136" s="3601"/>
      <c r="C136" s="395" t="str">
        <f>'SDK3'!C96</f>
        <v>(Datengrundlage MR 2021)</v>
      </c>
      <c r="D136" s="3517" t="s">
        <v>351</v>
      </c>
      <c r="E136" s="384"/>
      <c r="F136" s="384"/>
      <c r="G136" s="384"/>
      <c r="H136" s="384"/>
      <c r="I136" s="384"/>
      <c r="J136" s="384"/>
      <c r="K136" s="384"/>
      <c r="L136" s="384"/>
      <c r="M136" s="384"/>
      <c r="N136" s="384"/>
      <c r="O136" s="400"/>
      <c r="P136" s="3362"/>
      <c r="Q136" s="400"/>
      <c r="R136" s="400"/>
      <c r="S136" s="400"/>
      <c r="T136" s="400"/>
      <c r="U136" s="400"/>
      <c r="V136" s="400"/>
      <c r="W136" s="400"/>
    </row>
    <row r="137" spans="1:36" ht="13.15" customHeight="1">
      <c r="B137" s="3602">
        <v>1</v>
      </c>
      <c r="C137" s="425"/>
      <c r="D137" s="424"/>
      <c r="O137" s="400"/>
      <c r="P137" s="3362"/>
      <c r="Q137" s="400"/>
      <c r="R137" s="400"/>
      <c r="S137" s="400"/>
      <c r="T137" s="400"/>
      <c r="U137" s="400"/>
      <c r="V137" s="400"/>
      <c r="W137" s="400"/>
    </row>
    <row r="138" spans="1:36" ht="13.15" customHeight="1">
      <c r="B138" s="2104">
        <v>2</v>
      </c>
      <c r="C138" s="425" t="s">
        <v>348</v>
      </c>
      <c r="D138" s="3603">
        <v>136</v>
      </c>
      <c r="E138" s="384"/>
      <c r="F138" s="2073"/>
      <c r="O138" s="400"/>
      <c r="P138" s="3362"/>
      <c r="Q138" s="400" t="s">
        <v>347</v>
      </c>
      <c r="R138" s="400"/>
      <c r="S138" s="400"/>
      <c r="T138" s="400"/>
      <c r="U138" s="400"/>
      <c r="V138" s="400"/>
      <c r="W138" s="400"/>
      <c r="AH138" s="400"/>
      <c r="AI138" s="400"/>
      <c r="AJ138" s="400"/>
    </row>
    <row r="139" spans="1:36" ht="13.15" customHeight="1">
      <c r="B139" s="2104">
        <f t="shared" ref="B139:B158" si="12">B138+1</f>
        <v>3</v>
      </c>
      <c r="C139" s="425" t="s">
        <v>346</v>
      </c>
      <c r="D139" s="3603">
        <v>167.8</v>
      </c>
      <c r="E139" s="384"/>
      <c r="F139" s="2073"/>
      <c r="O139" s="2077"/>
      <c r="P139" s="2077"/>
      <c r="Q139" s="2077" t="s">
        <v>1452</v>
      </c>
      <c r="R139" s="2077"/>
      <c r="S139" s="2077"/>
      <c r="T139" s="2077"/>
      <c r="U139" s="2077"/>
      <c r="V139" s="2077"/>
      <c r="W139" s="2077"/>
      <c r="AH139" s="2077"/>
      <c r="AI139" s="2077"/>
      <c r="AJ139" s="2077"/>
    </row>
    <row r="140" spans="1:36" ht="13.15" customHeight="1">
      <c r="B140" s="2104">
        <f t="shared" si="12"/>
        <v>4</v>
      </c>
      <c r="C140" s="425" t="s">
        <v>344</v>
      </c>
      <c r="D140" s="3603">
        <v>176.8</v>
      </c>
      <c r="E140" s="384"/>
      <c r="F140" s="2073"/>
      <c r="O140" s="2077"/>
      <c r="P140" s="2077"/>
      <c r="Q140" s="2077" t="s">
        <v>1451</v>
      </c>
      <c r="R140" s="2077"/>
      <c r="S140" s="2077"/>
      <c r="T140" s="2077"/>
      <c r="U140" s="2077"/>
      <c r="V140" s="2077"/>
      <c r="W140" s="2077"/>
      <c r="AH140" s="2077"/>
      <c r="AI140" s="2077"/>
      <c r="AJ140" s="2077"/>
    </row>
    <row r="141" spans="1:36" ht="13.15" customHeight="1">
      <c r="B141" s="2104">
        <f t="shared" si="12"/>
        <v>5</v>
      </c>
      <c r="C141" s="425" t="s">
        <v>342</v>
      </c>
      <c r="D141" s="3603">
        <v>173.1</v>
      </c>
      <c r="E141" s="384"/>
      <c r="F141" s="2073"/>
      <c r="O141" s="2077"/>
      <c r="P141" s="2077"/>
      <c r="Q141" s="2077" t="s">
        <v>341</v>
      </c>
      <c r="R141" s="2077"/>
      <c r="S141" s="2077"/>
      <c r="T141" s="2077"/>
      <c r="U141" s="2077"/>
      <c r="V141" s="2077"/>
      <c r="W141" s="2077"/>
      <c r="AH141" s="2077"/>
      <c r="AI141" s="2077"/>
      <c r="AJ141" s="2077"/>
    </row>
    <row r="142" spans="1:36" ht="13.15" customHeight="1">
      <c r="B142" s="2104">
        <f t="shared" si="12"/>
        <v>6</v>
      </c>
      <c r="C142" s="425" t="s">
        <v>340</v>
      </c>
      <c r="D142" s="3603">
        <v>151.9</v>
      </c>
      <c r="E142" s="384"/>
      <c r="F142" s="2073"/>
      <c r="O142" s="2077"/>
      <c r="P142" s="2077"/>
      <c r="Q142" s="2077" t="s">
        <v>1450</v>
      </c>
      <c r="R142" s="2077"/>
      <c r="S142" s="2077"/>
      <c r="T142" s="2077"/>
      <c r="U142" s="2077"/>
      <c r="V142" s="2077"/>
      <c r="W142" s="2077"/>
      <c r="AH142" s="2077"/>
      <c r="AI142" s="2077"/>
      <c r="AJ142" s="2077"/>
    </row>
    <row r="143" spans="1:36" ht="13.15" customHeight="1">
      <c r="B143" s="2104">
        <f t="shared" si="12"/>
        <v>7</v>
      </c>
      <c r="C143" s="425" t="s">
        <v>338</v>
      </c>
      <c r="D143" s="3603">
        <v>397.5</v>
      </c>
      <c r="E143" s="384"/>
      <c r="F143" s="2073"/>
      <c r="O143" s="2077"/>
      <c r="P143" s="2077"/>
      <c r="Q143" s="2080" t="s">
        <v>337</v>
      </c>
      <c r="R143" s="2077"/>
      <c r="S143" s="2077"/>
      <c r="T143" s="2077"/>
      <c r="U143" s="2077"/>
      <c r="V143" s="2077"/>
      <c r="W143" s="2077"/>
      <c r="AH143" s="2077"/>
      <c r="AI143" s="2077"/>
      <c r="AJ143" s="2077"/>
    </row>
    <row r="144" spans="1:36" ht="13.15" customHeight="1">
      <c r="B144" s="2104">
        <f t="shared" si="12"/>
        <v>8</v>
      </c>
      <c r="C144" s="425" t="s">
        <v>336</v>
      </c>
      <c r="D144" s="3603">
        <v>600</v>
      </c>
      <c r="E144" s="384"/>
      <c r="F144" s="2073"/>
      <c r="O144" s="400"/>
      <c r="P144" s="3362"/>
      <c r="Q144" s="2077" t="s">
        <v>1449</v>
      </c>
      <c r="R144" s="400"/>
      <c r="S144" s="400"/>
      <c r="T144" s="400"/>
      <c r="U144" s="400"/>
      <c r="V144" s="400"/>
      <c r="W144" s="400"/>
      <c r="AH144" s="400"/>
      <c r="AI144" s="400"/>
      <c r="AJ144" s="400"/>
    </row>
    <row r="145" spans="2:36" ht="13.15" customHeight="1">
      <c r="B145" s="2104">
        <f t="shared" si="12"/>
        <v>9</v>
      </c>
      <c r="C145" s="425" t="s">
        <v>1448</v>
      </c>
      <c r="D145" s="3603">
        <f>'SDK3'!D105</f>
        <v>92.626000000000005</v>
      </c>
      <c r="E145" s="384"/>
      <c r="F145" s="2073"/>
      <c r="O145" s="400"/>
      <c r="P145" s="3362"/>
      <c r="Q145" s="400" t="s">
        <v>1447</v>
      </c>
      <c r="R145" s="400"/>
      <c r="S145" s="400"/>
      <c r="T145" s="400"/>
      <c r="U145" s="400"/>
      <c r="V145" s="400"/>
      <c r="W145" s="400"/>
      <c r="AH145" s="400"/>
      <c r="AI145" s="400"/>
      <c r="AJ145" s="400"/>
    </row>
    <row r="146" spans="2:36" ht="13.15" customHeight="1">
      <c r="B146" s="2104">
        <f t="shared" si="12"/>
        <v>10</v>
      </c>
      <c r="C146" s="425" t="s">
        <v>327</v>
      </c>
      <c r="D146" s="3603">
        <f>'SDK3'!D109</f>
        <v>115</v>
      </c>
      <c r="E146" s="384"/>
      <c r="F146" s="2073"/>
      <c r="O146" s="400"/>
      <c r="P146" s="3362"/>
      <c r="Q146" s="2078" t="s">
        <v>1446</v>
      </c>
      <c r="R146" s="400"/>
      <c r="S146" s="400"/>
      <c r="T146" s="400"/>
      <c r="U146" s="400"/>
      <c r="V146" s="400"/>
      <c r="W146" s="400"/>
      <c r="AH146" s="400"/>
      <c r="AI146" s="400"/>
      <c r="AJ146" s="400"/>
    </row>
    <row r="147" spans="2:36" ht="13.15" customHeight="1">
      <c r="B147" s="2104">
        <f t="shared" si="12"/>
        <v>11</v>
      </c>
      <c r="C147" s="425" t="s">
        <v>324</v>
      </c>
      <c r="D147" s="3603">
        <f>'SDK3'!D110</f>
        <v>85.798999999999992</v>
      </c>
      <c r="E147" s="384"/>
      <c r="F147" s="2073"/>
      <c r="O147" s="400"/>
      <c r="P147" s="3362"/>
      <c r="Q147" s="400" t="s">
        <v>1445</v>
      </c>
      <c r="R147" s="400"/>
      <c r="S147" s="400"/>
      <c r="T147" s="400"/>
      <c r="U147" s="400"/>
      <c r="V147" s="400"/>
      <c r="W147" s="400"/>
      <c r="AH147" s="400"/>
      <c r="AI147" s="400"/>
      <c r="AJ147" s="400"/>
    </row>
    <row r="148" spans="2:36" ht="13.15" customHeight="1">
      <c r="B148" s="2104">
        <f t="shared" si="12"/>
        <v>12</v>
      </c>
      <c r="C148" s="425" t="s">
        <v>1444</v>
      </c>
      <c r="D148" s="3604">
        <v>80</v>
      </c>
      <c r="E148" s="384"/>
      <c r="F148" s="2073"/>
      <c r="O148" s="2077"/>
      <c r="P148" s="2077"/>
      <c r="Q148" s="2077" t="s">
        <v>1443</v>
      </c>
      <c r="R148" s="2077"/>
      <c r="S148" s="2077"/>
      <c r="T148" s="2077"/>
      <c r="U148" s="2077"/>
      <c r="V148" s="2077"/>
      <c r="W148" s="2077"/>
      <c r="AD148" s="401"/>
    </row>
    <row r="149" spans="2:36" ht="13.15" customHeight="1">
      <c r="B149" s="2104">
        <f t="shared" si="12"/>
        <v>13</v>
      </c>
      <c r="C149" s="425" t="s">
        <v>1442</v>
      </c>
      <c r="D149" s="3604">
        <v>124</v>
      </c>
      <c r="E149" s="384"/>
      <c r="F149" s="2073"/>
      <c r="O149" s="400"/>
      <c r="P149" s="3362"/>
      <c r="Q149" s="400" t="s">
        <v>1441</v>
      </c>
      <c r="R149" s="400"/>
      <c r="S149" s="400"/>
      <c r="T149" s="400"/>
      <c r="U149" s="400"/>
      <c r="V149" s="400"/>
      <c r="W149" s="400"/>
      <c r="AD149" s="401"/>
    </row>
    <row r="150" spans="2:36" ht="13.15" customHeight="1">
      <c r="B150" s="2104">
        <f t="shared" si="12"/>
        <v>14</v>
      </c>
      <c r="C150" s="425" t="s">
        <v>318</v>
      </c>
      <c r="D150" s="3604">
        <v>226</v>
      </c>
      <c r="E150" s="384"/>
      <c r="F150" s="2073"/>
      <c r="O150" s="400"/>
      <c r="P150" s="3362"/>
      <c r="Q150" s="400" t="s">
        <v>1440</v>
      </c>
      <c r="R150" s="400"/>
      <c r="S150" s="400"/>
      <c r="T150" s="400"/>
      <c r="U150" s="400"/>
      <c r="V150" s="400"/>
      <c r="W150" s="400"/>
    </row>
    <row r="151" spans="2:36" ht="13.15" customHeight="1">
      <c r="B151" s="2104">
        <f t="shared" si="12"/>
        <v>15</v>
      </c>
      <c r="C151" s="425" t="s">
        <v>315</v>
      </c>
      <c r="D151" s="3604">
        <v>58.34</v>
      </c>
      <c r="E151" s="384"/>
      <c r="F151" s="2073"/>
      <c r="O151" s="400"/>
      <c r="P151" s="3362"/>
      <c r="Q151" s="400" t="s">
        <v>1439</v>
      </c>
      <c r="R151" s="400"/>
      <c r="S151" s="400"/>
      <c r="T151" s="400"/>
      <c r="U151" s="400"/>
      <c r="V151" s="400"/>
      <c r="W151" s="400"/>
    </row>
    <row r="152" spans="2:36" ht="13.15" customHeight="1">
      <c r="B152" s="2104">
        <f t="shared" si="12"/>
        <v>16</v>
      </c>
      <c r="C152" s="425" t="s">
        <v>312</v>
      </c>
      <c r="D152" s="3604">
        <v>166</v>
      </c>
      <c r="E152" s="384"/>
      <c r="F152" s="2073"/>
      <c r="O152" s="400"/>
      <c r="P152" s="3362"/>
      <c r="Q152" s="400" t="s">
        <v>1438</v>
      </c>
      <c r="R152" s="400"/>
      <c r="S152" s="400"/>
      <c r="T152" s="400"/>
      <c r="U152" s="400"/>
      <c r="V152" s="400"/>
      <c r="W152" s="400"/>
    </row>
    <row r="153" spans="2:36" ht="13.15" customHeight="1">
      <c r="B153" s="2104">
        <f t="shared" si="12"/>
        <v>17</v>
      </c>
      <c r="C153" s="425" t="s">
        <v>309</v>
      </c>
      <c r="D153" s="3604">
        <v>139</v>
      </c>
      <c r="E153" s="384"/>
      <c r="F153" s="2073"/>
      <c r="O153" s="400"/>
      <c r="P153" s="3362"/>
      <c r="Q153" s="400" t="s">
        <v>1437</v>
      </c>
      <c r="R153" s="400"/>
      <c r="S153" s="400"/>
      <c r="T153" s="400"/>
      <c r="U153" s="400"/>
      <c r="V153" s="400"/>
      <c r="W153" s="400"/>
    </row>
    <row r="154" spans="2:36" ht="13.15" customHeight="1">
      <c r="B154" s="2104">
        <f t="shared" si="12"/>
        <v>18</v>
      </c>
      <c r="C154" s="425" t="s">
        <v>306</v>
      </c>
      <c r="D154" s="3604">
        <v>201</v>
      </c>
      <c r="E154" s="384"/>
      <c r="F154" s="2073"/>
      <c r="O154" s="400"/>
      <c r="P154" s="3362"/>
      <c r="Q154" s="2076" t="s">
        <v>1436</v>
      </c>
      <c r="R154" s="2076"/>
      <c r="S154" s="400"/>
      <c r="T154" s="400"/>
      <c r="U154" s="400"/>
      <c r="V154" s="400"/>
      <c r="W154" s="400"/>
    </row>
    <row r="155" spans="2:36" ht="13.15" customHeight="1">
      <c r="B155" s="2104">
        <f t="shared" si="12"/>
        <v>19</v>
      </c>
      <c r="C155" s="425" t="s">
        <v>303</v>
      </c>
      <c r="D155" s="3604">
        <v>15</v>
      </c>
      <c r="E155" s="384"/>
      <c r="F155" s="2073"/>
      <c r="O155" s="400"/>
      <c r="P155" s="3362"/>
      <c r="Q155" s="400" t="s">
        <v>1435</v>
      </c>
      <c r="R155" s="400"/>
      <c r="S155" s="400"/>
      <c r="T155" s="400"/>
      <c r="U155" s="400"/>
      <c r="V155" s="400"/>
      <c r="W155" s="400"/>
    </row>
    <row r="156" spans="2:36" ht="13.15" customHeight="1">
      <c r="B156" s="3605">
        <f t="shared" si="12"/>
        <v>20</v>
      </c>
      <c r="C156" s="425"/>
      <c r="D156" s="3603"/>
      <c r="E156" s="384"/>
      <c r="F156" s="2073"/>
      <c r="O156" s="400"/>
      <c r="P156" s="3362"/>
      <c r="Q156" s="400" t="s">
        <v>1434</v>
      </c>
      <c r="R156" s="400"/>
      <c r="S156" s="400"/>
      <c r="T156" s="400"/>
      <c r="U156" s="400"/>
      <c r="V156" s="400"/>
      <c r="W156" s="400"/>
    </row>
    <row r="157" spans="2:36" ht="13.15" customHeight="1">
      <c r="B157" s="2104">
        <f t="shared" si="12"/>
        <v>21</v>
      </c>
      <c r="C157" s="425" t="s">
        <v>322</v>
      </c>
      <c r="D157" s="3603">
        <v>2.5</v>
      </c>
      <c r="E157" s="384"/>
      <c r="F157" s="400"/>
      <c r="G157" s="400"/>
      <c r="H157" s="400"/>
      <c r="I157" s="400"/>
      <c r="J157" s="400"/>
      <c r="K157" s="400"/>
      <c r="O157" s="400"/>
      <c r="P157" s="3362"/>
      <c r="Q157" s="400" t="s">
        <v>1433</v>
      </c>
      <c r="R157" s="400"/>
      <c r="S157" s="400"/>
      <c r="T157" s="400"/>
      <c r="U157" s="400"/>
      <c r="V157" s="400"/>
      <c r="W157" s="400"/>
    </row>
    <row r="158" spans="2:36" ht="13.15" customHeight="1">
      <c r="B158" s="2104">
        <f t="shared" si="12"/>
        <v>22</v>
      </c>
      <c r="C158" s="425" t="s">
        <v>1432</v>
      </c>
      <c r="D158" s="3603">
        <v>3.1</v>
      </c>
      <c r="E158" s="384"/>
      <c r="F158" s="400"/>
      <c r="G158" s="400"/>
      <c r="H158" s="400"/>
      <c r="I158" s="400"/>
      <c r="J158" s="400"/>
      <c r="K158" s="400"/>
      <c r="O158" s="400"/>
      <c r="P158" s="3362"/>
      <c r="Q158" s="400" t="s">
        <v>1431</v>
      </c>
      <c r="R158" s="400"/>
      <c r="S158" s="400"/>
      <c r="T158" s="400"/>
      <c r="U158" s="400"/>
      <c r="V158" s="400"/>
      <c r="W158" s="400"/>
    </row>
    <row r="159" spans="2:36" ht="13.15" customHeight="1">
      <c r="B159" s="2104">
        <v>23</v>
      </c>
      <c r="C159" s="425" t="s">
        <v>1430</v>
      </c>
      <c r="D159" s="3604">
        <f>((1.6*20)+(23.9+16.5)*1.7)/20</f>
        <v>5.0339999999999998</v>
      </c>
      <c r="E159" s="384"/>
      <c r="F159" s="400"/>
      <c r="G159" s="400"/>
      <c r="H159" s="400"/>
      <c r="I159" s="400"/>
      <c r="J159" s="400"/>
      <c r="K159" s="400"/>
      <c r="L159" s="384"/>
      <c r="O159" s="400"/>
      <c r="P159" s="3362"/>
      <c r="Q159" s="400" t="s">
        <v>1429</v>
      </c>
      <c r="R159" s="400"/>
      <c r="S159" s="400"/>
      <c r="T159" s="400"/>
      <c r="U159" s="400"/>
      <c r="V159" s="400"/>
      <c r="W159" s="400"/>
    </row>
    <row r="160" spans="2:36" ht="13.15" customHeight="1">
      <c r="B160" s="2104">
        <v>24</v>
      </c>
      <c r="C160" s="425" t="s">
        <v>300</v>
      </c>
      <c r="D160" s="3604">
        <v>4.7699999999999996</v>
      </c>
      <c r="E160" s="384"/>
      <c r="F160" s="400"/>
      <c r="G160" s="400"/>
      <c r="H160" s="400"/>
      <c r="I160" s="400"/>
      <c r="J160" s="400"/>
      <c r="K160" s="400"/>
      <c r="L160" s="384"/>
      <c r="O160" s="400"/>
      <c r="P160" s="3362"/>
      <c r="Q160" s="400" t="s">
        <v>1428</v>
      </c>
      <c r="R160" s="400"/>
      <c r="S160" s="400"/>
      <c r="T160" s="400"/>
      <c r="U160" s="400"/>
      <c r="V160" s="400"/>
      <c r="W160" s="400"/>
      <c r="Y160" s="2072"/>
    </row>
    <row r="161" spans="2:25" ht="13.15" customHeight="1">
      <c r="B161" s="2104">
        <v>25</v>
      </c>
      <c r="C161" s="425" t="s">
        <v>1427</v>
      </c>
      <c r="D161" s="3604">
        <f>35.8+16.5</f>
        <v>52.3</v>
      </c>
      <c r="E161" s="384"/>
      <c r="F161" s="400"/>
      <c r="G161" s="400"/>
      <c r="H161" s="400"/>
      <c r="I161" s="400"/>
      <c r="J161" s="400"/>
      <c r="K161" s="400"/>
      <c r="L161" s="384"/>
      <c r="O161" s="400"/>
      <c r="P161" s="3362"/>
      <c r="Q161" s="400" t="s">
        <v>1426</v>
      </c>
      <c r="R161" s="400"/>
      <c r="S161" s="400"/>
      <c r="T161" s="400"/>
      <c r="U161" s="400"/>
      <c r="V161" s="400"/>
      <c r="W161" s="400"/>
      <c r="Y161" s="2072"/>
    </row>
    <row r="162" spans="2:25" ht="13.15" customHeight="1">
      <c r="B162" s="3605">
        <v>26</v>
      </c>
      <c r="C162" s="425" t="s">
        <v>1425</v>
      </c>
      <c r="D162" s="3603">
        <v>1.4</v>
      </c>
      <c r="E162" s="384"/>
      <c r="F162" s="400"/>
      <c r="G162" s="400"/>
      <c r="H162" s="400"/>
      <c r="I162" s="400"/>
      <c r="J162" s="400"/>
      <c r="K162" s="400"/>
      <c r="L162" s="384"/>
      <c r="N162" s="384"/>
      <c r="O162" s="400"/>
      <c r="P162" s="3362"/>
      <c r="Q162" s="400" t="s">
        <v>1424</v>
      </c>
      <c r="R162" s="400"/>
      <c r="S162" s="400"/>
      <c r="T162" s="400"/>
      <c r="U162" s="400"/>
      <c r="V162" s="400"/>
      <c r="W162" s="400"/>
    </row>
    <row r="163" spans="2:25" ht="13.15" customHeight="1">
      <c r="B163" s="400"/>
      <c r="C163" s="400"/>
      <c r="D163" s="400"/>
      <c r="F163" s="400"/>
      <c r="G163" s="400"/>
      <c r="H163" s="400"/>
      <c r="I163" s="400"/>
      <c r="J163" s="400"/>
      <c r="K163" s="400"/>
      <c r="N163" s="384"/>
      <c r="O163" s="400"/>
      <c r="P163" s="3362"/>
      <c r="Q163" s="400"/>
      <c r="R163" s="400"/>
      <c r="S163" s="400"/>
      <c r="T163" s="400"/>
      <c r="U163" s="400"/>
      <c r="V163" s="400"/>
      <c r="W163" s="400"/>
    </row>
    <row r="164" spans="2:25" ht="13.15" customHeight="1">
      <c r="O164" s="400"/>
      <c r="P164" s="3362"/>
      <c r="Q164" s="400"/>
      <c r="R164" s="400"/>
      <c r="S164" s="400"/>
      <c r="T164" s="400"/>
      <c r="U164" s="400"/>
      <c r="V164" s="400"/>
      <c r="W164" s="400"/>
    </row>
    <row r="165" spans="2:25" ht="13.9" customHeight="1">
      <c r="I165" s="384"/>
      <c r="J165" s="384"/>
      <c r="K165" s="384"/>
      <c r="L165" s="384"/>
      <c r="M165" s="384"/>
      <c r="N165" s="384"/>
      <c r="O165" s="400"/>
      <c r="P165" s="3362"/>
      <c r="Q165" s="400"/>
      <c r="R165" s="400"/>
      <c r="S165" s="400"/>
      <c r="T165" s="400"/>
      <c r="U165" s="400"/>
      <c r="V165" s="400"/>
      <c r="W165" s="400"/>
    </row>
    <row r="166" spans="2:25" ht="16.5" customHeight="1">
      <c r="I166" s="384"/>
      <c r="J166" s="384"/>
      <c r="K166" s="384"/>
      <c r="L166" s="384"/>
      <c r="M166" s="384"/>
      <c r="N166" s="384"/>
      <c r="O166" s="400"/>
      <c r="P166" s="3362"/>
      <c r="Q166" s="400"/>
      <c r="R166" s="400"/>
      <c r="S166" s="400"/>
      <c r="T166" s="400"/>
      <c r="U166" s="400"/>
      <c r="V166" s="400"/>
      <c r="W166" s="400"/>
    </row>
    <row r="167" spans="2:25" ht="16.5" customHeight="1">
      <c r="I167" s="384"/>
      <c r="J167" s="384"/>
      <c r="K167" s="384"/>
      <c r="L167" s="384"/>
      <c r="M167" s="384"/>
      <c r="N167" s="384"/>
      <c r="O167" s="400"/>
      <c r="P167" s="3362"/>
      <c r="Q167" s="400"/>
      <c r="R167" s="400"/>
      <c r="S167" s="400"/>
      <c r="T167" s="400"/>
      <c r="U167" s="400"/>
      <c r="V167" s="400"/>
      <c r="W167" s="400"/>
    </row>
    <row r="168" spans="2:25" ht="16.5" customHeight="1">
      <c r="B168" s="384"/>
      <c r="C168" s="384"/>
      <c r="D168" s="384"/>
      <c r="E168" s="384"/>
      <c r="F168" s="384"/>
      <c r="G168" s="384"/>
      <c r="H168" s="384"/>
      <c r="I168" s="384"/>
      <c r="J168" s="384"/>
      <c r="K168" s="384"/>
      <c r="L168" s="384"/>
      <c r="M168" s="384"/>
      <c r="N168" s="384"/>
      <c r="O168" s="400"/>
      <c r="P168" s="3362"/>
      <c r="Q168" s="400"/>
      <c r="R168" s="400"/>
      <c r="S168" s="400"/>
      <c r="T168" s="400"/>
      <c r="U168" s="400"/>
      <c r="V168" s="400"/>
      <c r="W168" s="400"/>
    </row>
    <row r="169" spans="2:25" ht="16.5" customHeight="1">
      <c r="B169" s="384"/>
      <c r="C169" s="384"/>
      <c r="D169" s="384"/>
      <c r="E169" s="384"/>
      <c r="F169" s="384"/>
      <c r="G169" s="384"/>
      <c r="H169" s="384"/>
      <c r="I169" s="384"/>
      <c r="J169" s="384"/>
      <c r="K169" s="384"/>
      <c r="L169" s="384"/>
      <c r="M169" s="384"/>
      <c r="N169" s="384"/>
      <c r="O169" s="400"/>
      <c r="P169" s="3362"/>
      <c r="Q169" s="400"/>
      <c r="R169" s="400"/>
      <c r="S169" s="400"/>
      <c r="T169" s="400"/>
      <c r="U169" s="400"/>
      <c r="V169" s="400"/>
      <c r="W169" s="400"/>
    </row>
    <row r="170" spans="2:25" ht="16.5" customHeight="1">
      <c r="B170" s="384"/>
      <c r="C170" s="384"/>
      <c r="D170" s="384"/>
      <c r="E170" s="384"/>
      <c r="F170" s="384"/>
      <c r="G170" s="384"/>
      <c r="H170" s="384"/>
      <c r="I170" s="384"/>
      <c r="J170" s="384"/>
      <c r="K170" s="384"/>
      <c r="L170" s="384"/>
      <c r="M170" s="384"/>
      <c r="N170" s="384"/>
      <c r="O170" s="400"/>
      <c r="P170" s="3362"/>
      <c r="Q170" s="400"/>
      <c r="R170" s="400"/>
      <c r="S170" s="400"/>
      <c r="T170" s="400"/>
      <c r="U170" s="400"/>
      <c r="V170" s="400"/>
      <c r="W170" s="400"/>
    </row>
    <row r="171" spans="2:25" ht="16.5" customHeight="1">
      <c r="B171" s="384"/>
      <c r="C171" s="384"/>
      <c r="D171" s="384"/>
      <c r="E171" s="384"/>
      <c r="F171" s="384"/>
      <c r="G171" s="384"/>
      <c r="H171" s="384"/>
      <c r="I171" s="384"/>
      <c r="J171" s="384"/>
      <c r="K171" s="384"/>
      <c r="L171" s="384"/>
      <c r="M171" s="384"/>
      <c r="N171" s="384"/>
      <c r="O171" s="400"/>
      <c r="P171" s="3362"/>
      <c r="Q171" s="400"/>
      <c r="R171" s="400"/>
      <c r="S171" s="400"/>
      <c r="T171" s="400"/>
      <c r="U171" s="400"/>
      <c r="V171" s="400"/>
      <c r="W171" s="400"/>
    </row>
    <row r="172" spans="2:25" ht="16.5" customHeight="1">
      <c r="B172" s="384"/>
      <c r="C172" s="384"/>
      <c r="D172" s="384"/>
      <c r="E172" s="384"/>
      <c r="F172" s="384"/>
      <c r="G172" s="384"/>
      <c r="H172" s="384"/>
      <c r="I172" s="384"/>
      <c r="J172" s="384"/>
      <c r="K172" s="384"/>
      <c r="L172" s="384"/>
      <c r="M172" s="384"/>
      <c r="N172" s="384"/>
      <c r="O172" s="400"/>
      <c r="P172" s="3362"/>
      <c r="Q172" s="400"/>
      <c r="R172" s="400"/>
      <c r="S172" s="400"/>
      <c r="T172" s="400"/>
      <c r="U172" s="400"/>
      <c r="V172" s="400"/>
      <c r="W172" s="400"/>
    </row>
    <row r="173" spans="2:25" ht="16.5" customHeight="1">
      <c r="B173" s="384"/>
      <c r="C173" s="384"/>
      <c r="D173" s="384"/>
      <c r="E173" s="384"/>
      <c r="F173" s="384"/>
      <c r="G173" s="384"/>
      <c r="H173" s="384"/>
      <c r="I173" s="384"/>
      <c r="J173" s="384"/>
      <c r="K173" s="384"/>
      <c r="L173" s="384"/>
      <c r="M173" s="384"/>
      <c r="N173" s="384"/>
      <c r="O173" s="400"/>
      <c r="P173" s="3362"/>
      <c r="Q173" s="400"/>
      <c r="R173" s="400"/>
      <c r="S173" s="400"/>
      <c r="T173" s="400"/>
      <c r="U173" s="400"/>
      <c r="V173" s="400"/>
      <c r="W173" s="400"/>
    </row>
    <row r="174" spans="2:25" ht="16.5" customHeight="1">
      <c r="B174" s="384"/>
      <c r="C174" s="384"/>
      <c r="D174" s="384"/>
      <c r="E174" s="384"/>
      <c r="F174" s="384"/>
      <c r="G174" s="384"/>
      <c r="H174" s="384"/>
      <c r="I174" s="384"/>
      <c r="J174" s="384"/>
      <c r="K174" s="384"/>
      <c r="L174" s="384"/>
      <c r="M174" s="384"/>
      <c r="N174" s="384"/>
      <c r="O174" s="384"/>
      <c r="P174" s="384"/>
    </row>
    <row r="175" spans="2:25" ht="16.5" customHeight="1">
      <c r="B175" s="384"/>
      <c r="C175" s="384"/>
      <c r="D175" s="384"/>
      <c r="E175" s="384"/>
      <c r="F175" s="384"/>
      <c r="G175" s="384"/>
      <c r="H175" s="384"/>
      <c r="I175" s="384"/>
      <c r="J175" s="384"/>
      <c r="K175" s="384"/>
      <c r="L175" s="384"/>
      <c r="M175" s="384"/>
      <c r="N175" s="384"/>
      <c r="O175" s="384"/>
      <c r="P175" s="384"/>
    </row>
    <row r="176" spans="2:25" ht="16.5" customHeight="1">
      <c r="B176" s="384"/>
      <c r="C176" s="384"/>
      <c r="D176" s="384"/>
      <c r="E176" s="384"/>
      <c r="F176" s="384"/>
      <c r="G176" s="384"/>
      <c r="H176" s="384"/>
      <c r="I176" s="384"/>
      <c r="J176" s="384"/>
      <c r="K176" s="384"/>
      <c r="L176" s="384"/>
      <c r="M176" s="384"/>
      <c r="N176" s="384"/>
      <c r="O176" s="384"/>
      <c r="P176" s="384"/>
    </row>
    <row r="177" spans="1:16" ht="16.5" customHeight="1">
      <c r="B177" s="384"/>
      <c r="C177" s="384"/>
      <c r="D177" s="384"/>
      <c r="E177" s="384"/>
      <c r="F177" s="384"/>
      <c r="G177" s="384"/>
      <c r="H177" s="384"/>
      <c r="I177" s="384"/>
      <c r="J177" s="384"/>
      <c r="K177" s="384"/>
      <c r="L177" s="384"/>
      <c r="M177" s="384"/>
      <c r="N177" s="384"/>
      <c r="O177" s="384"/>
      <c r="P177" s="384"/>
    </row>
    <row r="178" spans="1:16" ht="16.5" customHeight="1">
      <c r="B178" s="384"/>
      <c r="C178" s="384"/>
      <c r="D178" s="384"/>
      <c r="E178" s="384"/>
      <c r="F178" s="384"/>
      <c r="G178" s="384"/>
      <c r="H178" s="384"/>
      <c r="I178" s="384"/>
      <c r="J178" s="384"/>
      <c r="K178" s="384"/>
      <c r="L178" s="384"/>
      <c r="M178" s="384"/>
      <c r="N178" s="384"/>
      <c r="O178" s="384"/>
      <c r="P178" s="384"/>
    </row>
    <row r="179" spans="1:16" ht="16.5" customHeight="1">
      <c r="A179" s="400"/>
      <c r="B179" s="384"/>
      <c r="C179" s="384"/>
      <c r="D179" s="384"/>
      <c r="E179" s="384"/>
      <c r="F179" s="384"/>
      <c r="G179" s="384"/>
      <c r="H179" s="384"/>
      <c r="I179" s="384"/>
      <c r="J179" s="384"/>
      <c r="K179" s="384"/>
      <c r="L179" s="384"/>
      <c r="M179" s="384"/>
      <c r="N179" s="384"/>
      <c r="O179" s="384"/>
      <c r="P179" s="384"/>
    </row>
    <row r="180" spans="1:16" ht="16.5" customHeight="1">
      <c r="A180" s="400"/>
      <c r="B180" s="384"/>
      <c r="C180" s="384"/>
      <c r="D180" s="384"/>
      <c r="E180" s="384"/>
      <c r="F180" s="384"/>
      <c r="G180" s="384"/>
      <c r="H180" s="384"/>
      <c r="I180" s="384"/>
      <c r="J180" s="384"/>
      <c r="K180" s="384"/>
      <c r="L180" s="384"/>
      <c r="M180" s="384"/>
      <c r="N180" s="384"/>
      <c r="O180" s="384"/>
      <c r="P180" s="384"/>
    </row>
    <row r="181" spans="1:16" ht="16.5" customHeight="1">
      <c r="A181" s="400"/>
      <c r="B181" s="384"/>
      <c r="C181" s="384"/>
      <c r="D181" s="384"/>
      <c r="E181" s="384"/>
      <c r="F181" s="384"/>
      <c r="G181" s="384"/>
      <c r="H181" s="384"/>
      <c r="I181" s="384"/>
      <c r="J181" s="384"/>
      <c r="K181" s="384"/>
      <c r="L181" s="384"/>
      <c r="M181" s="384"/>
      <c r="N181" s="384"/>
      <c r="O181" s="384"/>
      <c r="P181" s="384"/>
    </row>
    <row r="182" spans="1:16" ht="16.5" customHeight="1">
      <c r="A182" s="400"/>
      <c r="B182" s="400"/>
      <c r="C182" s="400"/>
      <c r="D182" s="400"/>
      <c r="E182" s="400"/>
      <c r="F182" s="400"/>
      <c r="G182" s="400"/>
      <c r="H182" s="400"/>
      <c r="I182" s="384"/>
      <c r="J182" s="384"/>
      <c r="K182" s="384"/>
      <c r="L182" s="384"/>
      <c r="M182" s="384"/>
      <c r="N182" s="384"/>
      <c r="O182" s="2072"/>
      <c r="P182" s="2072"/>
    </row>
    <row r="183" spans="1:16" ht="16.5" customHeight="1">
      <c r="A183" s="400"/>
      <c r="B183" s="400"/>
      <c r="C183" s="400"/>
      <c r="D183" s="400"/>
      <c r="E183" s="400"/>
      <c r="F183" s="400"/>
      <c r="G183" s="400"/>
      <c r="H183" s="400"/>
      <c r="I183" s="384"/>
      <c r="J183" s="384"/>
      <c r="K183" s="384"/>
      <c r="L183" s="384"/>
      <c r="M183" s="384"/>
      <c r="N183" s="384"/>
      <c r="O183" s="2072"/>
      <c r="P183" s="2072"/>
    </row>
    <row r="184" spans="1:16" ht="16.5" customHeight="1">
      <c r="A184" s="400"/>
      <c r="B184" s="400"/>
      <c r="C184" s="400"/>
      <c r="D184" s="400"/>
      <c r="E184" s="400"/>
      <c r="F184" s="400"/>
      <c r="G184" s="400"/>
      <c r="H184" s="400"/>
      <c r="I184" s="384"/>
      <c r="J184" s="384"/>
      <c r="K184" s="384"/>
      <c r="L184" s="384"/>
      <c r="M184" s="384"/>
      <c r="N184" s="384"/>
      <c r="O184" s="2072"/>
      <c r="P184" s="2072"/>
    </row>
    <row r="185" spans="1:16" ht="16.5" customHeight="1">
      <c r="A185" s="400"/>
      <c r="B185" s="400"/>
      <c r="C185" s="400"/>
      <c r="D185" s="400"/>
      <c r="E185" s="400"/>
      <c r="F185" s="400"/>
      <c r="G185" s="400"/>
      <c r="H185" s="400"/>
      <c r="I185" s="384"/>
      <c r="J185" s="384"/>
      <c r="K185" s="384"/>
      <c r="L185" s="384"/>
      <c r="M185" s="384"/>
      <c r="N185" s="384"/>
      <c r="O185" s="2072"/>
      <c r="P185" s="2072"/>
    </row>
    <row r="186" spans="1:16" ht="16.5" customHeight="1">
      <c r="A186" s="400"/>
      <c r="B186" s="400"/>
      <c r="C186" s="400"/>
      <c r="D186" s="400"/>
      <c r="E186" s="400"/>
      <c r="F186" s="400"/>
      <c r="G186" s="400"/>
      <c r="H186" s="400"/>
      <c r="I186" s="384"/>
      <c r="J186" s="384"/>
      <c r="K186" s="384"/>
      <c r="L186" s="384"/>
      <c r="M186" s="384"/>
      <c r="N186" s="384"/>
      <c r="O186" s="2072"/>
      <c r="P186" s="2072"/>
    </row>
    <row r="187" spans="1:16" ht="16.5" customHeight="1">
      <c r="A187" s="400"/>
      <c r="B187" s="400"/>
      <c r="C187" s="400"/>
      <c r="D187" s="400"/>
      <c r="E187" s="400"/>
      <c r="F187" s="400"/>
      <c r="G187" s="400"/>
      <c r="H187" s="400"/>
      <c r="I187" s="384"/>
      <c r="J187" s="384"/>
      <c r="K187" s="384"/>
      <c r="L187" s="384"/>
      <c r="M187" s="384"/>
      <c r="N187" s="384"/>
      <c r="O187" s="2072"/>
      <c r="P187" s="2072"/>
    </row>
    <row r="188" spans="1:16" ht="16.5" customHeight="1">
      <c r="A188" s="400"/>
      <c r="B188" s="400"/>
      <c r="C188" s="400"/>
      <c r="D188" s="400"/>
      <c r="E188" s="400"/>
      <c r="F188" s="400"/>
      <c r="G188" s="384"/>
      <c r="H188" s="384"/>
      <c r="I188" s="384"/>
      <c r="J188" s="384"/>
      <c r="K188" s="384"/>
      <c r="L188" s="384"/>
      <c r="M188" s="384"/>
      <c r="N188" s="384"/>
      <c r="O188" s="2072"/>
      <c r="P188" s="2072"/>
    </row>
    <row r="189" spans="1:16" ht="16.5" customHeight="1">
      <c r="A189" s="400"/>
      <c r="B189" s="400"/>
      <c r="C189" s="400"/>
      <c r="D189" s="400"/>
      <c r="E189" s="400"/>
      <c r="F189" s="400"/>
      <c r="G189" s="384"/>
      <c r="H189" s="384"/>
      <c r="I189" s="384"/>
      <c r="J189" s="384"/>
      <c r="K189" s="384"/>
      <c r="L189" s="384"/>
      <c r="M189" s="384"/>
      <c r="N189" s="384"/>
      <c r="O189" s="2072"/>
      <c r="P189" s="2072"/>
    </row>
    <row r="190" spans="1:16" ht="16.5" customHeight="1">
      <c r="A190" s="400"/>
      <c r="B190" s="400"/>
      <c r="C190" s="400"/>
      <c r="D190" s="400"/>
      <c r="E190" s="400"/>
      <c r="F190" s="400"/>
      <c r="G190" s="384"/>
      <c r="H190" s="384"/>
      <c r="I190" s="384"/>
      <c r="J190" s="384"/>
      <c r="K190" s="384"/>
      <c r="L190" s="384"/>
      <c r="M190" s="384"/>
      <c r="N190" s="384"/>
      <c r="O190" s="2072"/>
      <c r="P190" s="2072"/>
    </row>
    <row r="191" spans="1:16" ht="16.5" customHeight="1">
      <c r="B191" s="384"/>
      <c r="C191" s="384"/>
      <c r="D191" s="384"/>
      <c r="E191" s="384"/>
      <c r="F191" s="384"/>
      <c r="G191" s="384"/>
      <c r="H191" s="384"/>
      <c r="I191" s="384"/>
      <c r="J191" s="384"/>
      <c r="K191" s="384"/>
      <c r="L191" s="384"/>
      <c r="M191" s="384"/>
      <c r="N191" s="384"/>
      <c r="O191" s="2072"/>
      <c r="P191" s="2072"/>
    </row>
    <row r="192" spans="1:16" ht="16.5" customHeight="1">
      <c r="B192" s="384"/>
      <c r="C192" s="384"/>
      <c r="D192" s="384"/>
      <c r="E192" s="384"/>
      <c r="F192" s="384"/>
      <c r="G192" s="384"/>
      <c r="H192" s="384"/>
      <c r="I192" s="384"/>
      <c r="J192" s="384"/>
      <c r="K192" s="384"/>
      <c r="L192" s="384"/>
      <c r="M192" s="384"/>
      <c r="N192" s="384"/>
      <c r="O192" s="2072"/>
      <c r="P192" s="2072"/>
    </row>
    <row r="193" spans="2:14">
      <c r="B193" s="384"/>
      <c r="C193" s="384"/>
      <c r="D193" s="384"/>
      <c r="E193" s="384"/>
      <c r="F193" s="384"/>
      <c r="G193" s="384"/>
      <c r="H193" s="384"/>
      <c r="I193" s="384"/>
      <c r="J193" s="384"/>
      <c r="K193" s="384"/>
      <c r="L193" s="384"/>
      <c r="M193" s="384"/>
      <c r="N193" s="384"/>
    </row>
  </sheetData>
  <sheetProtection sheet="1" selectLockedCells="1"/>
  <mergeCells count="131">
    <mergeCell ref="J99:K99"/>
    <mergeCell ref="J94:K94"/>
    <mergeCell ref="J95:K95"/>
    <mergeCell ref="J96:K96"/>
    <mergeCell ref="J97:K97"/>
    <mergeCell ref="J98:K98"/>
    <mergeCell ref="J89:K89"/>
    <mergeCell ref="J90:K90"/>
    <mergeCell ref="J91:K91"/>
    <mergeCell ref="J92:K92"/>
    <mergeCell ref="J93:K93"/>
    <mergeCell ref="J84:K84"/>
    <mergeCell ref="J85:K85"/>
    <mergeCell ref="J86:K86"/>
    <mergeCell ref="J87:K87"/>
    <mergeCell ref="J88:K88"/>
    <mergeCell ref="J79:K79"/>
    <mergeCell ref="J80:K80"/>
    <mergeCell ref="J81:K81"/>
    <mergeCell ref="J82:K82"/>
    <mergeCell ref="J83:K83"/>
    <mergeCell ref="J74:K74"/>
    <mergeCell ref="J75:K75"/>
    <mergeCell ref="J76:K76"/>
    <mergeCell ref="J77:K77"/>
    <mergeCell ref="J78:K78"/>
    <mergeCell ref="J69:K69"/>
    <mergeCell ref="J70:K70"/>
    <mergeCell ref="J71:K71"/>
    <mergeCell ref="J72:K72"/>
    <mergeCell ref="J73:K73"/>
    <mergeCell ref="J63:K63"/>
    <mergeCell ref="J65:K65"/>
    <mergeCell ref="J66:K66"/>
    <mergeCell ref="J67:K67"/>
    <mergeCell ref="J68:K68"/>
    <mergeCell ref="J58:K58"/>
    <mergeCell ref="J59:K59"/>
    <mergeCell ref="J60:K60"/>
    <mergeCell ref="J61:K61"/>
    <mergeCell ref="J62:K62"/>
    <mergeCell ref="J64:K64"/>
    <mergeCell ref="J53:K53"/>
    <mergeCell ref="J54:K54"/>
    <mergeCell ref="J55:K55"/>
    <mergeCell ref="J56:K56"/>
    <mergeCell ref="J57:K57"/>
    <mergeCell ref="J47:K47"/>
    <mergeCell ref="J48:K48"/>
    <mergeCell ref="J49:K49"/>
    <mergeCell ref="J51:K51"/>
    <mergeCell ref="J52:K52"/>
    <mergeCell ref="J50:K50"/>
    <mergeCell ref="J41:K41"/>
    <mergeCell ref="J42:K42"/>
    <mergeCell ref="J44:K44"/>
    <mergeCell ref="J45:K45"/>
    <mergeCell ref="J46:K46"/>
    <mergeCell ref="J35:K35"/>
    <mergeCell ref="J37:K37"/>
    <mergeCell ref="J38:K38"/>
    <mergeCell ref="J39:K39"/>
    <mergeCell ref="J40:K40"/>
    <mergeCell ref="J36:K36"/>
    <mergeCell ref="J43:K43"/>
    <mergeCell ref="J30:K30"/>
    <mergeCell ref="J31:K31"/>
    <mergeCell ref="J32:K32"/>
    <mergeCell ref="J33:K33"/>
    <mergeCell ref="J34:K34"/>
    <mergeCell ref="J26:K26"/>
    <mergeCell ref="J27:K27"/>
    <mergeCell ref="J28:K28"/>
    <mergeCell ref="J29:K29"/>
    <mergeCell ref="J21:K21"/>
    <mergeCell ref="J22:K22"/>
    <mergeCell ref="J23:K23"/>
    <mergeCell ref="J13:K13"/>
    <mergeCell ref="J14:K14"/>
    <mergeCell ref="J15:K15"/>
    <mergeCell ref="J16:K16"/>
    <mergeCell ref="J24:K24"/>
    <mergeCell ref="J25:K25"/>
    <mergeCell ref="F13:G13"/>
    <mergeCell ref="F14:G14"/>
    <mergeCell ref="F12:G12"/>
    <mergeCell ref="D13:E13"/>
    <mergeCell ref="F15:G15"/>
    <mergeCell ref="D16:E16"/>
    <mergeCell ref="D15:E15"/>
    <mergeCell ref="F16:G16"/>
    <mergeCell ref="H11:I11"/>
    <mergeCell ref="H12:I12"/>
    <mergeCell ref="H13:I13"/>
    <mergeCell ref="H14:I14"/>
    <mergeCell ref="H15:I15"/>
    <mergeCell ref="H16:I16"/>
    <mergeCell ref="D120:D122"/>
    <mergeCell ref="E120:E122"/>
    <mergeCell ref="F120:F122"/>
    <mergeCell ref="G120:G122"/>
    <mergeCell ref="G21:I21"/>
    <mergeCell ref="D105:D107"/>
    <mergeCell ref="E105:E107"/>
    <mergeCell ref="F105:F107"/>
    <mergeCell ref="G105:G107"/>
    <mergeCell ref="E21:F21"/>
    <mergeCell ref="N21:O21"/>
    <mergeCell ref="H6:O6"/>
    <mergeCell ref="B3:N3"/>
    <mergeCell ref="D7:E7"/>
    <mergeCell ref="F7:G7"/>
    <mergeCell ref="H7:I8"/>
    <mergeCell ref="J7:K7"/>
    <mergeCell ref="D8:E8"/>
    <mergeCell ref="Q24:Q87"/>
    <mergeCell ref="F8:G8"/>
    <mergeCell ref="J8:K8"/>
    <mergeCell ref="D9:E9"/>
    <mergeCell ref="F9:G9"/>
    <mergeCell ref="J9:K9"/>
    <mergeCell ref="L21:M23"/>
    <mergeCell ref="F10:G10"/>
    <mergeCell ref="J10:K10"/>
    <mergeCell ref="D14:E14"/>
    <mergeCell ref="D11:E11"/>
    <mergeCell ref="F11:G11"/>
    <mergeCell ref="E20:K20"/>
    <mergeCell ref="J11:K11"/>
    <mergeCell ref="J12:K12"/>
    <mergeCell ref="D12:E12"/>
  </mergeCells>
  <printOptions horizontalCentered="1"/>
  <pageMargins left="0.59055118110236227" right="0.59055118110236227" top="0.61" bottom="0.56000000000000005" header="0.27" footer="0.39370078740157483"/>
  <pageSetup paperSize="8" scale="57" firstPageNumber="8" orientation="portrait" useFirstPageNumber="1" r:id="rId1"/>
  <headerFooter alignWithMargins="0">
    <oddFooter xml:space="preserve">&amp;L&amp;11LEL Schwäbisch Gmünd&amp;R&amp;11&amp;F </oddFooter>
  </headerFooter>
  <rowBreaks count="1" manualBreakCount="1">
    <brk id="103" max="16383" man="1"/>
  </rowBreaks>
  <colBreaks count="2" manualBreakCount="2">
    <brk id="14" max="84" man="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T303"/>
  <sheetViews>
    <sheetView showZeros="0" workbookViewId="0"/>
  </sheetViews>
  <sheetFormatPr baseColWidth="10" defaultColWidth="10.5" defaultRowHeight="12.75"/>
  <cols>
    <col min="1" max="1" width="0.875" style="31" customWidth="1"/>
    <col min="2" max="2" width="1.25" style="31" customWidth="1"/>
    <col min="3" max="3" width="4.25" style="31" customWidth="1"/>
    <col min="4" max="4" width="9.625" style="31" customWidth="1"/>
    <col min="5" max="5" width="4.25" style="31" customWidth="1"/>
    <col min="6" max="6" width="9.125" style="31" customWidth="1"/>
    <col min="7" max="7" width="4.25" style="31" customWidth="1"/>
    <col min="8" max="8" width="8.75" style="31" customWidth="1"/>
    <col min="9" max="9" width="4.25" style="31" customWidth="1"/>
    <col min="10" max="10" width="8.75" style="31" customWidth="1"/>
    <col min="11" max="11" width="4.25" style="31" customWidth="1"/>
    <col min="12" max="12" width="8.75" style="31" customWidth="1"/>
    <col min="13" max="13" width="4.25" style="31" customWidth="1"/>
    <col min="14" max="14" width="8.75" style="32" customWidth="1"/>
    <col min="15" max="15" width="4.25" style="31" customWidth="1"/>
    <col min="16" max="16" width="8.75" style="31" customWidth="1"/>
    <col min="17" max="17" width="10.25" style="31" customWidth="1"/>
    <col min="18" max="19" width="10.5" style="31" customWidth="1"/>
    <col min="20" max="20" width="10.875" style="31" customWidth="1"/>
    <col min="21" max="16384" width="10.5" style="31"/>
  </cols>
  <sheetData>
    <row r="1" spans="2:20" ht="6.6" customHeight="1">
      <c r="Q1" s="32"/>
    </row>
    <row r="2" spans="2:20" ht="26.45" customHeight="1">
      <c r="C2" s="76" t="s">
        <v>167</v>
      </c>
      <c r="D2" s="75"/>
      <c r="E2" s="75"/>
      <c r="F2" s="75"/>
      <c r="G2" s="75"/>
      <c r="H2" s="75"/>
      <c r="I2" s="75"/>
      <c r="J2" s="75"/>
      <c r="K2" s="75"/>
      <c r="L2" s="75"/>
      <c r="M2" s="75"/>
      <c r="N2" s="75"/>
      <c r="O2" s="74"/>
      <c r="P2" s="74"/>
      <c r="Q2" s="74"/>
      <c r="R2" s="74"/>
      <c r="S2" s="73"/>
      <c r="T2" s="72"/>
    </row>
    <row r="3" spans="2:20" ht="15" customHeight="1">
      <c r="B3" s="49"/>
      <c r="C3" s="32"/>
      <c r="D3" s="32"/>
      <c r="E3" s="32"/>
      <c r="F3" s="32"/>
      <c r="G3" s="32"/>
      <c r="H3" s="32"/>
      <c r="I3" s="32"/>
      <c r="J3" s="32"/>
      <c r="K3" s="32"/>
      <c r="L3" s="32"/>
      <c r="M3" s="32"/>
      <c r="O3" s="32"/>
      <c r="P3" s="32"/>
      <c r="Q3" s="32"/>
      <c r="R3" s="32"/>
      <c r="S3" s="32"/>
      <c r="T3" s="46"/>
    </row>
    <row r="4" spans="2:20" ht="146.1" customHeight="1">
      <c r="C4" s="4128" t="s">
        <v>2199</v>
      </c>
      <c r="D4" s="4129"/>
      <c r="E4" s="4129"/>
      <c r="F4" s="4129"/>
      <c r="G4" s="4129"/>
      <c r="H4" s="4129"/>
      <c r="I4" s="4129"/>
      <c r="J4" s="4129"/>
      <c r="K4" s="4129"/>
      <c r="L4" s="4129"/>
      <c r="M4" s="4129"/>
      <c r="N4" s="4129"/>
      <c r="O4" s="4129"/>
      <c r="P4" s="4129"/>
      <c r="Q4" s="32"/>
      <c r="R4" s="32"/>
      <c r="S4" s="32"/>
      <c r="T4" s="46"/>
    </row>
    <row r="5" spans="2:20" ht="15" customHeight="1">
      <c r="C5" s="39"/>
      <c r="D5" s="71"/>
      <c r="E5" s="71"/>
      <c r="F5" s="71"/>
      <c r="G5" s="71"/>
      <c r="H5" s="71"/>
      <c r="I5" s="71"/>
      <c r="J5" s="71"/>
      <c r="K5" s="71"/>
      <c r="L5" s="71"/>
      <c r="M5" s="71"/>
      <c r="N5" s="71"/>
      <c r="O5" s="71"/>
      <c r="P5" s="71"/>
      <c r="Q5" s="32"/>
      <c r="R5" s="32"/>
      <c r="S5" s="32"/>
      <c r="T5" s="46"/>
    </row>
    <row r="6" spans="2:20" s="42" customFormat="1" ht="24" customHeight="1">
      <c r="C6" s="48" t="s">
        <v>166</v>
      </c>
      <c r="D6" s="70"/>
      <c r="E6" s="45"/>
      <c r="F6" s="45"/>
      <c r="G6" s="45"/>
      <c r="H6" s="45"/>
      <c r="I6" s="45"/>
      <c r="J6" s="45"/>
      <c r="K6" s="45"/>
      <c r="L6" s="45"/>
      <c r="M6" s="45"/>
      <c r="N6" s="45"/>
      <c r="O6" s="45"/>
      <c r="P6" s="45"/>
      <c r="Q6" s="45"/>
      <c r="R6" s="45"/>
      <c r="S6" s="44"/>
      <c r="T6" s="43"/>
    </row>
    <row r="7" spans="2:20" s="42" customFormat="1" ht="6.6" customHeight="1">
      <c r="C7" s="45"/>
      <c r="D7" s="45"/>
      <c r="E7" s="45"/>
      <c r="F7" s="45"/>
      <c r="G7" s="45"/>
      <c r="H7" s="45"/>
      <c r="I7" s="45"/>
      <c r="J7" s="45"/>
      <c r="K7" s="45"/>
      <c r="L7" s="45"/>
      <c r="M7" s="45"/>
      <c r="N7" s="45"/>
      <c r="O7" s="45"/>
      <c r="P7" s="45"/>
      <c r="Q7" s="45"/>
      <c r="R7" s="45"/>
      <c r="S7" s="44"/>
      <c r="T7" s="43"/>
    </row>
    <row r="8" spans="2:20" s="42" customFormat="1" ht="15" customHeight="1">
      <c r="C8" s="59" t="s">
        <v>165</v>
      </c>
      <c r="D8" s="51"/>
      <c r="E8" s="51"/>
      <c r="F8" s="51"/>
      <c r="G8" s="51"/>
      <c r="H8" s="51"/>
      <c r="I8" s="51"/>
      <c r="J8" s="51"/>
      <c r="K8" s="51"/>
      <c r="L8" s="51"/>
      <c r="M8" s="51"/>
      <c r="N8" s="51"/>
      <c r="O8" s="51"/>
      <c r="P8" s="51"/>
      <c r="Q8" s="51"/>
      <c r="R8" s="45"/>
      <c r="S8" s="44"/>
      <c r="T8" s="43"/>
    </row>
    <row r="9" spans="2:20" s="42" customFormat="1" ht="15" customHeight="1" thickBot="1">
      <c r="C9" s="51"/>
      <c r="D9" s="51"/>
      <c r="E9" s="51"/>
      <c r="F9" s="51"/>
      <c r="G9" s="51"/>
      <c r="H9" s="51"/>
      <c r="I9" s="51"/>
      <c r="J9" s="51"/>
      <c r="K9" s="51"/>
      <c r="L9" s="51"/>
      <c r="M9" s="51"/>
      <c r="N9" s="51"/>
      <c r="O9" s="51"/>
      <c r="P9" s="51"/>
      <c r="Q9" s="51"/>
      <c r="R9" s="45"/>
      <c r="S9" s="44"/>
      <c r="T9" s="43"/>
    </row>
    <row r="10" spans="2:20" s="42" customFormat="1" ht="15" customHeight="1">
      <c r="C10" s="61"/>
      <c r="D10" s="63" t="s">
        <v>164</v>
      </c>
      <c r="E10" s="60"/>
      <c r="F10" s="63" t="s">
        <v>163</v>
      </c>
      <c r="G10" s="69"/>
      <c r="H10" s="63" t="s">
        <v>162</v>
      </c>
      <c r="I10" s="60"/>
      <c r="J10" s="63" t="s">
        <v>2025</v>
      </c>
      <c r="K10" s="69"/>
      <c r="L10" s="63" t="s">
        <v>161</v>
      </c>
      <c r="M10" s="60"/>
      <c r="N10" s="63" t="s">
        <v>160</v>
      </c>
      <c r="O10" s="60"/>
      <c r="P10" s="63" t="s">
        <v>159</v>
      </c>
      <c r="Q10" s="61"/>
      <c r="R10" s="45"/>
      <c r="S10" s="44"/>
      <c r="T10" s="43"/>
    </row>
    <row r="11" spans="2:20" s="42" customFormat="1" ht="15" customHeight="1">
      <c r="C11" s="61"/>
      <c r="D11" s="3389" t="s">
        <v>2020</v>
      </c>
      <c r="E11" s="60"/>
      <c r="F11" s="3385" t="s">
        <v>158</v>
      </c>
      <c r="G11" s="60"/>
      <c r="H11" s="62" t="s">
        <v>1224</v>
      </c>
      <c r="I11" s="60"/>
      <c r="J11" s="62" t="s">
        <v>153</v>
      </c>
      <c r="K11" s="60"/>
      <c r="L11" s="62" t="s">
        <v>157</v>
      </c>
      <c r="M11" s="60"/>
      <c r="N11" s="62" t="s">
        <v>156</v>
      </c>
      <c r="O11" s="60"/>
      <c r="P11" s="62" t="s">
        <v>155</v>
      </c>
      <c r="Q11" s="61"/>
      <c r="R11" s="45"/>
      <c r="S11" s="44"/>
      <c r="T11" s="43"/>
    </row>
    <row r="12" spans="2:20" s="42" customFormat="1" ht="15" customHeight="1">
      <c r="C12" s="61"/>
      <c r="D12" s="3389" t="s">
        <v>2021</v>
      </c>
      <c r="E12" s="60"/>
      <c r="F12" s="3385" t="s">
        <v>154</v>
      </c>
      <c r="G12" s="60"/>
      <c r="H12" s="3389" t="s">
        <v>2023</v>
      </c>
      <c r="I12" s="60"/>
      <c r="J12" s="62" t="s">
        <v>151</v>
      </c>
      <c r="K12" s="60"/>
      <c r="L12" s="62" t="s">
        <v>152</v>
      </c>
      <c r="M12" s="60"/>
      <c r="N12" s="62" t="s">
        <v>151</v>
      </c>
      <c r="O12" s="60"/>
      <c r="P12" s="3389" t="s">
        <v>2029</v>
      </c>
      <c r="Q12" s="61"/>
      <c r="R12" s="45"/>
      <c r="S12" s="44"/>
      <c r="T12" s="43"/>
    </row>
    <row r="13" spans="2:20" s="65" customFormat="1" ht="15" customHeight="1" thickBot="1">
      <c r="C13" s="61"/>
      <c r="D13" s="56"/>
      <c r="E13" s="60"/>
      <c r="F13" s="3390" t="s">
        <v>2022</v>
      </c>
      <c r="G13" s="60"/>
      <c r="H13" s="3390" t="s">
        <v>2024</v>
      </c>
      <c r="I13" s="60"/>
      <c r="J13" s="3388" t="s">
        <v>2026</v>
      </c>
      <c r="K13" s="60"/>
      <c r="L13" s="3388" t="s">
        <v>2027</v>
      </c>
      <c r="M13" s="60"/>
      <c r="N13" s="3388" t="s">
        <v>2028</v>
      </c>
      <c r="O13" s="60"/>
      <c r="P13" s="3390" t="s">
        <v>2013</v>
      </c>
      <c r="Q13" s="61"/>
      <c r="R13" s="68"/>
      <c r="S13" s="67"/>
      <c r="T13" s="66"/>
    </row>
    <row r="14" spans="2:20" s="42" customFormat="1" ht="15" customHeight="1">
      <c r="C14" s="53"/>
      <c r="D14" s="55"/>
      <c r="E14" s="55"/>
      <c r="F14" s="55"/>
      <c r="G14" s="55"/>
      <c r="H14" s="55"/>
      <c r="I14" s="55"/>
      <c r="J14" s="55"/>
      <c r="K14" s="55"/>
      <c r="L14" s="55"/>
      <c r="M14" s="55"/>
      <c r="N14" s="55"/>
      <c r="O14" s="55"/>
      <c r="P14" s="51"/>
      <c r="Q14" s="51"/>
      <c r="R14" s="45"/>
      <c r="S14" s="44"/>
      <c r="T14" s="43"/>
    </row>
    <row r="15" spans="2:20" s="42" customFormat="1" ht="15" customHeight="1">
      <c r="C15" s="53"/>
      <c r="D15" s="55"/>
      <c r="E15" s="55"/>
      <c r="F15" s="55"/>
      <c r="G15" s="55"/>
      <c r="H15" s="55"/>
      <c r="I15" s="55"/>
      <c r="J15" s="55"/>
      <c r="K15" s="55"/>
      <c r="L15" s="55"/>
      <c r="M15" s="55"/>
      <c r="N15" s="55"/>
      <c r="O15" s="55"/>
      <c r="P15" s="51"/>
      <c r="Q15" s="51"/>
      <c r="R15" s="45"/>
      <c r="S15" s="44"/>
      <c r="T15" s="43"/>
    </row>
    <row r="16" spans="2:20" s="42" customFormat="1" ht="15" customHeight="1">
      <c r="B16" s="64"/>
      <c r="C16" s="59" t="s">
        <v>150</v>
      </c>
      <c r="D16" s="52"/>
      <c r="E16" s="52"/>
      <c r="F16" s="53"/>
      <c r="G16" s="52"/>
      <c r="H16" s="52"/>
      <c r="I16" s="53"/>
      <c r="J16" s="53"/>
      <c r="K16" s="52"/>
      <c r="L16" s="52"/>
      <c r="M16" s="53"/>
      <c r="N16" s="52"/>
      <c r="O16" s="52"/>
      <c r="P16" s="51"/>
      <c r="Q16" s="51"/>
      <c r="R16" s="45"/>
      <c r="S16" s="44"/>
      <c r="T16" s="43"/>
    </row>
    <row r="17" spans="3:20" s="42" customFormat="1" ht="15" customHeight="1" thickBot="1">
      <c r="C17" s="53"/>
      <c r="D17" s="53"/>
      <c r="E17" s="53"/>
      <c r="F17" s="53"/>
      <c r="G17" s="53"/>
      <c r="H17" s="53"/>
      <c r="I17" s="53"/>
      <c r="J17" s="53"/>
      <c r="K17" s="52"/>
      <c r="L17" s="52"/>
      <c r="M17" s="53"/>
      <c r="N17" s="53"/>
      <c r="O17" s="53"/>
      <c r="P17" s="51"/>
      <c r="Q17" s="51"/>
      <c r="R17" s="45"/>
      <c r="S17" s="44"/>
      <c r="T17" s="43"/>
    </row>
    <row r="18" spans="3:20" s="42" customFormat="1" ht="15" customHeight="1">
      <c r="C18" s="53"/>
      <c r="D18" s="58" t="s">
        <v>149</v>
      </c>
      <c r="E18" s="55"/>
      <c r="F18" s="58" t="s">
        <v>148</v>
      </c>
      <c r="G18" s="55"/>
      <c r="H18" s="58" t="s">
        <v>144</v>
      </c>
      <c r="I18" s="55"/>
      <c r="J18" s="3391" t="s">
        <v>2030</v>
      </c>
      <c r="K18" s="55"/>
      <c r="L18" s="58" t="s">
        <v>144</v>
      </c>
      <c r="M18" s="55"/>
      <c r="N18" s="58" t="s">
        <v>147</v>
      </c>
      <c r="O18" s="53"/>
      <c r="P18" s="51"/>
      <c r="Q18" s="51"/>
      <c r="R18" s="45"/>
      <c r="S18" s="44"/>
      <c r="T18" s="43"/>
    </row>
    <row r="19" spans="3:20" s="42" customFormat="1" ht="15" customHeight="1">
      <c r="C19" s="53"/>
      <c r="D19" s="57" t="s">
        <v>146</v>
      </c>
      <c r="E19" s="55"/>
      <c r="F19" s="57" t="s">
        <v>145</v>
      </c>
      <c r="G19" s="55"/>
      <c r="H19" s="57" t="s">
        <v>144</v>
      </c>
      <c r="I19" s="55"/>
      <c r="J19" s="3392" t="s">
        <v>2031</v>
      </c>
      <c r="K19" s="55"/>
      <c r="L19" s="57" t="s">
        <v>144</v>
      </c>
      <c r="M19" s="55"/>
      <c r="N19" s="57"/>
      <c r="O19" s="53"/>
      <c r="P19" s="51"/>
      <c r="Q19" s="51"/>
      <c r="R19" s="45"/>
      <c r="S19" s="44"/>
      <c r="T19" s="43"/>
    </row>
    <row r="20" spans="3:20" s="42" customFormat="1" ht="15" customHeight="1">
      <c r="C20" s="53"/>
      <c r="D20" s="57" t="s">
        <v>143</v>
      </c>
      <c r="E20" s="55"/>
      <c r="F20" s="57"/>
      <c r="G20" s="55"/>
      <c r="H20" s="57"/>
      <c r="I20" s="55"/>
      <c r="J20" s="3392" t="s">
        <v>146</v>
      </c>
      <c r="K20" s="55"/>
      <c r="L20" s="57"/>
      <c r="M20" s="55"/>
      <c r="N20" s="57"/>
      <c r="O20" s="53"/>
      <c r="P20" s="51"/>
      <c r="Q20" s="51"/>
      <c r="R20" s="45"/>
      <c r="S20" s="44"/>
      <c r="T20" s="43"/>
    </row>
    <row r="21" spans="3:20" s="42" customFormat="1" ht="15" customHeight="1" thickBot="1">
      <c r="C21" s="53"/>
      <c r="D21" s="56"/>
      <c r="E21" s="55"/>
      <c r="F21" s="56"/>
      <c r="G21" s="55"/>
      <c r="H21" s="56"/>
      <c r="I21" s="55"/>
      <c r="J21" s="3393" t="s">
        <v>143</v>
      </c>
      <c r="K21" s="55"/>
      <c r="L21" s="56"/>
      <c r="M21" s="55"/>
      <c r="N21" s="56"/>
      <c r="O21" s="53"/>
      <c r="P21" s="51"/>
      <c r="Q21" s="51"/>
      <c r="R21" s="45"/>
      <c r="S21" s="44"/>
      <c r="T21" s="43"/>
    </row>
    <row r="22" spans="3:20" s="42" customFormat="1" ht="15" customHeight="1">
      <c r="C22" s="53"/>
      <c r="D22" s="53"/>
      <c r="E22" s="53"/>
      <c r="F22" s="53"/>
      <c r="G22" s="53"/>
      <c r="H22" s="53"/>
      <c r="I22" s="53"/>
      <c r="J22" s="53"/>
      <c r="K22" s="53"/>
      <c r="L22" s="53"/>
      <c r="M22" s="53"/>
      <c r="N22" s="53"/>
      <c r="O22" s="53"/>
      <c r="P22" s="51"/>
      <c r="Q22" s="51"/>
      <c r="R22" s="45"/>
      <c r="S22" s="44"/>
      <c r="T22" s="43"/>
    </row>
    <row r="23" spans="3:20" s="42" customFormat="1" ht="15" customHeight="1">
      <c r="C23" s="53"/>
      <c r="D23" s="53"/>
      <c r="E23" s="53"/>
      <c r="F23" s="53"/>
      <c r="G23" s="53"/>
      <c r="H23" s="53"/>
      <c r="I23" s="53"/>
      <c r="J23" s="53"/>
      <c r="K23" s="53"/>
      <c r="L23" s="53"/>
      <c r="M23" s="53"/>
      <c r="N23" s="53"/>
      <c r="O23" s="53"/>
      <c r="P23" s="51"/>
      <c r="Q23" s="51"/>
      <c r="R23" s="45"/>
      <c r="S23" s="44"/>
      <c r="T23" s="43"/>
    </row>
    <row r="24" spans="3:20" s="42" customFormat="1" ht="15" customHeight="1">
      <c r="C24" s="59" t="s">
        <v>2033</v>
      </c>
      <c r="D24" s="52"/>
      <c r="E24" s="52"/>
      <c r="F24" s="53"/>
      <c r="G24" s="52"/>
      <c r="H24" s="52"/>
      <c r="I24" s="54"/>
      <c r="J24" s="54"/>
      <c r="K24" s="52"/>
      <c r="L24" s="52"/>
      <c r="M24" s="53"/>
      <c r="N24" s="52"/>
      <c r="O24" s="52"/>
      <c r="P24" s="51"/>
      <c r="Q24" s="51"/>
      <c r="R24" s="45"/>
      <c r="S24" s="44"/>
      <c r="T24" s="43"/>
    </row>
    <row r="25" spans="3:20" s="42" customFormat="1" ht="15" customHeight="1" thickBot="1">
      <c r="C25" s="53"/>
      <c r="D25" s="53"/>
      <c r="E25" s="53"/>
      <c r="F25" s="53"/>
      <c r="G25" s="52"/>
      <c r="H25" s="52"/>
      <c r="I25" s="54"/>
      <c r="J25" s="54"/>
      <c r="K25" s="52"/>
      <c r="L25" s="52"/>
      <c r="M25" s="53"/>
      <c r="N25" s="52"/>
      <c r="O25" s="52"/>
      <c r="P25" s="51"/>
      <c r="Q25" s="51"/>
      <c r="R25" s="45"/>
      <c r="S25" s="44"/>
      <c r="T25" s="43"/>
    </row>
    <row r="26" spans="3:20" s="42" customFormat="1" ht="15" customHeight="1">
      <c r="C26" s="61"/>
      <c r="D26" s="3397" t="s">
        <v>142</v>
      </c>
      <c r="E26" s="60"/>
      <c r="F26" s="3397" t="s">
        <v>141</v>
      </c>
      <c r="G26" s="60"/>
      <c r="H26" s="3394" t="s">
        <v>136</v>
      </c>
      <c r="I26" s="55"/>
      <c r="J26" s="3394" t="s">
        <v>136</v>
      </c>
      <c r="K26" s="52"/>
      <c r="L26" s="52"/>
      <c r="M26" s="53"/>
      <c r="N26" s="52"/>
      <c r="O26" s="52"/>
      <c r="P26" s="51"/>
      <c r="Q26" s="51"/>
      <c r="R26" s="45"/>
      <c r="S26" s="44"/>
      <c r="T26" s="43"/>
    </row>
    <row r="27" spans="3:20" s="42" customFormat="1" ht="15" customHeight="1">
      <c r="C27" s="61"/>
      <c r="D27" s="3385" t="s">
        <v>140</v>
      </c>
      <c r="E27" s="60"/>
      <c r="F27" s="3385" t="s">
        <v>139</v>
      </c>
      <c r="G27" s="60"/>
      <c r="H27" s="3395" t="s">
        <v>135</v>
      </c>
      <c r="I27" s="55"/>
      <c r="J27" s="3395" t="s">
        <v>134</v>
      </c>
      <c r="K27" s="52"/>
      <c r="L27" s="52"/>
      <c r="M27" s="53"/>
      <c r="N27" s="52"/>
      <c r="O27" s="52"/>
      <c r="P27" s="51"/>
      <c r="Q27" s="51"/>
      <c r="R27" s="45"/>
      <c r="S27" s="44"/>
      <c r="T27" s="43"/>
    </row>
    <row r="28" spans="3:20" s="42" customFormat="1" ht="15" customHeight="1">
      <c r="C28" s="61"/>
      <c r="D28" s="3385"/>
      <c r="E28" s="60"/>
      <c r="F28" s="3385" t="s">
        <v>132</v>
      </c>
      <c r="G28" s="60"/>
      <c r="H28" s="3395" t="s">
        <v>133</v>
      </c>
      <c r="I28" s="55"/>
      <c r="J28" s="3395" t="s">
        <v>132</v>
      </c>
      <c r="K28" s="52"/>
      <c r="L28" s="52"/>
      <c r="M28" s="53"/>
      <c r="N28" s="52"/>
      <c r="O28" s="52"/>
      <c r="P28" s="51"/>
      <c r="Q28" s="51"/>
      <c r="R28" s="45"/>
      <c r="S28" s="44"/>
      <c r="T28" s="43"/>
    </row>
    <row r="29" spans="3:20" s="42" customFormat="1" ht="15" customHeight="1">
      <c r="C29" s="61"/>
      <c r="D29" s="3385" t="s">
        <v>138</v>
      </c>
      <c r="E29" s="60"/>
      <c r="F29" s="3387" t="s">
        <v>2032</v>
      </c>
      <c r="G29" s="60"/>
      <c r="H29" s="3395" t="s">
        <v>131</v>
      </c>
      <c r="I29" s="55"/>
      <c r="J29" s="3395" t="s">
        <v>130</v>
      </c>
      <c r="K29" s="52"/>
      <c r="L29" s="52"/>
      <c r="M29" s="53"/>
      <c r="N29" s="52"/>
      <c r="O29" s="52"/>
      <c r="P29" s="51"/>
      <c r="Q29" s="51"/>
      <c r="R29" s="45"/>
      <c r="S29" s="44"/>
      <c r="T29" s="43"/>
    </row>
    <row r="30" spans="3:20" s="42" customFormat="1" ht="15" customHeight="1" thickBot="1">
      <c r="C30" s="61"/>
      <c r="D30" s="3386" t="s">
        <v>137</v>
      </c>
      <c r="E30" s="60"/>
      <c r="F30" s="3386"/>
      <c r="G30" s="60"/>
      <c r="H30" s="3396" t="s">
        <v>129</v>
      </c>
      <c r="I30" s="55"/>
      <c r="J30" s="3396" t="s">
        <v>129</v>
      </c>
      <c r="K30" s="52"/>
      <c r="L30" s="52"/>
      <c r="M30" s="53"/>
      <c r="N30" s="52"/>
      <c r="O30" s="52"/>
      <c r="P30" s="51"/>
      <c r="Q30" s="51"/>
      <c r="R30" s="45"/>
      <c r="S30" s="44"/>
      <c r="T30" s="43"/>
    </row>
    <row r="31" spans="3:20" s="42" customFormat="1" ht="15" customHeight="1">
      <c r="C31" s="53"/>
      <c r="D31" s="55"/>
      <c r="E31" s="55"/>
      <c r="F31" s="55"/>
      <c r="G31" s="55"/>
      <c r="H31" s="55"/>
      <c r="I31" s="54"/>
      <c r="J31" s="54"/>
      <c r="K31" s="52"/>
      <c r="L31" s="52"/>
      <c r="M31" s="53"/>
      <c r="N31" s="52"/>
      <c r="O31" s="52"/>
      <c r="P31" s="51"/>
      <c r="Q31" s="51"/>
      <c r="R31" s="45"/>
      <c r="S31" s="44"/>
      <c r="T31" s="43"/>
    </row>
    <row r="32" spans="3:20" s="42" customFormat="1" ht="15" customHeight="1">
      <c r="C32" s="33"/>
      <c r="D32" s="33"/>
      <c r="E32" s="33"/>
      <c r="F32" s="33"/>
      <c r="G32" s="33"/>
      <c r="H32" s="33"/>
      <c r="I32" s="33"/>
      <c r="J32" s="33"/>
      <c r="K32" s="33"/>
      <c r="L32" s="33"/>
      <c r="M32" s="33"/>
      <c r="N32" s="33"/>
      <c r="O32" s="33"/>
      <c r="P32" s="33"/>
      <c r="Q32" s="45"/>
      <c r="R32" s="45"/>
      <c r="S32" s="44"/>
      <c r="T32" s="43"/>
    </row>
    <row r="33" spans="2:20" s="42" customFormat="1" ht="264" customHeight="1">
      <c r="C33" s="4131" t="s">
        <v>2198</v>
      </c>
      <c r="D33" s="4126"/>
      <c r="E33" s="4126"/>
      <c r="F33" s="4126"/>
      <c r="G33" s="4126"/>
      <c r="H33" s="4126"/>
      <c r="I33" s="4126"/>
      <c r="J33" s="4126"/>
      <c r="K33" s="4126"/>
      <c r="L33" s="4126"/>
      <c r="M33" s="4126"/>
      <c r="N33" s="4126"/>
      <c r="O33" s="4126"/>
      <c r="P33" s="4126"/>
      <c r="Q33" s="45"/>
      <c r="R33" s="45"/>
      <c r="S33" s="44"/>
      <c r="T33" s="43"/>
    </row>
    <row r="34" spans="2:20" s="42" customFormat="1" ht="14.25" customHeight="1">
      <c r="C34" s="50"/>
      <c r="D34" s="50"/>
      <c r="E34" s="50"/>
      <c r="F34" s="50"/>
      <c r="G34" s="50"/>
      <c r="H34" s="50"/>
      <c r="I34" s="50"/>
      <c r="J34" s="50"/>
      <c r="K34" s="50"/>
      <c r="L34" s="50"/>
      <c r="M34" s="50"/>
      <c r="N34" s="50"/>
      <c r="O34" s="50"/>
      <c r="P34" s="50"/>
      <c r="Q34" s="45"/>
      <c r="R34" s="45"/>
      <c r="S34" s="44"/>
      <c r="T34" s="43"/>
    </row>
    <row r="35" spans="2:20" s="42" customFormat="1" ht="69.400000000000006" customHeight="1">
      <c r="C35" s="4131" t="s">
        <v>2200</v>
      </c>
      <c r="D35" s="4126"/>
      <c r="E35" s="4126"/>
      <c r="F35" s="4126"/>
      <c r="G35" s="4126"/>
      <c r="H35" s="4126"/>
      <c r="I35" s="4126"/>
      <c r="J35" s="4126"/>
      <c r="K35" s="4126"/>
      <c r="L35" s="4126"/>
      <c r="M35" s="4126"/>
      <c r="N35" s="4126"/>
      <c r="O35" s="4126"/>
      <c r="P35" s="4126"/>
      <c r="Q35" s="45"/>
      <c r="R35" s="45"/>
      <c r="S35" s="44"/>
      <c r="T35" s="43"/>
    </row>
    <row r="36" spans="2:20" s="42" customFormat="1" ht="14.25" customHeight="1">
      <c r="C36" s="50"/>
      <c r="D36" s="50"/>
      <c r="E36" s="50"/>
      <c r="F36" s="50"/>
      <c r="G36" s="50"/>
      <c r="H36" s="50"/>
      <c r="I36" s="50"/>
      <c r="J36" s="50"/>
      <c r="K36" s="50"/>
      <c r="L36" s="50"/>
      <c r="M36" s="50"/>
      <c r="N36" s="50"/>
      <c r="O36" s="50"/>
      <c r="P36" s="50"/>
      <c r="Q36" s="45"/>
      <c r="R36" s="45"/>
      <c r="S36" s="44"/>
      <c r="T36" s="43"/>
    </row>
    <row r="37" spans="2:20" s="42" customFormat="1" ht="119.65" customHeight="1">
      <c r="C37" s="4126" t="s">
        <v>2201</v>
      </c>
      <c r="D37" s="4126"/>
      <c r="E37" s="4126"/>
      <c r="F37" s="4126"/>
      <c r="G37" s="4126"/>
      <c r="H37" s="4126"/>
      <c r="I37" s="4126"/>
      <c r="J37" s="4126"/>
      <c r="K37" s="4126"/>
      <c r="L37" s="4126"/>
      <c r="M37" s="4126"/>
      <c r="N37" s="4126"/>
      <c r="O37" s="4126"/>
      <c r="P37" s="4126"/>
      <c r="Q37" s="45"/>
      <c r="R37" s="45"/>
      <c r="S37" s="44"/>
      <c r="T37" s="43"/>
    </row>
    <row r="38" spans="2:20" s="42" customFormat="1" ht="14.25" customHeight="1">
      <c r="C38" s="50"/>
      <c r="D38" s="50"/>
      <c r="E38" s="50"/>
      <c r="F38" s="50"/>
      <c r="G38" s="50"/>
      <c r="H38" s="50"/>
      <c r="I38" s="50"/>
      <c r="J38" s="50"/>
      <c r="K38" s="50"/>
      <c r="L38" s="50"/>
      <c r="M38" s="50"/>
      <c r="N38" s="50"/>
      <c r="O38" s="50"/>
      <c r="P38" s="50"/>
      <c r="Q38" s="45"/>
      <c r="R38" s="45"/>
      <c r="S38" s="44"/>
      <c r="T38" s="43"/>
    </row>
    <row r="39" spans="2:20" s="42" customFormat="1" ht="136.9" customHeight="1">
      <c r="C39" s="4131" t="s">
        <v>128</v>
      </c>
      <c r="D39" s="4126"/>
      <c r="E39" s="4126"/>
      <c r="F39" s="4126"/>
      <c r="G39" s="4126"/>
      <c r="H39" s="4126"/>
      <c r="I39" s="4126"/>
      <c r="J39" s="4126"/>
      <c r="K39" s="4126"/>
      <c r="L39" s="4126"/>
      <c r="M39" s="4126"/>
      <c r="N39" s="4126"/>
      <c r="O39" s="4126"/>
      <c r="P39" s="4126"/>
      <c r="Q39" s="45"/>
      <c r="R39" s="45"/>
      <c r="S39" s="44"/>
      <c r="T39" s="43"/>
    </row>
    <row r="40" spans="2:20" s="42" customFormat="1" ht="14.25" customHeight="1">
      <c r="C40" s="50"/>
      <c r="D40" s="50"/>
      <c r="E40" s="50"/>
      <c r="F40" s="50"/>
      <c r="G40" s="50"/>
      <c r="H40" s="50"/>
      <c r="I40" s="50"/>
      <c r="J40" s="50"/>
      <c r="K40" s="50"/>
      <c r="L40" s="50"/>
      <c r="M40" s="50"/>
      <c r="N40" s="50"/>
      <c r="O40" s="50"/>
      <c r="P40" s="50"/>
      <c r="Q40" s="45"/>
      <c r="R40" s="45"/>
      <c r="S40" s="44"/>
      <c r="T40" s="43"/>
    </row>
    <row r="41" spans="2:20" s="42" customFormat="1" ht="40.15" customHeight="1">
      <c r="C41" s="4127" t="s">
        <v>127</v>
      </c>
      <c r="D41" s="4126"/>
      <c r="E41" s="4126"/>
      <c r="F41" s="4126"/>
      <c r="G41" s="4126"/>
      <c r="H41" s="4126"/>
      <c r="I41" s="4126"/>
      <c r="J41" s="4126"/>
      <c r="K41" s="4126"/>
      <c r="L41" s="4126"/>
      <c r="M41" s="4126"/>
      <c r="N41" s="4126"/>
      <c r="O41" s="4126"/>
      <c r="P41" s="4126"/>
      <c r="Q41" s="45"/>
      <c r="R41" s="45"/>
      <c r="S41" s="44"/>
      <c r="T41" s="43"/>
    </row>
    <row r="42" spans="2:20" ht="14.25" customHeight="1">
      <c r="B42" s="49"/>
      <c r="C42" s="48"/>
      <c r="D42" s="47"/>
      <c r="E42" s="47"/>
      <c r="F42" s="47"/>
      <c r="G42" s="47"/>
      <c r="H42" s="47"/>
      <c r="I42" s="47"/>
      <c r="J42" s="47"/>
      <c r="K42" s="47"/>
      <c r="L42" s="47"/>
      <c r="M42" s="47"/>
      <c r="N42" s="47"/>
      <c r="O42" s="32"/>
      <c r="P42" s="32"/>
      <c r="Q42" s="32"/>
      <c r="R42" s="32"/>
      <c r="S42" s="37"/>
      <c r="T42" s="46"/>
    </row>
    <row r="43" spans="2:20" s="42" customFormat="1" ht="86.45" customHeight="1">
      <c r="C43" s="4128" t="s">
        <v>2034</v>
      </c>
      <c r="D43" s="4130"/>
      <c r="E43" s="4130"/>
      <c r="F43" s="4130"/>
      <c r="G43" s="4130"/>
      <c r="H43" s="4130"/>
      <c r="I43" s="4130"/>
      <c r="J43" s="4130"/>
      <c r="K43" s="4130"/>
      <c r="L43" s="4130"/>
      <c r="M43" s="4130"/>
      <c r="N43" s="4130"/>
      <c r="O43" s="4130"/>
      <c r="P43" s="4130"/>
      <c r="Q43" s="45"/>
      <c r="R43" s="45"/>
      <c r="S43" s="44"/>
      <c r="T43" s="43"/>
    </row>
    <row r="44" spans="2:20" s="42" customFormat="1" ht="93.75" customHeight="1">
      <c r="C44" s="4125"/>
      <c r="D44" s="4125"/>
      <c r="E44" s="4125"/>
      <c r="F44" s="4125"/>
      <c r="G44" s="4125"/>
      <c r="H44" s="4125"/>
      <c r="I44" s="4125"/>
      <c r="J44" s="4125"/>
      <c r="K44" s="4125"/>
      <c r="L44" s="4125"/>
      <c r="M44" s="4125"/>
      <c r="N44" s="4125"/>
      <c r="O44" s="4125"/>
      <c r="P44" s="4125"/>
      <c r="Q44" s="45"/>
      <c r="R44" s="45"/>
      <c r="S44" s="44"/>
      <c r="T44" s="43"/>
    </row>
    <row r="45" spans="2:20" s="42" customFormat="1" ht="14.25" customHeight="1">
      <c r="Q45" s="45"/>
      <c r="R45" s="45"/>
      <c r="S45" s="44"/>
      <c r="T45" s="43"/>
    </row>
    <row r="46" spans="2:20" s="35" customFormat="1" ht="146.44999999999999" customHeight="1">
      <c r="C46" s="4130" t="s">
        <v>126</v>
      </c>
      <c r="D46" s="4130"/>
      <c r="E46" s="4130"/>
      <c r="F46" s="4130"/>
      <c r="G46" s="4130"/>
      <c r="H46" s="4130"/>
      <c r="I46" s="4130"/>
      <c r="J46" s="4130"/>
      <c r="K46" s="4130"/>
      <c r="L46" s="4130"/>
      <c r="M46" s="4130"/>
      <c r="N46" s="4130"/>
      <c r="O46" s="4130"/>
      <c r="P46" s="4130"/>
      <c r="Q46" s="38"/>
      <c r="R46" s="38"/>
      <c r="S46" s="39"/>
      <c r="T46" s="36"/>
    </row>
    <row r="47" spans="2:20" s="35" customFormat="1" ht="14.25" customHeight="1">
      <c r="C47" s="41"/>
      <c r="D47" s="41"/>
      <c r="E47" s="41"/>
      <c r="F47" s="41"/>
      <c r="G47" s="41"/>
      <c r="H47" s="41"/>
      <c r="I47" s="41"/>
      <c r="J47" s="41"/>
      <c r="K47" s="41"/>
      <c r="L47" s="41"/>
      <c r="M47" s="41"/>
      <c r="N47" s="41"/>
      <c r="O47" s="41"/>
      <c r="P47" s="41"/>
      <c r="Q47" s="38"/>
      <c r="R47" s="38"/>
      <c r="S47" s="39"/>
      <c r="T47" s="36"/>
    </row>
    <row r="48" spans="2:20" s="35" customFormat="1" ht="153.6" customHeight="1">
      <c r="C48" s="4130" t="s">
        <v>125</v>
      </c>
      <c r="D48" s="4130"/>
      <c r="E48" s="4130"/>
      <c r="F48" s="4130"/>
      <c r="G48" s="4130"/>
      <c r="H48" s="4130"/>
      <c r="I48" s="4130"/>
      <c r="J48" s="4130"/>
      <c r="K48" s="4130"/>
      <c r="L48" s="4130"/>
      <c r="M48" s="4130"/>
      <c r="N48" s="4130"/>
      <c r="O48" s="4130"/>
      <c r="P48" s="4130"/>
      <c r="Q48" s="38"/>
      <c r="R48" s="38"/>
      <c r="S48" s="39"/>
      <c r="T48" s="36"/>
    </row>
    <row r="49" spans="3:20" s="35" customFormat="1" ht="14.25" customHeight="1">
      <c r="C49" s="4130"/>
      <c r="D49" s="4130"/>
      <c r="E49" s="4130"/>
      <c r="F49" s="4130"/>
      <c r="G49" s="4130"/>
      <c r="H49" s="4130"/>
      <c r="I49" s="4130"/>
      <c r="J49" s="4130"/>
      <c r="K49" s="4130"/>
      <c r="L49" s="4130"/>
      <c r="M49" s="4130"/>
      <c r="N49" s="4130"/>
      <c r="O49" s="4130"/>
      <c r="P49" s="4130"/>
      <c r="Q49" s="38"/>
      <c r="R49" s="38"/>
      <c r="S49" s="39"/>
      <c r="T49" s="36"/>
    </row>
    <row r="50" spans="3:20" s="35" customFormat="1" ht="121.7" customHeight="1">
      <c r="C50" s="4130" t="s">
        <v>124</v>
      </c>
      <c r="D50" s="4130"/>
      <c r="E50" s="4130"/>
      <c r="F50" s="4130"/>
      <c r="G50" s="4130"/>
      <c r="H50" s="4130"/>
      <c r="I50" s="4130"/>
      <c r="J50" s="4130"/>
      <c r="K50" s="4130"/>
      <c r="L50" s="4130"/>
      <c r="M50" s="4130"/>
      <c r="N50" s="4130"/>
      <c r="O50" s="4130"/>
      <c r="P50" s="4130"/>
      <c r="Q50" s="38"/>
      <c r="R50" s="38"/>
      <c r="S50" s="39"/>
      <c r="T50" s="36"/>
    </row>
    <row r="51" spans="3:20" s="35" customFormat="1" ht="14.25" customHeight="1">
      <c r="C51" s="40"/>
      <c r="D51" s="40"/>
      <c r="E51" s="40"/>
      <c r="F51" s="40"/>
      <c r="G51" s="40"/>
      <c r="H51" s="40"/>
      <c r="I51" s="40"/>
      <c r="J51" s="40"/>
      <c r="K51" s="40"/>
      <c r="L51" s="40"/>
      <c r="M51" s="40"/>
      <c r="N51" s="40"/>
      <c r="O51" s="40"/>
      <c r="P51" s="40"/>
      <c r="Q51" s="38"/>
      <c r="R51" s="38"/>
      <c r="S51" s="39"/>
      <c r="T51" s="36"/>
    </row>
    <row r="52" spans="3:20" s="35" customFormat="1" ht="168.6" customHeight="1">
      <c r="C52" s="4130" t="s">
        <v>123</v>
      </c>
      <c r="D52" s="4130"/>
      <c r="E52" s="4130"/>
      <c r="F52" s="4130"/>
      <c r="G52" s="4130"/>
      <c r="H52" s="4130"/>
      <c r="I52" s="4130"/>
      <c r="J52" s="4130"/>
      <c r="K52" s="4130"/>
      <c r="L52" s="4130"/>
      <c r="M52" s="4130"/>
      <c r="N52" s="4130"/>
      <c r="O52" s="4130"/>
      <c r="P52" s="4130"/>
      <c r="Q52" s="38"/>
      <c r="R52" s="38"/>
      <c r="S52" s="39"/>
      <c r="T52" s="36"/>
    </row>
    <row r="53" spans="3:20" s="35" customFormat="1" ht="14.25" customHeight="1">
      <c r="C53" s="40"/>
      <c r="D53" s="40"/>
      <c r="E53" s="40"/>
      <c r="F53" s="40"/>
      <c r="G53" s="40"/>
      <c r="H53" s="40"/>
      <c r="I53" s="40"/>
      <c r="J53" s="40"/>
      <c r="K53" s="40"/>
      <c r="L53" s="40"/>
      <c r="M53" s="40"/>
      <c r="N53" s="40"/>
      <c r="O53" s="40"/>
      <c r="P53" s="40"/>
      <c r="Q53" s="38"/>
      <c r="R53" s="38"/>
      <c r="S53" s="39"/>
      <c r="T53" s="36"/>
    </row>
    <row r="54" spans="3:20" s="35" customFormat="1" ht="71.45" customHeight="1">
      <c r="C54" s="4130" t="s">
        <v>122</v>
      </c>
      <c r="D54" s="4130"/>
      <c r="E54" s="4130"/>
      <c r="F54" s="4130"/>
      <c r="G54" s="4130"/>
      <c r="H54" s="4130"/>
      <c r="I54" s="4130"/>
      <c r="J54" s="4130"/>
      <c r="K54" s="4130"/>
      <c r="L54" s="4130"/>
      <c r="M54" s="4130"/>
      <c r="N54" s="4130"/>
      <c r="O54" s="4130"/>
      <c r="P54" s="4130"/>
      <c r="Q54" s="38"/>
      <c r="R54" s="38"/>
      <c r="S54" s="39"/>
      <c r="T54" s="36"/>
    </row>
    <row r="55" spans="3:20" s="35" customFormat="1" ht="14.25" customHeight="1">
      <c r="C55" s="40"/>
      <c r="D55" s="40"/>
      <c r="E55" s="40"/>
      <c r="F55" s="40"/>
      <c r="G55" s="40"/>
      <c r="H55" s="40"/>
      <c r="I55" s="40"/>
      <c r="J55" s="40"/>
      <c r="K55" s="40"/>
      <c r="L55" s="40"/>
      <c r="M55" s="40"/>
      <c r="N55" s="40"/>
      <c r="O55" s="40"/>
      <c r="P55" s="40"/>
      <c r="Q55" s="38"/>
      <c r="R55" s="38"/>
      <c r="S55" s="39"/>
      <c r="T55" s="36"/>
    </row>
    <row r="56" spans="3:20" s="35" customFormat="1" ht="82.15" customHeight="1">
      <c r="C56" s="4130" t="s">
        <v>121</v>
      </c>
      <c r="D56" s="4130"/>
      <c r="E56" s="4130"/>
      <c r="F56" s="4130"/>
      <c r="G56" s="4130"/>
      <c r="H56" s="4130"/>
      <c r="I56" s="4130"/>
      <c r="J56" s="4130"/>
      <c r="K56" s="4130"/>
      <c r="L56" s="4130"/>
      <c r="M56" s="4130"/>
      <c r="N56" s="4130"/>
      <c r="O56" s="4130"/>
      <c r="P56" s="4130"/>
      <c r="Q56" s="38"/>
      <c r="R56" s="38"/>
      <c r="S56" s="37"/>
      <c r="T56" s="36"/>
    </row>
    <row r="57" spans="3:20" s="35" customFormat="1" ht="16.350000000000001" customHeight="1">
      <c r="C57" s="41"/>
      <c r="D57" s="41"/>
      <c r="E57" s="41"/>
      <c r="F57" s="41"/>
      <c r="G57" s="41"/>
      <c r="H57" s="41"/>
      <c r="I57" s="41"/>
      <c r="J57" s="41"/>
      <c r="K57" s="41"/>
      <c r="L57" s="41"/>
      <c r="M57" s="41"/>
      <c r="N57" s="41"/>
      <c r="O57" s="41"/>
      <c r="P57" s="41"/>
      <c r="Q57" s="38"/>
      <c r="R57" s="38"/>
      <c r="S57" s="37"/>
      <c r="T57" s="36"/>
    </row>
    <row r="58" spans="3:20" s="35" customFormat="1" ht="131.85" customHeight="1">
      <c r="C58" s="4130" t="s">
        <v>120</v>
      </c>
      <c r="D58" s="4130"/>
      <c r="E58" s="4130"/>
      <c r="F58" s="4130"/>
      <c r="G58" s="4130"/>
      <c r="H58" s="4130"/>
      <c r="I58" s="4130"/>
      <c r="J58" s="4130"/>
      <c r="K58" s="4130"/>
      <c r="L58" s="4130"/>
      <c r="M58" s="4130"/>
      <c r="N58" s="4130"/>
      <c r="O58" s="4130"/>
      <c r="P58" s="4130"/>
      <c r="Q58" s="38"/>
      <c r="R58" s="38"/>
      <c r="S58" s="37"/>
      <c r="T58" s="36"/>
    </row>
    <row r="59" spans="3:20" s="35" customFormat="1" ht="14.25" customHeight="1">
      <c r="C59" s="40"/>
      <c r="D59" s="40"/>
      <c r="E59" s="40"/>
      <c r="F59" s="40"/>
      <c r="G59" s="40"/>
      <c r="H59" s="40"/>
      <c r="I59" s="40"/>
      <c r="J59" s="40"/>
      <c r="K59" s="40"/>
      <c r="L59" s="40"/>
      <c r="M59" s="40"/>
      <c r="N59" s="40"/>
      <c r="O59" s="40"/>
      <c r="P59" s="40"/>
      <c r="Q59" s="38"/>
      <c r="R59" s="38"/>
      <c r="S59" s="37"/>
      <c r="T59" s="36"/>
    </row>
    <row r="60" spans="3:20" s="35" customFormat="1" ht="92.45" customHeight="1">
      <c r="C60" s="4130" t="s">
        <v>119</v>
      </c>
      <c r="D60" s="4130"/>
      <c r="E60" s="4130"/>
      <c r="F60" s="4130"/>
      <c r="G60" s="4130"/>
      <c r="H60" s="4130"/>
      <c r="I60" s="4130"/>
      <c r="J60" s="4130"/>
      <c r="K60" s="4130"/>
      <c r="L60" s="4130"/>
      <c r="M60" s="4130"/>
      <c r="N60" s="4130"/>
      <c r="O60" s="4130"/>
      <c r="P60" s="4130"/>
      <c r="Q60" s="38"/>
      <c r="R60" s="38"/>
      <c r="S60" s="39"/>
      <c r="T60" s="36"/>
    </row>
    <row r="61" spans="3:20" s="35" customFormat="1" ht="14.25" customHeight="1">
      <c r="C61" s="40"/>
      <c r="D61" s="40"/>
      <c r="E61" s="40"/>
      <c r="F61" s="40"/>
      <c r="G61" s="40"/>
      <c r="H61" s="40"/>
      <c r="I61" s="40"/>
      <c r="J61" s="40"/>
      <c r="K61" s="40"/>
      <c r="L61" s="40"/>
      <c r="M61" s="40"/>
      <c r="N61" s="40"/>
      <c r="O61" s="40"/>
      <c r="P61" s="40"/>
      <c r="Q61" s="38"/>
      <c r="R61" s="38"/>
      <c r="S61" s="39"/>
      <c r="T61" s="36"/>
    </row>
    <row r="62" spans="3:20" s="35" customFormat="1" ht="159.6" customHeight="1">
      <c r="C62" s="4130" t="s">
        <v>118</v>
      </c>
      <c r="D62" s="4130"/>
      <c r="E62" s="4130"/>
      <c r="F62" s="4130"/>
      <c r="G62" s="4130"/>
      <c r="H62" s="4130"/>
      <c r="I62" s="4130"/>
      <c r="J62" s="4130"/>
      <c r="K62" s="4130"/>
      <c r="L62" s="4130"/>
      <c r="M62" s="4130"/>
      <c r="N62" s="4130"/>
      <c r="O62" s="4130"/>
      <c r="P62" s="4130"/>
      <c r="Q62" s="38"/>
      <c r="R62" s="38"/>
      <c r="S62" s="37"/>
      <c r="T62" s="36"/>
    </row>
    <row r="63" spans="3:20" s="35" customFormat="1" ht="15" customHeight="1">
      <c r="C63" s="38"/>
      <c r="D63" s="37"/>
      <c r="E63" s="37"/>
      <c r="F63" s="37"/>
      <c r="G63" s="37"/>
      <c r="H63" s="37"/>
      <c r="I63" s="37"/>
      <c r="J63" s="37"/>
      <c r="K63" s="37"/>
      <c r="L63" s="37"/>
      <c r="M63" s="37"/>
      <c r="N63" s="37"/>
      <c r="O63" s="38"/>
      <c r="P63" s="38"/>
      <c r="Q63" s="38"/>
      <c r="R63" s="38"/>
      <c r="S63" s="37"/>
      <c r="T63" s="36"/>
    </row>
    <row r="64" spans="3:20" s="15" customFormat="1">
      <c r="C64" s="15" t="s">
        <v>117</v>
      </c>
      <c r="H64" s="3223" t="s">
        <v>2202</v>
      </c>
      <c r="J64" s="35"/>
      <c r="K64" s="4123" t="s">
        <v>2203</v>
      </c>
      <c r="L64" s="4124"/>
      <c r="Q64" s="34"/>
    </row>
    <row r="65" spans="17:17" s="15" customFormat="1">
      <c r="Q65" s="34"/>
    </row>
    <row r="66" spans="17:17" s="15" customFormat="1"/>
    <row r="67" spans="17:17" s="15" customFormat="1"/>
    <row r="68" spans="17:17" s="15" customFormat="1"/>
    <row r="69" spans="17:17" s="15" customFormat="1"/>
    <row r="70" spans="17:17" s="15" customFormat="1"/>
    <row r="71" spans="17:17" s="15" customFormat="1"/>
    <row r="72" spans="17:17" s="15" customFormat="1"/>
    <row r="73" spans="17:17" s="15" customFormat="1"/>
    <row r="74" spans="17:17" s="15" customFormat="1"/>
    <row r="75" spans="17:17" s="33" customFormat="1"/>
    <row r="76" spans="17:17" s="33" customFormat="1"/>
    <row r="77" spans="17:17" s="33" customFormat="1"/>
    <row r="78" spans="17:17" s="33" customFormat="1"/>
    <row r="79" spans="17:17" s="33" customFormat="1"/>
    <row r="80" spans="17:17"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sheetData>
  <mergeCells count="19">
    <mergeCell ref="C50:P50"/>
    <mergeCell ref="C35:P35"/>
    <mergeCell ref="C39:P39"/>
    <mergeCell ref="K64:L64"/>
    <mergeCell ref="C44:P44"/>
    <mergeCell ref="C37:P37"/>
    <mergeCell ref="C41:P41"/>
    <mergeCell ref="C4:P4"/>
    <mergeCell ref="C62:P62"/>
    <mergeCell ref="C60:P60"/>
    <mergeCell ref="C43:P43"/>
    <mergeCell ref="C58:P58"/>
    <mergeCell ref="C56:P56"/>
    <mergeCell ref="C33:P33"/>
    <mergeCell ref="C46:P46"/>
    <mergeCell ref="C48:P48"/>
    <mergeCell ref="C49:P49"/>
    <mergeCell ref="C54:P54"/>
    <mergeCell ref="C52:P52"/>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1"/>
  <headerFooter alignWithMargins="0">
    <oddFooter>&amp;L&amp;11LEL Schwäbisch Gmünd&amp;C&amp;11&amp;P&amp;R&amp;11&amp;F</oddFooter>
  </headerFooter>
  <rowBreaks count="3" manualBreakCount="3">
    <brk id="32" min="1" max="16" man="1"/>
    <brk id="46" min="1" max="16" man="1"/>
    <brk id="58" min="1" max="1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00B0F0"/>
    <pageSetUpPr fitToPage="1"/>
  </sheetPr>
  <dimension ref="A1:AO127"/>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9.25" style="32" customWidth="1"/>
    <col min="15" max="15" width="9.25" style="4072" customWidth="1"/>
    <col min="16" max="16" width="8.875" style="32" customWidth="1"/>
    <col min="17" max="18" width="10.5" style="31"/>
    <col min="19" max="19" width="164.5" style="31" hidden="1" customWidth="1"/>
    <col min="20" max="36" width="0" style="31" hidden="1" customWidth="1"/>
    <col min="37" max="16384" width="10.5" style="31"/>
  </cols>
  <sheetData>
    <row r="1" spans="1:41">
      <c r="A1" s="49"/>
    </row>
    <row r="2" spans="1:41" ht="21.4" customHeight="1">
      <c r="A2" s="320"/>
      <c r="B2" s="614" t="s">
        <v>623</v>
      </c>
      <c r="C2" s="276"/>
      <c r="D2" s="276"/>
      <c r="E2" s="276"/>
      <c r="F2" s="276"/>
      <c r="G2" s="276"/>
      <c r="H2" s="276"/>
      <c r="I2" s="136"/>
      <c r="J2" s="610"/>
      <c r="K2" s="136"/>
      <c r="L2" s="276"/>
      <c r="M2" s="136"/>
      <c r="N2" s="609" t="str">
        <f>'SDK1'!O2</f>
        <v>Marktfrüchte Konventionell</v>
      </c>
      <c r="O2" s="609"/>
    </row>
    <row r="3" spans="1:41" ht="21.4" customHeight="1">
      <c r="A3" s="320"/>
      <c r="B3" s="613"/>
      <c r="C3" s="136"/>
      <c r="D3" s="276"/>
      <c r="E3" s="612"/>
      <c r="F3" s="611" t="s">
        <v>622</v>
      </c>
      <c r="G3" s="323"/>
      <c r="H3" s="607"/>
      <c r="I3" s="136"/>
      <c r="J3" s="610"/>
      <c r="K3" s="136"/>
      <c r="L3" s="606"/>
      <c r="M3" s="136"/>
      <c r="N3" s="609">
        <f>'SDK1'!O3</f>
        <v>0</v>
      </c>
      <c r="O3" s="609"/>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row>
    <row r="4" spans="1:41" ht="12.4" customHeight="1">
      <c r="A4" s="320"/>
      <c r="B4" s="608"/>
      <c r="C4" s="276"/>
      <c r="D4" s="323"/>
      <c r="E4" s="323"/>
      <c r="F4" s="323"/>
      <c r="G4" s="323"/>
      <c r="H4" s="607"/>
      <c r="I4" s="322"/>
      <c r="J4" s="607"/>
      <c r="K4" s="607"/>
      <c r="L4" s="606"/>
      <c r="M4" s="31"/>
      <c r="N4" s="31"/>
      <c r="O4" s="4071"/>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row>
    <row r="5" spans="1:41" ht="18" customHeight="1">
      <c r="A5" s="320"/>
      <c r="B5" s="608"/>
      <c r="C5" s="39" t="s">
        <v>621</v>
      </c>
      <c r="D5" s="38"/>
      <c r="E5" s="38"/>
      <c r="F5" s="38"/>
      <c r="G5" s="38"/>
      <c r="H5" s="604" t="s">
        <v>620</v>
      </c>
      <c r="I5" s="3522" t="s">
        <v>619</v>
      </c>
      <c r="J5" s="3445"/>
      <c r="K5" s="603" t="s">
        <v>618</v>
      </c>
      <c r="L5" s="603" t="s">
        <v>617</v>
      </c>
      <c r="M5" s="603" t="s">
        <v>155</v>
      </c>
      <c r="N5" s="3523" t="s">
        <v>616</v>
      </c>
      <c r="O5" s="4076"/>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row>
    <row r="6" spans="1:41" ht="18" customHeight="1">
      <c r="A6" s="320"/>
      <c r="B6" s="608"/>
      <c r="C6" s="39" t="s">
        <v>615</v>
      </c>
      <c r="D6" s="38"/>
      <c r="E6" s="38"/>
      <c r="F6" s="605">
        <f>'SDK1'!O11</f>
        <v>0</v>
      </c>
      <c r="G6" s="38" t="s">
        <v>113</v>
      </c>
      <c r="H6" s="604" t="s">
        <v>614</v>
      </c>
      <c r="I6" s="603" t="s">
        <v>249</v>
      </c>
      <c r="J6" s="603" t="str">
        <f>IF('SDK1'!O8="mit MwSt.","mit MwSt.","")</f>
        <v/>
      </c>
      <c r="K6" s="603" t="s">
        <v>151</v>
      </c>
      <c r="L6" s="603"/>
      <c r="M6" s="603"/>
      <c r="N6" s="3524"/>
      <c r="O6" s="4077"/>
      <c r="Q6" s="602"/>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row>
    <row r="7" spans="1:41" ht="18.75" thickBot="1">
      <c r="A7" s="320"/>
      <c r="B7" s="3525"/>
      <c r="C7" s="601"/>
      <c r="D7" s="353"/>
      <c r="E7" s="353"/>
      <c r="F7" s="600"/>
      <c r="G7" s="353"/>
      <c r="H7" s="599" t="s">
        <v>613</v>
      </c>
      <c r="I7" s="598" t="s">
        <v>612</v>
      </c>
      <c r="J7" s="598" t="s">
        <v>612</v>
      </c>
      <c r="K7" s="598" t="s">
        <v>113</v>
      </c>
      <c r="L7" s="598" t="s">
        <v>114</v>
      </c>
      <c r="M7" s="597" t="s">
        <v>171</v>
      </c>
      <c r="N7" s="3526" t="s">
        <v>171</v>
      </c>
      <c r="O7" s="4078"/>
      <c r="Q7" s="257"/>
      <c r="R7" s="257"/>
      <c r="S7" s="226" t="s">
        <v>583</v>
      </c>
      <c r="T7" s="257"/>
      <c r="U7" s="257"/>
      <c r="V7" s="257"/>
      <c r="W7" s="257"/>
      <c r="X7" s="257"/>
      <c r="Y7" s="257"/>
      <c r="Z7" s="257"/>
      <c r="AA7" s="257"/>
      <c r="AB7" s="257"/>
      <c r="AC7" s="257"/>
      <c r="AD7" s="257"/>
      <c r="AE7" s="257"/>
      <c r="AF7" s="257"/>
      <c r="AG7" s="257"/>
      <c r="AH7" s="257"/>
      <c r="AI7" s="257"/>
      <c r="AJ7" s="257"/>
      <c r="AK7" s="257"/>
      <c r="AL7" s="257"/>
      <c r="AM7" s="257"/>
      <c r="AN7" s="257"/>
      <c r="AO7" s="257"/>
    </row>
    <row r="8" spans="1:41" s="252" customFormat="1" ht="18" customHeight="1">
      <c r="A8" s="596"/>
      <c r="B8" s="47"/>
      <c r="C8" s="47" t="s">
        <v>611</v>
      </c>
      <c r="D8" s="47"/>
      <c r="E8" s="47"/>
      <c r="F8" s="47"/>
      <c r="G8" s="595"/>
      <c r="H8" s="594"/>
      <c r="I8" s="566"/>
      <c r="J8" s="566"/>
      <c r="K8" s="566"/>
      <c r="L8" s="566"/>
      <c r="M8" s="255"/>
      <c r="N8" s="3527">
        <f>ROUND(SUM(M11:M18),0)</f>
        <v>187</v>
      </c>
      <c r="O8" s="4079"/>
      <c r="Q8" s="383"/>
      <c r="S8" s="524" t="s">
        <v>610</v>
      </c>
      <c r="T8" s="593"/>
      <c r="U8" s="593"/>
      <c r="V8" s="593"/>
      <c r="W8" s="593"/>
      <c r="X8" s="592"/>
    </row>
    <row r="9" spans="1:41" s="231" customFormat="1" ht="18" customHeight="1">
      <c r="B9" s="68"/>
      <c r="C9" s="3361"/>
      <c r="D9" s="3528" t="s">
        <v>591</v>
      </c>
      <c r="E9" s="3528"/>
      <c r="F9" s="3528">
        <f>'SDK1'!O60</f>
        <v>1.5</v>
      </c>
      <c r="G9" s="3528" t="s">
        <v>113</v>
      </c>
      <c r="H9" s="591"/>
      <c r="I9" s="590"/>
      <c r="J9" s="590"/>
      <c r="K9" s="590"/>
      <c r="L9" s="590"/>
      <c r="M9" s="590"/>
      <c r="N9" s="3529"/>
      <c r="O9" s="4080"/>
      <c r="P9" s="45"/>
      <c r="S9" s="589" t="s">
        <v>609</v>
      </c>
      <c r="T9" s="588"/>
      <c r="U9" s="588"/>
      <c r="V9" s="588"/>
      <c r="W9" s="588"/>
      <c r="X9" s="587"/>
    </row>
    <row r="10" spans="1:41" s="231" customFormat="1" ht="18" customHeight="1" thickBot="1">
      <c r="B10" s="557"/>
      <c r="C10" s="572"/>
      <c r="D10" s="556" t="s">
        <v>590</v>
      </c>
      <c r="E10" s="572"/>
      <c r="F10" s="586">
        <v>0.5</v>
      </c>
      <c r="G10" s="554" t="s">
        <v>113</v>
      </c>
      <c r="H10" s="585"/>
      <c r="I10" s="584"/>
      <c r="J10" s="584"/>
      <c r="K10" s="584"/>
      <c r="L10" s="584"/>
      <c r="M10" s="583"/>
      <c r="N10" s="3529"/>
      <c r="O10" s="4080"/>
      <c r="P10" s="45"/>
      <c r="S10" s="582" t="s">
        <v>608</v>
      </c>
      <c r="T10" s="517"/>
      <c r="U10" s="517"/>
      <c r="V10" s="517"/>
      <c r="W10" s="517"/>
      <c r="X10" s="516"/>
    </row>
    <row r="11" spans="1:41" s="42" customFormat="1" ht="18" customHeight="1">
      <c r="B11" s="45"/>
      <c r="C11" s="548" t="s">
        <v>519</v>
      </c>
      <c r="D11" s="550"/>
      <c r="E11" s="38"/>
      <c r="F11" s="38"/>
      <c r="G11" s="38"/>
      <c r="H11" s="547">
        <v>15</v>
      </c>
      <c r="I11" s="546">
        <v>220000</v>
      </c>
      <c r="J11" s="545">
        <f t="shared" ref="J11:J18" si="0">I11*((100+$F$6)/100)</f>
        <v>220000</v>
      </c>
      <c r="K11" s="544">
        <f>IF(H11=0,0,100/H11+$F$9/2+F10)</f>
        <v>7.916666666666667</v>
      </c>
      <c r="L11" s="543">
        <v>150</v>
      </c>
      <c r="M11" s="542">
        <f t="shared" ref="M11:M18" si="1">IF(L11=0,0,J11*K11/100/L11)</f>
        <v>116.11111111111111</v>
      </c>
      <c r="N11" s="3530"/>
      <c r="O11" s="4081"/>
      <c r="P11" s="45"/>
      <c r="S11" s="581" t="s">
        <v>607</v>
      </c>
      <c r="T11" s="581"/>
      <c r="U11" s="581"/>
    </row>
    <row r="12" spans="1:41" s="42" customFormat="1" ht="18" customHeight="1">
      <c r="B12" s="45"/>
      <c r="C12" s="548" t="s">
        <v>606</v>
      </c>
      <c r="D12" s="550"/>
      <c r="E12" s="38"/>
      <c r="F12" s="38"/>
      <c r="G12" s="38"/>
      <c r="H12" s="547">
        <v>14</v>
      </c>
      <c r="I12" s="546">
        <v>60000</v>
      </c>
      <c r="J12" s="545">
        <f t="shared" si="0"/>
        <v>60000</v>
      </c>
      <c r="K12" s="544">
        <f>IF(H12=0,0,100/H12+$F$9/2)</f>
        <v>7.8928571428571432</v>
      </c>
      <c r="L12" s="543">
        <v>150</v>
      </c>
      <c r="M12" s="542">
        <f t="shared" si="1"/>
        <v>31.571428571428577</v>
      </c>
      <c r="N12" s="3530"/>
      <c r="O12" s="4081"/>
      <c r="P12" s="45"/>
      <c r="S12" s="506" t="s">
        <v>605</v>
      </c>
    </row>
    <row r="13" spans="1:41" s="42" customFormat="1" ht="18" customHeight="1">
      <c r="B13" s="45"/>
      <c r="C13" s="548" t="s">
        <v>604</v>
      </c>
      <c r="D13" s="550"/>
      <c r="E13" s="38"/>
      <c r="F13" s="38"/>
      <c r="G13" s="38"/>
      <c r="H13" s="547">
        <v>12</v>
      </c>
      <c r="I13" s="546">
        <v>30000</v>
      </c>
      <c r="J13" s="545">
        <f t="shared" si="0"/>
        <v>30000</v>
      </c>
      <c r="K13" s="544">
        <f>IF(H13=0,0,100/H13+$F$9/2)</f>
        <v>9.0833333333333339</v>
      </c>
      <c r="L13" s="543">
        <v>150</v>
      </c>
      <c r="M13" s="542">
        <f t="shared" si="1"/>
        <v>18.166666666666668</v>
      </c>
      <c r="N13" s="3530"/>
      <c r="O13" s="4081"/>
      <c r="P13" s="45"/>
      <c r="S13" s="330" t="s">
        <v>603</v>
      </c>
    </row>
    <row r="14" spans="1:41" s="42" customFormat="1" ht="18" customHeight="1">
      <c r="B14" s="45"/>
      <c r="C14" s="548" t="s">
        <v>602</v>
      </c>
      <c r="D14" s="550"/>
      <c r="E14" s="38"/>
      <c r="F14" s="38"/>
      <c r="G14" s="38"/>
      <c r="H14" s="547">
        <v>20</v>
      </c>
      <c r="I14" s="546">
        <v>30000</v>
      </c>
      <c r="J14" s="545">
        <f t="shared" si="0"/>
        <v>30000</v>
      </c>
      <c r="K14" s="544">
        <f>IF(H14=0,0,100/H14+$F$9/2)</f>
        <v>5.75</v>
      </c>
      <c r="L14" s="543">
        <v>150</v>
      </c>
      <c r="M14" s="542">
        <f t="shared" si="1"/>
        <v>11.5</v>
      </c>
      <c r="N14" s="3530"/>
      <c r="O14" s="4081"/>
      <c r="P14" s="580"/>
      <c r="S14" s="579" t="s">
        <v>601</v>
      </c>
    </row>
    <row r="15" spans="1:41" s="42" customFormat="1" ht="18" customHeight="1">
      <c r="B15" s="45"/>
      <c r="C15" s="548" t="s">
        <v>600</v>
      </c>
      <c r="D15" s="550"/>
      <c r="E15" s="38"/>
      <c r="F15" s="38"/>
      <c r="G15" s="38"/>
      <c r="H15" s="547">
        <v>15</v>
      </c>
      <c r="I15" s="546">
        <v>20000</v>
      </c>
      <c r="J15" s="545">
        <f t="shared" si="0"/>
        <v>20000</v>
      </c>
      <c r="K15" s="544">
        <f>IF(H15=0,0,100/H15+$F$9/2)</f>
        <v>7.416666666666667</v>
      </c>
      <c r="L15" s="543">
        <v>150</v>
      </c>
      <c r="M15" s="542">
        <f t="shared" si="1"/>
        <v>9.8888888888888893</v>
      </c>
      <c r="N15" s="3530"/>
      <c r="O15" s="4081"/>
      <c r="P15" s="45"/>
      <c r="S15" s="579" t="s">
        <v>599</v>
      </c>
    </row>
    <row r="16" spans="1:41" s="42" customFormat="1" ht="18" customHeight="1">
      <c r="B16" s="45"/>
      <c r="C16" s="548"/>
      <c r="D16" s="550"/>
      <c r="E16" s="38"/>
      <c r="F16" s="38"/>
      <c r="G16" s="38"/>
      <c r="H16" s="547"/>
      <c r="I16" s="546"/>
      <c r="J16" s="545">
        <f t="shared" si="0"/>
        <v>0</v>
      </c>
      <c r="K16" s="544">
        <f>IF(H16=0,0,100/H16+$F$9/2)</f>
        <v>0</v>
      </c>
      <c r="L16" s="543"/>
      <c r="M16" s="542">
        <f t="shared" si="1"/>
        <v>0</v>
      </c>
      <c r="N16" s="3530"/>
      <c r="O16" s="4081"/>
      <c r="P16" s="45"/>
    </row>
    <row r="17" spans="2:16" s="42" customFormat="1" ht="4.5" hidden="1" customHeight="1">
      <c r="B17" s="45"/>
      <c r="C17" s="548"/>
      <c r="D17" s="38"/>
      <c r="E17" s="38"/>
      <c r="F17" s="38"/>
      <c r="G17" s="38"/>
      <c r="H17" s="547"/>
      <c r="I17" s="546"/>
      <c r="J17" s="545">
        <f t="shared" si="0"/>
        <v>0</v>
      </c>
      <c r="K17" s="544">
        <f>IF(H17=0,0,100/H17+$F$9/2+F10)</f>
        <v>0</v>
      </c>
      <c r="L17" s="543"/>
      <c r="M17" s="542">
        <f t="shared" si="1"/>
        <v>0</v>
      </c>
      <c r="N17" s="3530"/>
      <c r="O17" s="4081"/>
      <c r="P17" s="45"/>
    </row>
    <row r="18" spans="2:16" s="42" customFormat="1" ht="7.5" hidden="1" customHeight="1">
      <c r="B18" s="281"/>
      <c r="C18" s="541"/>
      <c r="D18" s="353"/>
      <c r="E18" s="353"/>
      <c r="F18" s="353"/>
      <c r="G18" s="353"/>
      <c r="H18" s="540"/>
      <c r="I18" s="539"/>
      <c r="J18" s="538">
        <f t="shared" si="0"/>
        <v>0</v>
      </c>
      <c r="K18" s="537">
        <f>IF(H18=0,0,100/H18+$F$9/2+F10)</f>
        <v>0</v>
      </c>
      <c r="L18" s="536"/>
      <c r="M18" s="535">
        <f t="shared" si="1"/>
        <v>0</v>
      </c>
      <c r="N18" s="3531"/>
      <c r="O18" s="4081"/>
      <c r="P18" s="578"/>
    </row>
    <row r="19" spans="2:16" s="42" customFormat="1" ht="18" hidden="1" customHeight="1">
      <c r="B19" s="45"/>
      <c r="C19" s="47" t="s">
        <v>598</v>
      </c>
      <c r="D19" s="47"/>
      <c r="E19" s="47"/>
      <c r="F19" s="47"/>
      <c r="G19" s="47"/>
      <c r="H19" s="566"/>
      <c r="I19" s="145"/>
      <c r="J19" s="566"/>
      <c r="K19" s="566"/>
      <c r="L19" s="566"/>
      <c r="M19" s="565"/>
      <c r="N19" s="3527">
        <f>ROUND(SUM(M22:M25),0)</f>
        <v>570</v>
      </c>
      <c r="O19" s="4079"/>
      <c r="P19" s="45"/>
    </row>
    <row r="20" spans="2:16" s="42" customFormat="1" ht="18" hidden="1" customHeight="1">
      <c r="B20" s="45"/>
      <c r="C20" s="3361"/>
      <c r="D20" s="39" t="s">
        <v>591</v>
      </c>
      <c r="E20" s="38"/>
      <c r="F20" s="577">
        <f>'SDK1'!O61</f>
        <v>2.5</v>
      </c>
      <c r="G20" s="38" t="s">
        <v>113</v>
      </c>
      <c r="H20" s="3471"/>
      <c r="I20" s="575"/>
      <c r="J20" s="574"/>
      <c r="K20" s="512"/>
      <c r="L20" s="512"/>
      <c r="M20" s="512"/>
      <c r="N20" s="3530"/>
      <c r="O20" s="4081"/>
      <c r="P20" s="45"/>
    </row>
    <row r="21" spans="2:16" s="42" customFormat="1" ht="18" hidden="1" customHeight="1">
      <c r="B21" s="3532"/>
      <c r="C21" s="572"/>
      <c r="D21" s="556" t="s">
        <v>590</v>
      </c>
      <c r="E21" s="554"/>
      <c r="F21" s="555">
        <v>1</v>
      </c>
      <c r="G21" s="554" t="s">
        <v>113</v>
      </c>
      <c r="H21" s="571"/>
      <c r="I21" s="570"/>
      <c r="J21" s="570"/>
      <c r="K21" s="570"/>
      <c r="L21" s="570"/>
      <c r="M21" s="569"/>
      <c r="N21" s="3530"/>
      <c r="O21" s="4081"/>
      <c r="P21" s="45"/>
    </row>
    <row r="22" spans="2:16" s="42" customFormat="1" ht="18" hidden="1" customHeight="1">
      <c r="B22" s="45"/>
      <c r="C22" s="548" t="s">
        <v>589</v>
      </c>
      <c r="D22" s="550"/>
      <c r="E22" s="38"/>
      <c r="F22" s="38"/>
      <c r="G22" s="38"/>
      <c r="H22" s="547">
        <v>30</v>
      </c>
      <c r="I22" s="546">
        <v>57000</v>
      </c>
      <c r="J22" s="545">
        <f>I22*((100+$F$6)/100)</f>
        <v>57000</v>
      </c>
      <c r="K22" s="544">
        <f>IF(H22=0,0,100/H22+$F$20/2+$F$21)</f>
        <v>5.5833333333333339</v>
      </c>
      <c r="L22" s="543">
        <v>150</v>
      </c>
      <c r="M22" s="542">
        <f>IF(L22=0,0,J22*K22/100/L22)</f>
        <v>21.216666666666669</v>
      </c>
      <c r="N22" s="3530"/>
      <c r="O22" s="4081"/>
      <c r="P22" s="45"/>
    </row>
    <row r="23" spans="2:16" s="42" customFormat="1" ht="18" hidden="1" customHeight="1">
      <c r="B23" s="45"/>
      <c r="C23" s="548" t="s">
        <v>597</v>
      </c>
      <c r="D23" s="38"/>
      <c r="E23" s="38"/>
      <c r="F23" s="38"/>
      <c r="G23" s="38"/>
      <c r="H23" s="547">
        <v>12</v>
      </c>
      <c r="I23" s="546">
        <v>17300</v>
      </c>
      <c r="J23" s="545">
        <f>I23*((100+$F$6)/100)</f>
        <v>17300</v>
      </c>
      <c r="K23" s="544">
        <f>IF(H23=0,0,100/H23+$F$20/2+$F$21)</f>
        <v>10.583333333333334</v>
      </c>
      <c r="L23" s="543">
        <v>10</v>
      </c>
      <c r="M23" s="542">
        <f>IF(L23=0,0,J23*K23/100/L23)</f>
        <v>183.0916666666667</v>
      </c>
      <c r="N23" s="3530"/>
      <c r="O23" s="4081"/>
      <c r="P23" s="45"/>
    </row>
    <row r="24" spans="2:16" s="42" customFormat="1" ht="18" hidden="1" customHeight="1">
      <c r="B24" s="45"/>
      <c r="C24" s="548" t="s">
        <v>596</v>
      </c>
      <c r="D24" s="38"/>
      <c r="E24" s="38"/>
      <c r="F24" s="38"/>
      <c r="G24" s="38"/>
      <c r="H24" s="547">
        <v>20</v>
      </c>
      <c r="I24" s="546">
        <v>75630</v>
      </c>
      <c r="J24" s="545">
        <f>I24*((100+$F$6)/100)</f>
        <v>75630</v>
      </c>
      <c r="K24" s="544">
        <f>IF(H24=0,0,100/H24+$F$20/2+$F$21)</f>
        <v>7.25</v>
      </c>
      <c r="L24" s="543">
        <v>15</v>
      </c>
      <c r="M24" s="542">
        <f>IF(L24=0,0,J24*K24/100/L24)</f>
        <v>365.54500000000002</v>
      </c>
      <c r="N24" s="3530"/>
      <c r="O24" s="4081"/>
      <c r="P24" s="45"/>
    </row>
    <row r="25" spans="2:16" s="42" customFormat="1" ht="18" hidden="1" customHeight="1">
      <c r="B25" s="281"/>
      <c r="C25" s="541"/>
      <c r="D25" s="353"/>
      <c r="E25" s="353"/>
      <c r="F25" s="353"/>
      <c r="G25" s="353"/>
      <c r="H25" s="540"/>
      <c r="I25" s="539"/>
      <c r="J25" s="538">
        <f>I25*((100+$F$6)/100)</f>
        <v>0</v>
      </c>
      <c r="K25" s="537">
        <f>IF(H25=0,0,100/H25+$F$20/2+$F$21)</f>
        <v>0</v>
      </c>
      <c r="L25" s="536"/>
      <c r="M25" s="535">
        <f>IF(L25=0,0,J25*K25/100/L25)</f>
        <v>0</v>
      </c>
      <c r="N25" s="3531"/>
      <c r="O25" s="4081"/>
      <c r="P25" s="45"/>
    </row>
    <row r="26" spans="2:16" s="42" customFormat="1" ht="18" hidden="1" customHeight="1">
      <c r="B26" s="45"/>
      <c r="C26" s="47" t="s">
        <v>595</v>
      </c>
      <c r="D26" s="47"/>
      <c r="E26" s="47"/>
      <c r="F26" s="47"/>
      <c r="G26" s="47"/>
      <c r="H26" s="566"/>
      <c r="I26" s="145"/>
      <c r="J26" s="566"/>
      <c r="K26" s="566"/>
      <c r="L26" s="566"/>
      <c r="M26" s="565"/>
      <c r="N26" s="3527">
        <f>ROUND(SUM(M29:M32),0)</f>
        <v>137</v>
      </c>
      <c r="O26" s="4079"/>
      <c r="P26" s="45"/>
    </row>
    <row r="27" spans="2:16" s="42" customFormat="1" ht="18" hidden="1" customHeight="1">
      <c r="B27" s="38"/>
      <c r="C27" s="3361"/>
      <c r="D27" s="39" t="s">
        <v>591</v>
      </c>
      <c r="E27" s="38"/>
      <c r="F27" s="577">
        <f>'SDK1'!O61</f>
        <v>2.5</v>
      </c>
      <c r="G27" s="38" t="s">
        <v>113</v>
      </c>
      <c r="H27" s="3471"/>
      <c r="I27" s="575"/>
      <c r="J27" s="574"/>
      <c r="K27" s="512"/>
      <c r="L27" s="512"/>
      <c r="M27" s="512"/>
      <c r="N27" s="3530"/>
      <c r="O27" s="4081"/>
      <c r="P27" s="45"/>
    </row>
    <row r="28" spans="2:16" s="42" customFormat="1" ht="18" hidden="1" customHeight="1">
      <c r="B28" s="554"/>
      <c r="C28" s="572"/>
      <c r="D28" s="556" t="s">
        <v>590</v>
      </c>
      <c r="E28" s="554"/>
      <c r="F28" s="555">
        <v>1</v>
      </c>
      <c r="G28" s="554" t="s">
        <v>113</v>
      </c>
      <c r="H28" s="571"/>
      <c r="I28" s="570"/>
      <c r="J28" s="570"/>
      <c r="K28" s="570"/>
      <c r="L28" s="570"/>
      <c r="M28" s="569"/>
      <c r="N28" s="3530"/>
      <c r="O28" s="4081"/>
      <c r="P28" s="45"/>
    </row>
    <row r="29" spans="2:16" s="42" customFormat="1" ht="18" hidden="1" customHeight="1">
      <c r="B29" s="38"/>
      <c r="C29" s="548" t="s">
        <v>589</v>
      </c>
      <c r="D29" s="550"/>
      <c r="E29" s="38"/>
      <c r="F29" s="38"/>
      <c r="G29" s="38"/>
      <c r="H29" s="547">
        <v>30</v>
      </c>
      <c r="I29" s="546">
        <v>57000</v>
      </c>
      <c r="J29" s="545">
        <f>I29*((100+$F$6)/100)</f>
        <v>57000</v>
      </c>
      <c r="K29" s="544">
        <f>IF(H29=0,0,100/H29+$F$27/2+$F$28)</f>
        <v>5.5833333333333339</v>
      </c>
      <c r="L29" s="543">
        <v>100</v>
      </c>
      <c r="M29" s="542">
        <f>IF(L29=0,0,J29*K29/100/L29)</f>
        <v>31.825000000000003</v>
      </c>
      <c r="N29" s="3530"/>
      <c r="O29" s="4081"/>
      <c r="P29" s="45"/>
    </row>
    <row r="30" spans="2:16" s="42" customFormat="1" ht="18" hidden="1" customHeight="1">
      <c r="B30" s="38"/>
      <c r="C30" s="548" t="s">
        <v>594</v>
      </c>
      <c r="D30" s="38"/>
      <c r="E30" s="38"/>
      <c r="F30" s="38"/>
      <c r="G30" s="38"/>
      <c r="H30" s="547">
        <v>30</v>
      </c>
      <c r="I30" s="546">
        <v>9450</v>
      </c>
      <c r="J30" s="545">
        <f>I30*((100+$F$6)/100)</f>
        <v>9450</v>
      </c>
      <c r="K30" s="544">
        <f>IF(H30=0,0,100/H30+$F$27/2+$F$28)</f>
        <v>5.5833333333333339</v>
      </c>
      <c r="L30" s="543">
        <v>5</v>
      </c>
      <c r="M30" s="542">
        <f>IF(L30=0,0,J30*K30/100/L30)</f>
        <v>105.52500000000002</v>
      </c>
      <c r="N30" s="3530"/>
      <c r="O30" s="4081"/>
      <c r="P30" s="45"/>
    </row>
    <row r="31" spans="2:16" s="42" customFormat="1" ht="18" hidden="1" customHeight="1">
      <c r="B31" s="38"/>
      <c r="C31" s="548" t="s">
        <v>593</v>
      </c>
      <c r="D31" s="38"/>
      <c r="E31" s="38"/>
      <c r="F31" s="38"/>
      <c r="G31" s="38"/>
      <c r="H31" s="547"/>
      <c r="I31" s="546"/>
      <c r="J31" s="545">
        <f>I31*((100+$F$6)/100)</f>
        <v>0</v>
      </c>
      <c r="K31" s="544">
        <f>IF(H31=0,0,100/H31+$F$27/2+$F$28)</f>
        <v>0</v>
      </c>
      <c r="L31" s="543"/>
      <c r="M31" s="542">
        <f>IF(L31=0,0,J31*K31/100/L31)</f>
        <v>0</v>
      </c>
      <c r="N31" s="3530"/>
      <c r="O31" s="4081"/>
      <c r="P31" s="45"/>
    </row>
    <row r="32" spans="2:16" s="42" customFormat="1" ht="18" hidden="1" customHeight="1">
      <c r="B32" s="353"/>
      <c r="C32" s="548"/>
      <c r="D32" s="38"/>
      <c r="E32" s="38"/>
      <c r="F32" s="38"/>
      <c r="G32" s="38"/>
      <c r="H32" s="547"/>
      <c r="I32" s="546"/>
      <c r="J32" s="545">
        <f>I32*((100+$F$6)/100)</f>
        <v>0</v>
      </c>
      <c r="K32" s="544">
        <f>IF(H32=0,0,100/H32+$F$27/2+$F$28)</f>
        <v>0</v>
      </c>
      <c r="L32" s="543"/>
      <c r="M32" s="542">
        <f>IF(L32=0,0,J32*K32/100/L32)</f>
        <v>0</v>
      </c>
      <c r="N32" s="3530"/>
      <c r="O32" s="4081"/>
      <c r="P32" s="45"/>
    </row>
    <row r="33" spans="1:37" s="42" customFormat="1" ht="18" customHeight="1">
      <c r="B33" s="45"/>
      <c r="C33" s="3306" t="s">
        <v>592</v>
      </c>
      <c r="D33" s="3306"/>
      <c r="E33" s="3306"/>
      <c r="F33" s="3306"/>
      <c r="G33" s="3306"/>
      <c r="H33" s="567"/>
      <c r="I33" s="3545"/>
      <c r="J33" s="3542"/>
      <c r="K33" s="3542"/>
      <c r="L33" s="3542"/>
      <c r="M33" s="3546"/>
      <c r="N33" s="3544">
        <f>ROUND(SUM(M36:M38),0)</f>
        <v>30</v>
      </c>
      <c r="O33" s="4079"/>
      <c r="P33" s="45"/>
    </row>
    <row r="34" spans="1:37" s="42" customFormat="1" ht="18" customHeight="1">
      <c r="B34" s="45"/>
      <c r="C34" s="68"/>
      <c r="D34" s="564" t="s">
        <v>591</v>
      </c>
      <c r="E34" s="562"/>
      <c r="F34" s="563">
        <f>'SDK1'!O61</f>
        <v>2.5</v>
      </c>
      <c r="G34" s="562" t="s">
        <v>113</v>
      </c>
      <c r="H34" s="561"/>
      <c r="I34" s="560"/>
      <c r="J34" s="559"/>
      <c r="K34" s="558"/>
      <c r="L34" s="558"/>
      <c r="M34" s="558"/>
      <c r="N34" s="3533"/>
      <c r="O34" s="4082"/>
      <c r="P34" s="45"/>
    </row>
    <row r="35" spans="1:37" s="42" customFormat="1" ht="18" customHeight="1">
      <c r="B35" s="3532"/>
      <c r="C35" s="557"/>
      <c r="D35" s="556" t="s">
        <v>590</v>
      </c>
      <c r="E35" s="554"/>
      <c r="F35" s="555">
        <v>1</v>
      </c>
      <c r="G35" s="554" t="s">
        <v>113</v>
      </c>
      <c r="H35" s="553"/>
      <c r="I35" s="552"/>
      <c r="J35" s="552"/>
      <c r="K35" s="552"/>
      <c r="L35" s="552"/>
      <c r="M35" s="551"/>
      <c r="N35" s="3533"/>
      <c r="O35" s="4082"/>
      <c r="P35" s="45"/>
    </row>
    <row r="36" spans="1:37" s="42" customFormat="1" ht="18" customHeight="1">
      <c r="B36" s="45"/>
      <c r="C36" s="548" t="s">
        <v>589</v>
      </c>
      <c r="D36" s="550"/>
      <c r="E36" s="38"/>
      <c r="F36" s="38"/>
      <c r="G36" s="38"/>
      <c r="H36" s="547">
        <v>20</v>
      </c>
      <c r="I36" s="546">
        <v>62000</v>
      </c>
      <c r="J36" s="545">
        <f>I36*((100+$F$6)/100)</f>
        <v>62000</v>
      </c>
      <c r="K36" s="544">
        <f>IF(H36=0,0,100/H36+$F$34/2+$F$35)</f>
        <v>7.25</v>
      </c>
      <c r="L36" s="543">
        <v>150</v>
      </c>
      <c r="M36" s="542">
        <f>IF(L36=0,0,J36*K36/100/L36)</f>
        <v>29.966666666666665</v>
      </c>
      <c r="N36" s="3530"/>
      <c r="O36" s="4081"/>
      <c r="P36" s="45"/>
      <c r="S36" s="549" t="s">
        <v>588</v>
      </c>
    </row>
    <row r="37" spans="1:37" s="42" customFormat="1" ht="18" customHeight="1">
      <c r="B37" s="45"/>
      <c r="C37" s="548"/>
      <c r="D37" s="38"/>
      <c r="E37" s="38"/>
      <c r="F37" s="38"/>
      <c r="G37" s="38"/>
      <c r="H37" s="547"/>
      <c r="I37" s="546"/>
      <c r="J37" s="545">
        <f>I37*((100+$F$6)/100)</f>
        <v>0</v>
      </c>
      <c r="K37" s="544">
        <f>IF(H37=0,0,100/H37+$F$34/2+$F$35)</f>
        <v>0</v>
      </c>
      <c r="L37" s="543"/>
      <c r="M37" s="542">
        <f>IF(L37=0,0,J37*K37/100/L37)</f>
        <v>0</v>
      </c>
      <c r="N37" s="3530"/>
      <c r="O37" s="4081"/>
      <c r="P37" s="45"/>
    </row>
    <row r="38" spans="1:37" s="42" customFormat="1" ht="4.1500000000000004" hidden="1" customHeight="1">
      <c r="B38" s="239"/>
      <c r="C38" s="541"/>
      <c r="D38" s="353"/>
      <c r="E38" s="353"/>
      <c r="F38" s="353"/>
      <c r="G38" s="353"/>
      <c r="H38" s="540"/>
      <c r="I38" s="539"/>
      <c r="J38" s="538">
        <f>I38*((100+$F$6)/100)</f>
        <v>0</v>
      </c>
      <c r="K38" s="537">
        <f>IF(H38=0,0,100/H38+$F$34/2+$F$35)</f>
        <v>0</v>
      </c>
      <c r="L38" s="536"/>
      <c r="M38" s="535">
        <f>IF(L38=0,0,J38*K38/100/L38)</f>
        <v>0</v>
      </c>
      <c r="N38" s="534"/>
      <c r="O38" s="4081"/>
      <c r="P38" s="45"/>
    </row>
    <row r="39" spans="1:37" s="42" customFormat="1" ht="13.7" customHeight="1">
      <c r="B39" s="51"/>
      <c r="C39" s="506" t="s">
        <v>587</v>
      </c>
      <c r="D39" s="53"/>
      <c r="E39" s="53"/>
      <c r="F39" s="53"/>
      <c r="G39" s="53"/>
      <c r="H39" s="531"/>
      <c r="I39" s="533"/>
      <c r="J39" s="533"/>
      <c r="K39" s="532"/>
      <c r="L39" s="531"/>
      <c r="M39" s="530"/>
      <c r="N39" s="529"/>
      <c r="O39" s="529"/>
      <c r="P39" s="45"/>
    </row>
    <row r="40" spans="1:37" s="42" customFormat="1" ht="19.149999999999999" customHeight="1">
      <c r="B40" s="51"/>
      <c r="C40" s="53"/>
      <c r="D40" s="53"/>
      <c r="E40" s="53"/>
      <c r="F40" s="53"/>
      <c r="G40" s="53"/>
      <c r="H40" s="531"/>
      <c r="I40" s="533"/>
      <c r="J40" s="533"/>
      <c r="K40" s="532"/>
      <c r="L40" s="531"/>
      <c r="M40" s="530"/>
      <c r="N40" s="529"/>
      <c r="O40" s="529"/>
      <c r="P40" s="45"/>
    </row>
    <row r="41" spans="1:37" s="42" customFormat="1" ht="19.149999999999999" customHeight="1" thickBot="1">
      <c r="B41" s="51"/>
      <c r="C41" s="47"/>
      <c r="D41" s="47"/>
      <c r="E41" s="595"/>
      <c r="F41" s="4344" t="s">
        <v>586</v>
      </c>
      <c r="G41" s="4345"/>
      <c r="H41" s="3547" t="s">
        <v>585</v>
      </c>
      <c r="I41" s="3548"/>
      <c r="J41" s="533"/>
      <c r="K41" s="532"/>
      <c r="L41" s="531"/>
      <c r="M41" s="530"/>
      <c r="N41" s="530"/>
      <c r="O41" s="530"/>
      <c r="P41" s="1821" t="s">
        <v>584</v>
      </c>
      <c r="Q41" s="45"/>
      <c r="S41" s="226" t="s">
        <v>583</v>
      </c>
    </row>
    <row r="42" spans="1:37" s="42" customFormat="1" ht="15.75">
      <c r="B42" s="45"/>
      <c r="C42" s="3470" t="s">
        <v>1522</v>
      </c>
      <c r="D42" s="38"/>
      <c r="E42" s="38"/>
      <c r="F42" s="4355"/>
      <c r="G42" s="4356"/>
      <c r="H42" s="528" t="s">
        <v>582</v>
      </c>
      <c r="I42" s="527">
        <v>2017</v>
      </c>
      <c r="J42" s="526">
        <f>I42+1</f>
        <v>2018</v>
      </c>
      <c r="K42" s="526">
        <f>J42+1</f>
        <v>2019</v>
      </c>
      <c r="L42" s="526">
        <f>K42+1</f>
        <v>2020</v>
      </c>
      <c r="M42" s="525">
        <f>L42+1</f>
        <v>2021</v>
      </c>
      <c r="N42" s="526">
        <f>2022</f>
        <v>2022</v>
      </c>
      <c r="O42" s="4083" t="s">
        <v>2094</v>
      </c>
      <c r="P42" s="3549" t="str">
        <f>'SDK1'!O6</f>
        <v>ᴓ 2022</v>
      </c>
      <c r="Q42" s="45"/>
      <c r="S42" s="524" t="s">
        <v>581</v>
      </c>
      <c r="T42" s="523"/>
      <c r="U42" s="523"/>
      <c r="V42" s="523"/>
      <c r="W42" s="522"/>
    </row>
    <row r="43" spans="1:37" s="42" customFormat="1" ht="16.5" thickBot="1">
      <c r="B43" s="45"/>
      <c r="C43" s="3470" t="s">
        <v>1521</v>
      </c>
      <c r="D43" s="38"/>
      <c r="E43" s="38"/>
      <c r="F43" s="568"/>
      <c r="G43" s="36"/>
      <c r="H43" s="2124" t="s">
        <v>113</v>
      </c>
      <c r="I43" s="3563"/>
      <c r="J43" s="3564"/>
      <c r="K43" s="3565"/>
      <c r="L43" s="3566"/>
      <c r="M43" s="3566"/>
      <c r="N43" s="4094"/>
      <c r="O43" s="4093"/>
      <c r="P43" s="274"/>
      <c r="Q43" s="45"/>
      <c r="S43" s="521" t="s">
        <v>580</v>
      </c>
      <c r="T43" s="520"/>
      <c r="U43" s="520"/>
      <c r="V43" s="520"/>
      <c r="W43" s="519"/>
    </row>
    <row r="44" spans="1:37" s="42" customFormat="1" ht="15.75" thickBot="1">
      <c r="A44" s="45"/>
      <c r="B44" s="45"/>
      <c r="C44" s="3561" t="s">
        <v>1986</v>
      </c>
      <c r="D44" s="3561"/>
      <c r="E44" s="3562"/>
      <c r="F44" s="4357" t="s">
        <v>579</v>
      </c>
      <c r="G44" s="4358"/>
      <c r="H44" s="3568"/>
      <c r="I44" s="3569"/>
      <c r="J44" s="3570"/>
      <c r="K44" s="3570"/>
      <c r="L44" s="3571"/>
      <c r="M44" s="3570"/>
      <c r="N44" s="3570"/>
      <c r="O44" s="3572"/>
      <c r="P44" s="3573"/>
      <c r="S44" s="518"/>
      <c r="T44" s="517"/>
      <c r="U44" s="517"/>
      <c r="V44" s="517"/>
      <c r="W44" s="516"/>
    </row>
    <row r="45" spans="1:37" s="42" customFormat="1" ht="14.25">
      <c r="B45" s="45"/>
      <c r="C45" s="4351" t="s">
        <v>578</v>
      </c>
      <c r="D45" s="4352"/>
      <c r="E45" s="3576" t="s">
        <v>577</v>
      </c>
      <c r="F45" s="4359"/>
      <c r="G45" s="4360"/>
      <c r="H45" s="512"/>
      <c r="I45" s="511">
        <v>200</v>
      </c>
      <c r="J45" s="511">
        <v>220</v>
      </c>
      <c r="K45" s="510">
        <v>250</v>
      </c>
      <c r="L45" s="509">
        <v>250</v>
      </c>
      <c r="M45" s="509">
        <v>250</v>
      </c>
      <c r="N45" s="4008">
        <v>260</v>
      </c>
      <c r="O45" s="4095">
        <f>AVERAGE(L45:N45)</f>
        <v>253.33333333333334</v>
      </c>
      <c r="P45" s="3550">
        <f>HLOOKUP($P$42,$I$42:O45,4,FALSE)</f>
        <v>253.33333333333334</v>
      </c>
      <c r="AK45" s="4084"/>
    </row>
    <row r="46" spans="1:37" s="42" customFormat="1" ht="14.25">
      <c r="B46" s="45"/>
      <c r="C46" s="4352"/>
      <c r="D46" s="4352"/>
      <c r="E46" s="3576" t="s">
        <v>576</v>
      </c>
      <c r="F46" s="4359"/>
      <c r="G46" s="4360"/>
      <c r="H46" s="512"/>
      <c r="I46" s="511">
        <v>250</v>
      </c>
      <c r="J46" s="511">
        <v>270</v>
      </c>
      <c r="K46" s="510">
        <v>300</v>
      </c>
      <c r="L46" s="4092">
        <v>300</v>
      </c>
      <c r="M46" s="509">
        <v>300</v>
      </c>
      <c r="N46" s="4008">
        <v>310</v>
      </c>
      <c r="O46" s="4095">
        <f>AVERAGE(L46:N46)</f>
        <v>303.33333333333331</v>
      </c>
      <c r="P46" s="3550">
        <f>HLOOKUP($P$42,$I$42:O46,5,FALSE)</f>
        <v>303.33333333333331</v>
      </c>
      <c r="S46" s="383"/>
    </row>
    <row r="47" spans="1:37" s="42" customFormat="1" ht="14.25">
      <c r="B47" s="45"/>
      <c r="C47" s="4352"/>
      <c r="D47" s="4352"/>
      <c r="E47" s="3577" t="s">
        <v>574</v>
      </c>
      <c r="F47" s="4361"/>
      <c r="G47" s="4362"/>
      <c r="H47" s="515"/>
      <c r="I47" s="3574">
        <v>300</v>
      </c>
      <c r="J47" s="3574">
        <v>320</v>
      </c>
      <c r="K47" s="3575">
        <v>350</v>
      </c>
      <c r="L47" s="3355">
        <v>350</v>
      </c>
      <c r="M47" s="4068">
        <v>350</v>
      </c>
      <c r="N47" s="4009">
        <v>360</v>
      </c>
      <c r="O47" s="4096">
        <f>AVERAGE(L47:N47)</f>
        <v>353.33333333333331</v>
      </c>
      <c r="P47" s="3885">
        <f>HLOOKUP($P$42,$I$42:O47,6,FALSE)</f>
        <v>353.33333333333331</v>
      </c>
      <c r="S47" s="383" t="s">
        <v>575</v>
      </c>
    </row>
    <row r="48" spans="1:37" s="42" customFormat="1" ht="16.5">
      <c r="B48" s="45"/>
      <c r="C48" s="3229" t="s">
        <v>573</v>
      </c>
      <c r="D48" s="3229"/>
      <c r="E48" s="3229"/>
      <c r="F48" s="4346" t="s">
        <v>171</v>
      </c>
      <c r="G48" s="4347"/>
      <c r="H48" s="4353">
        <f>'SDK1'!O12</f>
        <v>0</v>
      </c>
      <c r="I48" s="4348">
        <v>115</v>
      </c>
      <c r="J48" s="4348">
        <v>115</v>
      </c>
      <c r="K48" s="4350">
        <v>115</v>
      </c>
      <c r="L48" s="4341">
        <v>115</v>
      </c>
      <c r="M48" s="4336">
        <v>115</v>
      </c>
      <c r="N48" s="4333">
        <v>115</v>
      </c>
      <c r="O48" s="4333">
        <f>AVERAGE(L48:N48)</f>
        <v>115</v>
      </c>
      <c r="P48" s="4338">
        <f>HLOOKUP($P$42,$I$42:O48,7,FALSE)*((100+$H$48)/100)</f>
        <v>115</v>
      </c>
      <c r="S48" s="383"/>
    </row>
    <row r="49" spans="1:24" s="42" customFormat="1" ht="16.149999999999999" customHeight="1">
      <c r="B49" s="45"/>
      <c r="C49" s="492" t="str">
        <f>IF(H48&gt;0,"incl. PKW, mit MwSt.", "incl. PKW, ohne MwSt.")</f>
        <v>incl. PKW, ohne MwSt.</v>
      </c>
      <c r="D49" s="306"/>
      <c r="E49" s="306"/>
      <c r="F49" s="508"/>
      <c r="G49" s="507"/>
      <c r="H49" s="4354"/>
      <c r="I49" s="4349"/>
      <c r="J49" s="4349"/>
      <c r="K49" s="4349"/>
      <c r="L49" s="4342"/>
      <c r="M49" s="4337"/>
      <c r="N49" s="4334"/>
      <c r="O49" s="4334"/>
      <c r="P49" s="4339"/>
      <c r="S49" s="4326" t="s">
        <v>572</v>
      </c>
      <c r="T49" s="4326"/>
      <c r="U49" s="4326"/>
      <c r="V49" s="4326"/>
      <c r="W49" s="4326"/>
      <c r="X49" s="4326"/>
    </row>
    <row r="50" spans="1:24" s="42" customFormat="1" ht="15">
      <c r="B50" s="281"/>
      <c r="C50" s="68" t="s">
        <v>571</v>
      </c>
      <c r="D50" s="68"/>
      <c r="E50" s="68"/>
      <c r="F50" s="4329" t="s">
        <v>570</v>
      </c>
      <c r="G50" s="4330"/>
      <c r="H50" s="293"/>
      <c r="I50" s="4327">
        <v>16</v>
      </c>
      <c r="J50" s="4327">
        <v>16.5</v>
      </c>
      <c r="K50" s="4340">
        <v>16.5</v>
      </c>
      <c r="L50" s="4335">
        <v>16.5</v>
      </c>
      <c r="M50" s="4335">
        <v>16.5</v>
      </c>
      <c r="N50" s="4331">
        <v>17.5</v>
      </c>
      <c r="O50" s="4331">
        <f>AVERAGE(L50:N50)</f>
        <v>16.833333333333332</v>
      </c>
      <c r="P50" s="4343">
        <f>HLOOKUP($P$42,$I$42:O50,9,FALSE)</f>
        <v>16.833333333333332</v>
      </c>
      <c r="S50" s="4326"/>
      <c r="T50" s="4326"/>
      <c r="U50" s="4326"/>
      <c r="V50" s="4326"/>
      <c r="W50" s="4326"/>
      <c r="X50" s="4326"/>
    </row>
    <row r="51" spans="1:24" s="42" customFormat="1" ht="15">
      <c r="B51" s="45"/>
      <c r="C51" s="330" t="s">
        <v>569</v>
      </c>
      <c r="D51" s="68"/>
      <c r="E51" s="68"/>
      <c r="F51" s="514"/>
      <c r="G51" s="513"/>
      <c r="H51" s="293"/>
      <c r="I51" s="4328"/>
      <c r="J51" s="4328"/>
      <c r="K51" s="4328"/>
      <c r="L51" s="4335"/>
      <c r="M51" s="4335"/>
      <c r="N51" s="4332"/>
      <c r="O51" s="4332"/>
      <c r="P51" s="4343"/>
      <c r="Q51" s="383"/>
      <c r="S51" s="383"/>
    </row>
    <row r="52" spans="1:24" s="42" customFormat="1" ht="14.25">
      <c r="B52" s="45"/>
      <c r="C52" s="506" t="s">
        <v>568</v>
      </c>
      <c r="D52" s="31"/>
      <c r="E52" s="31"/>
      <c r="F52" s="31"/>
      <c r="G52" s="31"/>
      <c r="H52" s="31"/>
      <c r="I52" s="31"/>
      <c r="J52" s="31"/>
      <c r="K52" s="31"/>
      <c r="L52" s="31"/>
      <c r="M52" s="31"/>
      <c r="N52" s="31"/>
      <c r="O52" s="4071"/>
      <c r="P52" s="31"/>
      <c r="Q52" s="383"/>
    </row>
    <row r="53" spans="1:24" ht="13.7" customHeight="1">
      <c r="B53" s="31"/>
      <c r="C53" s="31"/>
      <c r="D53" s="31"/>
      <c r="E53" s="31"/>
      <c r="F53" s="31"/>
      <c r="G53" s="31"/>
      <c r="H53" s="31"/>
      <c r="I53" s="31"/>
      <c r="J53" s="31"/>
      <c r="K53" s="31"/>
      <c r="L53" s="31"/>
      <c r="M53" s="31"/>
      <c r="N53" s="31"/>
      <c r="O53" s="4071"/>
      <c r="P53" s="31"/>
    </row>
    <row r="54" spans="1:24" ht="13.7" customHeight="1">
      <c r="A54" s="49"/>
      <c r="C54" s="42"/>
      <c r="D54" s="42"/>
      <c r="E54" s="42"/>
      <c r="F54" s="42"/>
      <c r="G54" s="42"/>
      <c r="H54" s="42"/>
      <c r="I54" s="42"/>
      <c r="J54" s="42"/>
      <c r="K54" s="42"/>
      <c r="L54" s="42"/>
      <c r="M54" s="42"/>
      <c r="N54" s="42"/>
      <c r="O54" s="42"/>
      <c r="P54" s="42"/>
    </row>
    <row r="55" spans="1:24" s="42" customFormat="1" ht="19.149999999999999" customHeight="1">
      <c r="J55" s="505"/>
    </row>
    <row r="56" spans="1:24" s="42" customFormat="1" ht="16.899999999999999" customHeight="1"/>
    <row r="57" spans="1:24" s="42" customFormat="1" ht="16.899999999999999" customHeight="1"/>
    <row r="58" spans="1:24" s="42" customFormat="1" ht="16.899999999999999" customHeight="1"/>
    <row r="59" spans="1:24" s="42" customFormat="1" ht="16.899999999999999" customHeight="1"/>
    <row r="60" spans="1:24" s="42" customFormat="1" ht="16.899999999999999" customHeight="1"/>
    <row r="61" spans="1:24" s="42" customFormat="1" ht="16.899999999999999" customHeight="1"/>
    <row r="62" spans="1:24" s="42" customFormat="1" ht="16.899999999999999" customHeight="1"/>
    <row r="63" spans="1:24" s="42" customFormat="1" ht="16.899999999999999" customHeight="1"/>
    <row r="64" spans="1:24" s="42" customFormat="1" ht="16.149999999999999" customHeight="1"/>
    <row r="65" s="42" customFormat="1" ht="16.149999999999999" customHeight="1"/>
    <row r="66" s="42" customFormat="1" ht="16.149999999999999" customHeight="1"/>
    <row r="67" s="42" customFormat="1" ht="16.149999999999999" customHeight="1"/>
    <row r="68" s="42" customFormat="1" ht="16.149999999999999" customHeight="1"/>
    <row r="69" s="42" customFormat="1" ht="16.149999999999999" customHeight="1"/>
    <row r="70" s="42" customFormat="1" ht="16.149999999999999" customHeight="1"/>
    <row r="71" s="42" customFormat="1" ht="16.149999999999999" customHeight="1"/>
    <row r="72" s="42" customFormat="1" ht="16.149999999999999" customHeight="1"/>
    <row r="73" s="42" customFormat="1" ht="16.149999999999999" customHeight="1"/>
    <row r="74" s="42" customFormat="1" ht="16.149999999999999" customHeight="1"/>
    <row r="75" s="42" customFormat="1" ht="16.149999999999999" customHeight="1"/>
    <row r="76" s="42" customFormat="1" ht="16.149999999999999" customHeight="1"/>
    <row r="77" s="42" customFormat="1" ht="16.149999999999999" customHeight="1"/>
    <row r="78" s="42" customFormat="1" ht="16.149999999999999" customHeight="1"/>
    <row r="79" s="42" customFormat="1" ht="16.149999999999999" customHeight="1"/>
    <row r="80" s="42" customFormat="1" ht="16.149999999999999" customHeight="1"/>
    <row r="81" s="42" customFormat="1" ht="16.149999999999999" customHeight="1"/>
    <row r="82" s="42" customFormat="1" ht="16.5" customHeight="1"/>
    <row r="83" s="42" customFormat="1" ht="16.5" customHeight="1"/>
    <row r="84" s="42" customFormat="1" ht="16.5" customHeight="1"/>
    <row r="85" s="42" customFormat="1" ht="16.5" customHeight="1"/>
    <row r="86" s="42" customFormat="1" ht="16.5" customHeight="1"/>
    <row r="87" s="42" customFormat="1" ht="16.5" customHeight="1"/>
    <row r="88" s="42" customFormat="1" ht="16.5" customHeight="1"/>
    <row r="89" s="42" customFormat="1" ht="16.5" customHeight="1"/>
    <row r="90" s="42" customFormat="1" ht="16.5" customHeight="1"/>
    <row r="91" s="42" customFormat="1" ht="16.5" customHeight="1"/>
    <row r="92" s="42" customFormat="1" ht="16.5" customHeight="1"/>
    <row r="93" s="42" customFormat="1" ht="16.5" customHeight="1"/>
    <row r="94" s="42" customFormat="1" ht="16.5" customHeight="1"/>
    <row r="95" s="42" customFormat="1" ht="16.5" customHeight="1"/>
    <row r="96" s="42" customFormat="1" ht="16.5" customHeight="1"/>
    <row r="97" s="42" customFormat="1" ht="16.5" customHeight="1"/>
    <row r="98" s="42" customFormat="1" ht="16.5" customHeight="1"/>
    <row r="99" s="42" customFormat="1" ht="16.5" customHeight="1"/>
    <row r="100" s="42" customFormat="1" ht="16.5" customHeight="1"/>
    <row r="101" s="42" customFormat="1" ht="16.5" customHeight="1"/>
    <row r="102" s="42" customFormat="1" ht="16.5" customHeight="1"/>
    <row r="103" s="42" customFormat="1" ht="16.5" customHeight="1"/>
    <row r="104" s="42" customFormat="1" ht="16.5" customHeight="1"/>
    <row r="105" s="42" customFormat="1" ht="16.5" customHeight="1"/>
    <row r="106" s="42" customFormat="1" ht="16.5" customHeight="1"/>
    <row r="107" s="42" customFormat="1" ht="16.5" customHeight="1"/>
    <row r="108" s="42" customFormat="1" ht="16.5" customHeight="1"/>
    <row r="109" s="42" customFormat="1" ht="16.5" customHeight="1"/>
    <row r="110" s="42" customFormat="1" ht="16.5" customHeight="1"/>
    <row r="111" s="42" customFormat="1" ht="16.5" customHeight="1"/>
    <row r="112" s="42" customFormat="1" ht="16.5" customHeight="1"/>
    <row r="113" spans="3:16" s="42" customFormat="1" ht="16.5" customHeight="1"/>
    <row r="114" spans="3:16" s="42" customFormat="1" ht="16.5" customHeight="1"/>
    <row r="115" spans="3:16" s="42" customFormat="1" ht="16.5" customHeight="1"/>
    <row r="116" spans="3:16" s="42" customFormat="1" ht="16.5" customHeight="1"/>
    <row r="117" spans="3:16" s="42" customFormat="1" ht="16.5" customHeight="1"/>
    <row r="118" spans="3:16" s="42" customFormat="1" ht="16.5" customHeight="1"/>
    <row r="119" spans="3:16" s="42" customFormat="1" ht="16.5" customHeight="1"/>
    <row r="120" spans="3:16" s="42" customFormat="1" ht="16.5" customHeight="1"/>
    <row r="121" spans="3:16" s="42" customFormat="1" ht="16.5" customHeight="1"/>
    <row r="122" spans="3:16" s="42" customFormat="1" ht="16.5" customHeight="1"/>
    <row r="123" spans="3:16" s="42" customFormat="1" ht="16.5" customHeight="1"/>
    <row r="124" spans="3:16" s="42" customFormat="1" ht="16.5" customHeight="1"/>
    <row r="125" spans="3:16" s="42" customFormat="1" ht="16.5" customHeight="1"/>
    <row r="126" spans="3:16" s="42" customFormat="1" ht="16.5" customHeight="1"/>
    <row r="127" spans="3:16" s="42" customFormat="1" ht="16.5" customHeight="1">
      <c r="C127" s="32"/>
      <c r="D127" s="32"/>
      <c r="E127" s="32"/>
      <c r="F127" s="32"/>
      <c r="G127" s="32"/>
      <c r="H127" s="39"/>
      <c r="I127" s="39"/>
      <c r="J127" s="39"/>
      <c r="K127" s="39"/>
      <c r="L127" s="39"/>
      <c r="M127" s="32"/>
      <c r="N127" s="32"/>
      <c r="O127" s="4072"/>
      <c r="P127" s="32"/>
    </row>
  </sheetData>
  <sheetProtection sheet="1" objects="1" scenarios="1"/>
  <mergeCells count="24">
    <mergeCell ref="F41:G41"/>
    <mergeCell ref="F48:G48"/>
    <mergeCell ref="J48:J49"/>
    <mergeCell ref="K48:K49"/>
    <mergeCell ref="C45:D47"/>
    <mergeCell ref="H48:H49"/>
    <mergeCell ref="I48:I49"/>
    <mergeCell ref="F42:G42"/>
    <mergeCell ref="F44:G47"/>
    <mergeCell ref="S49:X50"/>
    <mergeCell ref="I50:I51"/>
    <mergeCell ref="F50:G50"/>
    <mergeCell ref="N50:N51"/>
    <mergeCell ref="O48:O49"/>
    <mergeCell ref="O50:O51"/>
    <mergeCell ref="M50:M51"/>
    <mergeCell ref="N48:N49"/>
    <mergeCell ref="M48:M49"/>
    <mergeCell ref="P48:P49"/>
    <mergeCell ref="L50:L51"/>
    <mergeCell ref="J50:J51"/>
    <mergeCell ref="K50:K51"/>
    <mergeCell ref="L48:L49"/>
    <mergeCell ref="P50:P51"/>
  </mergeCells>
  <hyperlinks>
    <hyperlink ref="D34:G34" location="'SD1'!K64" display="Zinssatz (i):"/>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1"/>
  <headerFooter alignWithMargins="0">
    <oddFooter>&amp;L&amp;11LEL Schwäbisch Gmünd&amp;C&amp;11&amp;P+8&amp;R&amp;11&amp;F</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8">
    <tabColor rgb="FF00B0F0"/>
    <pageSetUpPr fitToPage="1"/>
  </sheetPr>
  <dimension ref="A1:AO133"/>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8.375" style="4072" customWidth="1"/>
    <col min="15" max="15" width="20.625" style="32" bestFit="1" customWidth="1"/>
    <col min="16" max="16" width="19.75" style="32" hidden="1" customWidth="1"/>
    <col min="17" max="17" width="18" style="31" hidden="1" customWidth="1"/>
    <col min="18" max="21" width="0" style="31" hidden="1" customWidth="1"/>
    <col min="22" max="22" width="22.5" style="2118" customWidth="1"/>
    <col min="23" max="28" width="0" style="31" hidden="1" customWidth="1"/>
    <col min="29" max="16384" width="10.5" style="31"/>
  </cols>
  <sheetData>
    <row r="1" spans="1:41" ht="23.25">
      <c r="A1" s="49"/>
      <c r="D1" s="1973"/>
    </row>
    <row r="2" spans="1:41" ht="21.2" customHeight="1">
      <c r="A2" s="320"/>
      <c r="B2" s="614" t="s">
        <v>623</v>
      </c>
      <c r="C2" s="276"/>
      <c r="D2" s="276"/>
      <c r="E2" s="276"/>
      <c r="F2" s="276"/>
      <c r="G2" s="276"/>
      <c r="H2" s="276"/>
      <c r="I2" s="136"/>
      <c r="J2" s="610"/>
      <c r="K2" s="136"/>
      <c r="L2" s="276"/>
      <c r="M2" s="136"/>
      <c r="N2" s="136"/>
      <c r="O2" s="609" t="str">
        <f>SDÖ1!O2</f>
        <v>Marktfrüchte Öko</v>
      </c>
    </row>
    <row r="3" spans="1:41" ht="21.2" customHeight="1">
      <c r="A3" s="320"/>
      <c r="B3" s="2151" t="s">
        <v>1537</v>
      </c>
      <c r="D3" s="276"/>
      <c r="E3" s="612"/>
      <c r="F3" s="323"/>
      <c r="G3" s="323"/>
      <c r="H3" s="607"/>
      <c r="I3" s="136"/>
      <c r="J3" s="610"/>
      <c r="K3" s="136"/>
      <c r="L3" s="606"/>
      <c r="M3" s="136"/>
      <c r="N3" s="136"/>
      <c r="O3" s="609">
        <f>SDÖ1!O3</f>
        <v>0</v>
      </c>
      <c r="Q3" s="257"/>
      <c r="R3" s="257"/>
      <c r="S3" s="257"/>
      <c r="T3" s="257"/>
      <c r="U3" s="257"/>
      <c r="V3" s="2147"/>
      <c r="W3" s="257"/>
      <c r="X3" s="257"/>
      <c r="Y3" s="257"/>
      <c r="Z3" s="257"/>
      <c r="AA3" s="257"/>
      <c r="AB3" s="257"/>
      <c r="AC3" s="257"/>
      <c r="AD3" s="257"/>
      <c r="AE3" s="257"/>
      <c r="AF3" s="257"/>
      <c r="AG3" s="257"/>
      <c r="AH3" s="257"/>
      <c r="AI3" s="257"/>
      <c r="AJ3" s="257"/>
      <c r="AK3" s="257"/>
      <c r="AL3" s="257"/>
      <c r="AM3" s="257"/>
      <c r="AN3" s="257"/>
      <c r="AO3" s="257"/>
    </row>
    <row r="4" spans="1:41" ht="3.4" customHeight="1">
      <c r="A4" s="320"/>
      <c r="B4" s="608"/>
      <c r="C4" s="276"/>
      <c r="D4" s="323"/>
      <c r="E4" s="323"/>
      <c r="F4" s="323"/>
      <c r="G4" s="323"/>
      <c r="H4" s="607"/>
      <c r="I4" s="322"/>
      <c r="J4" s="607"/>
      <c r="K4" s="607"/>
      <c r="L4" s="606"/>
      <c r="M4" s="31"/>
      <c r="N4" s="4071"/>
      <c r="O4" s="31"/>
      <c r="Q4" s="257"/>
      <c r="R4" s="257"/>
      <c r="S4" s="257"/>
      <c r="T4" s="257"/>
      <c r="U4" s="257"/>
      <c r="V4" s="2147"/>
      <c r="W4" s="257"/>
      <c r="X4" s="257"/>
      <c r="Y4" s="257"/>
      <c r="Z4" s="257"/>
      <c r="AA4" s="257"/>
      <c r="AB4" s="257"/>
      <c r="AC4" s="257"/>
      <c r="AD4" s="257"/>
      <c r="AE4" s="257"/>
      <c r="AF4" s="257"/>
      <c r="AG4" s="257"/>
      <c r="AH4" s="257"/>
      <c r="AI4" s="257"/>
      <c r="AJ4" s="257"/>
      <c r="AK4" s="257"/>
      <c r="AL4" s="257"/>
      <c r="AM4" s="257"/>
      <c r="AN4" s="257"/>
      <c r="AO4" s="257"/>
    </row>
    <row r="5" spans="1:41" ht="18" customHeight="1">
      <c r="A5" s="320"/>
      <c r="B5" s="3534"/>
      <c r="C5" s="3470"/>
      <c r="D5" s="2148"/>
      <c r="E5" s="2148"/>
      <c r="F5" s="2148"/>
      <c r="G5" s="2148"/>
      <c r="H5" s="604" t="s">
        <v>620</v>
      </c>
      <c r="I5" s="3522" t="s">
        <v>619</v>
      </c>
      <c r="J5" s="3535"/>
      <c r="K5" s="603" t="s">
        <v>618</v>
      </c>
      <c r="L5" s="603" t="s">
        <v>617</v>
      </c>
      <c r="M5" s="603" t="s">
        <v>155</v>
      </c>
      <c r="N5" s="4067"/>
      <c r="O5" s="3536" t="s">
        <v>616</v>
      </c>
      <c r="Q5" s="257"/>
      <c r="R5" s="257"/>
      <c r="S5" s="257"/>
      <c r="T5" s="257"/>
      <c r="U5" s="257"/>
      <c r="V5" s="2147"/>
      <c r="W5" s="257"/>
      <c r="X5" s="257"/>
      <c r="Y5" s="257"/>
      <c r="Z5" s="257"/>
      <c r="AA5" s="257"/>
      <c r="AB5" s="257"/>
      <c r="AC5" s="257"/>
      <c r="AD5" s="257"/>
      <c r="AE5" s="257"/>
      <c r="AF5" s="257"/>
      <c r="AG5" s="257"/>
      <c r="AH5" s="257"/>
      <c r="AI5" s="257"/>
      <c r="AJ5" s="257"/>
      <c r="AK5" s="257"/>
      <c r="AL5" s="257"/>
      <c r="AM5" s="257"/>
      <c r="AN5" s="257"/>
      <c r="AO5" s="257"/>
    </row>
    <row r="6" spans="1:41" ht="18" customHeight="1">
      <c r="A6" s="320"/>
      <c r="B6" s="3534"/>
      <c r="C6" s="223" t="s">
        <v>1536</v>
      </c>
      <c r="D6" s="2148"/>
      <c r="E6" s="2148"/>
      <c r="F6" s="2149">
        <f>SDÖ1!O11</f>
        <v>0</v>
      </c>
      <c r="G6" s="2148" t="s">
        <v>113</v>
      </c>
      <c r="H6" s="604" t="s">
        <v>614</v>
      </c>
      <c r="I6" s="603" t="s">
        <v>249</v>
      </c>
      <c r="J6" s="603" t="str">
        <f>SDÖ1!O8</f>
        <v>ohne MwSt.</v>
      </c>
      <c r="K6" s="603" t="s">
        <v>151</v>
      </c>
      <c r="L6" s="603"/>
      <c r="M6" s="603"/>
      <c r="N6" s="4067"/>
      <c r="O6" s="3524"/>
      <c r="Q6" s="257"/>
      <c r="R6" s="257"/>
      <c r="S6" s="257"/>
      <c r="T6" s="257"/>
      <c r="U6" s="257"/>
      <c r="V6" s="2147"/>
      <c r="W6" s="579"/>
      <c r="X6" s="257"/>
      <c r="Y6" s="257"/>
      <c r="Z6" s="257"/>
      <c r="AA6" s="257"/>
      <c r="AB6" s="257"/>
      <c r="AC6" s="257"/>
      <c r="AD6" s="257"/>
      <c r="AE6" s="257"/>
      <c r="AF6" s="257"/>
      <c r="AG6" s="257"/>
      <c r="AH6" s="257"/>
      <c r="AI6" s="257"/>
      <c r="AJ6" s="257"/>
      <c r="AK6" s="257"/>
      <c r="AL6" s="257"/>
      <c r="AM6" s="257"/>
      <c r="AN6" s="257"/>
      <c r="AO6" s="257"/>
    </row>
    <row r="7" spans="1:41" ht="18">
      <c r="A7" s="320"/>
      <c r="B7" s="3534"/>
      <c r="C7" s="223"/>
      <c r="D7" s="2148"/>
      <c r="E7" s="2148"/>
      <c r="F7" s="2149"/>
      <c r="G7" s="2148"/>
      <c r="H7" s="3538" t="s">
        <v>613</v>
      </c>
      <c r="I7" s="3539" t="s">
        <v>612</v>
      </c>
      <c r="J7" s="3539" t="s">
        <v>612</v>
      </c>
      <c r="K7" s="3539" t="s">
        <v>113</v>
      </c>
      <c r="L7" s="3539" t="s">
        <v>114</v>
      </c>
      <c r="M7" s="3540" t="s">
        <v>171</v>
      </c>
      <c r="N7" s="512"/>
      <c r="O7" s="3537" t="s">
        <v>171</v>
      </c>
      <c r="Q7" s="257"/>
      <c r="R7" s="257"/>
      <c r="S7" s="257"/>
      <c r="T7" s="257"/>
      <c r="U7" s="257"/>
      <c r="V7" s="2147"/>
      <c r="W7" s="257"/>
      <c r="X7" s="330"/>
      <c r="Y7" s="257"/>
      <c r="Z7" s="257"/>
      <c r="AA7" s="257"/>
      <c r="AB7" s="257"/>
      <c r="AC7" s="257"/>
      <c r="AD7" s="257"/>
      <c r="AE7" s="257"/>
      <c r="AF7" s="257"/>
      <c r="AG7" s="257"/>
      <c r="AH7" s="257"/>
      <c r="AI7" s="257"/>
      <c r="AJ7" s="257"/>
      <c r="AK7" s="257"/>
      <c r="AL7" s="257"/>
      <c r="AM7" s="257"/>
      <c r="AN7" s="257"/>
      <c r="AO7" s="257"/>
    </row>
    <row r="8" spans="1:41" s="252" customFormat="1" ht="18" customHeight="1" thickBot="1">
      <c r="A8" s="596"/>
      <c r="B8" s="3306"/>
      <c r="C8" s="3306" t="s">
        <v>1535</v>
      </c>
      <c r="D8" s="3306"/>
      <c r="E8" s="3306"/>
      <c r="F8" s="3306"/>
      <c r="G8" s="3541"/>
      <c r="H8" s="567"/>
      <c r="I8" s="3542"/>
      <c r="J8" s="3542"/>
      <c r="K8" s="3542"/>
      <c r="L8" s="3542"/>
      <c r="M8" s="3543"/>
      <c r="N8" s="3543"/>
      <c r="O8" s="3544">
        <f>ROUND(SUM(M11:M18),0)</f>
        <v>189</v>
      </c>
      <c r="P8" s="383" t="s">
        <v>1534</v>
      </c>
      <c r="V8" s="2146"/>
      <c r="W8" s="226" t="s">
        <v>583</v>
      </c>
    </row>
    <row r="9" spans="1:41" s="231" customFormat="1" ht="18" customHeight="1">
      <c r="B9" s="68"/>
      <c r="C9" s="3361"/>
      <c r="D9" s="39" t="s">
        <v>591</v>
      </c>
      <c r="E9" s="38"/>
      <c r="F9" s="577">
        <f>SDÖ1!O72</f>
        <v>1.5</v>
      </c>
      <c r="G9" s="38" t="s">
        <v>113</v>
      </c>
      <c r="H9" s="591"/>
      <c r="I9" s="590"/>
      <c r="J9" s="590"/>
      <c r="K9" s="590"/>
      <c r="L9" s="590"/>
      <c r="M9" s="590"/>
      <c r="N9" s="590"/>
      <c r="O9" s="3529"/>
      <c r="P9" s="45"/>
      <c r="V9" s="2145"/>
      <c r="W9" s="524" t="s">
        <v>610</v>
      </c>
      <c r="X9" s="593"/>
      <c r="Y9" s="593"/>
      <c r="Z9" s="593"/>
      <c r="AA9" s="593"/>
      <c r="AB9" s="592"/>
    </row>
    <row r="10" spans="1:41" s="231" customFormat="1" ht="18" customHeight="1">
      <c r="B10" s="557"/>
      <c r="C10" s="572"/>
      <c r="D10" s="556" t="s">
        <v>1533</v>
      </c>
      <c r="E10" s="572"/>
      <c r="F10" s="586">
        <v>0.5</v>
      </c>
      <c r="G10" s="554" t="s">
        <v>113</v>
      </c>
      <c r="H10" s="585"/>
      <c r="I10" s="584"/>
      <c r="J10" s="584"/>
      <c r="K10" s="584"/>
      <c r="L10" s="584"/>
      <c r="M10" s="583"/>
      <c r="N10" s="590"/>
      <c r="O10" s="3529"/>
      <c r="P10" s="45"/>
      <c r="V10" s="2145"/>
      <c r="W10" s="589" t="s">
        <v>609</v>
      </c>
      <c r="X10" s="588"/>
      <c r="Y10" s="588"/>
      <c r="Z10" s="588"/>
      <c r="AA10" s="588"/>
      <c r="AB10" s="587"/>
    </row>
    <row r="11" spans="1:41" s="42" customFormat="1" ht="22.5" customHeight="1" thickBot="1">
      <c r="B11" s="45"/>
      <c r="C11" s="548" t="s">
        <v>519</v>
      </c>
      <c r="D11" s="550"/>
      <c r="E11" s="38"/>
      <c r="F11" s="38"/>
      <c r="G11" s="38"/>
      <c r="H11" s="547">
        <v>15</v>
      </c>
      <c r="I11" s="546">
        <v>220000</v>
      </c>
      <c r="J11" s="545">
        <f t="shared" ref="J11:J18" si="0">I11*((100+$F$6)/100)</f>
        <v>220000</v>
      </c>
      <c r="K11" s="544">
        <f>IF(H11=0,0,100/H11+$F$9/2+F10)</f>
        <v>7.916666666666667</v>
      </c>
      <c r="L11" s="543">
        <v>150</v>
      </c>
      <c r="M11" s="542">
        <f t="shared" ref="M11:M18" si="1">IF(L11=0,0,J11*K11/100/L11)</f>
        <v>116.11111111111111</v>
      </c>
      <c r="N11" s="3567"/>
      <c r="O11" s="3530"/>
      <c r="P11" s="45"/>
      <c r="V11" s="2119"/>
      <c r="W11" s="582" t="s">
        <v>608</v>
      </c>
      <c r="X11" s="517"/>
      <c r="Y11" s="517"/>
      <c r="Z11" s="517"/>
      <c r="AA11" s="517"/>
      <c r="AB11" s="516"/>
    </row>
    <row r="12" spans="1:41" s="42" customFormat="1" ht="21.75" customHeight="1">
      <c r="B12" s="45"/>
      <c r="C12" s="548" t="s">
        <v>1532</v>
      </c>
      <c r="D12" s="550"/>
      <c r="E12" s="38"/>
      <c r="F12" s="38"/>
      <c r="G12" s="38"/>
      <c r="H12" s="547">
        <v>14</v>
      </c>
      <c r="I12" s="546">
        <v>53000</v>
      </c>
      <c r="J12" s="545">
        <f t="shared" si="0"/>
        <v>53000</v>
      </c>
      <c r="K12" s="544">
        <f t="shared" ref="K12:K18" si="2">IF(H12=0,0,100/H12+$F$9/2)</f>
        <v>7.8928571428571432</v>
      </c>
      <c r="L12" s="543">
        <v>150</v>
      </c>
      <c r="M12" s="542">
        <f t="shared" si="1"/>
        <v>27.888095238095243</v>
      </c>
      <c r="N12" s="3567"/>
      <c r="O12" s="3530"/>
      <c r="P12" s="45"/>
      <c r="V12" s="3359"/>
      <c r="W12" s="581" t="s">
        <v>607</v>
      </c>
    </row>
    <row r="13" spans="1:41" s="42" customFormat="1" ht="25.15" customHeight="1">
      <c r="B13" s="45"/>
      <c r="C13" s="548" t="s">
        <v>1531</v>
      </c>
      <c r="D13" s="550"/>
      <c r="E13" s="38"/>
      <c r="F13" s="38"/>
      <c r="G13" s="38"/>
      <c r="H13" s="547">
        <v>12</v>
      </c>
      <c r="I13" s="546">
        <v>39000</v>
      </c>
      <c r="J13" s="545">
        <f t="shared" si="0"/>
        <v>39000</v>
      </c>
      <c r="K13" s="544">
        <f t="shared" si="2"/>
        <v>9.0833333333333339</v>
      </c>
      <c r="L13" s="543">
        <v>150</v>
      </c>
      <c r="M13" s="542">
        <f t="shared" si="1"/>
        <v>23.616666666666667</v>
      </c>
      <c r="N13" s="3567"/>
      <c r="O13" s="3530"/>
      <c r="P13" s="45"/>
      <c r="V13" s="3359"/>
      <c r="W13" s="506" t="s">
        <v>605</v>
      </c>
      <c r="X13" s="579"/>
      <c r="Y13" s="579"/>
      <c r="Z13" s="579"/>
      <c r="AA13" s="579"/>
      <c r="AB13" s="579"/>
    </row>
    <row r="14" spans="1:41" s="42" customFormat="1" ht="18.399999999999999" customHeight="1">
      <c r="B14" s="45"/>
      <c r="C14" s="548" t="s">
        <v>602</v>
      </c>
      <c r="D14" s="550"/>
      <c r="E14" s="38"/>
      <c r="F14" s="38"/>
      <c r="G14" s="38"/>
      <c r="H14" s="547">
        <v>20</v>
      </c>
      <c r="I14" s="546">
        <v>30000</v>
      </c>
      <c r="J14" s="545">
        <f t="shared" si="0"/>
        <v>30000</v>
      </c>
      <c r="K14" s="544">
        <f t="shared" si="2"/>
        <v>5.75</v>
      </c>
      <c r="L14" s="543">
        <v>150</v>
      </c>
      <c r="M14" s="542">
        <f t="shared" si="1"/>
        <v>11.5</v>
      </c>
      <c r="N14" s="3567"/>
      <c r="O14" s="3530"/>
      <c r="P14" s="45"/>
      <c r="V14" s="3359"/>
      <c r="W14" s="330" t="s">
        <v>603</v>
      </c>
      <c r="X14" s="579"/>
      <c r="Y14" s="579"/>
      <c r="Z14" s="579"/>
      <c r="AA14" s="579"/>
      <c r="AB14" s="579"/>
    </row>
    <row r="15" spans="1:41" s="42" customFormat="1" ht="18" customHeight="1">
      <c r="B15" s="45"/>
      <c r="C15" s="548" t="s">
        <v>600</v>
      </c>
      <c r="D15" s="550"/>
      <c r="E15" s="38"/>
      <c r="F15" s="38"/>
      <c r="G15" s="38"/>
      <c r="H15" s="547">
        <v>15</v>
      </c>
      <c r="I15" s="546">
        <v>20000</v>
      </c>
      <c r="J15" s="545">
        <f t="shared" si="0"/>
        <v>20000</v>
      </c>
      <c r="K15" s="544">
        <f t="shared" si="2"/>
        <v>7.416666666666667</v>
      </c>
      <c r="L15" s="543">
        <v>150</v>
      </c>
      <c r="M15" s="542">
        <f t="shared" si="1"/>
        <v>9.8888888888888893</v>
      </c>
      <c r="N15" s="3567"/>
      <c r="O15" s="3530"/>
      <c r="P15" s="45"/>
      <c r="V15" s="2144"/>
      <c r="W15" s="579" t="s">
        <v>601</v>
      </c>
      <c r="X15" s="579"/>
      <c r="Y15" s="579"/>
      <c r="Z15" s="579"/>
      <c r="AA15" s="579"/>
      <c r="AB15" s="579"/>
    </row>
    <row r="16" spans="1:41" s="42" customFormat="1" ht="18" customHeight="1">
      <c r="B16" s="45"/>
      <c r="C16" s="548"/>
      <c r="D16" s="550"/>
      <c r="E16" s="38"/>
      <c r="F16" s="38"/>
      <c r="G16" s="38"/>
      <c r="H16" s="547"/>
      <c r="I16" s="546"/>
      <c r="J16" s="545">
        <f t="shared" si="0"/>
        <v>0</v>
      </c>
      <c r="K16" s="544">
        <f t="shared" si="2"/>
        <v>0</v>
      </c>
      <c r="L16" s="543"/>
      <c r="M16" s="542">
        <f t="shared" si="1"/>
        <v>0</v>
      </c>
      <c r="N16" s="3567"/>
      <c r="O16" s="3530"/>
      <c r="P16" s="45"/>
      <c r="V16" s="2119"/>
      <c r="W16" s="579" t="s">
        <v>599</v>
      </c>
      <c r="X16" s="579"/>
      <c r="Y16" s="579"/>
      <c r="Z16" s="579"/>
      <c r="AA16" s="579"/>
      <c r="AB16" s="579"/>
    </row>
    <row r="17" spans="2:28" s="42" customFormat="1" ht="18" customHeight="1">
      <c r="B17" s="45"/>
      <c r="C17" s="548"/>
      <c r="D17" s="38"/>
      <c r="E17" s="38"/>
      <c r="F17" s="38"/>
      <c r="G17" s="38"/>
      <c r="H17" s="547"/>
      <c r="I17" s="546"/>
      <c r="J17" s="545">
        <f t="shared" si="0"/>
        <v>0</v>
      </c>
      <c r="K17" s="544">
        <f t="shared" si="2"/>
        <v>0</v>
      </c>
      <c r="L17" s="543"/>
      <c r="M17" s="542">
        <f t="shared" si="1"/>
        <v>0</v>
      </c>
      <c r="N17" s="3567"/>
      <c r="O17" s="3530"/>
      <c r="P17" s="45"/>
      <c r="V17" s="2119"/>
      <c r="W17" s="579"/>
      <c r="X17" s="579"/>
      <c r="Y17" s="579"/>
      <c r="Z17" s="579"/>
      <c r="AA17" s="579"/>
      <c r="AB17" s="579"/>
    </row>
    <row r="18" spans="2:28" s="42" customFormat="1" ht="18" customHeight="1">
      <c r="B18" s="281"/>
      <c r="C18" s="541"/>
      <c r="D18" s="353"/>
      <c r="E18" s="353"/>
      <c r="F18" s="353"/>
      <c r="G18" s="353"/>
      <c r="H18" s="540"/>
      <c r="I18" s="539"/>
      <c r="J18" s="538">
        <f t="shared" si="0"/>
        <v>0</v>
      </c>
      <c r="K18" s="537">
        <f t="shared" si="2"/>
        <v>0</v>
      </c>
      <c r="L18" s="536"/>
      <c r="M18" s="3520">
        <f t="shared" si="1"/>
        <v>0</v>
      </c>
      <c r="N18" s="4085"/>
      <c r="O18" s="3531"/>
      <c r="P18" s="578"/>
      <c r="V18" s="2119"/>
      <c r="W18" s="579"/>
      <c r="X18" s="579"/>
      <c r="Y18" s="579"/>
      <c r="Z18" s="579"/>
      <c r="AA18" s="579"/>
      <c r="AB18" s="579"/>
    </row>
    <row r="19" spans="2:28" s="42" customFormat="1" ht="18" customHeight="1">
      <c r="B19" s="227"/>
      <c r="C19" s="3470" t="s">
        <v>1530</v>
      </c>
      <c r="D19" s="3470"/>
      <c r="E19" s="3470"/>
      <c r="F19" s="3470"/>
      <c r="G19" s="3470"/>
      <c r="H19" s="566"/>
      <c r="I19" s="2354"/>
      <c r="J19" s="566"/>
      <c r="K19" s="566"/>
      <c r="L19" s="566"/>
      <c r="M19" s="565"/>
      <c r="N19" s="565"/>
      <c r="O19" s="3527">
        <f>ROUND(SUM(M22:M24),0)</f>
        <v>30</v>
      </c>
      <c r="P19" s="578"/>
      <c r="V19" s="2119"/>
      <c r="W19" s="579"/>
      <c r="X19" s="579"/>
      <c r="Y19" s="579"/>
      <c r="Z19" s="579"/>
      <c r="AA19" s="579"/>
      <c r="AB19" s="579"/>
    </row>
    <row r="20" spans="2:28" s="42" customFormat="1" ht="18" customHeight="1">
      <c r="B20" s="45"/>
      <c r="C20" s="68"/>
      <c r="D20" s="39" t="s">
        <v>591</v>
      </c>
      <c r="E20" s="38"/>
      <c r="F20" s="577">
        <f>SDÖ1!$O$73</f>
        <v>2.5</v>
      </c>
      <c r="G20" s="38" t="s">
        <v>113</v>
      </c>
      <c r="H20" s="561"/>
      <c r="I20" s="560"/>
      <c r="J20" s="559"/>
      <c r="K20" s="558"/>
      <c r="L20" s="558"/>
      <c r="M20" s="558"/>
      <c r="N20" s="558"/>
      <c r="O20" s="3533"/>
      <c r="P20" s="578"/>
      <c r="Q20" s="33"/>
      <c r="V20" s="2119"/>
      <c r="W20" s="579"/>
      <c r="X20" s="579"/>
      <c r="Y20" s="579"/>
      <c r="Z20" s="579"/>
      <c r="AA20" s="579"/>
      <c r="AB20" s="579"/>
    </row>
    <row r="21" spans="2:28" s="42" customFormat="1" ht="18" customHeight="1">
      <c r="B21" s="3532"/>
      <c r="C21" s="557"/>
      <c r="D21" s="556" t="s">
        <v>590</v>
      </c>
      <c r="E21" s="554"/>
      <c r="F21" s="555">
        <v>1</v>
      </c>
      <c r="G21" s="554" t="s">
        <v>113</v>
      </c>
      <c r="H21" s="553"/>
      <c r="I21" s="552"/>
      <c r="J21" s="552"/>
      <c r="K21" s="552"/>
      <c r="L21" s="552"/>
      <c r="M21" s="551"/>
      <c r="N21" s="558"/>
      <c r="O21" s="3533"/>
      <c r="P21" s="578"/>
      <c r="V21" s="2119"/>
      <c r="W21" s="579"/>
      <c r="X21" s="579"/>
      <c r="Y21" s="579"/>
      <c r="Z21" s="579"/>
      <c r="AA21" s="579"/>
      <c r="AB21" s="579"/>
    </row>
    <row r="22" spans="2:28" s="42" customFormat="1" ht="18" customHeight="1">
      <c r="B22" s="45"/>
      <c r="C22" s="548" t="s">
        <v>1529</v>
      </c>
      <c r="D22" s="550"/>
      <c r="E22" s="38"/>
      <c r="F22" s="38"/>
      <c r="G22" s="38"/>
      <c r="H22" s="547">
        <v>20</v>
      </c>
      <c r="I22" s="546">
        <v>62000</v>
      </c>
      <c r="J22" s="545">
        <f>I22*((100+$F$6)/100)</f>
        <v>62000</v>
      </c>
      <c r="K22" s="544">
        <f>IF(H22=0,0,100/H22+$F$20/2+$F$21)</f>
        <v>7.25</v>
      </c>
      <c r="L22" s="543">
        <v>150</v>
      </c>
      <c r="M22" s="542">
        <f>IF(L22=0,0,J22*K22/100/L22)</f>
        <v>29.966666666666665</v>
      </c>
      <c r="N22" s="3567"/>
      <c r="O22" s="3530"/>
      <c r="P22" s="578"/>
      <c r="V22" s="2119"/>
      <c r="W22" s="549" t="s">
        <v>588</v>
      </c>
      <c r="X22" s="579"/>
      <c r="Y22" s="579"/>
      <c r="Z22" s="579"/>
      <c r="AA22" s="579"/>
      <c r="AB22" s="579"/>
    </row>
    <row r="23" spans="2:28" s="42" customFormat="1" ht="18" customHeight="1">
      <c r="B23" s="45"/>
      <c r="C23" s="548"/>
      <c r="D23" s="38"/>
      <c r="E23" s="38"/>
      <c r="F23" s="38"/>
      <c r="G23" s="38"/>
      <c r="H23" s="547"/>
      <c r="I23" s="546"/>
      <c r="J23" s="545">
        <f>I23*((100+$F$6)/100)</f>
        <v>0</v>
      </c>
      <c r="K23" s="544">
        <f>IF(H23=0,0,100/H23+$F$38/2+$F$39)</f>
        <v>0</v>
      </c>
      <c r="L23" s="543"/>
      <c r="M23" s="542">
        <f>IF(L23=0,0,J23*K23/100/L23)</f>
        <v>0</v>
      </c>
      <c r="N23" s="3567"/>
      <c r="O23" s="3530"/>
      <c r="P23" s="578"/>
      <c r="V23" s="2119"/>
    </row>
    <row r="24" spans="2:28" s="42" customFormat="1" ht="18" customHeight="1" thickBot="1">
      <c r="B24" s="45"/>
      <c r="C24" s="548"/>
      <c r="D24" s="38"/>
      <c r="E24" s="38"/>
      <c r="F24" s="38"/>
      <c r="G24" s="38"/>
      <c r="H24" s="547"/>
      <c r="I24" s="546"/>
      <c r="J24" s="545">
        <f>I24*((100+$F$6)/100)</f>
        <v>0</v>
      </c>
      <c r="K24" s="544">
        <f>IF(H24=0,0,100/H24+$F$38/2+$F$39)</f>
        <v>0</v>
      </c>
      <c r="L24" s="543"/>
      <c r="M24" s="542">
        <f>IF(L24=0,0,J24*K24/100/L24)</f>
        <v>0</v>
      </c>
      <c r="N24" s="3567"/>
      <c r="O24" s="3530"/>
      <c r="P24" s="578"/>
      <c r="V24" s="2119"/>
    </row>
    <row r="25" spans="2:28" s="42" customFormat="1" ht="18" hidden="1" customHeight="1">
      <c r="B25" s="275"/>
      <c r="C25" s="47" t="s">
        <v>1528</v>
      </c>
      <c r="D25" s="47"/>
      <c r="E25" s="47"/>
      <c r="F25" s="47"/>
      <c r="G25" s="47"/>
      <c r="H25" s="566"/>
      <c r="I25" s="145"/>
      <c r="J25" s="566"/>
      <c r="K25" s="566"/>
      <c r="L25" s="566"/>
      <c r="M25" s="2142"/>
      <c r="N25" s="2142"/>
      <c r="O25" s="2139">
        <f>ROUND(SUM(M28:M30),0)</f>
        <v>670</v>
      </c>
      <c r="P25" s="45" t="s">
        <v>1526</v>
      </c>
      <c r="V25" s="2119"/>
    </row>
    <row r="26" spans="2:28" s="42" customFormat="1" ht="18" hidden="1" customHeight="1">
      <c r="B26" s="275"/>
      <c r="C26" s="37"/>
      <c r="D26" s="39" t="s">
        <v>591</v>
      </c>
      <c r="E26" s="38"/>
      <c r="F26" s="577">
        <f>SDÖ1!$O$73</f>
        <v>2.5</v>
      </c>
      <c r="G26" s="38" t="s">
        <v>113</v>
      </c>
      <c r="H26" s="576"/>
      <c r="I26" s="575"/>
      <c r="J26" s="574"/>
      <c r="K26" s="512"/>
      <c r="L26" s="512"/>
      <c r="M26" s="512"/>
      <c r="N26" s="512"/>
      <c r="O26" s="2137"/>
      <c r="P26" s="45"/>
      <c r="V26" s="2119"/>
    </row>
    <row r="27" spans="2:28" s="42" customFormat="1" ht="18" hidden="1" customHeight="1">
      <c r="B27" s="2141"/>
      <c r="C27" s="572"/>
      <c r="D27" s="556" t="s">
        <v>590</v>
      </c>
      <c r="E27" s="554"/>
      <c r="F27" s="555">
        <v>1</v>
      </c>
      <c r="G27" s="554" t="s">
        <v>113</v>
      </c>
      <c r="H27" s="571"/>
      <c r="I27" s="570"/>
      <c r="J27" s="570"/>
      <c r="K27" s="570"/>
      <c r="L27" s="570"/>
      <c r="M27" s="569"/>
      <c r="N27" s="512"/>
      <c r="O27" s="2137"/>
      <c r="P27" s="45"/>
      <c r="V27" s="2119"/>
    </row>
    <row r="28" spans="2:28" s="42" customFormat="1" ht="18" hidden="1" customHeight="1">
      <c r="B28" s="275"/>
      <c r="C28" s="548" t="s">
        <v>597</v>
      </c>
      <c r="D28" s="38"/>
      <c r="E28" s="38"/>
      <c r="F28" s="38"/>
      <c r="G28" s="38"/>
      <c r="H28" s="547">
        <v>12</v>
      </c>
      <c r="I28" s="546">
        <v>17300</v>
      </c>
      <c r="J28" s="545">
        <f>I28*((100+$F$6)/100)</f>
        <v>17300</v>
      </c>
      <c r="K28" s="544">
        <f>IF(H28=0,0,100/H28+$F$26/2+$F$27)</f>
        <v>10.583333333333334</v>
      </c>
      <c r="L28" s="543">
        <v>15</v>
      </c>
      <c r="M28" s="542">
        <f>IF(L28=0,0,J28*K28/100/L28)</f>
        <v>122.06111111111113</v>
      </c>
      <c r="N28" s="3567"/>
      <c r="O28" s="2137"/>
      <c r="P28" s="45"/>
      <c r="V28" s="2119"/>
    </row>
    <row r="29" spans="2:28" s="42" customFormat="1" ht="18" hidden="1" customHeight="1">
      <c r="B29" s="275"/>
      <c r="C29" s="548" t="s">
        <v>596</v>
      </c>
      <c r="D29" s="38"/>
      <c r="E29" s="38"/>
      <c r="F29" s="38"/>
      <c r="G29" s="38"/>
      <c r="H29" s="547">
        <v>20</v>
      </c>
      <c r="I29" s="546">
        <v>75630</v>
      </c>
      <c r="J29" s="545">
        <f>I29*((100+$F$6)/100)</f>
        <v>75630</v>
      </c>
      <c r="K29" s="544">
        <f>IF(H29=0,0,100/H29+$F$26/2+$F$27)</f>
        <v>7.25</v>
      </c>
      <c r="L29" s="543">
        <v>10</v>
      </c>
      <c r="M29" s="542">
        <f>IF(L29=0,0,J29*K29/100/L29)</f>
        <v>548.3175</v>
      </c>
      <c r="N29" s="3567"/>
      <c r="O29" s="2137"/>
      <c r="P29" s="45"/>
      <c r="V29" s="2119"/>
    </row>
    <row r="30" spans="2:28" s="42" customFormat="1" ht="18" hidden="1" customHeight="1">
      <c r="B30" s="2120"/>
      <c r="C30" s="541"/>
      <c r="D30" s="353"/>
      <c r="E30" s="353"/>
      <c r="F30" s="353"/>
      <c r="G30" s="353"/>
      <c r="H30" s="540"/>
      <c r="I30" s="539"/>
      <c r="J30" s="538">
        <f>I30*((100+$F$6)/100)</f>
        <v>0</v>
      </c>
      <c r="K30" s="537">
        <f>IF(H30=0,0,100/H30+$F$26/2+$F$27)</f>
        <v>0</v>
      </c>
      <c r="L30" s="536"/>
      <c r="M30" s="535">
        <f>IF(L30=0,0,J30*K30/100/L30)</f>
        <v>0</v>
      </c>
      <c r="N30" s="4085"/>
      <c r="O30" s="2140"/>
      <c r="P30" s="45"/>
      <c r="V30" s="2119"/>
    </row>
    <row r="31" spans="2:28" s="42" customFormat="1" ht="18" hidden="1" customHeight="1">
      <c r="B31" s="275"/>
      <c r="C31" s="47" t="s">
        <v>1527</v>
      </c>
      <c r="D31" s="47"/>
      <c r="E31" s="47"/>
      <c r="F31" s="47"/>
      <c r="G31" s="47"/>
      <c r="H31" s="566"/>
      <c r="I31" s="145"/>
      <c r="J31" s="566"/>
      <c r="K31" s="566"/>
      <c r="L31" s="566"/>
      <c r="M31" s="565"/>
      <c r="N31" s="565"/>
      <c r="O31" s="2139">
        <f>ROUND(SUM(M34:M36),0)</f>
        <v>361</v>
      </c>
      <c r="P31" s="45" t="s">
        <v>1526</v>
      </c>
      <c r="V31" s="2119"/>
    </row>
    <row r="32" spans="2:28" s="42" customFormat="1" ht="18" hidden="1" customHeight="1">
      <c r="B32" s="275"/>
      <c r="C32" s="68"/>
      <c r="D32" s="39" t="s">
        <v>591</v>
      </c>
      <c r="E32" s="38"/>
      <c r="F32" s="577">
        <f>SDÖ1!$O$73</f>
        <v>2.5</v>
      </c>
      <c r="G32" s="38" t="s">
        <v>113</v>
      </c>
      <c r="H32" s="561"/>
      <c r="I32" s="560"/>
      <c r="J32" s="559"/>
      <c r="K32" s="558"/>
      <c r="L32" s="558"/>
      <c r="M32" s="558"/>
      <c r="N32" s="558"/>
      <c r="O32" s="2138"/>
      <c r="P32" s="45"/>
      <c r="V32" s="2119"/>
    </row>
    <row r="33" spans="1:31" s="42" customFormat="1" ht="18" hidden="1" customHeight="1">
      <c r="B33" s="275"/>
      <c r="C33" s="557"/>
      <c r="D33" s="556" t="s">
        <v>590</v>
      </c>
      <c r="E33" s="554"/>
      <c r="F33" s="555">
        <v>1.5</v>
      </c>
      <c r="G33" s="554" t="s">
        <v>113</v>
      </c>
      <c r="H33" s="553"/>
      <c r="I33" s="552"/>
      <c r="J33" s="552"/>
      <c r="K33" s="552"/>
      <c r="L33" s="552"/>
      <c r="M33" s="551"/>
      <c r="N33" s="558"/>
      <c r="O33" s="2138"/>
      <c r="P33" s="45"/>
      <c r="V33" s="2119"/>
    </row>
    <row r="34" spans="1:31" s="42" customFormat="1" ht="18" hidden="1" customHeight="1">
      <c r="B34" s="275"/>
      <c r="C34" s="548" t="s">
        <v>1525</v>
      </c>
      <c r="D34" s="550"/>
      <c r="E34" s="38"/>
      <c r="F34" s="38"/>
      <c r="G34" s="38"/>
      <c r="H34" s="547">
        <v>12</v>
      </c>
      <c r="I34" s="546">
        <v>5000</v>
      </c>
      <c r="J34" s="545">
        <f>I34*((100+$F$6)/100)</f>
        <v>5000</v>
      </c>
      <c r="K34" s="544">
        <f>IF(H34=0,0,100/H34+$F$32/2+$F$33)</f>
        <v>11.083333333333334</v>
      </c>
      <c r="L34" s="543">
        <v>5</v>
      </c>
      <c r="M34" s="542">
        <f>IF(L34=0,0,J34*K34/100/L34)</f>
        <v>110.83333333333334</v>
      </c>
      <c r="N34" s="3567"/>
      <c r="O34" s="2137"/>
      <c r="P34" s="45"/>
      <c r="V34" s="2119"/>
    </row>
    <row r="35" spans="1:31" s="42" customFormat="1" ht="18" hidden="1" customHeight="1">
      <c r="B35" s="275"/>
      <c r="C35" s="548" t="s">
        <v>1524</v>
      </c>
      <c r="D35" s="550"/>
      <c r="E35" s="38"/>
      <c r="F35" s="38"/>
      <c r="G35" s="38"/>
      <c r="H35" s="547">
        <v>20</v>
      </c>
      <c r="I35" s="546">
        <v>10000</v>
      </c>
      <c r="J35" s="545">
        <f>I35*((100+$F$6)/100)</f>
        <v>10000</v>
      </c>
      <c r="K35" s="544">
        <f>IF(H35=0,0,100/H35+$F$38/2+$F$39)</f>
        <v>5</v>
      </c>
      <c r="L35" s="543">
        <v>2</v>
      </c>
      <c r="M35" s="542">
        <f>IF(L35=0,0,J35*K35/100/L35)</f>
        <v>250</v>
      </c>
      <c r="N35" s="3567"/>
      <c r="O35" s="2137"/>
      <c r="P35" s="45"/>
      <c r="V35" s="2119"/>
    </row>
    <row r="36" spans="1:31" s="42" customFormat="1" ht="18" hidden="1" customHeight="1" thickBot="1">
      <c r="B36" s="275"/>
      <c r="C36" s="2136"/>
      <c r="D36" s="2135"/>
      <c r="E36" s="2135"/>
      <c r="F36" s="2135"/>
      <c r="G36" s="2135"/>
      <c r="H36" s="2134"/>
      <c r="I36" s="2133"/>
      <c r="J36" s="2132">
        <f>I36*((100+$F$6)/100)</f>
        <v>0</v>
      </c>
      <c r="K36" s="2131">
        <f>IF(H36=0,0,100/H36+$F$38/2+$F$39)</f>
        <v>0</v>
      </c>
      <c r="L36" s="2130"/>
      <c r="M36" s="2129">
        <f>IF(L36=0,0,J36*K36/100/L36)</f>
        <v>0</v>
      </c>
      <c r="N36" s="4086"/>
      <c r="O36" s="2128"/>
      <c r="P36" s="45"/>
      <c r="V36" s="2119"/>
    </row>
    <row r="37" spans="1:31" s="42" customFormat="1" ht="18" customHeight="1">
      <c r="A37" s="33"/>
      <c r="B37" s="2127"/>
      <c r="C37" s="35" t="s">
        <v>1523</v>
      </c>
      <c r="D37" s="15"/>
      <c r="E37" s="33"/>
      <c r="F37" s="33"/>
      <c r="G37" s="33"/>
      <c r="H37" s="33"/>
      <c r="I37" s="33"/>
      <c r="J37" s="33"/>
      <c r="K37" s="33"/>
      <c r="L37" s="33"/>
      <c r="M37" s="33"/>
      <c r="N37" s="33"/>
      <c r="O37" s="33"/>
      <c r="P37" s="33"/>
      <c r="V37" s="2119"/>
    </row>
    <row r="38" spans="1:31" s="42" customFormat="1" ht="18" hidden="1" customHeight="1">
      <c r="A38" s="33"/>
      <c r="B38" s="33"/>
      <c r="C38" s="33"/>
      <c r="D38" s="33"/>
      <c r="E38" s="33"/>
      <c r="F38" s="33"/>
      <c r="G38" s="33"/>
      <c r="H38" s="33"/>
      <c r="I38" s="33"/>
      <c r="J38" s="33"/>
      <c r="K38" s="33"/>
      <c r="L38" s="33"/>
      <c r="M38" s="33"/>
      <c r="N38" s="33"/>
      <c r="O38" s="33"/>
      <c r="P38" s="33"/>
      <c r="Q38" s="577"/>
      <c r="V38" s="2119"/>
    </row>
    <row r="39" spans="1:31" s="42" customFormat="1" ht="18" hidden="1" customHeight="1">
      <c r="A39" s="33"/>
      <c r="B39" s="33"/>
      <c r="C39" s="33"/>
      <c r="D39" s="33"/>
      <c r="E39" s="33"/>
      <c r="F39" s="33"/>
      <c r="G39" s="33"/>
      <c r="H39" s="33"/>
      <c r="I39" s="33"/>
      <c r="J39" s="33"/>
      <c r="K39" s="33"/>
      <c r="L39" s="33"/>
      <c r="M39" s="33"/>
      <c r="N39" s="33"/>
      <c r="O39" s="33"/>
      <c r="P39" s="33"/>
      <c r="V39" s="2119"/>
    </row>
    <row r="40" spans="1:31" s="42" customFormat="1" ht="18" hidden="1" customHeight="1">
      <c r="A40" s="33"/>
      <c r="B40" s="33"/>
      <c r="C40" s="33"/>
      <c r="D40" s="33"/>
      <c r="E40" s="33"/>
      <c r="F40" s="33"/>
      <c r="G40" s="33"/>
      <c r="H40" s="33"/>
      <c r="I40" s="33"/>
      <c r="J40" s="33"/>
      <c r="K40" s="33"/>
      <c r="L40" s="33"/>
      <c r="M40" s="33"/>
      <c r="N40" s="33"/>
      <c r="O40" s="33"/>
      <c r="P40" s="33"/>
      <c r="V40" s="2119"/>
    </row>
    <row r="41" spans="1:31" s="42" customFormat="1" ht="18" hidden="1" customHeight="1">
      <c r="A41" s="33"/>
      <c r="B41" s="33"/>
      <c r="C41" s="33"/>
      <c r="D41" s="33"/>
      <c r="E41" s="33"/>
      <c r="F41" s="33"/>
      <c r="G41" s="33"/>
      <c r="H41" s="33"/>
      <c r="I41" s="33"/>
      <c r="J41" s="33"/>
      <c r="K41" s="33"/>
      <c r="L41" s="33"/>
      <c r="M41" s="33"/>
      <c r="N41" s="33"/>
      <c r="O41" s="33"/>
      <c r="P41" s="33"/>
      <c r="V41" s="2119"/>
    </row>
    <row r="42" spans="1:31" s="42" customFormat="1" ht="18" hidden="1" customHeight="1">
      <c r="A42" s="33"/>
      <c r="B42" s="33"/>
      <c r="C42" s="33"/>
      <c r="D42" s="33"/>
      <c r="E42" s="33"/>
      <c r="F42" s="33"/>
      <c r="G42" s="33"/>
      <c r="H42" s="33"/>
      <c r="I42" s="33"/>
      <c r="J42" s="33"/>
      <c r="K42" s="33"/>
      <c r="L42" s="33"/>
      <c r="M42" s="33"/>
      <c r="N42" s="33"/>
      <c r="O42" s="33"/>
      <c r="P42" s="33"/>
      <c r="V42" s="2119"/>
    </row>
    <row r="43" spans="1:31" s="42" customFormat="1" ht="19.149999999999999" customHeight="1">
      <c r="B43" s="51"/>
      <c r="C43" s="53"/>
      <c r="D43" s="53"/>
      <c r="E43" s="53"/>
      <c r="F43" s="53"/>
      <c r="G43" s="53"/>
      <c r="H43" s="531"/>
      <c r="I43" s="533"/>
      <c r="J43" s="533"/>
      <c r="K43" s="532"/>
      <c r="L43" s="531"/>
      <c r="M43" s="530"/>
      <c r="N43" s="530"/>
      <c r="O43" s="529"/>
      <c r="P43" s="45"/>
      <c r="V43" s="2119"/>
    </row>
    <row r="44" spans="1:31" s="42" customFormat="1" ht="19.149999999999999" customHeight="1" thickBot="1">
      <c r="B44" s="227"/>
      <c r="D44" s="2148"/>
      <c r="E44" s="2148"/>
      <c r="F44" s="4376" t="s">
        <v>586</v>
      </c>
      <c r="G44" s="4377"/>
      <c r="H44" s="3551" t="s">
        <v>585</v>
      </c>
      <c r="I44" s="3552"/>
      <c r="J44" s="3553"/>
      <c r="K44" s="3554"/>
      <c r="L44" s="3555"/>
      <c r="M44" s="3555"/>
      <c r="N44" s="3555"/>
      <c r="O44" s="561" t="s">
        <v>584</v>
      </c>
      <c r="U44" s="2119"/>
      <c r="W44" s="226" t="s">
        <v>583</v>
      </c>
      <c r="AE44" s="4097"/>
    </row>
    <row r="45" spans="1:31" s="42" customFormat="1" ht="15.75">
      <c r="B45" s="227"/>
      <c r="C45" s="3470" t="s">
        <v>1522</v>
      </c>
      <c r="D45" s="2148"/>
      <c r="E45" s="2148"/>
      <c r="F45" s="4374"/>
      <c r="G45" s="4375"/>
      <c r="H45" s="528" t="s">
        <v>582</v>
      </c>
      <c r="I45" s="3472">
        <v>2017</v>
      </c>
      <c r="J45" s="3472">
        <f>I45+1</f>
        <v>2018</v>
      </c>
      <c r="K45" s="3473">
        <f>J45+1</f>
        <v>2019</v>
      </c>
      <c r="L45" s="3473">
        <f>K45+1</f>
        <v>2020</v>
      </c>
      <c r="M45" s="3473">
        <f>L45+1</f>
        <v>2021</v>
      </c>
      <c r="N45" s="4087" t="s">
        <v>2094</v>
      </c>
      <c r="O45" s="3556" t="str">
        <f>SDÖ1!O6</f>
        <v>ᴓ 2022</v>
      </c>
      <c r="U45" s="2119"/>
      <c r="W45" s="524" t="s">
        <v>581</v>
      </c>
      <c r="X45" s="523"/>
      <c r="Y45" s="523"/>
      <c r="Z45" s="523"/>
      <c r="AA45" s="522"/>
    </row>
    <row r="46" spans="1:31" s="42" customFormat="1" ht="16.5" thickBot="1">
      <c r="B46" s="3557"/>
      <c r="C46" s="3579" t="s">
        <v>1521</v>
      </c>
      <c r="D46" s="2346"/>
      <c r="E46" s="2346"/>
      <c r="F46" s="3474"/>
      <c r="G46" s="3475"/>
      <c r="H46" s="3476" t="s">
        <v>113</v>
      </c>
      <c r="I46" s="3477"/>
      <c r="J46" s="3478"/>
      <c r="K46" s="3479"/>
      <c r="L46" s="3480"/>
      <c r="M46" s="3480"/>
      <c r="N46" s="4088"/>
      <c r="O46" s="3558"/>
      <c r="Q46" s="383" t="s">
        <v>1520</v>
      </c>
      <c r="U46" s="2119"/>
      <c r="W46" s="521" t="s">
        <v>580</v>
      </c>
      <c r="X46" s="520"/>
      <c r="Y46" s="520"/>
      <c r="Z46" s="520"/>
      <c r="AA46" s="519"/>
    </row>
    <row r="47" spans="1:31" s="42" customFormat="1" ht="18" thickBot="1">
      <c r="B47" s="45"/>
      <c r="C47" s="3559" t="s">
        <v>1519</v>
      </c>
      <c r="D47" s="68"/>
      <c r="E47" s="68"/>
      <c r="F47" s="4370" t="s">
        <v>579</v>
      </c>
      <c r="G47" s="4358"/>
      <c r="H47" s="512"/>
      <c r="I47" s="2126"/>
      <c r="J47" s="2126"/>
      <c r="K47" s="2126"/>
      <c r="L47" s="2125"/>
      <c r="M47" s="2125"/>
      <c r="N47" s="4089"/>
      <c r="O47" s="3560"/>
      <c r="Q47" s="383"/>
      <c r="U47" s="2119"/>
      <c r="W47" s="518"/>
      <c r="X47" s="517"/>
      <c r="Y47" s="517"/>
      <c r="Z47" s="517"/>
      <c r="AA47" s="516"/>
    </row>
    <row r="48" spans="1:31" s="42" customFormat="1" ht="13.7" customHeight="1">
      <c r="B48" s="45"/>
      <c r="C48" s="4363" t="s">
        <v>1518</v>
      </c>
      <c r="D48" s="4363"/>
      <c r="E48" s="38" t="s">
        <v>179</v>
      </c>
      <c r="F48" s="4371"/>
      <c r="G48" s="4360"/>
      <c r="H48" s="2124"/>
      <c r="I48" s="2126">
        <v>200</v>
      </c>
      <c r="J48" s="2126">
        <v>200</v>
      </c>
      <c r="K48" s="3897">
        <v>223</v>
      </c>
      <c r="L48" s="3901">
        <v>230</v>
      </c>
      <c r="M48" s="3357">
        <v>250</v>
      </c>
      <c r="N48" s="4069">
        <f>AVERAGE(K48:M48)</f>
        <v>234.33333333333334</v>
      </c>
      <c r="O48" s="3560">
        <f>HLOOKUP($O$45,$I$45:N48,4,FALSE)</f>
        <v>234.33333333333334</v>
      </c>
      <c r="Q48" s="383"/>
      <c r="U48" s="2119"/>
      <c r="AA48" s="2123"/>
      <c r="AB48" s="2123"/>
      <c r="AE48" s="4084"/>
    </row>
    <row r="49" spans="1:28" s="42" customFormat="1" ht="15">
      <c r="B49" s="45"/>
      <c r="C49" s="4363"/>
      <c r="D49" s="4363"/>
      <c r="E49" s="38" t="s">
        <v>152</v>
      </c>
      <c r="F49" s="4371"/>
      <c r="G49" s="4360"/>
      <c r="H49" s="512"/>
      <c r="I49" s="2126">
        <v>250</v>
      </c>
      <c r="J49" s="2126">
        <v>250</v>
      </c>
      <c r="K49" s="3897">
        <v>230</v>
      </c>
      <c r="L49" s="3901">
        <v>250</v>
      </c>
      <c r="M49" s="3357">
        <v>300</v>
      </c>
      <c r="N49" s="4069">
        <f>AVERAGE(K49:M49)</f>
        <v>260</v>
      </c>
      <c r="O49" s="3560">
        <f>HLOOKUP($O$45,$I$45:N49,5,FALSE)</f>
        <v>260</v>
      </c>
      <c r="Q49" s="383"/>
      <c r="U49" s="2122"/>
      <c r="W49" s="383" t="s">
        <v>575</v>
      </c>
    </row>
    <row r="50" spans="1:28" s="42" customFormat="1" ht="14.25">
      <c r="B50" s="281"/>
      <c r="C50" s="4364"/>
      <c r="D50" s="4364"/>
      <c r="E50" s="2121" t="s">
        <v>178</v>
      </c>
      <c r="F50" s="4372"/>
      <c r="G50" s="4362"/>
      <c r="H50" s="515"/>
      <c r="I50" s="3578">
        <v>300</v>
      </c>
      <c r="J50" s="3578">
        <v>300</v>
      </c>
      <c r="K50" s="3898">
        <v>255</v>
      </c>
      <c r="L50" s="3902">
        <v>270</v>
      </c>
      <c r="M50" s="3358">
        <v>350</v>
      </c>
      <c r="N50" s="4070">
        <f>AVERAGE(K50:M50)</f>
        <v>291.66666666666669</v>
      </c>
      <c r="O50" s="3560">
        <f>HLOOKUP($O$45,$I$45:N50,6,FALSE)</f>
        <v>291.66666666666669</v>
      </c>
      <c r="Q50" s="383" t="s">
        <v>1517</v>
      </c>
      <c r="U50" s="2119"/>
    </row>
    <row r="51" spans="1:28" s="42" customFormat="1" ht="14.25" customHeight="1">
      <c r="B51" s="45"/>
      <c r="C51" s="68" t="s">
        <v>1516</v>
      </c>
      <c r="D51" s="68"/>
      <c r="E51" s="68"/>
      <c r="F51" s="4329" t="s">
        <v>171</v>
      </c>
      <c r="G51" s="4330"/>
      <c r="H51" s="4378">
        <f>SDÖ1!O12</f>
        <v>0</v>
      </c>
      <c r="I51" s="3895">
        <v>100</v>
      </c>
      <c r="J51" s="3895">
        <v>115</v>
      </c>
      <c r="K51" s="3897">
        <v>115</v>
      </c>
      <c r="L51" s="4365">
        <v>115</v>
      </c>
      <c r="M51" s="4365">
        <v>115</v>
      </c>
      <c r="N51" s="4365">
        <f>AVERAGE(K51:M51)</f>
        <v>115</v>
      </c>
      <c r="O51" s="4367">
        <f>HLOOKUP($O$45,$I$45:N52,7,FALSE)</f>
        <v>115</v>
      </c>
      <c r="Q51" s="383"/>
      <c r="U51" s="2119"/>
      <c r="V51" s="3521"/>
      <c r="W51" s="4326" t="s">
        <v>572</v>
      </c>
      <c r="X51" s="4326"/>
      <c r="Y51" s="4326"/>
      <c r="Z51" s="4326"/>
      <c r="AA51" s="4326"/>
      <c r="AB51" s="4326"/>
    </row>
    <row r="52" spans="1:28" s="42" customFormat="1" ht="15">
      <c r="B52" s="281"/>
      <c r="C52" s="492" t="s">
        <v>1515</v>
      </c>
      <c r="D52" s="306"/>
      <c r="E52" s="306"/>
      <c r="F52" s="508"/>
      <c r="G52" s="507"/>
      <c r="H52" s="4354"/>
      <c r="I52" s="3896"/>
      <c r="J52" s="3896"/>
      <c r="K52" s="3898"/>
      <c r="L52" s="4366"/>
      <c r="M52" s="4366"/>
      <c r="N52" s="4366"/>
      <c r="O52" s="4368" t="e">
        <f>HLOOKUP($O$45,$I$45:L52,4,FALSE)</f>
        <v>#N/A</v>
      </c>
      <c r="P52" s="42" t="s">
        <v>1270</v>
      </c>
      <c r="U52" s="2119"/>
      <c r="V52" s="3521"/>
      <c r="W52" s="4326"/>
      <c r="X52" s="4326"/>
      <c r="Y52" s="4326"/>
      <c r="Z52" s="4326"/>
      <c r="AA52" s="4326"/>
      <c r="AB52" s="4326"/>
    </row>
    <row r="53" spans="1:28" s="42" customFormat="1" ht="15">
      <c r="B53" s="45"/>
      <c r="C53" s="68" t="s">
        <v>571</v>
      </c>
      <c r="D53" s="68"/>
      <c r="E53" s="68"/>
      <c r="F53" s="4329" t="s">
        <v>570</v>
      </c>
      <c r="G53" s="4330"/>
      <c r="H53" s="293"/>
      <c r="I53" s="3899">
        <v>15.5</v>
      </c>
      <c r="J53" s="3899">
        <v>16</v>
      </c>
      <c r="K53" s="3900">
        <v>16.5</v>
      </c>
      <c r="L53" s="4369">
        <v>16.5</v>
      </c>
      <c r="M53" s="4369">
        <v>16.5</v>
      </c>
      <c r="N53" s="4369">
        <f>AVERAGE(K53:M53)</f>
        <v>16.5</v>
      </c>
      <c r="O53" s="4373">
        <f>HLOOKUP($O$45,$I$45:N53,9,FALSE)</f>
        <v>16.5</v>
      </c>
      <c r="U53" s="2119"/>
    </row>
    <row r="54" spans="1:28" s="42" customFormat="1" ht="15">
      <c r="B54" s="45"/>
      <c r="C54" s="330" t="s">
        <v>569</v>
      </c>
      <c r="D54" s="68"/>
      <c r="E54" s="68"/>
      <c r="F54" s="514"/>
      <c r="G54" s="513"/>
      <c r="H54" s="293"/>
      <c r="I54" s="3899"/>
      <c r="J54" s="3899"/>
      <c r="K54" s="3900"/>
      <c r="L54" s="4369"/>
      <c r="M54" s="4369"/>
      <c r="N54" s="4369"/>
      <c r="O54" s="4373" t="e">
        <f>HLOOKUP($O$45,$I$45:L54,4,FALSE)</f>
        <v>#N/A</v>
      </c>
      <c r="U54" s="2119"/>
    </row>
    <row r="55" spans="1:28" s="42" customFormat="1" ht="14.25">
      <c r="B55" s="33"/>
      <c r="C55" s="35" t="s">
        <v>1514</v>
      </c>
      <c r="D55" s="33"/>
      <c r="E55" s="33"/>
      <c r="F55" s="33"/>
      <c r="G55" s="33"/>
      <c r="H55" s="33"/>
      <c r="I55" s="33"/>
      <c r="J55" s="33"/>
      <c r="K55" s="33"/>
      <c r="L55" s="33"/>
      <c r="M55" s="33"/>
      <c r="N55" s="33"/>
      <c r="O55" s="33"/>
      <c r="P55" s="383"/>
      <c r="V55" s="2119"/>
    </row>
    <row r="56" spans="1:28" s="42" customFormat="1" ht="14.25">
      <c r="B56" s="33"/>
      <c r="C56" s="33"/>
      <c r="D56" s="33"/>
      <c r="E56" s="33"/>
      <c r="F56" s="33"/>
      <c r="G56" s="33"/>
      <c r="H56" s="33"/>
      <c r="I56" s="33"/>
      <c r="J56" s="33"/>
      <c r="K56" s="33"/>
      <c r="L56" s="33"/>
      <c r="M56" s="33"/>
      <c r="N56" s="33"/>
      <c r="O56" s="33"/>
      <c r="P56" s="383"/>
      <c r="V56" s="2119"/>
    </row>
    <row r="57" spans="1:28" ht="9" customHeight="1">
      <c r="B57" s="31"/>
      <c r="C57" s="31"/>
      <c r="D57" s="31"/>
      <c r="E57" s="31"/>
      <c r="F57" s="31"/>
      <c r="G57" s="31"/>
      <c r="H57" s="31"/>
      <c r="I57" s="31"/>
      <c r="J57" s="31"/>
      <c r="K57" s="31"/>
      <c r="L57" s="31"/>
      <c r="M57" s="31"/>
      <c r="N57" s="4071"/>
      <c r="O57" s="31"/>
      <c r="P57" s="31"/>
    </row>
    <row r="58" spans="1:28" ht="19.149999999999999" customHeight="1">
      <c r="A58" s="49"/>
      <c r="C58" s="42"/>
      <c r="D58" s="31"/>
      <c r="E58" s="31"/>
      <c r="F58" s="31"/>
      <c r="G58" s="31"/>
      <c r="H58" s="31"/>
      <c r="I58" s="31"/>
      <c r="J58" s="31"/>
      <c r="K58" s="31"/>
      <c r="L58" s="31"/>
      <c r="M58" s="31"/>
      <c r="N58" s="4071"/>
      <c r="O58" s="31"/>
      <c r="P58" s="31"/>
    </row>
    <row r="59" spans="1:28" ht="19.149999999999999" customHeight="1">
      <c r="A59" s="49"/>
      <c r="C59" s="42"/>
      <c r="D59" s="31"/>
      <c r="E59" s="31"/>
      <c r="F59" s="35"/>
      <c r="G59" s="35"/>
      <c r="H59" s="35"/>
      <c r="I59" s="35"/>
      <c r="J59" s="35"/>
      <c r="K59" s="35"/>
      <c r="L59" s="35"/>
      <c r="M59" s="31"/>
      <c r="N59" s="4071"/>
      <c r="O59" s="31"/>
      <c r="P59" s="31"/>
    </row>
    <row r="60" spans="1:28" ht="19.149999999999999" customHeight="1">
      <c r="A60" s="49"/>
      <c r="C60" s="65"/>
      <c r="D60" s="31"/>
      <c r="E60" s="31"/>
      <c r="F60" s="31"/>
      <c r="G60" s="31"/>
      <c r="H60" s="31"/>
      <c r="I60" s="31"/>
      <c r="J60" s="31"/>
      <c r="K60" s="31"/>
      <c r="L60" s="31"/>
      <c r="M60" s="31"/>
      <c r="N60" s="4071"/>
      <c r="O60" s="31"/>
      <c r="P60" s="31"/>
    </row>
    <row r="61" spans="1:28" s="42" customFormat="1" ht="19.149999999999999" hidden="1" customHeight="1">
      <c r="C61" s="42" t="s">
        <v>1513</v>
      </c>
      <c r="V61" s="2119"/>
    </row>
    <row r="62" spans="1:28" s="42" customFormat="1" ht="16.899999999999999" customHeight="1">
      <c r="J62" s="505"/>
      <c r="V62" s="2119"/>
    </row>
    <row r="63" spans="1:28" s="42" customFormat="1" ht="16.899999999999999" customHeight="1">
      <c r="V63" s="2119"/>
    </row>
    <row r="64" spans="1:28" s="42" customFormat="1" ht="16.899999999999999" customHeight="1">
      <c r="V64" s="2119"/>
    </row>
    <row r="65" spans="22:22" s="42" customFormat="1" ht="16.899999999999999" customHeight="1">
      <c r="V65" s="2119"/>
    </row>
    <row r="66" spans="22:22" s="42" customFormat="1" ht="16.899999999999999" customHeight="1">
      <c r="V66" s="2119"/>
    </row>
    <row r="67" spans="22:22" s="42" customFormat="1" ht="16.899999999999999" customHeight="1">
      <c r="V67" s="2119"/>
    </row>
    <row r="68" spans="22:22" s="42" customFormat="1" ht="16.899999999999999" customHeight="1">
      <c r="V68" s="2119"/>
    </row>
    <row r="69" spans="22:22" s="42" customFormat="1" ht="16.899999999999999" customHeight="1">
      <c r="V69" s="2119"/>
    </row>
    <row r="70" spans="22:22" s="42" customFormat="1" ht="16.149999999999999" customHeight="1">
      <c r="V70" s="2119"/>
    </row>
    <row r="71" spans="22:22" s="42" customFormat="1" ht="16.149999999999999" customHeight="1">
      <c r="V71" s="2119"/>
    </row>
    <row r="72" spans="22:22" s="42" customFormat="1" ht="16.149999999999999" customHeight="1">
      <c r="V72" s="2119"/>
    </row>
    <row r="73" spans="22:22" s="42" customFormat="1" ht="16.149999999999999" customHeight="1">
      <c r="V73" s="2119"/>
    </row>
    <row r="74" spans="22:22" s="42" customFormat="1" ht="16.149999999999999" customHeight="1">
      <c r="V74" s="2119"/>
    </row>
    <row r="75" spans="22:22" s="42" customFormat="1" ht="16.149999999999999" customHeight="1">
      <c r="V75" s="2119"/>
    </row>
    <row r="76" spans="22:22" s="42" customFormat="1" ht="16.149999999999999" customHeight="1">
      <c r="V76" s="2119"/>
    </row>
    <row r="77" spans="22:22" s="42" customFormat="1" ht="16.149999999999999" customHeight="1">
      <c r="V77" s="2119"/>
    </row>
    <row r="78" spans="22:22" s="42" customFormat="1" ht="16.149999999999999" customHeight="1">
      <c r="V78" s="2119"/>
    </row>
    <row r="79" spans="22:22" s="42" customFormat="1" ht="16.149999999999999" customHeight="1">
      <c r="V79" s="2119"/>
    </row>
    <row r="80" spans="22:22" s="42" customFormat="1" ht="16.149999999999999" customHeight="1">
      <c r="V80" s="2119"/>
    </row>
    <row r="81" spans="22:22" s="42" customFormat="1" ht="16.149999999999999" customHeight="1">
      <c r="V81" s="2119"/>
    </row>
    <row r="82" spans="22:22" s="42" customFormat="1" ht="16.149999999999999" customHeight="1">
      <c r="V82" s="2119"/>
    </row>
    <row r="83" spans="22:22" s="42" customFormat="1" ht="16.149999999999999" customHeight="1">
      <c r="V83" s="2119"/>
    </row>
    <row r="84" spans="22:22" s="42" customFormat="1" ht="16.149999999999999" customHeight="1">
      <c r="V84" s="2119"/>
    </row>
    <row r="85" spans="22:22" s="42" customFormat="1" ht="16.149999999999999" customHeight="1">
      <c r="V85" s="2119"/>
    </row>
    <row r="86" spans="22:22" s="42" customFormat="1" ht="16.149999999999999" customHeight="1">
      <c r="V86" s="2119"/>
    </row>
    <row r="87" spans="22:22" s="42" customFormat="1" ht="16.149999999999999" customHeight="1">
      <c r="V87" s="2119"/>
    </row>
    <row r="88" spans="22:22" s="42" customFormat="1" ht="16.5" customHeight="1">
      <c r="V88" s="2119"/>
    </row>
    <row r="89" spans="22:22" s="42" customFormat="1" ht="16.5" customHeight="1">
      <c r="V89" s="2119"/>
    </row>
    <row r="90" spans="22:22" s="42" customFormat="1" ht="16.5" customHeight="1">
      <c r="V90" s="2119"/>
    </row>
    <row r="91" spans="22:22" s="42" customFormat="1" ht="16.5" customHeight="1">
      <c r="V91" s="2119"/>
    </row>
    <row r="92" spans="22:22" s="42" customFormat="1" ht="16.5" customHeight="1">
      <c r="V92" s="2119"/>
    </row>
    <row r="93" spans="22:22" s="42" customFormat="1" ht="16.5" customHeight="1">
      <c r="V93" s="2119"/>
    </row>
    <row r="94" spans="22:22" s="42" customFormat="1" ht="16.5" customHeight="1">
      <c r="V94" s="2119"/>
    </row>
    <row r="95" spans="22:22" s="42" customFormat="1" ht="16.5" customHeight="1">
      <c r="V95" s="2119"/>
    </row>
    <row r="96" spans="22:22" s="42" customFormat="1" ht="16.5" customHeight="1">
      <c r="V96" s="2119"/>
    </row>
    <row r="97" spans="22:22" s="42" customFormat="1" ht="16.5" customHeight="1">
      <c r="V97" s="2119"/>
    </row>
    <row r="98" spans="22:22" s="42" customFormat="1" ht="16.5" customHeight="1">
      <c r="V98" s="2119"/>
    </row>
    <row r="99" spans="22:22" s="42" customFormat="1" ht="16.5" customHeight="1">
      <c r="V99" s="2119"/>
    </row>
    <row r="100" spans="22:22" s="42" customFormat="1" ht="16.5" customHeight="1">
      <c r="V100" s="2119"/>
    </row>
    <row r="101" spans="22:22" s="42" customFormat="1" ht="16.5" customHeight="1">
      <c r="V101" s="2119"/>
    </row>
    <row r="102" spans="22:22" s="42" customFormat="1" ht="16.5" customHeight="1">
      <c r="V102" s="2119"/>
    </row>
    <row r="103" spans="22:22" s="42" customFormat="1" ht="16.5" customHeight="1">
      <c r="V103" s="2119"/>
    </row>
    <row r="104" spans="22:22" s="42" customFormat="1" ht="16.5" customHeight="1">
      <c r="V104" s="2119"/>
    </row>
    <row r="105" spans="22:22" s="42" customFormat="1" ht="16.5" customHeight="1">
      <c r="V105" s="2119"/>
    </row>
    <row r="106" spans="22:22" s="42" customFormat="1" ht="16.5" customHeight="1">
      <c r="V106" s="2119"/>
    </row>
    <row r="107" spans="22:22" s="42" customFormat="1" ht="16.5" customHeight="1">
      <c r="V107" s="2119"/>
    </row>
    <row r="108" spans="22:22" s="42" customFormat="1" ht="16.5" customHeight="1">
      <c r="V108" s="2119"/>
    </row>
    <row r="109" spans="22:22" s="42" customFormat="1" ht="16.5" customHeight="1">
      <c r="V109" s="2119"/>
    </row>
    <row r="110" spans="22:22" s="42" customFormat="1" ht="16.5" customHeight="1">
      <c r="V110" s="2119"/>
    </row>
    <row r="111" spans="22:22" s="42" customFormat="1" ht="16.5" customHeight="1">
      <c r="V111" s="2119"/>
    </row>
    <row r="112" spans="22:22" s="42" customFormat="1" ht="16.5" customHeight="1">
      <c r="V112" s="2119"/>
    </row>
    <row r="113" spans="22:22" s="42" customFormat="1" ht="16.5" customHeight="1">
      <c r="V113" s="2119"/>
    </row>
    <row r="114" spans="22:22" s="42" customFormat="1" ht="16.5" customHeight="1">
      <c r="V114" s="2119"/>
    </row>
    <row r="115" spans="22:22" s="42" customFormat="1" ht="16.5" customHeight="1">
      <c r="V115" s="2119"/>
    </row>
    <row r="116" spans="22:22" s="42" customFormat="1" ht="16.5" customHeight="1">
      <c r="V116" s="2119"/>
    </row>
    <row r="117" spans="22:22" s="42" customFormat="1" ht="16.5" customHeight="1">
      <c r="V117" s="2119"/>
    </row>
    <row r="118" spans="22:22" s="42" customFormat="1" ht="16.5" customHeight="1">
      <c r="V118" s="2119"/>
    </row>
    <row r="119" spans="22:22" s="42" customFormat="1" ht="16.5" customHeight="1">
      <c r="V119" s="2119"/>
    </row>
    <row r="120" spans="22:22" s="42" customFormat="1" ht="16.5" customHeight="1">
      <c r="V120" s="2119"/>
    </row>
    <row r="121" spans="22:22" s="42" customFormat="1" ht="16.5" customHeight="1">
      <c r="V121" s="2119"/>
    </row>
    <row r="122" spans="22:22" s="42" customFormat="1" ht="16.5" customHeight="1">
      <c r="V122" s="2119"/>
    </row>
    <row r="123" spans="22:22" s="42" customFormat="1" ht="16.5" customHeight="1">
      <c r="V123" s="2119"/>
    </row>
    <row r="124" spans="22:22" s="42" customFormat="1" ht="16.5" customHeight="1">
      <c r="V124" s="2119"/>
    </row>
    <row r="125" spans="22:22" s="42" customFormat="1" ht="16.5" customHeight="1">
      <c r="V125" s="2119"/>
    </row>
    <row r="126" spans="22:22" s="42" customFormat="1" ht="16.5" customHeight="1">
      <c r="V126" s="2119"/>
    </row>
    <row r="127" spans="22:22" s="42" customFormat="1" ht="16.5" customHeight="1">
      <c r="V127" s="2119"/>
    </row>
    <row r="128" spans="22:22" s="42" customFormat="1" ht="16.5" customHeight="1">
      <c r="V128" s="2119"/>
    </row>
    <row r="129" spans="22:22" s="42" customFormat="1" ht="16.5" customHeight="1">
      <c r="V129" s="2119"/>
    </row>
    <row r="130" spans="22:22" s="42" customFormat="1" ht="16.5" customHeight="1">
      <c r="V130" s="2119"/>
    </row>
    <row r="131" spans="22:22" s="42" customFormat="1" ht="16.5" customHeight="1">
      <c r="V131" s="2119"/>
    </row>
    <row r="132" spans="22:22" s="42" customFormat="1" ht="16.5" customHeight="1">
      <c r="V132" s="2119"/>
    </row>
    <row r="133" spans="22:22" s="42" customFormat="1" ht="16.5" customHeight="1">
      <c r="V133" s="2119"/>
    </row>
  </sheetData>
  <sheetProtection sheet="1" selectLockedCells="1"/>
  <mergeCells count="16">
    <mergeCell ref="W51:AB52"/>
    <mergeCell ref="F45:G45"/>
    <mergeCell ref="F44:G44"/>
    <mergeCell ref="F51:G51"/>
    <mergeCell ref="H51:H52"/>
    <mergeCell ref="C48:D50"/>
    <mergeCell ref="L51:L52"/>
    <mergeCell ref="O51:O52"/>
    <mergeCell ref="F53:G53"/>
    <mergeCell ref="L53:L54"/>
    <mergeCell ref="M51:M52"/>
    <mergeCell ref="M53:M54"/>
    <mergeCell ref="F47:G50"/>
    <mergeCell ref="O53:O54"/>
    <mergeCell ref="N51:N52"/>
    <mergeCell ref="N53:N54"/>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1"/>
  <headerFooter alignWithMargins="0">
    <oddFooter>&amp;L&amp;11LEL Schwäbisch Gmünd&amp;C&amp;11 &amp;R&amp;11&amp;F</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00B0F0"/>
    <pageSetUpPr fitToPage="1"/>
  </sheetPr>
  <dimension ref="A1:BG313"/>
  <sheetViews>
    <sheetView showZeros="0" zoomScaleNormal="100" workbookViewId="0"/>
  </sheetViews>
  <sheetFormatPr baseColWidth="10" defaultColWidth="11.625" defaultRowHeight="15"/>
  <cols>
    <col min="1" max="1" width="1.75" style="3721" customWidth="1"/>
    <col min="2" max="2" width="5.5" style="2153" bestFit="1" customWidth="1"/>
    <col min="3" max="3" width="22.5" style="2152" customWidth="1"/>
    <col min="4" max="4" width="13.75" style="2154" customWidth="1"/>
    <col min="5" max="5" width="6.75" style="2153" customWidth="1"/>
    <col min="6" max="15" width="9.5" style="2152" customWidth="1"/>
    <col min="16" max="16" width="8.625" style="2152" hidden="1" customWidth="1"/>
    <col min="17" max="32" width="9.5" style="2152" customWidth="1"/>
    <col min="33" max="33" width="14.125" style="2152" hidden="1" customWidth="1"/>
    <col min="34" max="34" width="9.5" style="2152" hidden="1" customWidth="1"/>
    <col min="35" max="35" width="5" style="2152" hidden="1" customWidth="1"/>
    <col min="36" max="36" width="16" style="2152" hidden="1" customWidth="1"/>
    <col min="37" max="41" width="5" style="2152" hidden="1" customWidth="1"/>
    <col min="42" max="42" width="5.5" style="2152" hidden="1" customWidth="1"/>
    <col min="43" max="46" width="5" style="2152" hidden="1" customWidth="1"/>
    <col min="47" max="47" width="5.75" style="2152" hidden="1" customWidth="1"/>
    <col min="48" max="48" width="11.625" style="2152" hidden="1" customWidth="1"/>
    <col min="49" max="49" width="4.625" style="2152" hidden="1" customWidth="1"/>
    <col min="50" max="50" width="1.75" style="2152" hidden="1" customWidth="1"/>
    <col min="51" max="51" width="5.5" style="2152" hidden="1" customWidth="1"/>
    <col min="52" max="52" width="11.625" style="2152" hidden="1" customWidth="1"/>
    <col min="53" max="53" width="9" style="2152" hidden="1" customWidth="1"/>
    <col min="54" max="54" width="11.625" style="2152" hidden="1" customWidth="1"/>
    <col min="55" max="55" width="4.25" style="2152" hidden="1" customWidth="1"/>
    <col min="56" max="56" width="2.75" style="2152" hidden="1" customWidth="1"/>
    <col min="57" max="57" width="1.125" style="2152" hidden="1" customWidth="1"/>
    <col min="58" max="58" width="1.625" style="2152" customWidth="1"/>
    <col min="59" max="16384" width="11.625" style="2152"/>
  </cols>
  <sheetData>
    <row r="1" spans="1:59">
      <c r="A1" s="3806"/>
      <c r="AP1" s="2194" t="s">
        <v>732</v>
      </c>
    </row>
    <row r="2" spans="1:59" ht="30">
      <c r="B2" s="2190" t="s">
        <v>731</v>
      </c>
      <c r="AP2" s="2190" t="str">
        <f>B2</f>
        <v>Pflanzenschutzmittel</v>
      </c>
    </row>
    <row r="3" spans="1:59" ht="15.75" thickBot="1">
      <c r="C3" s="2194" t="s">
        <v>2092</v>
      </c>
    </row>
    <row r="4" spans="1:59" ht="21.4" customHeight="1" thickBot="1">
      <c r="B4" s="3698" t="s">
        <v>647</v>
      </c>
      <c r="C4" s="3699" t="s">
        <v>645</v>
      </c>
      <c r="D4" s="3700" t="s">
        <v>646</v>
      </c>
      <c r="E4" s="3701" t="s">
        <v>353</v>
      </c>
      <c r="F4" s="3701" t="s">
        <v>644</v>
      </c>
      <c r="G4" s="3702" t="s">
        <v>84</v>
      </c>
      <c r="H4" s="3702" t="s">
        <v>643</v>
      </c>
      <c r="I4" s="3702" t="s">
        <v>642</v>
      </c>
      <c r="J4" s="3702" t="s">
        <v>641</v>
      </c>
      <c r="K4" s="3702" t="s">
        <v>640</v>
      </c>
      <c r="L4" s="3702" t="s">
        <v>639</v>
      </c>
      <c r="M4" s="3702" t="s">
        <v>638</v>
      </c>
      <c r="N4" s="3702" t="s">
        <v>75</v>
      </c>
      <c r="O4" s="3702" t="s">
        <v>73</v>
      </c>
      <c r="P4" s="3702" t="s">
        <v>637</v>
      </c>
      <c r="Q4" s="3702" t="s">
        <v>636</v>
      </c>
      <c r="R4" s="3702" t="s">
        <v>635</v>
      </c>
      <c r="S4" s="3702" t="s">
        <v>634</v>
      </c>
      <c r="T4" s="3702" t="s">
        <v>633</v>
      </c>
      <c r="U4" s="3702" t="s">
        <v>632</v>
      </c>
      <c r="V4" s="3702" t="s">
        <v>58</v>
      </c>
      <c r="W4" s="3702" t="s">
        <v>57</v>
      </c>
      <c r="X4" s="3702" t="s">
        <v>631</v>
      </c>
      <c r="Y4" s="3702" t="s">
        <v>630</v>
      </c>
      <c r="Z4" s="3702" t="s">
        <v>50</v>
      </c>
      <c r="AA4" s="3702" t="s">
        <v>629</v>
      </c>
      <c r="AB4" s="3702" t="s">
        <v>628</v>
      </c>
      <c r="AC4" s="3702" t="s">
        <v>627</v>
      </c>
      <c r="AD4" s="3702" t="s">
        <v>626</v>
      </c>
      <c r="AE4" s="3702" t="s">
        <v>625</v>
      </c>
      <c r="AF4" s="3703" t="s">
        <v>624</v>
      </c>
    </row>
    <row r="5" spans="1:59" s="3721" customFormat="1" ht="18">
      <c r="B5" s="2168">
        <v>1</v>
      </c>
      <c r="C5" s="3706"/>
      <c r="D5" s="4101"/>
      <c r="E5" s="3708"/>
      <c r="F5" s="620"/>
      <c r="G5" s="619"/>
      <c r="H5" s="619"/>
      <c r="I5" s="619"/>
      <c r="J5" s="619"/>
      <c r="K5" s="619"/>
      <c r="L5" s="619"/>
      <c r="M5" s="619"/>
      <c r="N5" s="619"/>
      <c r="O5" s="619"/>
      <c r="P5" s="619"/>
      <c r="Q5" s="619"/>
      <c r="R5" s="619"/>
      <c r="S5" s="619"/>
      <c r="T5" s="619"/>
      <c r="U5" s="619"/>
      <c r="V5" s="619"/>
      <c r="W5" s="619"/>
      <c r="X5" s="619"/>
      <c r="Y5" s="619"/>
      <c r="Z5" s="619"/>
      <c r="AA5" s="619"/>
      <c r="AB5" s="619"/>
      <c r="AC5" s="619"/>
      <c r="AD5" s="3726"/>
      <c r="AE5" s="3726"/>
      <c r="AF5" s="3781"/>
      <c r="AG5" s="3728">
        <f t="shared" ref="AG5:AG68" si="0">IF(AND(I5="x",X5="x"),1,0)</f>
        <v>0</v>
      </c>
      <c r="BG5" s="3782"/>
    </row>
    <row r="6" spans="1:59" ht="18">
      <c r="B6" s="2168">
        <f t="shared" ref="B6:B69" si="1">B5+1</f>
        <v>2</v>
      </c>
      <c r="C6" s="3706" t="s">
        <v>2086</v>
      </c>
      <c r="D6" s="3707">
        <v>132.6</v>
      </c>
      <c r="E6" s="3708" t="s">
        <v>652</v>
      </c>
      <c r="F6" s="620"/>
      <c r="G6" s="619"/>
      <c r="H6" s="619"/>
      <c r="I6" s="619"/>
      <c r="J6" s="619"/>
      <c r="K6" s="619"/>
      <c r="L6" s="619"/>
      <c r="M6" s="619"/>
      <c r="N6" s="619"/>
      <c r="O6" s="619"/>
      <c r="P6" s="619" t="s">
        <v>168</v>
      </c>
      <c r="Q6" s="619" t="s">
        <v>168</v>
      </c>
      <c r="R6" s="619" t="s">
        <v>168</v>
      </c>
      <c r="S6" s="619"/>
      <c r="T6" s="619"/>
      <c r="U6" s="619"/>
      <c r="V6" s="619"/>
      <c r="W6" s="619"/>
      <c r="X6" s="619"/>
      <c r="Y6" s="619"/>
      <c r="Z6" s="619"/>
      <c r="AA6" s="619"/>
      <c r="AB6" s="619"/>
      <c r="AC6" s="619"/>
      <c r="AD6" s="619" t="s">
        <v>168</v>
      </c>
      <c r="AE6" s="619"/>
      <c r="AF6" s="621"/>
      <c r="AG6" s="2153">
        <f t="shared" si="0"/>
        <v>0</v>
      </c>
      <c r="AI6" s="2152" t="s">
        <v>654</v>
      </c>
      <c r="AJ6" s="3709" t="s">
        <v>729</v>
      </c>
      <c r="AP6" s="3710" t="s">
        <v>654</v>
      </c>
      <c r="AQ6" s="3711" t="s">
        <v>729</v>
      </c>
      <c r="AR6" s="3712"/>
      <c r="AS6" s="3712"/>
      <c r="AT6" s="3713"/>
      <c r="BG6" s="3714"/>
    </row>
    <row r="7" spans="1:59" ht="18">
      <c r="B7" s="2168">
        <f t="shared" si="1"/>
        <v>3</v>
      </c>
      <c r="C7" s="3706" t="s">
        <v>726</v>
      </c>
      <c r="D7" s="3707">
        <v>32.299999999999997</v>
      </c>
      <c r="E7" s="3708" t="s">
        <v>652</v>
      </c>
      <c r="F7" s="620"/>
      <c r="G7" s="619"/>
      <c r="H7" s="619"/>
      <c r="I7" s="619"/>
      <c r="J7" s="619"/>
      <c r="K7" s="619"/>
      <c r="L7" s="619"/>
      <c r="M7" s="619"/>
      <c r="N7" s="619"/>
      <c r="O7" s="619"/>
      <c r="P7" s="619"/>
      <c r="Q7" s="619"/>
      <c r="R7" s="619"/>
      <c r="S7" s="619" t="s">
        <v>168</v>
      </c>
      <c r="T7" s="619"/>
      <c r="U7" s="619" t="s">
        <v>168</v>
      </c>
      <c r="V7" s="619"/>
      <c r="W7" s="619"/>
      <c r="X7" s="619" t="s">
        <v>168</v>
      </c>
      <c r="Y7" s="619" t="s">
        <v>168</v>
      </c>
      <c r="Z7" s="619"/>
      <c r="AA7" s="619" t="s">
        <v>168</v>
      </c>
      <c r="AB7" s="619" t="s">
        <v>168</v>
      </c>
      <c r="AC7" s="619"/>
      <c r="AD7" s="619" t="s">
        <v>168</v>
      </c>
      <c r="AE7" s="619"/>
      <c r="AF7" s="621"/>
      <c r="AG7" s="2153">
        <f t="shared" si="0"/>
        <v>0</v>
      </c>
      <c r="AI7" s="2152" t="s">
        <v>652</v>
      </c>
      <c r="AJ7" s="3709" t="s">
        <v>727</v>
      </c>
      <c r="AP7" s="3715" t="s">
        <v>652</v>
      </c>
      <c r="AQ7" s="3716" t="s">
        <v>727</v>
      </c>
      <c r="AR7" s="2162"/>
      <c r="AS7" s="2162"/>
      <c r="AT7" s="2175"/>
      <c r="BG7" s="3714"/>
    </row>
    <row r="8" spans="1:59" ht="18">
      <c r="B8" s="2168">
        <f t="shared" si="1"/>
        <v>4</v>
      </c>
      <c r="C8" s="3706" t="s">
        <v>724</v>
      </c>
      <c r="D8" s="3707">
        <v>31.8</v>
      </c>
      <c r="E8" s="3708" t="s">
        <v>652</v>
      </c>
      <c r="F8" s="620" t="s">
        <v>168</v>
      </c>
      <c r="G8" s="619" t="s">
        <v>168</v>
      </c>
      <c r="H8" s="619" t="s">
        <v>168</v>
      </c>
      <c r="I8" s="619" t="s">
        <v>168</v>
      </c>
      <c r="J8" s="619" t="s">
        <v>168</v>
      </c>
      <c r="K8" s="619" t="s">
        <v>168</v>
      </c>
      <c r="L8" s="619" t="s">
        <v>168</v>
      </c>
      <c r="M8" s="619" t="s">
        <v>168</v>
      </c>
      <c r="N8" s="619" t="s">
        <v>168</v>
      </c>
      <c r="O8" s="619"/>
      <c r="P8" s="619"/>
      <c r="Q8" s="619"/>
      <c r="R8" s="619"/>
      <c r="S8" s="619"/>
      <c r="T8" s="619"/>
      <c r="U8" s="619"/>
      <c r="V8" s="619"/>
      <c r="W8" s="619"/>
      <c r="X8" s="619"/>
      <c r="Y8" s="619"/>
      <c r="Z8" s="619"/>
      <c r="AA8" s="619"/>
      <c r="AB8" s="619"/>
      <c r="AC8" s="619"/>
      <c r="AD8" s="619" t="s">
        <v>168</v>
      </c>
      <c r="AE8" s="619"/>
      <c r="AF8" s="621"/>
      <c r="AG8" s="2153">
        <f t="shared" si="0"/>
        <v>0</v>
      </c>
      <c r="AI8" s="2152" t="s">
        <v>649</v>
      </c>
      <c r="AJ8" s="3709" t="s">
        <v>725</v>
      </c>
      <c r="AP8" s="3715" t="s">
        <v>649</v>
      </c>
      <c r="AQ8" s="3716" t="s">
        <v>725</v>
      </c>
      <c r="AR8" s="2162"/>
      <c r="AS8" s="2162"/>
      <c r="AT8" s="2175"/>
      <c r="BG8" s="3714"/>
    </row>
    <row r="9" spans="1:59" s="3721" customFormat="1" ht="18">
      <c r="B9" s="2168">
        <f t="shared" si="1"/>
        <v>5</v>
      </c>
      <c r="C9" s="3706" t="s">
        <v>722</v>
      </c>
      <c r="D9" s="3707">
        <v>38.200000000000003</v>
      </c>
      <c r="E9" s="3708" t="s">
        <v>652</v>
      </c>
      <c r="F9" s="620"/>
      <c r="G9" s="619"/>
      <c r="H9" s="619"/>
      <c r="I9" s="619"/>
      <c r="J9" s="619"/>
      <c r="K9" s="619"/>
      <c r="L9" s="619"/>
      <c r="M9" s="619"/>
      <c r="N9" s="619"/>
      <c r="O9" s="619"/>
      <c r="P9" s="619"/>
      <c r="Q9" s="619"/>
      <c r="R9" s="619"/>
      <c r="S9" s="619"/>
      <c r="T9" s="619"/>
      <c r="U9" s="619"/>
      <c r="V9" s="619" t="s">
        <v>168</v>
      </c>
      <c r="W9" s="619"/>
      <c r="X9" s="619"/>
      <c r="Y9" s="619"/>
      <c r="Z9" s="619"/>
      <c r="AA9" s="619"/>
      <c r="AB9" s="619" t="s">
        <v>168</v>
      </c>
      <c r="AC9" s="619"/>
      <c r="AD9" s="3726" t="s">
        <v>168</v>
      </c>
      <c r="AE9" s="3726"/>
      <c r="AF9" s="3727"/>
      <c r="AG9" s="3728">
        <f t="shared" si="0"/>
        <v>0</v>
      </c>
      <c r="AI9" s="3721" t="s">
        <v>2062</v>
      </c>
      <c r="AJ9" s="3783" t="s">
        <v>2063</v>
      </c>
      <c r="AP9" s="3784" t="s">
        <v>2062</v>
      </c>
      <c r="AQ9" s="3785" t="s">
        <v>2063</v>
      </c>
      <c r="AR9" s="3741"/>
      <c r="AS9" s="3741"/>
      <c r="AT9" s="3786"/>
      <c r="BG9" s="3782"/>
    </row>
    <row r="10" spans="1:59" ht="18">
      <c r="B10" s="2168">
        <f t="shared" si="1"/>
        <v>6</v>
      </c>
      <c r="C10" s="3706" t="s">
        <v>719</v>
      </c>
      <c r="D10" s="3723">
        <v>507.7</v>
      </c>
      <c r="E10" s="3724" t="s">
        <v>652</v>
      </c>
      <c r="F10" s="3725" t="s">
        <v>168</v>
      </c>
      <c r="G10" s="3726"/>
      <c r="H10" s="3726" t="s">
        <v>168</v>
      </c>
      <c r="I10" s="3726" t="s">
        <v>168</v>
      </c>
      <c r="J10" s="3726" t="s">
        <v>168</v>
      </c>
      <c r="K10" s="3726" t="s">
        <v>168</v>
      </c>
      <c r="L10" s="3726" t="s">
        <v>168</v>
      </c>
      <c r="M10" s="3726" t="s">
        <v>168</v>
      </c>
      <c r="N10" s="3726" t="s">
        <v>168</v>
      </c>
      <c r="O10" s="3726"/>
      <c r="P10" s="3726"/>
      <c r="Q10" s="3726"/>
      <c r="R10" s="3726"/>
      <c r="S10" s="3726"/>
      <c r="T10" s="3726"/>
      <c r="U10" s="3726"/>
      <c r="V10" s="3726"/>
      <c r="W10" s="3726"/>
      <c r="X10" s="3726"/>
      <c r="Y10" s="3726"/>
      <c r="Z10" s="3726"/>
      <c r="AA10" s="3726"/>
      <c r="AB10" s="3726"/>
      <c r="AC10" s="3726"/>
      <c r="AD10" s="619" t="s">
        <v>168</v>
      </c>
      <c r="AE10" s="619"/>
      <c r="AF10" s="621"/>
      <c r="AG10" s="2153">
        <f t="shared" si="0"/>
        <v>0</v>
      </c>
      <c r="AI10" s="2152" t="s">
        <v>677</v>
      </c>
      <c r="AJ10" s="3709" t="s">
        <v>723</v>
      </c>
      <c r="AP10" s="3715" t="s">
        <v>677</v>
      </c>
      <c r="AQ10" s="3716" t="s">
        <v>723</v>
      </c>
      <c r="AR10" s="2162"/>
      <c r="AS10" s="2162"/>
      <c r="AT10" s="2175"/>
      <c r="BG10" s="3714"/>
    </row>
    <row r="11" spans="1:59" ht="18">
      <c r="B11" s="2168">
        <f t="shared" si="1"/>
        <v>7</v>
      </c>
      <c r="C11" s="3706" t="s">
        <v>2065</v>
      </c>
      <c r="D11" s="3723">
        <v>59.4</v>
      </c>
      <c r="E11" s="3724" t="s">
        <v>654</v>
      </c>
      <c r="F11" s="3725" t="s">
        <v>168</v>
      </c>
      <c r="G11" s="3726" t="s">
        <v>168</v>
      </c>
      <c r="H11" s="3726" t="s">
        <v>168</v>
      </c>
      <c r="I11" s="3726" t="s">
        <v>168</v>
      </c>
      <c r="J11" s="3726" t="s">
        <v>168</v>
      </c>
      <c r="K11" s="3726" t="s">
        <v>168</v>
      </c>
      <c r="L11" s="3726" t="s">
        <v>168</v>
      </c>
      <c r="M11" s="3726" t="s">
        <v>168</v>
      </c>
      <c r="N11" s="3726" t="s">
        <v>168</v>
      </c>
      <c r="O11" s="3726" t="s">
        <v>168</v>
      </c>
      <c r="P11" s="3726"/>
      <c r="Q11" s="3726"/>
      <c r="R11" s="3726"/>
      <c r="S11" s="3726"/>
      <c r="T11" s="3726"/>
      <c r="U11" s="3726"/>
      <c r="V11" s="3726"/>
      <c r="W11" s="3726"/>
      <c r="X11" s="3726"/>
      <c r="Y11" s="3726"/>
      <c r="Z11" s="3726"/>
      <c r="AA11" s="3726"/>
      <c r="AB11" s="3726"/>
      <c r="AC11" s="3726"/>
      <c r="AD11" s="619" t="s">
        <v>168</v>
      </c>
      <c r="AE11" s="619"/>
      <c r="AF11" s="621"/>
      <c r="AG11" s="2153">
        <f t="shared" si="0"/>
        <v>0</v>
      </c>
      <c r="AI11" s="2152" t="s">
        <v>721</v>
      </c>
      <c r="AJ11" s="2152" t="s">
        <v>720</v>
      </c>
      <c r="AP11" s="3718" t="s">
        <v>721</v>
      </c>
      <c r="AQ11" s="3719" t="s">
        <v>720</v>
      </c>
      <c r="AR11" s="2156"/>
      <c r="AS11" s="2156"/>
      <c r="AT11" s="3720"/>
    </row>
    <row r="12" spans="1:59" s="3721" customFormat="1" ht="18">
      <c r="B12" s="2168">
        <f t="shared" si="1"/>
        <v>8</v>
      </c>
      <c r="C12" s="3706" t="s">
        <v>2056</v>
      </c>
      <c r="D12" s="3707">
        <v>202.8</v>
      </c>
      <c r="E12" s="3708" t="s">
        <v>652</v>
      </c>
      <c r="F12" s="620" t="s">
        <v>168</v>
      </c>
      <c r="G12" s="619" t="s">
        <v>168</v>
      </c>
      <c r="H12" s="619" t="s">
        <v>168</v>
      </c>
      <c r="I12" s="619" t="s">
        <v>168</v>
      </c>
      <c r="J12" s="619"/>
      <c r="K12" s="619"/>
      <c r="L12" s="619"/>
      <c r="M12" s="619"/>
      <c r="N12" s="619"/>
      <c r="O12" s="619" t="s">
        <v>168</v>
      </c>
      <c r="P12" s="619"/>
      <c r="Q12" s="619"/>
      <c r="R12" s="619"/>
      <c r="S12" s="619"/>
      <c r="T12" s="619"/>
      <c r="U12" s="619"/>
      <c r="V12" s="619"/>
      <c r="W12" s="619"/>
      <c r="X12" s="619"/>
      <c r="Y12" s="619"/>
      <c r="Z12" s="619"/>
      <c r="AA12" s="619"/>
      <c r="AB12" s="619"/>
      <c r="AC12" s="619"/>
      <c r="AD12" s="3726" t="s">
        <v>168</v>
      </c>
      <c r="AE12" s="3726"/>
      <c r="AF12" s="3727"/>
      <c r="AG12" s="3728">
        <f t="shared" si="0"/>
        <v>0</v>
      </c>
    </row>
    <row r="13" spans="1:59" ht="18">
      <c r="B13" s="2168">
        <f t="shared" si="1"/>
        <v>9</v>
      </c>
      <c r="C13" s="4102"/>
      <c r="D13" s="3707"/>
      <c r="E13" s="3708"/>
      <c r="F13" s="620"/>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21"/>
      <c r="AG13" s="2153">
        <f t="shared" si="0"/>
        <v>0</v>
      </c>
      <c r="AP13" s="3729" t="s">
        <v>717</v>
      </c>
    </row>
    <row r="14" spans="1:59" ht="18">
      <c r="B14" s="2168">
        <f t="shared" si="1"/>
        <v>10</v>
      </c>
      <c r="C14" s="3706" t="s">
        <v>2057</v>
      </c>
      <c r="D14" s="3707">
        <v>67.599999999999994</v>
      </c>
      <c r="E14" s="3708" t="s">
        <v>654</v>
      </c>
      <c r="F14" s="620" t="s">
        <v>168</v>
      </c>
      <c r="G14" s="619" t="s">
        <v>168</v>
      </c>
      <c r="H14" s="619" t="s">
        <v>168</v>
      </c>
      <c r="I14" s="619" t="s">
        <v>168</v>
      </c>
      <c r="J14" s="619" t="s">
        <v>168</v>
      </c>
      <c r="K14" s="619" t="s">
        <v>168</v>
      </c>
      <c r="L14" s="619" t="s">
        <v>168</v>
      </c>
      <c r="M14" s="619" t="s">
        <v>168</v>
      </c>
      <c r="N14" s="619"/>
      <c r="O14" s="619" t="s">
        <v>168</v>
      </c>
      <c r="P14" s="619"/>
      <c r="Q14" s="619"/>
      <c r="R14" s="619"/>
      <c r="S14" s="619"/>
      <c r="T14" s="619"/>
      <c r="U14" s="619"/>
      <c r="V14" s="619"/>
      <c r="W14" s="619"/>
      <c r="X14" s="619"/>
      <c r="Y14" s="619"/>
      <c r="Z14" s="619"/>
      <c r="AA14" s="619"/>
      <c r="AB14" s="619"/>
      <c r="AC14" s="619"/>
      <c r="AD14" s="619" t="s">
        <v>168</v>
      </c>
      <c r="AE14" s="619"/>
      <c r="AF14" s="621"/>
      <c r="AG14" s="2153">
        <f t="shared" si="0"/>
        <v>0</v>
      </c>
    </row>
    <row r="15" spans="1:59" ht="18">
      <c r="B15" s="2168">
        <f t="shared" si="1"/>
        <v>11</v>
      </c>
      <c r="C15" s="3706" t="s">
        <v>713</v>
      </c>
      <c r="D15" s="3707">
        <v>44.9</v>
      </c>
      <c r="E15" s="3708" t="s">
        <v>652</v>
      </c>
      <c r="F15" s="620" t="s">
        <v>168</v>
      </c>
      <c r="G15" s="619" t="s">
        <v>168</v>
      </c>
      <c r="H15" s="619" t="s">
        <v>168</v>
      </c>
      <c r="I15" s="619" t="s">
        <v>168</v>
      </c>
      <c r="J15" s="619" t="s">
        <v>168</v>
      </c>
      <c r="K15" s="619" t="s">
        <v>168</v>
      </c>
      <c r="L15" s="619" t="s">
        <v>168</v>
      </c>
      <c r="M15" s="619" t="s">
        <v>168</v>
      </c>
      <c r="N15" s="619"/>
      <c r="O15" s="619" t="s">
        <v>168</v>
      </c>
      <c r="P15" s="619"/>
      <c r="Q15" s="619"/>
      <c r="R15" s="619"/>
      <c r="S15" s="619"/>
      <c r="T15" s="619"/>
      <c r="U15" s="619"/>
      <c r="V15" s="619"/>
      <c r="W15" s="619"/>
      <c r="X15" s="619"/>
      <c r="Y15" s="619"/>
      <c r="Z15" s="619"/>
      <c r="AA15" s="619"/>
      <c r="AB15" s="619"/>
      <c r="AC15" s="619"/>
      <c r="AD15" s="619" t="s">
        <v>168</v>
      </c>
      <c r="AE15" s="619"/>
      <c r="AF15" s="621"/>
      <c r="AG15" s="2153">
        <f t="shared" si="0"/>
        <v>0</v>
      </c>
      <c r="AP15" s="3730">
        <f t="shared" ref="AP15:AP64" si="2">B5</f>
        <v>1</v>
      </c>
      <c r="AQ15" s="3712" t="str">
        <f t="shared" ref="AQ15:AQ64" si="3">IF(C5="","",C5)</f>
        <v/>
      </c>
      <c r="AR15" s="3712"/>
      <c r="AS15" s="3712"/>
      <c r="AT15" s="3712"/>
      <c r="AU15" s="3712"/>
      <c r="AV15" s="3731" t="str">
        <f t="shared" ref="AV15:AW46" si="4">IF(D5="","",D5)</f>
        <v/>
      </c>
      <c r="AW15" s="3732" t="str">
        <f t="shared" si="4"/>
        <v/>
      </c>
      <c r="AX15"/>
      <c r="AY15" s="3730">
        <f t="shared" ref="AY15:AY63" si="5">B55</f>
        <v>51</v>
      </c>
      <c r="AZ15" s="3731" t="str">
        <f t="shared" ref="AZ15:AZ64" si="6">IF(C55="","",C55)</f>
        <v>Moddus</v>
      </c>
      <c r="BA15" s="3712"/>
      <c r="BB15" s="3731">
        <f t="shared" ref="BB15:BC46" si="7">IF(D55="","",D55)</f>
        <v>62.8</v>
      </c>
      <c r="BC15" s="3732" t="str">
        <f t="shared" si="7"/>
        <v>W</v>
      </c>
      <c r="BD15"/>
    </row>
    <row r="16" spans="1:59" ht="18">
      <c r="B16" s="2168">
        <f t="shared" si="1"/>
        <v>12</v>
      </c>
      <c r="C16" s="4102"/>
      <c r="D16" s="3707"/>
      <c r="E16" s="3708"/>
      <c r="F16" s="620"/>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621"/>
      <c r="AG16" s="2153">
        <f t="shared" si="0"/>
        <v>0</v>
      </c>
      <c r="AP16" s="3733">
        <f t="shared" si="2"/>
        <v>2</v>
      </c>
      <c r="AQ16" s="2162" t="str">
        <f t="shared" si="3"/>
        <v>Arrat + Dash</v>
      </c>
      <c r="AR16" s="2162"/>
      <c r="AS16" s="2162"/>
      <c r="AT16" s="2162"/>
      <c r="AU16" s="2162"/>
      <c r="AV16" s="3734">
        <f t="shared" si="4"/>
        <v>132.6</v>
      </c>
      <c r="AW16" s="3735" t="str">
        <f t="shared" si="4"/>
        <v>H</v>
      </c>
      <c r="AX16" s="2162"/>
      <c r="AY16" s="3733">
        <f t="shared" si="5"/>
        <v>52</v>
      </c>
      <c r="AZ16" s="3734" t="str">
        <f t="shared" si="6"/>
        <v>Ortiva</v>
      </c>
      <c r="BA16" s="2162"/>
      <c r="BB16" s="3734">
        <f t="shared" si="7"/>
        <v>38.700000000000003</v>
      </c>
      <c r="BC16" s="3735" t="str">
        <f t="shared" si="7"/>
        <v>F</v>
      </c>
      <c r="BD16" s="2162"/>
    </row>
    <row r="17" spans="1:58" ht="18">
      <c r="B17" s="2168">
        <f t="shared" si="1"/>
        <v>13</v>
      </c>
      <c r="C17" s="3706" t="s">
        <v>711</v>
      </c>
      <c r="D17" s="3707">
        <v>27.7</v>
      </c>
      <c r="E17" s="3708" t="s">
        <v>652</v>
      </c>
      <c r="F17" s="620"/>
      <c r="G17" s="619"/>
      <c r="H17" s="619"/>
      <c r="I17" s="619"/>
      <c r="J17" s="619"/>
      <c r="K17" s="619"/>
      <c r="L17" s="619"/>
      <c r="M17" s="619"/>
      <c r="N17" s="619"/>
      <c r="O17" s="619"/>
      <c r="P17" s="619"/>
      <c r="Q17" s="619"/>
      <c r="R17" s="619"/>
      <c r="S17" s="619"/>
      <c r="T17" s="619"/>
      <c r="U17" s="619" t="s">
        <v>168</v>
      </c>
      <c r="V17" s="619"/>
      <c r="W17" s="619"/>
      <c r="X17" s="619" t="s">
        <v>168</v>
      </c>
      <c r="Y17" s="619" t="s">
        <v>168</v>
      </c>
      <c r="Z17" s="619"/>
      <c r="AA17" s="619"/>
      <c r="AB17" s="619" t="s">
        <v>168</v>
      </c>
      <c r="AC17" s="619"/>
      <c r="AD17" s="619" t="s">
        <v>168</v>
      </c>
      <c r="AE17" s="619"/>
      <c r="AF17" s="621"/>
      <c r="AG17" s="2153">
        <f t="shared" si="0"/>
        <v>0</v>
      </c>
      <c r="AP17" s="3733">
        <f t="shared" si="2"/>
        <v>3</v>
      </c>
      <c r="AQ17" s="2162" t="str">
        <f t="shared" si="3"/>
        <v>Agil-S</v>
      </c>
      <c r="AR17" s="2162"/>
      <c r="AS17" s="2162"/>
      <c r="AT17" s="2162"/>
      <c r="AU17" s="2162"/>
      <c r="AV17" s="3734">
        <f t="shared" si="4"/>
        <v>32.299999999999997</v>
      </c>
      <c r="AW17" s="3735" t="str">
        <f t="shared" si="4"/>
        <v>H</v>
      </c>
      <c r="AX17" s="2162"/>
      <c r="AY17" s="3733">
        <f t="shared" si="5"/>
        <v>53</v>
      </c>
      <c r="AZ17" s="3734" t="str">
        <f t="shared" si="6"/>
        <v>Mospilan SG</v>
      </c>
      <c r="BA17" s="2162"/>
      <c r="BB17" s="3734">
        <f t="shared" si="7"/>
        <v>94.1</v>
      </c>
      <c r="BC17" s="3735" t="str">
        <f t="shared" si="7"/>
        <v>I</v>
      </c>
      <c r="BD17" s="2162"/>
    </row>
    <row r="18" spans="1:58" ht="18">
      <c r="B18" s="2168">
        <f t="shared" si="1"/>
        <v>14</v>
      </c>
      <c r="C18" s="3706" t="s">
        <v>2083</v>
      </c>
      <c r="D18" s="3707">
        <v>31.6</v>
      </c>
      <c r="E18" s="3708" t="s">
        <v>652</v>
      </c>
      <c r="F18" s="620"/>
      <c r="G18" s="619"/>
      <c r="H18" s="619"/>
      <c r="I18" s="619"/>
      <c r="J18" s="619"/>
      <c r="K18" s="619"/>
      <c r="L18" s="619"/>
      <c r="M18" s="619"/>
      <c r="N18" s="619"/>
      <c r="O18" s="619"/>
      <c r="P18" s="619"/>
      <c r="Q18" s="619"/>
      <c r="R18" s="619"/>
      <c r="S18" s="619"/>
      <c r="T18" s="619"/>
      <c r="U18" s="619"/>
      <c r="V18" s="619"/>
      <c r="W18" s="619"/>
      <c r="X18" s="619"/>
      <c r="Y18" s="619"/>
      <c r="Z18" s="619"/>
      <c r="AA18" s="619" t="s">
        <v>168</v>
      </c>
      <c r="AB18" s="619"/>
      <c r="AC18" s="619"/>
      <c r="AD18" s="619" t="s">
        <v>168</v>
      </c>
      <c r="AE18" s="619"/>
      <c r="AF18" s="621"/>
      <c r="AG18" s="2153">
        <f t="shared" si="0"/>
        <v>0</v>
      </c>
      <c r="AP18" s="3733">
        <f t="shared" si="2"/>
        <v>4</v>
      </c>
      <c r="AQ18" s="2162" t="str">
        <f t="shared" si="3"/>
        <v>Ariane C</v>
      </c>
      <c r="AR18" s="2162"/>
      <c r="AS18" s="2162"/>
      <c r="AT18" s="2162"/>
      <c r="AU18" s="2162"/>
      <c r="AV18" s="3734">
        <f t="shared" si="4"/>
        <v>31.8</v>
      </c>
      <c r="AW18" s="3735" t="str">
        <f t="shared" si="4"/>
        <v>H</v>
      </c>
      <c r="AX18" s="2162"/>
      <c r="AY18" s="3733">
        <f t="shared" si="5"/>
        <v>54</v>
      </c>
      <c r="AZ18" s="3734" t="str">
        <f t="shared" si="6"/>
        <v>Pointer Plus</v>
      </c>
      <c r="BA18" s="2162"/>
      <c r="BB18" s="3734">
        <f t="shared" si="7"/>
        <v>545.9</v>
      </c>
      <c r="BC18" s="3735" t="str">
        <f t="shared" si="7"/>
        <v>H</v>
      </c>
      <c r="BD18" s="2162"/>
    </row>
    <row r="19" spans="1:58" ht="18">
      <c r="B19" s="2168">
        <f t="shared" si="1"/>
        <v>15</v>
      </c>
      <c r="C19" s="3706" t="s">
        <v>2059</v>
      </c>
      <c r="D19" s="3707">
        <v>466.8</v>
      </c>
      <c r="E19" s="3708" t="s">
        <v>652</v>
      </c>
      <c r="F19" s="620" t="s">
        <v>168</v>
      </c>
      <c r="G19" s="619" t="s">
        <v>168</v>
      </c>
      <c r="H19" s="619" t="s">
        <v>168</v>
      </c>
      <c r="I19" s="619" t="s">
        <v>168</v>
      </c>
      <c r="J19" s="619" t="s">
        <v>168</v>
      </c>
      <c r="K19" s="619" t="s">
        <v>168</v>
      </c>
      <c r="L19" s="619" t="s">
        <v>168</v>
      </c>
      <c r="M19" s="619" t="s">
        <v>168</v>
      </c>
      <c r="N19" s="619" t="s">
        <v>168</v>
      </c>
      <c r="O19" s="619" t="s">
        <v>168</v>
      </c>
      <c r="P19" s="619" t="s">
        <v>168</v>
      </c>
      <c r="Q19" s="619"/>
      <c r="R19" s="619"/>
      <c r="S19" s="619"/>
      <c r="T19" s="619"/>
      <c r="U19" s="619"/>
      <c r="V19" s="619"/>
      <c r="W19" s="619"/>
      <c r="X19" s="619"/>
      <c r="Y19" s="619"/>
      <c r="Z19" s="619"/>
      <c r="AA19" s="619"/>
      <c r="AB19" s="619"/>
      <c r="AC19" s="619"/>
      <c r="AD19" s="619" t="s">
        <v>168</v>
      </c>
      <c r="AE19" s="619"/>
      <c r="AF19" s="621"/>
      <c r="AG19" s="2153">
        <f t="shared" si="0"/>
        <v>0</v>
      </c>
      <c r="AP19" s="3733">
        <f t="shared" si="2"/>
        <v>5</v>
      </c>
      <c r="AQ19" s="2162" t="str">
        <f t="shared" si="3"/>
        <v>Artist</v>
      </c>
      <c r="AR19" s="2162"/>
      <c r="AS19" s="2162"/>
      <c r="AT19" s="2162"/>
      <c r="AU19" s="2162"/>
      <c r="AV19" s="3734">
        <f t="shared" si="4"/>
        <v>38.200000000000003</v>
      </c>
      <c r="AW19" s="3735" t="str">
        <f t="shared" si="4"/>
        <v>H</v>
      </c>
      <c r="AX19" s="2162"/>
      <c r="AY19" s="3733">
        <f t="shared" si="5"/>
        <v>55</v>
      </c>
      <c r="AZ19" s="3734" t="str">
        <f t="shared" si="6"/>
        <v>Polyram WG</v>
      </c>
      <c r="BA19" s="2162"/>
      <c r="BB19" s="3734">
        <f t="shared" si="7"/>
        <v>11.2</v>
      </c>
      <c r="BC19" s="3735" t="str">
        <f t="shared" si="7"/>
        <v>F</v>
      </c>
      <c r="BD19" s="2162"/>
    </row>
    <row r="20" spans="1:58" ht="18">
      <c r="B20" s="2168">
        <f t="shared" si="1"/>
        <v>16</v>
      </c>
      <c r="C20" s="3706" t="s">
        <v>2089</v>
      </c>
      <c r="D20" s="3707">
        <v>42</v>
      </c>
      <c r="E20" s="3708" t="s">
        <v>654</v>
      </c>
      <c r="F20" s="620"/>
      <c r="G20" s="619"/>
      <c r="H20" s="619"/>
      <c r="I20" s="619"/>
      <c r="J20" s="619"/>
      <c r="K20" s="619"/>
      <c r="L20" s="619"/>
      <c r="M20" s="619"/>
      <c r="N20" s="619"/>
      <c r="O20" s="619"/>
      <c r="P20" s="619" t="s">
        <v>168</v>
      </c>
      <c r="Q20" s="619"/>
      <c r="R20" s="619"/>
      <c r="S20" s="619" t="s">
        <v>168</v>
      </c>
      <c r="T20" s="619"/>
      <c r="U20" s="619"/>
      <c r="V20" s="619"/>
      <c r="W20" s="619"/>
      <c r="X20" s="619"/>
      <c r="Y20" s="619"/>
      <c r="Z20" s="619"/>
      <c r="AA20" s="619" t="s">
        <v>168</v>
      </c>
      <c r="AB20" s="619"/>
      <c r="AC20" s="619"/>
      <c r="AD20" s="619" t="s">
        <v>168</v>
      </c>
      <c r="AE20" s="619"/>
      <c r="AF20" s="621"/>
      <c r="AG20" s="2153">
        <f t="shared" si="0"/>
        <v>0</v>
      </c>
      <c r="AP20" s="3733">
        <f t="shared" si="2"/>
        <v>6</v>
      </c>
      <c r="AQ20" s="2162" t="str">
        <f t="shared" si="3"/>
        <v>Artus</v>
      </c>
      <c r="AR20" s="2162"/>
      <c r="AS20" s="2162"/>
      <c r="AT20" s="2162"/>
      <c r="AU20" s="2162"/>
      <c r="AV20" s="3734">
        <f t="shared" si="4"/>
        <v>507.7</v>
      </c>
      <c r="AW20" s="3735" t="str">
        <f t="shared" si="4"/>
        <v>H</v>
      </c>
      <c r="AX20" s="2162"/>
      <c r="AY20" s="3733">
        <f t="shared" si="5"/>
        <v>56</v>
      </c>
      <c r="AZ20" s="3734" t="str">
        <f t="shared" si="6"/>
        <v>Primus Perfect</v>
      </c>
      <c r="BA20" s="2162"/>
      <c r="BB20" s="3734">
        <f t="shared" si="7"/>
        <v>130.1</v>
      </c>
      <c r="BC20" s="3735" t="str">
        <f t="shared" si="7"/>
        <v>H</v>
      </c>
      <c r="BD20" s="2162"/>
    </row>
    <row r="21" spans="1:58" ht="18">
      <c r="B21" s="2168">
        <f t="shared" si="1"/>
        <v>17</v>
      </c>
      <c r="C21" s="3706" t="s">
        <v>707</v>
      </c>
      <c r="D21" s="3707">
        <v>14.3</v>
      </c>
      <c r="E21" s="3708" t="s">
        <v>652</v>
      </c>
      <c r="F21" s="620" t="s">
        <v>168</v>
      </c>
      <c r="G21" s="619" t="s">
        <v>168</v>
      </c>
      <c r="H21" s="619" t="s">
        <v>168</v>
      </c>
      <c r="I21" s="619"/>
      <c r="J21" s="619" t="s">
        <v>168</v>
      </c>
      <c r="K21" s="619"/>
      <c r="L21" s="619" t="s">
        <v>168</v>
      </c>
      <c r="M21" s="619" t="s">
        <v>168</v>
      </c>
      <c r="N21" s="619"/>
      <c r="O21" s="619"/>
      <c r="P21" s="619"/>
      <c r="Q21" s="619"/>
      <c r="R21" s="619"/>
      <c r="S21" s="619"/>
      <c r="T21" s="619"/>
      <c r="U21" s="619" t="s">
        <v>168</v>
      </c>
      <c r="V21" s="619"/>
      <c r="W21" s="619"/>
      <c r="X21" s="619" t="s">
        <v>168</v>
      </c>
      <c r="Y21" s="619" t="s">
        <v>168</v>
      </c>
      <c r="Z21" s="619" t="s">
        <v>168</v>
      </c>
      <c r="AA21" s="619"/>
      <c r="AB21" s="619" t="s">
        <v>168</v>
      </c>
      <c r="AC21" s="619"/>
      <c r="AD21" s="619" t="s">
        <v>168</v>
      </c>
      <c r="AE21" s="619"/>
      <c r="AF21" s="621"/>
      <c r="AG21" s="2153">
        <f t="shared" si="0"/>
        <v>0</v>
      </c>
      <c r="AP21" s="3733">
        <f t="shared" si="2"/>
        <v>7</v>
      </c>
      <c r="AQ21" s="2162" t="str">
        <f t="shared" si="3"/>
        <v>Ascra Xpro</v>
      </c>
      <c r="AR21" s="2162"/>
      <c r="AS21" s="2162"/>
      <c r="AT21" s="2162"/>
      <c r="AU21" s="2162"/>
      <c r="AV21" s="3734">
        <f t="shared" si="4"/>
        <v>59.4</v>
      </c>
      <c r="AW21" s="3735" t="str">
        <f t="shared" si="4"/>
        <v>F</v>
      </c>
      <c r="AX21" s="2162"/>
      <c r="AY21" s="3733">
        <f t="shared" si="5"/>
        <v>57</v>
      </c>
      <c r="AZ21" s="3734" t="str">
        <f t="shared" si="6"/>
        <v>Proline</v>
      </c>
      <c r="BA21" s="2162"/>
      <c r="BB21" s="3734">
        <f t="shared" si="7"/>
        <v>55.3</v>
      </c>
      <c r="BC21" s="3735" t="str">
        <f t="shared" si="7"/>
        <v>F</v>
      </c>
      <c r="BD21" s="2162"/>
      <c r="BE21" s="2162"/>
      <c r="BF21"/>
    </row>
    <row r="22" spans="1:58" ht="18">
      <c r="B22" s="2168">
        <f t="shared" si="1"/>
        <v>18</v>
      </c>
      <c r="C22" s="3706" t="s">
        <v>706</v>
      </c>
      <c r="D22" s="3707">
        <v>290.39999999999998</v>
      </c>
      <c r="E22" s="3708" t="s">
        <v>652</v>
      </c>
      <c r="F22" s="620" t="s">
        <v>168</v>
      </c>
      <c r="G22" s="619" t="s">
        <v>168</v>
      </c>
      <c r="H22" s="619" t="s">
        <v>168</v>
      </c>
      <c r="I22" s="619" t="s">
        <v>168</v>
      </c>
      <c r="J22" s="619"/>
      <c r="K22" s="619"/>
      <c r="L22" s="619"/>
      <c r="M22" s="619"/>
      <c r="N22" s="619"/>
      <c r="O22" s="619" t="s">
        <v>168</v>
      </c>
      <c r="P22" s="619" t="s">
        <v>168</v>
      </c>
      <c r="Q22" s="619"/>
      <c r="R22" s="619"/>
      <c r="S22" s="619"/>
      <c r="T22" s="619"/>
      <c r="U22" s="619"/>
      <c r="V22" s="619"/>
      <c r="W22" s="619"/>
      <c r="X22" s="619"/>
      <c r="Y22" s="619"/>
      <c r="Z22" s="619"/>
      <c r="AA22" s="619"/>
      <c r="AB22" s="619"/>
      <c r="AC22" s="619"/>
      <c r="AD22" s="619" t="s">
        <v>168</v>
      </c>
      <c r="AE22" s="619"/>
      <c r="AF22" s="621"/>
      <c r="AG22" s="2153">
        <f t="shared" si="0"/>
        <v>0</v>
      </c>
      <c r="AP22" s="3733">
        <f t="shared" si="2"/>
        <v>8</v>
      </c>
      <c r="AQ22" s="2162" t="str">
        <f t="shared" si="3"/>
        <v>Atlantis Flex + Biopower</v>
      </c>
      <c r="AR22" s="2162"/>
      <c r="AS22" s="2162"/>
      <c r="AT22" s="2162"/>
      <c r="AU22" s="2162"/>
      <c r="AV22" s="3734">
        <f t="shared" si="4"/>
        <v>202.8</v>
      </c>
      <c r="AW22" s="3735" t="str">
        <f t="shared" si="4"/>
        <v>H</v>
      </c>
      <c r="AX22" s="2162"/>
      <c r="AY22" s="3733">
        <f t="shared" si="5"/>
        <v>58</v>
      </c>
      <c r="AZ22" s="3734" t="str">
        <f t="shared" si="6"/>
        <v>Propulse</v>
      </c>
      <c r="BA22" s="2162"/>
      <c r="BB22" s="3734">
        <f t="shared" si="7"/>
        <v>51.6</v>
      </c>
      <c r="BC22" s="3735" t="str">
        <f t="shared" si="7"/>
        <v>F</v>
      </c>
      <c r="BD22" s="2162"/>
      <c r="BE22" s="2162"/>
      <c r="BF22"/>
    </row>
    <row r="23" spans="1:58" ht="18">
      <c r="B23" s="2168">
        <f t="shared" si="1"/>
        <v>19</v>
      </c>
      <c r="C23" s="3706" t="s">
        <v>2192</v>
      </c>
      <c r="D23" s="3707">
        <v>44.5</v>
      </c>
      <c r="E23" s="3708" t="s">
        <v>652</v>
      </c>
      <c r="F23" s="620"/>
      <c r="G23" s="619"/>
      <c r="H23" s="619"/>
      <c r="I23" s="619"/>
      <c r="J23" s="619"/>
      <c r="K23" s="619"/>
      <c r="L23" s="619"/>
      <c r="M23" s="619"/>
      <c r="N23" s="619"/>
      <c r="O23" s="619"/>
      <c r="P23" s="619"/>
      <c r="Q23" s="619"/>
      <c r="R23" s="619"/>
      <c r="S23" s="619" t="s">
        <v>168</v>
      </c>
      <c r="T23" s="619" t="s">
        <v>168</v>
      </c>
      <c r="U23" s="619"/>
      <c r="V23" s="619"/>
      <c r="W23" s="619"/>
      <c r="X23" s="619"/>
      <c r="Y23" s="619"/>
      <c r="Z23" s="619"/>
      <c r="AA23" s="619"/>
      <c r="AB23" s="619"/>
      <c r="AC23" s="619"/>
      <c r="AD23" s="619" t="s">
        <v>168</v>
      </c>
      <c r="AE23" s="619"/>
      <c r="AF23" s="621"/>
      <c r="AG23" s="2153">
        <f t="shared" si="0"/>
        <v>0</v>
      </c>
      <c r="AP23" s="3733">
        <f t="shared" si="2"/>
        <v>9</v>
      </c>
      <c r="AQ23" s="2162" t="str">
        <f t="shared" si="3"/>
        <v/>
      </c>
      <c r="AR23" s="2162"/>
      <c r="AS23" s="2162"/>
      <c r="AT23" s="2162"/>
      <c r="AU23" s="2162"/>
      <c r="AV23" s="3734" t="str">
        <f t="shared" si="4"/>
        <v/>
      </c>
      <c r="AW23" s="3735" t="str">
        <f t="shared" si="4"/>
        <v/>
      </c>
      <c r="AX23" s="2162"/>
      <c r="AY23" s="3733">
        <f t="shared" si="5"/>
        <v>59</v>
      </c>
      <c r="AZ23" s="3734" t="str">
        <f t="shared" si="6"/>
        <v>Prosaro</v>
      </c>
      <c r="BA23" s="2162"/>
      <c r="BB23" s="3734">
        <f t="shared" si="7"/>
        <v>51.1</v>
      </c>
      <c r="BC23" s="3735" t="str">
        <f t="shared" si="7"/>
        <v>F</v>
      </c>
      <c r="BD23" s="2162"/>
      <c r="BE23" s="2162"/>
      <c r="BF23"/>
    </row>
    <row r="24" spans="1:58" s="3704" customFormat="1" ht="18">
      <c r="A24" s="3721"/>
      <c r="B24" s="2168">
        <f t="shared" si="1"/>
        <v>20</v>
      </c>
      <c r="C24" s="3706" t="s">
        <v>704</v>
      </c>
      <c r="D24" s="3707">
        <v>24.1</v>
      </c>
      <c r="E24" s="3708" t="s">
        <v>652</v>
      </c>
      <c r="F24" s="620"/>
      <c r="G24" s="619"/>
      <c r="H24" s="619"/>
      <c r="I24" s="619"/>
      <c r="J24" s="619"/>
      <c r="K24" s="619"/>
      <c r="L24" s="619"/>
      <c r="M24" s="619"/>
      <c r="N24" s="619"/>
      <c r="O24" s="619"/>
      <c r="P24" s="619"/>
      <c r="Q24" s="619"/>
      <c r="R24" s="619" t="s">
        <v>168</v>
      </c>
      <c r="S24" s="619"/>
      <c r="T24" s="619"/>
      <c r="U24" s="619"/>
      <c r="V24" s="619"/>
      <c r="W24" s="619" t="s">
        <v>168</v>
      </c>
      <c r="X24" s="619"/>
      <c r="Y24" s="619"/>
      <c r="Z24" s="619"/>
      <c r="AA24" s="619"/>
      <c r="AB24" s="619"/>
      <c r="AC24" s="619"/>
      <c r="AD24" s="3726" t="s">
        <v>168</v>
      </c>
      <c r="AE24" s="3726"/>
      <c r="AF24" s="3727"/>
      <c r="AG24" s="3705">
        <f t="shared" si="0"/>
        <v>0</v>
      </c>
      <c r="AP24" s="3736">
        <f t="shared" si="2"/>
        <v>10</v>
      </c>
      <c r="AQ24" s="3717" t="str">
        <f t="shared" si="3"/>
        <v>Aviator Xpro</v>
      </c>
      <c r="AR24" s="3717"/>
      <c r="AS24" s="3717"/>
      <c r="AT24" s="3717"/>
      <c r="AU24" s="3717"/>
      <c r="AV24" s="3737">
        <f t="shared" si="4"/>
        <v>67.599999999999994</v>
      </c>
      <c r="AW24" s="3738" t="str">
        <f t="shared" si="4"/>
        <v>F</v>
      </c>
      <c r="AX24" s="3717"/>
      <c r="AY24" s="3736">
        <f t="shared" si="5"/>
        <v>60</v>
      </c>
      <c r="AZ24" s="3737" t="str">
        <f t="shared" si="6"/>
        <v>Ranman Top</v>
      </c>
      <c r="BA24" s="3717"/>
      <c r="BB24" s="3737">
        <f t="shared" si="7"/>
        <v>71.900000000000006</v>
      </c>
      <c r="BC24" s="3738" t="str">
        <f t="shared" si="7"/>
        <v>F</v>
      </c>
      <c r="BD24" s="3717"/>
      <c r="BE24" s="3717"/>
      <c r="BF24" s="3739"/>
    </row>
    <row r="25" spans="1:58" ht="18">
      <c r="B25" s="2168">
        <f t="shared" si="1"/>
        <v>21</v>
      </c>
      <c r="C25" s="3706" t="s">
        <v>702</v>
      </c>
      <c r="D25" s="3707">
        <v>111.4</v>
      </c>
      <c r="E25" s="3708" t="s">
        <v>654</v>
      </c>
      <c r="F25" s="620"/>
      <c r="G25" s="619"/>
      <c r="H25" s="619"/>
      <c r="I25" s="619"/>
      <c r="J25" s="619"/>
      <c r="K25" s="619"/>
      <c r="L25" s="619"/>
      <c r="M25" s="619"/>
      <c r="N25" s="619"/>
      <c r="O25" s="619"/>
      <c r="P25" s="619"/>
      <c r="Q25" s="619"/>
      <c r="R25" s="619"/>
      <c r="S25" s="619" t="s">
        <v>168</v>
      </c>
      <c r="T25" s="619"/>
      <c r="U25" s="619" t="s">
        <v>168</v>
      </c>
      <c r="V25" s="619"/>
      <c r="W25" s="619"/>
      <c r="X25" s="619"/>
      <c r="Y25" s="619"/>
      <c r="Z25" s="619"/>
      <c r="AA25" s="619"/>
      <c r="AB25" s="619"/>
      <c r="AC25" s="619"/>
      <c r="AD25" s="619" t="s">
        <v>168</v>
      </c>
      <c r="AE25" s="619"/>
      <c r="AF25" s="621"/>
      <c r="AG25" s="2153">
        <f t="shared" si="0"/>
        <v>0</v>
      </c>
      <c r="AP25" s="3733">
        <f t="shared" si="2"/>
        <v>11</v>
      </c>
      <c r="AQ25" s="2162" t="str">
        <f t="shared" si="3"/>
        <v>Axial 50</v>
      </c>
      <c r="AR25" s="2162"/>
      <c r="AS25" s="2162"/>
      <c r="AT25" s="2162"/>
      <c r="AU25" s="2162"/>
      <c r="AV25" s="3734">
        <f t="shared" si="4"/>
        <v>44.9</v>
      </c>
      <c r="AW25" s="3735" t="str">
        <f t="shared" si="4"/>
        <v>H</v>
      </c>
      <c r="AX25" s="2162"/>
      <c r="AY25" s="3733">
        <f t="shared" si="5"/>
        <v>61</v>
      </c>
      <c r="AZ25" s="3734" t="str">
        <f t="shared" si="6"/>
        <v>Revus</v>
      </c>
      <c r="BA25" s="2162"/>
      <c r="BB25" s="3734">
        <f t="shared" si="7"/>
        <v>53.4</v>
      </c>
      <c r="BC25" s="3735" t="str">
        <f t="shared" si="7"/>
        <v>F</v>
      </c>
      <c r="BD25" s="2162"/>
      <c r="BE25" s="2162"/>
      <c r="BF25"/>
    </row>
    <row r="26" spans="1:58" ht="18">
      <c r="B26" s="2168">
        <f t="shared" si="1"/>
        <v>22</v>
      </c>
      <c r="C26" s="3706" t="s">
        <v>701</v>
      </c>
      <c r="D26" s="3707">
        <v>35.4</v>
      </c>
      <c r="E26" s="3708" t="s">
        <v>654</v>
      </c>
      <c r="F26" s="620"/>
      <c r="G26" s="619"/>
      <c r="H26" s="619"/>
      <c r="I26" s="619"/>
      <c r="J26" s="619"/>
      <c r="K26" s="619"/>
      <c r="L26" s="619"/>
      <c r="M26" s="619"/>
      <c r="N26" s="619"/>
      <c r="O26" s="619"/>
      <c r="P26" s="619"/>
      <c r="Q26" s="619"/>
      <c r="R26" s="619"/>
      <c r="S26" s="619" t="s">
        <v>168</v>
      </c>
      <c r="T26" s="619" t="s">
        <v>168</v>
      </c>
      <c r="U26" s="619"/>
      <c r="V26" s="619"/>
      <c r="W26" s="619"/>
      <c r="X26" s="619"/>
      <c r="Y26" s="619"/>
      <c r="Z26" s="619"/>
      <c r="AA26" s="619"/>
      <c r="AB26" s="619"/>
      <c r="AC26" s="619"/>
      <c r="AD26" s="619" t="s">
        <v>168</v>
      </c>
      <c r="AE26" s="619"/>
      <c r="AF26" s="621"/>
      <c r="AG26" s="2153">
        <f t="shared" si="0"/>
        <v>0</v>
      </c>
      <c r="AP26" s="3733">
        <f t="shared" si="2"/>
        <v>12</v>
      </c>
      <c r="AQ26" s="2162" t="str">
        <f t="shared" si="3"/>
        <v/>
      </c>
      <c r="AR26" s="2162"/>
      <c r="AS26" s="2162"/>
      <c r="AT26" s="2162"/>
      <c r="AU26" s="2162"/>
      <c r="AV26" s="3734" t="str">
        <f t="shared" si="4"/>
        <v/>
      </c>
      <c r="AW26" s="3735" t="str">
        <f t="shared" si="4"/>
        <v/>
      </c>
      <c r="AX26" s="2162"/>
      <c r="AY26" s="3733">
        <f t="shared" si="5"/>
        <v>62</v>
      </c>
      <c r="AZ26" s="3734" t="str">
        <f t="shared" si="6"/>
        <v>Roundup Power Flex</v>
      </c>
      <c r="BA26" s="2162"/>
      <c r="BB26" s="3734">
        <f t="shared" si="7"/>
        <v>19.8</v>
      </c>
      <c r="BC26" s="3735" t="str">
        <f t="shared" si="7"/>
        <v>H</v>
      </c>
      <c r="BD26" s="2162"/>
      <c r="BE26" s="2162"/>
      <c r="BF26"/>
    </row>
    <row r="27" spans="1:58" ht="18">
      <c r="B27" s="2168">
        <f t="shared" si="1"/>
        <v>23</v>
      </c>
      <c r="C27" s="3706" t="s">
        <v>700</v>
      </c>
      <c r="D27" s="3707">
        <v>5.5</v>
      </c>
      <c r="E27" s="3708" t="s">
        <v>677</v>
      </c>
      <c r="F27" s="620" t="s">
        <v>168</v>
      </c>
      <c r="G27" s="619"/>
      <c r="H27" s="619" t="s">
        <v>168</v>
      </c>
      <c r="I27" s="619" t="s">
        <v>168</v>
      </c>
      <c r="J27" s="619"/>
      <c r="K27" s="619" t="s">
        <v>168</v>
      </c>
      <c r="L27" s="619"/>
      <c r="M27" s="619"/>
      <c r="N27" s="619" t="s">
        <v>168</v>
      </c>
      <c r="O27" s="619"/>
      <c r="P27" s="619"/>
      <c r="Q27" s="619"/>
      <c r="R27" s="619"/>
      <c r="S27" s="619"/>
      <c r="T27" s="619"/>
      <c r="U27" s="619"/>
      <c r="V27" s="619"/>
      <c r="W27" s="619"/>
      <c r="X27" s="619"/>
      <c r="Y27" s="619"/>
      <c r="Z27" s="619"/>
      <c r="AA27" s="619"/>
      <c r="AB27" s="619"/>
      <c r="AC27" s="619"/>
      <c r="AD27" s="619" t="s">
        <v>168</v>
      </c>
      <c r="AE27" s="619"/>
      <c r="AF27" s="621"/>
      <c r="AG27" s="2153">
        <f t="shared" si="0"/>
        <v>0</v>
      </c>
      <c r="AP27" s="3733">
        <f t="shared" si="2"/>
        <v>13</v>
      </c>
      <c r="AQ27" s="2162" t="str">
        <f t="shared" si="3"/>
        <v>Bandur</v>
      </c>
      <c r="AR27" s="2162"/>
      <c r="AS27" s="2162"/>
      <c r="AT27" s="2162"/>
      <c r="AU27" s="2162"/>
      <c r="AV27" s="3734">
        <f t="shared" si="4"/>
        <v>27.7</v>
      </c>
      <c r="AW27" s="3735" t="str">
        <f t="shared" si="4"/>
        <v>H</v>
      </c>
      <c r="AX27" s="2162"/>
      <c r="AY27" s="3733">
        <f t="shared" si="5"/>
        <v>63</v>
      </c>
      <c r="AZ27" s="3734" t="str">
        <f t="shared" si="6"/>
        <v>Roundup Rekord</v>
      </c>
      <c r="BA27" s="2162"/>
      <c r="BB27" s="3734">
        <f t="shared" si="7"/>
        <v>30.2</v>
      </c>
      <c r="BC27" s="3735" t="str">
        <f t="shared" si="7"/>
        <v>H</v>
      </c>
      <c r="BD27" s="2162"/>
      <c r="BE27" s="2162"/>
      <c r="BF27"/>
    </row>
    <row r="28" spans="1:58" ht="18">
      <c r="B28" s="2168">
        <f t="shared" si="1"/>
        <v>24</v>
      </c>
      <c r="C28" s="3706" t="s">
        <v>699</v>
      </c>
      <c r="D28" s="3707">
        <v>149.6</v>
      </c>
      <c r="E28" s="3708" t="s">
        <v>652</v>
      </c>
      <c r="F28" s="620"/>
      <c r="G28" s="619"/>
      <c r="H28" s="619"/>
      <c r="I28" s="619"/>
      <c r="J28" s="619"/>
      <c r="K28" s="619"/>
      <c r="L28" s="619"/>
      <c r="M28" s="619"/>
      <c r="N28" s="619"/>
      <c r="O28" s="619"/>
      <c r="P28" s="619"/>
      <c r="Q28" s="619"/>
      <c r="R28" s="619"/>
      <c r="S28" s="619" t="s">
        <v>168</v>
      </c>
      <c r="T28" s="619"/>
      <c r="U28" s="619"/>
      <c r="V28" s="619" t="s">
        <v>168</v>
      </c>
      <c r="W28" s="619"/>
      <c r="X28" s="619" t="s">
        <v>168</v>
      </c>
      <c r="Y28" s="619" t="s">
        <v>168</v>
      </c>
      <c r="Z28" s="619"/>
      <c r="AA28" s="619"/>
      <c r="AB28" s="619" t="s">
        <v>168</v>
      </c>
      <c r="AC28" s="619"/>
      <c r="AD28" s="619" t="s">
        <v>168</v>
      </c>
      <c r="AE28" s="619"/>
      <c r="AF28" s="621"/>
      <c r="AG28" s="2153">
        <f t="shared" si="0"/>
        <v>0</v>
      </c>
      <c r="AP28" s="3733">
        <f t="shared" si="2"/>
        <v>14</v>
      </c>
      <c r="AQ28" s="2162" t="str">
        <f t="shared" si="3"/>
        <v>Betanal Tandem + Mero</v>
      </c>
      <c r="AR28" s="2162"/>
      <c r="AS28" s="2162"/>
      <c r="AT28" s="2162"/>
      <c r="AU28" s="2162"/>
      <c r="AV28" s="3734">
        <f t="shared" si="4"/>
        <v>31.6</v>
      </c>
      <c r="AW28" s="3735" t="str">
        <f t="shared" si="4"/>
        <v>H</v>
      </c>
      <c r="AX28" s="2162"/>
      <c r="AY28" s="3733">
        <f t="shared" si="5"/>
        <v>64</v>
      </c>
      <c r="AZ28" s="3734" t="str">
        <f t="shared" si="6"/>
        <v>Revytrex</v>
      </c>
      <c r="BA28" s="2162"/>
      <c r="BB28" s="3734">
        <f t="shared" si="7"/>
        <v>47.3</v>
      </c>
      <c r="BC28" s="3735" t="str">
        <f t="shared" si="7"/>
        <v>F</v>
      </c>
      <c r="BD28" s="2162"/>
      <c r="BE28" s="2162"/>
      <c r="BF28"/>
    </row>
    <row r="29" spans="1:58" ht="18">
      <c r="B29" s="2168">
        <f t="shared" si="1"/>
        <v>25</v>
      </c>
      <c r="C29" s="3706" t="s">
        <v>2060</v>
      </c>
      <c r="D29" s="3707">
        <v>39.4</v>
      </c>
      <c r="E29" s="3708" t="s">
        <v>677</v>
      </c>
      <c r="F29" s="620" t="s">
        <v>168</v>
      </c>
      <c r="G29" s="619"/>
      <c r="H29" s="619" t="s">
        <v>168</v>
      </c>
      <c r="I29" s="619" t="s">
        <v>168</v>
      </c>
      <c r="J29" s="619" t="s">
        <v>168</v>
      </c>
      <c r="K29" s="619" t="s">
        <v>168</v>
      </c>
      <c r="L29" s="619" t="s">
        <v>168</v>
      </c>
      <c r="M29" s="619" t="s">
        <v>168</v>
      </c>
      <c r="N29" s="619"/>
      <c r="O29" s="619"/>
      <c r="P29" s="619"/>
      <c r="Q29" s="619"/>
      <c r="R29" s="619"/>
      <c r="S29" s="619"/>
      <c r="T29" s="619"/>
      <c r="U29" s="619"/>
      <c r="V29" s="619"/>
      <c r="W29" s="619"/>
      <c r="X29" s="619"/>
      <c r="Y29" s="619"/>
      <c r="Z29" s="619"/>
      <c r="AA29" s="619"/>
      <c r="AB29" s="619"/>
      <c r="AC29" s="619"/>
      <c r="AD29" s="619" t="s">
        <v>168</v>
      </c>
      <c r="AE29" s="619"/>
      <c r="AF29" s="621"/>
      <c r="AG29" s="2153">
        <f t="shared" si="0"/>
        <v>0</v>
      </c>
      <c r="AP29" s="3733">
        <f t="shared" si="2"/>
        <v>15</v>
      </c>
      <c r="AQ29" s="2162" t="str">
        <f t="shared" si="3"/>
        <v>Biathlon 4D +Dash</v>
      </c>
      <c r="AR29" s="2162"/>
      <c r="AS29" s="2162"/>
      <c r="AT29" s="2162"/>
      <c r="AU29" s="2162"/>
      <c r="AV29" s="3734">
        <f t="shared" si="4"/>
        <v>466.8</v>
      </c>
      <c r="AW29" s="3735" t="str">
        <f t="shared" si="4"/>
        <v>H</v>
      </c>
      <c r="AX29" s="2162"/>
      <c r="AY29" s="3733">
        <f t="shared" si="5"/>
        <v>65</v>
      </c>
      <c r="AZ29" s="3734" t="str">
        <f t="shared" si="6"/>
        <v>Comet</v>
      </c>
      <c r="BA29" s="2162"/>
      <c r="BB29" s="3734">
        <f t="shared" si="7"/>
        <v>34.700000000000003</v>
      </c>
      <c r="BC29" s="3735" t="str">
        <f t="shared" si="7"/>
        <v>F</v>
      </c>
      <c r="BD29" s="2162"/>
      <c r="BE29" s="2162"/>
      <c r="BF29"/>
    </row>
    <row r="30" spans="1:58" s="3704" customFormat="1" ht="18">
      <c r="A30" s="3721"/>
      <c r="B30" s="2168">
        <f t="shared" si="1"/>
        <v>26</v>
      </c>
      <c r="C30" s="3706" t="s">
        <v>2191</v>
      </c>
      <c r="D30" s="3707">
        <v>39.299999999999997</v>
      </c>
      <c r="E30" s="3708" t="s">
        <v>652</v>
      </c>
      <c r="F30" s="620"/>
      <c r="G30" s="619"/>
      <c r="H30" s="619"/>
      <c r="I30" s="619"/>
      <c r="J30" s="619"/>
      <c r="K30" s="619"/>
      <c r="L30" s="619"/>
      <c r="M30" s="619"/>
      <c r="N30" s="619"/>
      <c r="O30" s="619"/>
      <c r="P30" s="619"/>
      <c r="Q30" s="619"/>
      <c r="R30" s="619"/>
      <c r="S30" s="619" t="s">
        <v>168</v>
      </c>
      <c r="T30" s="619"/>
      <c r="U30" s="619"/>
      <c r="V30" s="619"/>
      <c r="W30" s="619"/>
      <c r="X30" s="619"/>
      <c r="Y30" s="619"/>
      <c r="Z30" s="619"/>
      <c r="AA30" s="619"/>
      <c r="AB30" s="619"/>
      <c r="AC30" s="619"/>
      <c r="AD30" s="3726"/>
      <c r="AE30" s="3726"/>
      <c r="AF30" s="3727"/>
      <c r="AG30" s="3705">
        <f t="shared" si="0"/>
        <v>0</v>
      </c>
      <c r="AP30" s="3736">
        <f t="shared" si="2"/>
        <v>16</v>
      </c>
      <c r="AQ30" s="3717" t="str">
        <f t="shared" si="3"/>
        <v>Amistar Gold</v>
      </c>
      <c r="AR30" s="3717"/>
      <c r="AS30" s="3717"/>
      <c r="AT30" s="3717"/>
      <c r="AU30" s="3717"/>
      <c r="AV30" s="3737">
        <f t="shared" si="4"/>
        <v>42</v>
      </c>
      <c r="AW30" s="3738" t="str">
        <f t="shared" si="4"/>
        <v>F</v>
      </c>
      <c r="AX30" s="3717"/>
      <c r="AY30" s="3736">
        <f t="shared" si="5"/>
        <v>66</v>
      </c>
      <c r="AZ30" s="3737" t="str">
        <f t="shared" si="6"/>
        <v>Select 240 EC</v>
      </c>
      <c r="BA30" s="3717"/>
      <c r="BB30" s="3737">
        <f t="shared" si="7"/>
        <v>73.8</v>
      </c>
      <c r="BC30" s="3738" t="str">
        <f t="shared" si="7"/>
        <v>H</v>
      </c>
      <c r="BD30" s="3717"/>
      <c r="BE30" s="3717"/>
      <c r="BF30" s="3739"/>
    </row>
    <row r="31" spans="1:58" ht="18">
      <c r="B31" s="2168">
        <f t="shared" si="1"/>
        <v>27</v>
      </c>
      <c r="C31" s="3706" t="s">
        <v>696</v>
      </c>
      <c r="D31" s="3707">
        <v>357.3</v>
      </c>
      <c r="E31" s="3708" t="s">
        <v>649</v>
      </c>
      <c r="F31" s="620"/>
      <c r="G31" s="619"/>
      <c r="H31" s="619"/>
      <c r="I31" s="619"/>
      <c r="J31" s="619"/>
      <c r="K31" s="619"/>
      <c r="L31" s="619"/>
      <c r="M31" s="619"/>
      <c r="N31" s="619"/>
      <c r="O31" s="619"/>
      <c r="P31" s="619"/>
      <c r="Q31" s="619"/>
      <c r="R31" s="619" t="s">
        <v>168</v>
      </c>
      <c r="S31" s="619"/>
      <c r="T31" s="619"/>
      <c r="U31" s="619"/>
      <c r="V31" s="619"/>
      <c r="W31" s="619"/>
      <c r="X31" s="619"/>
      <c r="Y31" s="619"/>
      <c r="Z31" s="619"/>
      <c r="AA31" s="619"/>
      <c r="AB31" s="619" t="s">
        <v>168</v>
      </c>
      <c r="AC31" s="619"/>
      <c r="AD31" s="619" t="s">
        <v>168</v>
      </c>
      <c r="AE31" s="619"/>
      <c r="AF31" s="621"/>
      <c r="AG31" s="2153">
        <f t="shared" si="0"/>
        <v>0</v>
      </c>
      <c r="AP31" s="3733">
        <f t="shared" si="2"/>
        <v>17</v>
      </c>
      <c r="AQ31" s="2162" t="str">
        <f t="shared" si="3"/>
        <v>Boxer</v>
      </c>
      <c r="AR31" s="2162"/>
      <c r="AS31" s="2162"/>
      <c r="AT31" s="2162"/>
      <c r="AU31" s="2162"/>
      <c r="AV31" s="3734">
        <f t="shared" si="4"/>
        <v>14.3</v>
      </c>
      <c r="AW31" s="3735" t="str">
        <f t="shared" si="4"/>
        <v>H</v>
      </c>
      <c r="AX31" s="2162"/>
      <c r="AY31" s="3733">
        <f t="shared" si="5"/>
        <v>67</v>
      </c>
      <c r="AZ31" s="3734" t="str">
        <f t="shared" si="6"/>
        <v>Sencor Liquid</v>
      </c>
      <c r="BA31" s="2162"/>
      <c r="BB31" s="3734">
        <f t="shared" si="7"/>
        <v>52.5</v>
      </c>
      <c r="BC31" s="3735" t="str">
        <f t="shared" si="7"/>
        <v>H</v>
      </c>
      <c r="BD31" s="2162"/>
      <c r="BE31" s="2162"/>
      <c r="BF31"/>
    </row>
    <row r="32" spans="1:58" ht="18">
      <c r="B32" s="2168">
        <f t="shared" si="1"/>
        <v>28</v>
      </c>
      <c r="C32" s="3706" t="s">
        <v>695</v>
      </c>
      <c r="D32" s="3707">
        <v>1284.3</v>
      </c>
      <c r="E32" s="3708" t="s">
        <v>652</v>
      </c>
      <c r="F32" s="620"/>
      <c r="G32" s="619"/>
      <c r="H32" s="619"/>
      <c r="I32" s="619"/>
      <c r="J32" s="619"/>
      <c r="K32" s="619"/>
      <c r="L32" s="619"/>
      <c r="M32" s="619"/>
      <c r="N32" s="619"/>
      <c r="O32" s="619"/>
      <c r="P32" s="619"/>
      <c r="Q32" s="619"/>
      <c r="R32" s="619"/>
      <c r="S32" s="619"/>
      <c r="T32" s="619"/>
      <c r="U32" s="619"/>
      <c r="V32" s="619"/>
      <c r="W32" s="619"/>
      <c r="X32" s="619"/>
      <c r="Y32" s="619"/>
      <c r="Z32" s="619"/>
      <c r="AA32" s="619" t="s">
        <v>168</v>
      </c>
      <c r="AB32" s="619"/>
      <c r="AC32" s="619"/>
      <c r="AD32" s="619" t="s">
        <v>168</v>
      </c>
      <c r="AE32" s="619"/>
      <c r="AF32" s="621"/>
      <c r="AG32" s="2153">
        <f t="shared" si="0"/>
        <v>0</v>
      </c>
      <c r="AP32" s="3733">
        <f t="shared" si="2"/>
        <v>18</v>
      </c>
      <c r="AQ32" s="2162" t="str">
        <f t="shared" si="3"/>
        <v>Broadway</v>
      </c>
      <c r="AR32" s="2162"/>
      <c r="AS32" s="2162"/>
      <c r="AT32" s="2162"/>
      <c r="AU32" s="2162"/>
      <c r="AV32" s="3734">
        <f t="shared" si="4"/>
        <v>290.39999999999998</v>
      </c>
      <c r="AW32" s="3735" t="str">
        <f t="shared" si="4"/>
        <v>H</v>
      </c>
      <c r="AX32" s="2162"/>
      <c r="AY32" s="3733">
        <f t="shared" si="5"/>
        <v>68</v>
      </c>
      <c r="AZ32" s="3734" t="str">
        <f t="shared" si="6"/>
        <v>Shirlan</v>
      </c>
      <c r="BA32" s="2162"/>
      <c r="BB32" s="3734">
        <f t="shared" si="7"/>
        <v>40</v>
      </c>
      <c r="BC32" s="3735" t="str">
        <f t="shared" si="7"/>
        <v>F</v>
      </c>
      <c r="BD32" s="2162"/>
      <c r="BE32" s="2162"/>
      <c r="BF32"/>
    </row>
    <row r="33" spans="1:58" ht="18">
      <c r="B33" s="2168">
        <f t="shared" si="1"/>
        <v>29</v>
      </c>
      <c r="C33" s="3706" t="s">
        <v>694</v>
      </c>
      <c r="D33" s="3707">
        <v>136.30000000000001</v>
      </c>
      <c r="E33" s="3708" t="s">
        <v>652</v>
      </c>
      <c r="F33" s="620"/>
      <c r="G33" s="619"/>
      <c r="H33" s="619"/>
      <c r="I33" s="619"/>
      <c r="J33" s="619"/>
      <c r="K33" s="619"/>
      <c r="L33" s="619"/>
      <c r="M33" s="619"/>
      <c r="N33" s="619"/>
      <c r="O33" s="619"/>
      <c r="P33" s="619"/>
      <c r="Q33" s="619"/>
      <c r="R33" s="619" t="s">
        <v>168</v>
      </c>
      <c r="S33" s="619" t="s">
        <v>168</v>
      </c>
      <c r="T33" s="619"/>
      <c r="U33" s="619"/>
      <c r="V33" s="619"/>
      <c r="W33" s="619"/>
      <c r="X33" s="619"/>
      <c r="Y33" s="619"/>
      <c r="Z33" s="619"/>
      <c r="AA33" s="619"/>
      <c r="AB33" s="619"/>
      <c r="AC33" s="619"/>
      <c r="AD33" s="619" t="s">
        <v>168</v>
      </c>
      <c r="AE33" s="619"/>
      <c r="AF33" s="621"/>
      <c r="AG33" s="2153">
        <f t="shared" si="0"/>
        <v>0</v>
      </c>
      <c r="AP33" s="3733">
        <f t="shared" si="2"/>
        <v>19</v>
      </c>
      <c r="AQ33" s="2162" t="str">
        <f t="shared" si="3"/>
        <v xml:space="preserve">Butisan </v>
      </c>
      <c r="AR33" s="2162"/>
      <c r="AS33" s="2162"/>
      <c r="AT33" s="2162"/>
      <c r="AU33" s="2162"/>
      <c r="AV33" s="3734">
        <f t="shared" si="4"/>
        <v>44.5</v>
      </c>
      <c r="AW33" s="3735" t="str">
        <f t="shared" si="4"/>
        <v>H</v>
      </c>
      <c r="AX33" s="2162"/>
      <c r="AY33" s="3733">
        <f t="shared" si="5"/>
        <v>69</v>
      </c>
      <c r="AZ33" s="3734" t="str">
        <f t="shared" si="6"/>
        <v>Spectrum Plus</v>
      </c>
      <c r="BA33" s="2162"/>
      <c r="BB33" s="3734">
        <f t="shared" si="7"/>
        <v>19.399999999999999</v>
      </c>
      <c r="BC33" s="3735" t="str">
        <f t="shared" si="7"/>
        <v>H</v>
      </c>
      <c r="BD33" s="2162"/>
      <c r="BE33" s="2162"/>
      <c r="BF33"/>
    </row>
    <row r="34" spans="1:58" s="3704" customFormat="1" ht="18">
      <c r="A34" s="3721"/>
      <c r="B34" s="3722">
        <f t="shared" si="1"/>
        <v>30</v>
      </c>
      <c r="C34" s="3706" t="s">
        <v>2066</v>
      </c>
      <c r="D34" s="3723">
        <v>68.7</v>
      </c>
      <c r="E34" s="3724" t="s">
        <v>654</v>
      </c>
      <c r="F34" s="3725" t="s">
        <v>168</v>
      </c>
      <c r="G34" s="3726" t="s">
        <v>168</v>
      </c>
      <c r="H34" s="3726" t="s">
        <v>168</v>
      </c>
      <c r="I34" s="3726" t="s">
        <v>168</v>
      </c>
      <c r="J34" s="3726" t="s">
        <v>168</v>
      </c>
      <c r="K34" s="3726" t="s">
        <v>168</v>
      </c>
      <c r="L34" s="3726" t="s">
        <v>168</v>
      </c>
      <c r="M34" s="3726" t="s">
        <v>168</v>
      </c>
      <c r="N34" s="3726"/>
      <c r="O34" s="3726"/>
      <c r="P34" s="3726"/>
      <c r="Q34" s="3726"/>
      <c r="R34" s="3726"/>
      <c r="S34" s="3726"/>
      <c r="T34" s="3726"/>
      <c r="U34" s="3726"/>
      <c r="V34" s="3726"/>
      <c r="W34" s="3726"/>
      <c r="X34" s="3726"/>
      <c r="Y34" s="3726"/>
      <c r="Z34" s="3726"/>
      <c r="AA34" s="3726"/>
      <c r="AB34" s="3726"/>
      <c r="AC34" s="3726"/>
      <c r="AD34" s="3726" t="s">
        <v>168</v>
      </c>
      <c r="AE34" s="3726"/>
      <c r="AF34" s="3727"/>
      <c r="AG34" s="3705">
        <f t="shared" si="0"/>
        <v>0</v>
      </c>
      <c r="AP34" s="3736">
        <f t="shared" si="2"/>
        <v>20</v>
      </c>
      <c r="AQ34" s="3717" t="str">
        <f t="shared" si="3"/>
        <v>Callisto</v>
      </c>
      <c r="AR34" s="3717"/>
      <c r="AS34" s="3717"/>
      <c r="AT34" s="3717"/>
      <c r="AU34" s="3717"/>
      <c r="AV34" s="3737">
        <f t="shared" si="4"/>
        <v>24.1</v>
      </c>
      <c r="AW34" s="3738" t="str">
        <f t="shared" si="4"/>
        <v>H</v>
      </c>
      <c r="AX34" s="3717"/>
      <c r="AY34" s="3736">
        <f t="shared" si="5"/>
        <v>70</v>
      </c>
      <c r="AZ34" s="3737" t="str">
        <f t="shared" si="6"/>
        <v>Starane XL</v>
      </c>
      <c r="BA34" s="3717"/>
      <c r="BB34" s="3737">
        <f t="shared" si="7"/>
        <v>21</v>
      </c>
      <c r="BC34" s="3738" t="str">
        <f t="shared" si="7"/>
        <v>H</v>
      </c>
      <c r="BD34" s="3717"/>
      <c r="BE34" s="3717"/>
      <c r="BF34" s="3739"/>
    </row>
    <row r="35" spans="1:58" s="3704" customFormat="1" ht="18">
      <c r="A35" s="3721"/>
      <c r="B35" s="3722">
        <f t="shared" si="1"/>
        <v>31</v>
      </c>
      <c r="C35" s="3706" t="s">
        <v>1974</v>
      </c>
      <c r="D35" s="3723">
        <v>26.4</v>
      </c>
      <c r="E35" s="3724" t="s">
        <v>652</v>
      </c>
      <c r="F35" s="3725"/>
      <c r="G35" s="3726"/>
      <c r="H35" s="3726"/>
      <c r="I35" s="3726"/>
      <c r="J35" s="3726"/>
      <c r="K35" s="3726"/>
      <c r="L35" s="3726"/>
      <c r="M35" s="3726"/>
      <c r="N35" s="3726"/>
      <c r="O35" s="3726"/>
      <c r="P35" s="3726"/>
      <c r="Q35" s="3726"/>
      <c r="R35" s="3726" t="s">
        <v>168</v>
      </c>
      <c r="S35" s="3726"/>
      <c r="T35" s="3726"/>
      <c r="U35" s="3726"/>
      <c r="V35" s="3726"/>
      <c r="W35" s="3726"/>
      <c r="X35" s="3726"/>
      <c r="Y35" s="3726"/>
      <c r="Z35" s="3726"/>
      <c r="AA35" s="3726"/>
      <c r="AB35" s="3726"/>
      <c r="AC35" s="3726"/>
      <c r="AD35" s="3726" t="s">
        <v>168</v>
      </c>
      <c r="AE35" s="3726"/>
      <c r="AF35" s="3727"/>
      <c r="AG35" s="3705">
        <f t="shared" si="0"/>
        <v>0</v>
      </c>
      <c r="AP35" s="3736">
        <f t="shared" si="2"/>
        <v>21</v>
      </c>
      <c r="AQ35" s="3717" t="str">
        <f t="shared" si="3"/>
        <v>Cantus Gold</v>
      </c>
      <c r="AR35" s="3717"/>
      <c r="AS35" s="3717"/>
      <c r="AT35" s="3717"/>
      <c r="AU35" s="3717"/>
      <c r="AV35" s="3737">
        <f t="shared" si="4"/>
        <v>111.4</v>
      </c>
      <c r="AW35" s="3738" t="str">
        <f t="shared" si="4"/>
        <v>F</v>
      </c>
      <c r="AX35" s="3717"/>
      <c r="AY35" s="3736">
        <f t="shared" si="5"/>
        <v>71</v>
      </c>
      <c r="AZ35" s="3737" t="str">
        <f t="shared" si="6"/>
        <v/>
      </c>
      <c r="BA35" s="3717"/>
      <c r="BB35" s="3737" t="str">
        <f t="shared" si="7"/>
        <v/>
      </c>
      <c r="BC35" s="3738" t="str">
        <f t="shared" si="7"/>
        <v/>
      </c>
      <c r="BD35" s="3717"/>
      <c r="BE35" s="3717"/>
      <c r="BF35" s="3739"/>
    </row>
    <row r="36" spans="1:58" ht="18">
      <c r="B36" s="3722">
        <f t="shared" si="1"/>
        <v>32</v>
      </c>
      <c r="C36" s="3706" t="s">
        <v>1975</v>
      </c>
      <c r="D36" s="3723">
        <v>28</v>
      </c>
      <c r="E36" s="3724" t="s">
        <v>652</v>
      </c>
      <c r="F36" s="3725"/>
      <c r="G36" s="3726"/>
      <c r="H36" s="3726"/>
      <c r="I36" s="3726"/>
      <c r="J36" s="3726"/>
      <c r="K36" s="3726"/>
      <c r="L36" s="3726"/>
      <c r="M36" s="3726"/>
      <c r="N36" s="3726"/>
      <c r="O36" s="3726"/>
      <c r="P36" s="3726"/>
      <c r="Q36" s="3726"/>
      <c r="R36" s="3726" t="s">
        <v>168</v>
      </c>
      <c r="S36" s="3726"/>
      <c r="T36" s="3726"/>
      <c r="U36" s="3726"/>
      <c r="V36" s="3726"/>
      <c r="W36" s="3726"/>
      <c r="X36" s="3726"/>
      <c r="Y36" s="3726"/>
      <c r="Z36" s="3726"/>
      <c r="AA36" s="3726"/>
      <c r="AB36" s="3726"/>
      <c r="AC36" s="3726"/>
      <c r="AD36" s="619" t="s">
        <v>168</v>
      </c>
      <c r="AE36" s="619"/>
      <c r="AF36" s="621"/>
      <c r="AG36" s="2153">
        <f t="shared" si="0"/>
        <v>0</v>
      </c>
      <c r="AP36" s="3733">
        <f t="shared" si="2"/>
        <v>22</v>
      </c>
      <c r="AQ36" s="2162" t="str">
        <f t="shared" si="3"/>
        <v>Carax</v>
      </c>
      <c r="AR36" s="2162"/>
      <c r="AS36" s="2162"/>
      <c r="AT36" s="2162"/>
      <c r="AU36" s="2162"/>
      <c r="AV36" s="3734">
        <f t="shared" si="4"/>
        <v>35.4</v>
      </c>
      <c r="AW36" s="3735" t="str">
        <f t="shared" si="4"/>
        <v>F</v>
      </c>
      <c r="AX36" s="2162"/>
      <c r="AY36" s="3733">
        <f t="shared" si="5"/>
        <v>72</v>
      </c>
      <c r="AZ36" s="3734" t="str">
        <f t="shared" si="6"/>
        <v>Stomp Aqua</v>
      </c>
      <c r="BA36" s="2162"/>
      <c r="BB36" s="3734">
        <f t="shared" si="7"/>
        <v>17.7</v>
      </c>
      <c r="BC36" s="3735" t="str">
        <f t="shared" si="7"/>
        <v>H</v>
      </c>
      <c r="BD36" s="2162"/>
      <c r="BE36" s="2162"/>
      <c r="BF36"/>
    </row>
    <row r="37" spans="1:58" ht="18">
      <c r="B37" s="3722">
        <f t="shared" si="1"/>
        <v>33</v>
      </c>
      <c r="C37" s="3706" t="s">
        <v>1976</v>
      </c>
      <c r="D37" s="3723">
        <v>750</v>
      </c>
      <c r="E37" s="3724" t="s">
        <v>652</v>
      </c>
      <c r="F37" s="3725"/>
      <c r="G37" s="3726"/>
      <c r="H37" s="3726"/>
      <c r="I37" s="3726"/>
      <c r="J37" s="3726"/>
      <c r="K37" s="3726"/>
      <c r="L37" s="3726"/>
      <c r="M37" s="3726"/>
      <c r="N37" s="3726"/>
      <c r="O37" s="3726"/>
      <c r="P37" s="3726"/>
      <c r="Q37" s="3726"/>
      <c r="R37" s="3726" t="s">
        <v>168</v>
      </c>
      <c r="S37" s="3726"/>
      <c r="T37" s="3726"/>
      <c r="U37" s="3726"/>
      <c r="V37" s="3726"/>
      <c r="W37" s="3726"/>
      <c r="X37" s="3726"/>
      <c r="Y37" s="3726"/>
      <c r="Z37" s="3726"/>
      <c r="AA37" s="3726"/>
      <c r="AB37" s="3726"/>
      <c r="AC37" s="3726"/>
      <c r="AD37" s="619" t="s">
        <v>168</v>
      </c>
      <c r="AE37" s="619"/>
      <c r="AF37" s="621"/>
      <c r="AG37" s="2153">
        <f t="shared" si="0"/>
        <v>0</v>
      </c>
      <c r="AP37" s="3733">
        <f t="shared" si="2"/>
        <v>23</v>
      </c>
      <c r="AQ37" s="2162" t="str">
        <f t="shared" si="3"/>
        <v>CCC 720</v>
      </c>
      <c r="AR37" s="2162"/>
      <c r="AS37" s="2162"/>
      <c r="AT37" s="2162"/>
      <c r="AU37" s="2162"/>
      <c r="AV37" s="3734">
        <f t="shared" si="4"/>
        <v>5.5</v>
      </c>
      <c r="AW37" s="3735" t="str">
        <f t="shared" si="4"/>
        <v>W</v>
      </c>
      <c r="AX37" s="2162"/>
      <c r="AY37" s="3733">
        <f t="shared" si="5"/>
        <v>73</v>
      </c>
      <c r="AZ37" s="3734" t="str">
        <f t="shared" si="6"/>
        <v>Teppeki</v>
      </c>
      <c r="BA37" s="2162"/>
      <c r="BB37" s="3734">
        <f t="shared" si="7"/>
        <v>225.7</v>
      </c>
      <c r="BC37" s="3735" t="str">
        <f t="shared" si="7"/>
        <v>I</v>
      </c>
      <c r="BD37" s="2162"/>
      <c r="BE37" s="2162"/>
      <c r="BF37"/>
    </row>
    <row r="38" spans="1:58" s="3704" customFormat="1" ht="18">
      <c r="A38" s="3721"/>
      <c r="B38" s="2168">
        <f t="shared" si="1"/>
        <v>34</v>
      </c>
      <c r="C38" s="3706" t="s">
        <v>2058</v>
      </c>
      <c r="D38" s="3707">
        <v>52.2</v>
      </c>
      <c r="E38" s="3708" t="s">
        <v>654</v>
      </c>
      <c r="F38" s="620" t="s">
        <v>168</v>
      </c>
      <c r="G38" s="619" t="s">
        <v>168</v>
      </c>
      <c r="H38" s="619" t="s">
        <v>168</v>
      </c>
      <c r="I38" s="619" t="s">
        <v>168</v>
      </c>
      <c r="J38" s="619" t="s">
        <v>168</v>
      </c>
      <c r="K38" s="619" t="s">
        <v>168</v>
      </c>
      <c r="L38" s="619" t="s">
        <v>168</v>
      </c>
      <c r="M38" s="619" t="s">
        <v>168</v>
      </c>
      <c r="N38" s="619"/>
      <c r="O38" s="619" t="s">
        <v>168</v>
      </c>
      <c r="P38" s="619"/>
      <c r="Q38" s="619"/>
      <c r="R38" s="619"/>
      <c r="S38" s="619"/>
      <c r="T38" s="619"/>
      <c r="U38" s="619"/>
      <c r="V38" s="619"/>
      <c r="W38" s="619"/>
      <c r="X38" s="619"/>
      <c r="Y38" s="619"/>
      <c r="Z38" s="619"/>
      <c r="AA38" s="619"/>
      <c r="AB38" s="619"/>
      <c r="AC38" s="619"/>
      <c r="AD38" s="3726" t="s">
        <v>168</v>
      </c>
      <c r="AE38" s="3726"/>
      <c r="AF38" s="3727"/>
      <c r="AG38" s="3705">
        <f t="shared" si="0"/>
        <v>0</v>
      </c>
      <c r="AP38" s="3736">
        <f t="shared" si="2"/>
        <v>24</v>
      </c>
      <c r="AQ38" s="3717" t="str">
        <f t="shared" si="3"/>
        <v>Centium 36 CS</v>
      </c>
      <c r="AR38" s="3717"/>
      <c r="AS38" s="3717"/>
      <c r="AT38" s="3717"/>
      <c r="AU38" s="3717"/>
      <c r="AV38" s="3737">
        <f t="shared" si="4"/>
        <v>149.6</v>
      </c>
      <c r="AW38" s="3738" t="str">
        <f t="shared" si="4"/>
        <v>H</v>
      </c>
      <c r="AX38" s="3717"/>
      <c r="AY38" s="3736">
        <f t="shared" si="5"/>
        <v>74</v>
      </c>
      <c r="AZ38" s="3737" t="str">
        <f t="shared" si="6"/>
        <v>Tilmor</v>
      </c>
      <c r="BA38" s="3717"/>
      <c r="BB38" s="3737">
        <f t="shared" si="7"/>
        <v>34.5</v>
      </c>
      <c r="BC38" s="3738" t="str">
        <f t="shared" si="7"/>
        <v>F</v>
      </c>
      <c r="BD38" s="3717"/>
      <c r="BE38" s="3717"/>
      <c r="BF38" s="3739"/>
    </row>
    <row r="39" spans="1:58" ht="18">
      <c r="B39" s="2168">
        <f t="shared" si="1"/>
        <v>35</v>
      </c>
      <c r="C39" s="3706" t="s">
        <v>2061</v>
      </c>
      <c r="D39" s="3707">
        <v>31.2</v>
      </c>
      <c r="E39" s="3708" t="s">
        <v>652</v>
      </c>
      <c r="F39" s="620"/>
      <c r="G39" s="619"/>
      <c r="H39" s="619"/>
      <c r="I39" s="619"/>
      <c r="J39" s="619"/>
      <c r="K39" s="619"/>
      <c r="L39" s="619"/>
      <c r="M39" s="619"/>
      <c r="N39" s="619"/>
      <c r="O39" s="619"/>
      <c r="P39" s="619"/>
      <c r="Q39" s="619"/>
      <c r="R39" s="619"/>
      <c r="S39" s="619" t="s">
        <v>168</v>
      </c>
      <c r="T39" s="619" t="s">
        <v>168</v>
      </c>
      <c r="U39" s="619" t="s">
        <v>168</v>
      </c>
      <c r="V39" s="619" t="s">
        <v>168</v>
      </c>
      <c r="W39" s="619" t="s">
        <v>168</v>
      </c>
      <c r="X39" s="619" t="s">
        <v>168</v>
      </c>
      <c r="Y39" s="619" t="s">
        <v>168</v>
      </c>
      <c r="Z39" s="619"/>
      <c r="AA39" s="619" t="s">
        <v>168</v>
      </c>
      <c r="AB39" s="619" t="s">
        <v>168</v>
      </c>
      <c r="AC39" s="619"/>
      <c r="AD39" s="619" t="s">
        <v>168</v>
      </c>
      <c r="AE39" s="619"/>
      <c r="AF39" s="621"/>
      <c r="AG39" s="2153">
        <f t="shared" si="0"/>
        <v>0</v>
      </c>
      <c r="AP39" s="3733">
        <f t="shared" si="2"/>
        <v>25</v>
      </c>
      <c r="AQ39" s="2162" t="str">
        <f t="shared" si="3"/>
        <v>Cerone 660</v>
      </c>
      <c r="AR39" s="2162"/>
      <c r="AS39" s="2162"/>
      <c r="AT39" s="2162"/>
      <c r="AU39" s="2162"/>
      <c r="AV39" s="3734">
        <f t="shared" si="4"/>
        <v>39.4</v>
      </c>
      <c r="AW39" s="3735" t="str">
        <f t="shared" si="4"/>
        <v>W</v>
      </c>
      <c r="AX39" s="2162"/>
      <c r="AY39" s="3733">
        <f t="shared" si="5"/>
        <v>75</v>
      </c>
      <c r="AZ39" s="3734" t="str">
        <f t="shared" si="6"/>
        <v>Traxos</v>
      </c>
      <c r="BA39" s="2162"/>
      <c r="BB39" s="3734">
        <f t="shared" si="7"/>
        <v>42.2</v>
      </c>
      <c r="BC39" s="3735" t="str">
        <f t="shared" si="7"/>
        <v>H</v>
      </c>
      <c r="BD39" s="2162"/>
      <c r="BE39" s="2162"/>
      <c r="BF39"/>
    </row>
    <row r="40" spans="1:58" s="3704" customFormat="1" ht="18">
      <c r="A40" s="3721"/>
      <c r="B40" s="2168">
        <f t="shared" si="1"/>
        <v>36</v>
      </c>
      <c r="C40" s="3706" t="s">
        <v>692</v>
      </c>
      <c r="D40" s="3707">
        <v>25.9</v>
      </c>
      <c r="E40" s="3708" t="s">
        <v>654</v>
      </c>
      <c r="F40" s="620" t="s">
        <v>168</v>
      </c>
      <c r="G40" s="619" t="s">
        <v>168</v>
      </c>
      <c r="H40" s="619" t="s">
        <v>168</v>
      </c>
      <c r="I40" s="619"/>
      <c r="J40" s="619" t="s">
        <v>168</v>
      </c>
      <c r="K40" s="619" t="s">
        <v>168</v>
      </c>
      <c r="L40" s="619" t="s">
        <v>168</v>
      </c>
      <c r="M40" s="619" t="s">
        <v>168</v>
      </c>
      <c r="N40" s="619"/>
      <c r="O40" s="619"/>
      <c r="P40" s="619"/>
      <c r="Q40" s="619"/>
      <c r="R40" s="619"/>
      <c r="S40" s="619" t="s">
        <v>168</v>
      </c>
      <c r="T40" s="619" t="s">
        <v>168</v>
      </c>
      <c r="U40" s="619"/>
      <c r="V40" s="619"/>
      <c r="W40" s="619"/>
      <c r="X40" s="619"/>
      <c r="Y40" s="619"/>
      <c r="Z40" s="619"/>
      <c r="AA40" s="619"/>
      <c r="AB40" s="619"/>
      <c r="AC40" s="619"/>
      <c r="AD40" s="3726" t="s">
        <v>168</v>
      </c>
      <c r="AE40" s="3726"/>
      <c r="AF40" s="3727"/>
      <c r="AG40" s="3705">
        <f t="shared" si="0"/>
        <v>0</v>
      </c>
      <c r="AP40" s="3736">
        <f t="shared" si="2"/>
        <v>26</v>
      </c>
      <c r="AQ40" s="3717" t="str">
        <f t="shared" si="3"/>
        <v>Fuego Top</v>
      </c>
      <c r="AR40" s="3717"/>
      <c r="AS40" s="3717"/>
      <c r="AT40" s="3717"/>
      <c r="AU40" s="3717"/>
      <c r="AV40" s="3737">
        <f t="shared" si="4"/>
        <v>39.299999999999997</v>
      </c>
      <c r="AW40" s="3738" t="str">
        <f t="shared" si="4"/>
        <v>H</v>
      </c>
      <c r="AX40" s="3717"/>
      <c r="AY40" s="3736">
        <f t="shared" si="5"/>
        <v>76</v>
      </c>
      <c r="AZ40" s="3737" t="str">
        <f t="shared" si="6"/>
        <v>Trebon 30 EC</v>
      </c>
      <c r="BA40" s="3717"/>
      <c r="BB40" s="3737">
        <f t="shared" si="7"/>
        <v>73.7</v>
      </c>
      <c r="BC40" s="3738" t="str">
        <f t="shared" si="7"/>
        <v>I</v>
      </c>
      <c r="BD40" s="3717"/>
      <c r="BE40" s="3717"/>
      <c r="BF40" s="3739"/>
    </row>
    <row r="41" spans="1:58" ht="18">
      <c r="B41" s="2168">
        <f t="shared" si="1"/>
        <v>37</v>
      </c>
      <c r="C41" s="3706" t="s">
        <v>691</v>
      </c>
      <c r="D41" s="3707">
        <v>31</v>
      </c>
      <c r="E41" s="3708" t="s">
        <v>652</v>
      </c>
      <c r="F41" s="620"/>
      <c r="G41" s="619"/>
      <c r="H41" s="619"/>
      <c r="I41" s="619"/>
      <c r="J41" s="619"/>
      <c r="K41" s="619"/>
      <c r="L41" s="619"/>
      <c r="M41" s="619"/>
      <c r="N41" s="619"/>
      <c r="O41" s="619"/>
      <c r="P41" s="619"/>
      <c r="Q41" s="619"/>
      <c r="R41" s="619"/>
      <c r="S41" s="619" t="s">
        <v>168</v>
      </c>
      <c r="T41" s="619"/>
      <c r="U41" s="619" t="s">
        <v>168</v>
      </c>
      <c r="V41" s="619" t="s">
        <v>168</v>
      </c>
      <c r="W41" s="619" t="s">
        <v>168</v>
      </c>
      <c r="X41" s="619" t="s">
        <v>168</v>
      </c>
      <c r="Y41" s="619" t="s">
        <v>168</v>
      </c>
      <c r="Z41" s="619" t="s">
        <v>168</v>
      </c>
      <c r="AA41" s="619" t="s">
        <v>168</v>
      </c>
      <c r="AB41" s="619" t="s">
        <v>168</v>
      </c>
      <c r="AC41" s="619"/>
      <c r="AD41" s="619" t="s">
        <v>168</v>
      </c>
      <c r="AE41" s="619"/>
      <c r="AF41" s="621"/>
      <c r="AG41" s="2153">
        <f t="shared" si="0"/>
        <v>0</v>
      </c>
      <c r="AP41" s="3733">
        <f t="shared" si="2"/>
        <v>27</v>
      </c>
      <c r="AQ41" s="2162" t="str">
        <f t="shared" si="3"/>
        <v>Coragen</v>
      </c>
      <c r="AR41" s="2162"/>
      <c r="AS41" s="2162"/>
      <c r="AT41" s="2162"/>
      <c r="AU41" s="2162"/>
      <c r="AV41" s="3734">
        <f t="shared" si="4"/>
        <v>357.3</v>
      </c>
      <c r="AW41" s="3735" t="str">
        <f t="shared" si="4"/>
        <v>I</v>
      </c>
      <c r="AX41" s="2162"/>
      <c r="AY41" s="3733">
        <f t="shared" si="5"/>
        <v>77</v>
      </c>
      <c r="AZ41" s="3734" t="str">
        <f t="shared" si="6"/>
        <v>TRICHOGRAMMA</v>
      </c>
      <c r="BA41" s="2162"/>
      <c r="BB41" s="3734">
        <f t="shared" si="7"/>
        <v>50</v>
      </c>
      <c r="BC41" s="3735" t="str">
        <f t="shared" si="7"/>
        <v>I</v>
      </c>
      <c r="BD41" s="2162"/>
      <c r="BE41" s="2162"/>
      <c r="BF41"/>
    </row>
    <row r="42" spans="1:58" s="3721" customFormat="1" ht="18">
      <c r="B42" s="2168">
        <f t="shared" si="1"/>
        <v>38</v>
      </c>
      <c r="C42" s="3706" t="s">
        <v>690</v>
      </c>
      <c r="D42" s="3707">
        <v>35.4</v>
      </c>
      <c r="E42" s="3708" t="s">
        <v>652</v>
      </c>
      <c r="F42" s="620"/>
      <c r="G42" s="619"/>
      <c r="H42" s="619"/>
      <c r="I42" s="619"/>
      <c r="J42" s="619"/>
      <c r="K42" s="619"/>
      <c r="L42" s="619"/>
      <c r="M42" s="619"/>
      <c r="N42" s="619"/>
      <c r="O42" s="619"/>
      <c r="P42" s="619"/>
      <c r="Q42" s="619"/>
      <c r="R42" s="619"/>
      <c r="S42" s="619"/>
      <c r="T42" s="619"/>
      <c r="U42" s="619"/>
      <c r="V42" s="619"/>
      <c r="W42" s="619"/>
      <c r="X42" s="619"/>
      <c r="Y42" s="619"/>
      <c r="Z42" s="619"/>
      <c r="AA42" s="619" t="s">
        <v>168</v>
      </c>
      <c r="AB42" s="619"/>
      <c r="AC42" s="619"/>
      <c r="AD42" s="3726" t="s">
        <v>168</v>
      </c>
      <c r="AE42" s="3726"/>
      <c r="AF42" s="3727"/>
      <c r="AG42" s="3728">
        <f t="shared" si="0"/>
        <v>0</v>
      </c>
      <c r="AP42" s="3740">
        <f t="shared" si="2"/>
        <v>28</v>
      </c>
      <c r="AQ42" s="3741" t="str">
        <f t="shared" si="3"/>
        <v xml:space="preserve">Debut </v>
      </c>
      <c r="AR42" s="3741"/>
      <c r="AS42" s="3741"/>
      <c r="AT42" s="3741"/>
      <c r="AU42" s="3741"/>
      <c r="AV42" s="3742">
        <f t="shared" si="4"/>
        <v>1284.3</v>
      </c>
      <c r="AW42" s="3743" t="str">
        <f t="shared" si="4"/>
        <v>H</v>
      </c>
      <c r="AX42" s="3741"/>
      <c r="AY42" s="3740">
        <f t="shared" si="5"/>
        <v>78</v>
      </c>
      <c r="AZ42" s="3742" t="str">
        <f t="shared" si="6"/>
        <v>Zypar</v>
      </c>
      <c r="BA42" s="3741"/>
      <c r="BB42" s="3742">
        <f t="shared" si="7"/>
        <v>30.1</v>
      </c>
      <c r="BC42" s="3743" t="str">
        <f t="shared" si="7"/>
        <v>H</v>
      </c>
      <c r="BD42" s="3741"/>
      <c r="BE42" s="3741"/>
      <c r="BF42" s="3744"/>
    </row>
    <row r="43" spans="1:58" s="3721" customFormat="1" ht="18">
      <c r="B43" s="3722">
        <f t="shared" si="1"/>
        <v>39</v>
      </c>
      <c r="C43" s="3706" t="s">
        <v>2068</v>
      </c>
      <c r="D43" s="3723">
        <v>37.200000000000003</v>
      </c>
      <c r="E43" s="3724" t="s">
        <v>652</v>
      </c>
      <c r="F43" s="3725"/>
      <c r="G43" s="3726"/>
      <c r="H43" s="3726"/>
      <c r="I43" s="3726"/>
      <c r="J43" s="3726"/>
      <c r="K43" s="3726"/>
      <c r="L43" s="3726"/>
      <c r="M43" s="3726"/>
      <c r="N43" s="3726"/>
      <c r="O43" s="3726"/>
      <c r="P43" s="3726" t="s">
        <v>168</v>
      </c>
      <c r="Q43" s="3726"/>
      <c r="R43" s="3726"/>
      <c r="S43" s="3726"/>
      <c r="T43" s="3726"/>
      <c r="U43" s="3726"/>
      <c r="V43" s="3726"/>
      <c r="W43" s="3726"/>
      <c r="X43" s="3726"/>
      <c r="Y43" s="3726"/>
      <c r="Z43" s="3726"/>
      <c r="AA43" s="3726" t="s">
        <v>168</v>
      </c>
      <c r="AB43" s="3726"/>
      <c r="AC43" s="3726"/>
      <c r="AD43" s="3726" t="s">
        <v>168</v>
      </c>
      <c r="AE43" s="3726"/>
      <c r="AF43" s="3727"/>
      <c r="AG43" s="3728">
        <f t="shared" si="0"/>
        <v>0</v>
      </c>
      <c r="AP43" s="3740">
        <f t="shared" si="2"/>
        <v>29</v>
      </c>
      <c r="AQ43" s="3741" t="str">
        <f t="shared" si="3"/>
        <v>Effigo</v>
      </c>
      <c r="AR43" s="3741"/>
      <c r="AS43" s="3741"/>
      <c r="AT43" s="3741"/>
      <c r="AU43" s="3741"/>
      <c r="AV43" s="3742">
        <f t="shared" si="4"/>
        <v>136.30000000000001</v>
      </c>
      <c r="AW43" s="3743" t="str">
        <f t="shared" si="4"/>
        <v>H</v>
      </c>
      <c r="AX43" s="3741"/>
      <c r="AY43" s="3740">
        <f t="shared" si="5"/>
        <v>79</v>
      </c>
      <c r="AZ43" s="3742" t="str">
        <f t="shared" si="6"/>
        <v>Spectrum</v>
      </c>
      <c r="BA43" s="3741"/>
      <c r="BB43" s="3742">
        <f t="shared" si="7"/>
        <v>29.9</v>
      </c>
      <c r="BC43" s="3743" t="str">
        <f t="shared" si="7"/>
        <v>H</v>
      </c>
      <c r="BD43" s="3741"/>
      <c r="BE43" s="3741"/>
      <c r="BF43" s="3744"/>
    </row>
    <row r="44" spans="1:58" s="3721" customFormat="1" ht="18">
      <c r="B44" s="2168">
        <f t="shared" si="1"/>
        <v>40</v>
      </c>
      <c r="C44" s="3706" t="s">
        <v>689</v>
      </c>
      <c r="D44" s="3707">
        <v>1450</v>
      </c>
      <c r="E44" s="3708" t="s">
        <v>652</v>
      </c>
      <c r="F44" s="620"/>
      <c r="G44" s="619"/>
      <c r="H44" s="619"/>
      <c r="I44" s="619"/>
      <c r="J44" s="619"/>
      <c r="K44" s="619"/>
      <c r="L44" s="619"/>
      <c r="M44" s="619"/>
      <c r="N44" s="619"/>
      <c r="O44" s="619"/>
      <c r="P44" s="619"/>
      <c r="Q44" s="619"/>
      <c r="R44" s="619" t="s">
        <v>168</v>
      </c>
      <c r="S44" s="619"/>
      <c r="T44" s="619"/>
      <c r="U44" s="619"/>
      <c r="V44" s="619" t="s">
        <v>168</v>
      </c>
      <c r="W44" s="619"/>
      <c r="X44" s="619"/>
      <c r="Y44" s="619"/>
      <c r="Z44" s="619"/>
      <c r="AA44" s="619"/>
      <c r="AB44" s="619"/>
      <c r="AC44" s="619"/>
      <c r="AD44" s="3726" t="s">
        <v>168</v>
      </c>
      <c r="AE44" s="3726"/>
      <c r="AF44" s="3727"/>
      <c r="AG44" s="3728">
        <f t="shared" si="0"/>
        <v>0</v>
      </c>
      <c r="AP44" s="3740">
        <f t="shared" si="2"/>
        <v>30</v>
      </c>
      <c r="AQ44" s="3741" t="str">
        <f t="shared" si="3"/>
        <v>Elatus Era</v>
      </c>
      <c r="AR44" s="3741"/>
      <c r="AS44" s="3741"/>
      <c r="AT44" s="3741"/>
      <c r="AU44" s="3741"/>
      <c r="AV44" s="3742">
        <f t="shared" si="4"/>
        <v>68.7</v>
      </c>
      <c r="AW44" s="3743" t="str">
        <f t="shared" si="4"/>
        <v>F</v>
      </c>
      <c r="AX44" s="3741"/>
      <c r="AY44" s="3740">
        <f t="shared" si="5"/>
        <v>80</v>
      </c>
      <c r="AZ44" s="3742" t="str">
        <f t="shared" si="6"/>
        <v/>
      </c>
      <c r="BA44" s="3741"/>
      <c r="BB44" s="3742" t="str">
        <f t="shared" si="7"/>
        <v/>
      </c>
      <c r="BC44" s="3743" t="str">
        <f t="shared" si="7"/>
        <v/>
      </c>
      <c r="BD44" s="3741"/>
      <c r="BE44" s="3741"/>
      <c r="BF44" s="3744"/>
    </row>
    <row r="45" spans="1:58" ht="18">
      <c r="B45" s="2168">
        <f t="shared" si="1"/>
        <v>41</v>
      </c>
      <c r="C45" s="3706" t="s">
        <v>688</v>
      </c>
      <c r="D45" s="3707">
        <v>99.7</v>
      </c>
      <c r="E45" s="3708" t="s">
        <v>652</v>
      </c>
      <c r="F45" s="620" t="s">
        <v>168</v>
      </c>
      <c r="G45" s="619" t="s">
        <v>168</v>
      </c>
      <c r="H45" s="619" t="s">
        <v>168</v>
      </c>
      <c r="I45" s="619" t="s">
        <v>168</v>
      </c>
      <c r="J45" s="619" t="s">
        <v>168</v>
      </c>
      <c r="K45" s="619"/>
      <c r="L45" s="619"/>
      <c r="M45" s="619"/>
      <c r="N45" s="619"/>
      <c r="O45" s="619"/>
      <c r="P45" s="619"/>
      <c r="Q45" s="619"/>
      <c r="R45" s="619"/>
      <c r="S45" s="619"/>
      <c r="T45" s="619"/>
      <c r="U45" s="619"/>
      <c r="V45" s="619"/>
      <c r="W45" s="619"/>
      <c r="X45" s="619"/>
      <c r="Y45" s="619"/>
      <c r="Z45" s="619"/>
      <c r="AA45" s="619"/>
      <c r="AB45" s="619"/>
      <c r="AC45" s="619"/>
      <c r="AD45" s="619" t="s">
        <v>168</v>
      </c>
      <c r="AE45" s="619"/>
      <c r="AF45" s="621"/>
      <c r="AG45" s="2153">
        <f t="shared" si="0"/>
        <v>0</v>
      </c>
      <c r="AP45" s="3733">
        <f t="shared" si="2"/>
        <v>31</v>
      </c>
      <c r="AQ45" s="2162" t="str">
        <f t="shared" si="3"/>
        <v>Elumis P Dual Pack, Dual Gold</v>
      </c>
      <c r="AR45" s="2162"/>
      <c r="AS45" s="2162"/>
      <c r="AT45" s="2162"/>
      <c r="AU45" s="2162"/>
      <c r="AV45" s="3734">
        <f t="shared" si="4"/>
        <v>26.4</v>
      </c>
      <c r="AW45" s="3735" t="str">
        <f t="shared" si="4"/>
        <v>H</v>
      </c>
      <c r="AX45" s="2162"/>
      <c r="AY45" s="3733">
        <f t="shared" si="5"/>
        <v>81</v>
      </c>
      <c r="AZ45" s="3734" t="str">
        <f t="shared" si="6"/>
        <v>Univoq</v>
      </c>
      <c r="BA45" s="2162"/>
      <c r="BB45" s="3734">
        <f t="shared" si="7"/>
        <v>40.799999999999997</v>
      </c>
      <c r="BC45" s="3735" t="str">
        <f t="shared" si="7"/>
        <v>F</v>
      </c>
      <c r="BD45" s="2162"/>
      <c r="BE45" s="2162"/>
      <c r="BF45"/>
    </row>
    <row r="46" spans="1:58" ht="18">
      <c r="B46" s="2168">
        <f t="shared" si="1"/>
        <v>42</v>
      </c>
      <c r="C46" s="3706" t="s">
        <v>687</v>
      </c>
      <c r="D46" s="3707">
        <v>126.8</v>
      </c>
      <c r="E46" s="3708" t="s">
        <v>652</v>
      </c>
      <c r="F46" s="620" t="s">
        <v>168</v>
      </c>
      <c r="G46" s="619"/>
      <c r="H46" s="619" t="s">
        <v>168</v>
      </c>
      <c r="I46" s="619" t="s">
        <v>168</v>
      </c>
      <c r="J46" s="619" t="s">
        <v>168</v>
      </c>
      <c r="K46" s="619" t="s">
        <v>168</v>
      </c>
      <c r="L46" s="619" t="s">
        <v>168</v>
      </c>
      <c r="M46" s="619" t="s">
        <v>168</v>
      </c>
      <c r="N46" s="619"/>
      <c r="O46" s="619" t="s">
        <v>168</v>
      </c>
      <c r="P46" s="619" t="s">
        <v>168</v>
      </c>
      <c r="Q46" s="619"/>
      <c r="R46" s="619"/>
      <c r="S46" s="619"/>
      <c r="T46" s="619"/>
      <c r="U46" s="619"/>
      <c r="V46" s="619"/>
      <c r="W46" s="619"/>
      <c r="X46" s="619"/>
      <c r="Y46" s="619"/>
      <c r="Z46" s="619"/>
      <c r="AA46" s="619"/>
      <c r="AB46" s="619"/>
      <c r="AC46" s="619"/>
      <c r="AD46" s="619" t="s">
        <v>168</v>
      </c>
      <c r="AE46" s="619"/>
      <c r="AF46" s="621"/>
      <c r="AG46" s="2153">
        <f t="shared" si="0"/>
        <v>0</v>
      </c>
      <c r="AP46" s="3733">
        <f t="shared" si="2"/>
        <v>32</v>
      </c>
      <c r="AQ46" s="2162" t="str">
        <f t="shared" si="3"/>
        <v>Elumis P Dual Pack, Elumis</v>
      </c>
      <c r="AR46" s="2162"/>
      <c r="AS46" s="2162"/>
      <c r="AT46" s="2162"/>
      <c r="AU46" s="2162"/>
      <c r="AV46" s="3734">
        <f t="shared" si="4"/>
        <v>28</v>
      </c>
      <c r="AW46" s="3735" t="str">
        <f t="shared" si="4"/>
        <v>H</v>
      </c>
      <c r="AX46" s="2162"/>
      <c r="AY46" s="3733">
        <f t="shared" si="5"/>
        <v>82</v>
      </c>
      <c r="AZ46" s="3734" t="str">
        <f t="shared" si="6"/>
        <v/>
      </c>
      <c r="BA46" s="2162"/>
      <c r="BB46" s="3734" t="str">
        <f t="shared" si="7"/>
        <v/>
      </c>
      <c r="BC46" s="3735" t="str">
        <f t="shared" si="7"/>
        <v/>
      </c>
      <c r="BD46" s="2162"/>
      <c r="BE46" s="2162"/>
      <c r="BF46"/>
    </row>
    <row r="47" spans="1:58" ht="18">
      <c r="B47" s="2168">
        <f t="shared" si="1"/>
        <v>43</v>
      </c>
      <c r="C47" s="3706" t="s">
        <v>686</v>
      </c>
      <c r="D47" s="3707">
        <v>25.2</v>
      </c>
      <c r="E47" s="3708" t="s">
        <v>654</v>
      </c>
      <c r="F47" s="620"/>
      <c r="G47" s="619"/>
      <c r="H47" s="619"/>
      <c r="I47" s="619"/>
      <c r="J47" s="619"/>
      <c r="K47" s="619"/>
      <c r="L47" s="619"/>
      <c r="M47" s="619"/>
      <c r="N47" s="619"/>
      <c r="O47" s="619"/>
      <c r="P47" s="619"/>
      <c r="Q47" s="619"/>
      <c r="R47" s="619"/>
      <c r="S47" s="619"/>
      <c r="T47" s="619"/>
      <c r="U47" s="619"/>
      <c r="V47" s="619"/>
      <c r="W47" s="619"/>
      <c r="X47" s="619"/>
      <c r="Y47" s="619"/>
      <c r="Z47" s="619"/>
      <c r="AA47" s="619"/>
      <c r="AB47" s="619" t="s">
        <v>168</v>
      </c>
      <c r="AC47" s="619"/>
      <c r="AD47" s="619" t="s">
        <v>168</v>
      </c>
      <c r="AE47" s="619"/>
      <c r="AF47" s="621"/>
      <c r="AG47" s="2153">
        <f t="shared" si="0"/>
        <v>0</v>
      </c>
      <c r="AP47" s="3733">
        <f t="shared" si="2"/>
        <v>33</v>
      </c>
      <c r="AQ47" s="2162" t="str">
        <f t="shared" si="3"/>
        <v>Elumis P Dual Pack, Peak</v>
      </c>
      <c r="AR47" s="2162"/>
      <c r="AS47" s="2162"/>
      <c r="AT47" s="2162"/>
      <c r="AU47" s="2162"/>
      <c r="AV47" s="3734">
        <f t="shared" ref="AV47:AW64" si="8">IF(D37="","",D37)</f>
        <v>750</v>
      </c>
      <c r="AW47" s="3735" t="str">
        <f t="shared" si="8"/>
        <v>H</v>
      </c>
      <c r="AX47" s="2162"/>
      <c r="AY47" s="3733">
        <f t="shared" si="5"/>
        <v>83</v>
      </c>
      <c r="AZ47" s="3734" t="str">
        <f t="shared" si="6"/>
        <v/>
      </c>
      <c r="BA47" s="2162"/>
      <c r="BB47" s="3734" t="str">
        <f t="shared" ref="BB47:BC64" si="9">IF(D87="","",D87)</f>
        <v/>
      </c>
      <c r="BC47" s="3735" t="str">
        <f t="shared" si="9"/>
        <v/>
      </c>
      <c r="BD47" s="2162"/>
      <c r="BE47" s="2162"/>
      <c r="BF47"/>
    </row>
    <row r="48" spans="1:58" s="3721" customFormat="1" ht="18">
      <c r="B48" s="2168">
        <f t="shared" si="1"/>
        <v>44</v>
      </c>
      <c r="C48" s="3706" t="s">
        <v>685</v>
      </c>
      <c r="D48" s="3707">
        <v>52.8</v>
      </c>
      <c r="E48" s="3708" t="s">
        <v>654</v>
      </c>
      <c r="F48" s="620" t="s">
        <v>168</v>
      </c>
      <c r="G48" s="619" t="s">
        <v>168</v>
      </c>
      <c r="H48" s="619" t="s">
        <v>168</v>
      </c>
      <c r="I48" s="619" t="s">
        <v>168</v>
      </c>
      <c r="J48" s="619" t="s">
        <v>168</v>
      </c>
      <c r="K48" s="619" t="s">
        <v>168</v>
      </c>
      <c r="L48" s="619" t="s">
        <v>168</v>
      </c>
      <c r="M48" s="619" t="s">
        <v>168</v>
      </c>
      <c r="N48" s="619"/>
      <c r="O48" s="619" t="s">
        <v>168</v>
      </c>
      <c r="P48" s="619" t="s">
        <v>168</v>
      </c>
      <c r="Q48" s="619"/>
      <c r="R48" s="619"/>
      <c r="S48" s="619"/>
      <c r="T48" s="619"/>
      <c r="U48" s="619"/>
      <c r="V48" s="619"/>
      <c r="W48" s="619"/>
      <c r="X48" s="619"/>
      <c r="Y48" s="619"/>
      <c r="Z48" s="619"/>
      <c r="AA48" s="619"/>
      <c r="AB48" s="619"/>
      <c r="AC48" s="619"/>
      <c r="AD48" s="3726" t="s">
        <v>168</v>
      </c>
      <c r="AE48" s="3726"/>
      <c r="AF48" s="3727"/>
      <c r="AG48" s="3728">
        <f t="shared" si="0"/>
        <v>0</v>
      </c>
      <c r="AP48" s="3740">
        <f t="shared" si="2"/>
        <v>34</v>
      </c>
      <c r="AQ48" s="3741" t="str">
        <f t="shared" si="3"/>
        <v>Fandango</v>
      </c>
      <c r="AR48" s="3741"/>
      <c r="AS48" s="3741"/>
      <c r="AT48" s="3741"/>
      <c r="AU48" s="3741"/>
      <c r="AV48" s="3742">
        <f t="shared" si="8"/>
        <v>52.2</v>
      </c>
      <c r="AW48" s="3743" t="str">
        <f t="shared" si="8"/>
        <v>F</v>
      </c>
      <c r="AX48" s="3741"/>
      <c r="AY48" s="3740">
        <f t="shared" si="5"/>
        <v>84</v>
      </c>
      <c r="AZ48" s="3742" t="str">
        <f t="shared" si="6"/>
        <v/>
      </c>
      <c r="BA48" s="3741"/>
      <c r="BB48" s="3742" t="str">
        <f t="shared" si="9"/>
        <v/>
      </c>
      <c r="BC48" s="3743" t="str">
        <f t="shared" si="9"/>
        <v/>
      </c>
      <c r="BD48" s="3741"/>
      <c r="BE48" s="3741"/>
      <c r="BF48" s="3744"/>
    </row>
    <row r="49" spans="1:58" ht="18">
      <c r="B49" s="2168">
        <f t="shared" si="1"/>
        <v>45</v>
      </c>
      <c r="C49" s="3706" t="s">
        <v>684</v>
      </c>
      <c r="D49" s="3707">
        <v>52.7</v>
      </c>
      <c r="E49" s="3708" t="s">
        <v>654</v>
      </c>
      <c r="F49" s="620" t="s">
        <v>168</v>
      </c>
      <c r="G49" s="619" t="s">
        <v>168</v>
      </c>
      <c r="H49" s="619" t="s">
        <v>168</v>
      </c>
      <c r="I49" s="619" t="s">
        <v>168</v>
      </c>
      <c r="J49" s="619" t="s">
        <v>168</v>
      </c>
      <c r="K49" s="619" t="s">
        <v>168</v>
      </c>
      <c r="L49" s="619" t="s">
        <v>168</v>
      </c>
      <c r="M49" s="619" t="s">
        <v>168</v>
      </c>
      <c r="N49" s="619"/>
      <c r="O49" s="619" t="s">
        <v>168</v>
      </c>
      <c r="P49" s="619" t="s">
        <v>168</v>
      </c>
      <c r="Q49" s="619"/>
      <c r="R49" s="619"/>
      <c r="S49" s="619"/>
      <c r="T49" s="619"/>
      <c r="U49" s="619"/>
      <c r="V49" s="619"/>
      <c r="W49" s="619"/>
      <c r="X49" s="619"/>
      <c r="Y49" s="619"/>
      <c r="Z49" s="619"/>
      <c r="AA49" s="619"/>
      <c r="AB49" s="619"/>
      <c r="AC49" s="619"/>
      <c r="AD49" s="619" t="s">
        <v>168</v>
      </c>
      <c r="AE49" s="619"/>
      <c r="AF49" s="621"/>
      <c r="AG49" s="2153">
        <f t="shared" si="0"/>
        <v>0</v>
      </c>
      <c r="AP49" s="3733">
        <f t="shared" si="2"/>
        <v>35</v>
      </c>
      <c r="AQ49" s="2162" t="str">
        <f t="shared" si="3"/>
        <v>Focus Aktiv Pack, Focus Ultra</v>
      </c>
      <c r="AR49" s="2162"/>
      <c r="AS49" s="2162"/>
      <c r="AT49" s="2162"/>
      <c r="AU49" s="2162"/>
      <c r="AV49" s="3734">
        <f t="shared" si="8"/>
        <v>31.2</v>
      </c>
      <c r="AW49" s="3735" t="str">
        <f t="shared" si="8"/>
        <v>H</v>
      </c>
      <c r="AX49" s="2162"/>
      <c r="AY49" s="3733">
        <f t="shared" si="5"/>
        <v>85</v>
      </c>
      <c r="AZ49" s="3734" t="str">
        <f t="shared" si="6"/>
        <v/>
      </c>
      <c r="BA49" s="2162"/>
      <c r="BB49" s="3734" t="str">
        <f t="shared" si="9"/>
        <v/>
      </c>
      <c r="BC49" s="3735" t="str">
        <f t="shared" si="9"/>
        <v/>
      </c>
      <c r="BD49" s="2162"/>
      <c r="BE49" s="2162"/>
      <c r="BF49"/>
    </row>
    <row r="50" spans="1:58" ht="18">
      <c r="B50" s="2168">
        <f t="shared" si="1"/>
        <v>46</v>
      </c>
      <c r="C50" s="3706" t="s">
        <v>2088</v>
      </c>
      <c r="D50" s="3707">
        <v>30.2</v>
      </c>
      <c r="E50" s="3708" t="s">
        <v>652</v>
      </c>
      <c r="F50" s="620"/>
      <c r="G50" s="619"/>
      <c r="H50" s="619"/>
      <c r="I50" s="619"/>
      <c r="J50" s="619"/>
      <c r="K50" s="619"/>
      <c r="L50" s="619"/>
      <c r="M50" s="619"/>
      <c r="N50" s="619"/>
      <c r="O50" s="619"/>
      <c r="P50" s="619"/>
      <c r="Q50" s="619"/>
      <c r="R50" s="619"/>
      <c r="S50" s="619"/>
      <c r="T50" s="619"/>
      <c r="U50" s="619"/>
      <c r="V50" s="619"/>
      <c r="W50" s="619"/>
      <c r="X50" s="619"/>
      <c r="Y50" s="619"/>
      <c r="Z50" s="619"/>
      <c r="AA50" s="619" t="s">
        <v>168</v>
      </c>
      <c r="AB50" s="619"/>
      <c r="AC50" s="619"/>
      <c r="AD50" s="619" t="s">
        <v>168</v>
      </c>
      <c r="AE50" s="619"/>
      <c r="AF50" s="621"/>
      <c r="AG50" s="2153">
        <f t="shared" si="0"/>
        <v>0</v>
      </c>
      <c r="AP50" s="3733">
        <f t="shared" si="2"/>
        <v>36</v>
      </c>
      <c r="AQ50" s="2162" t="str">
        <f t="shared" si="3"/>
        <v>Folicur</v>
      </c>
      <c r="AR50" s="2162"/>
      <c r="AS50" s="2162"/>
      <c r="AT50" s="2162"/>
      <c r="AU50" s="2162"/>
      <c r="AV50" s="3734">
        <f t="shared" si="8"/>
        <v>25.9</v>
      </c>
      <c r="AW50" s="3735" t="str">
        <f t="shared" si="8"/>
        <v>F</v>
      </c>
      <c r="AX50" s="2162"/>
      <c r="AY50" s="3733">
        <f t="shared" si="5"/>
        <v>86</v>
      </c>
      <c r="AZ50" s="3734" t="str">
        <f t="shared" si="6"/>
        <v/>
      </c>
      <c r="BA50" s="2162"/>
      <c r="BB50" s="3734" t="str">
        <f t="shared" si="9"/>
        <v/>
      </c>
      <c r="BC50" s="3735" t="str">
        <f t="shared" si="9"/>
        <v/>
      </c>
      <c r="BD50" s="2162"/>
      <c r="BE50" s="2162"/>
      <c r="BF50"/>
    </row>
    <row r="51" spans="1:58" ht="18">
      <c r="B51" s="2168">
        <f t="shared" si="1"/>
        <v>47</v>
      </c>
      <c r="C51" s="3706" t="s">
        <v>682</v>
      </c>
      <c r="D51" s="3707">
        <v>137.9</v>
      </c>
      <c r="E51" s="3708" t="s">
        <v>649</v>
      </c>
      <c r="F51" s="620" t="s">
        <v>168</v>
      </c>
      <c r="G51" s="619" t="s">
        <v>168</v>
      </c>
      <c r="H51" s="619" t="s">
        <v>168</v>
      </c>
      <c r="I51" s="619" t="s">
        <v>168</v>
      </c>
      <c r="J51" s="619" t="s">
        <v>168</v>
      </c>
      <c r="K51" s="619" t="s">
        <v>168</v>
      </c>
      <c r="L51" s="619" t="s">
        <v>168</v>
      </c>
      <c r="M51" s="619" t="s">
        <v>168</v>
      </c>
      <c r="N51" s="619" t="s">
        <v>168</v>
      </c>
      <c r="O51" s="619" t="s">
        <v>168</v>
      </c>
      <c r="P51" s="619" t="s">
        <v>168</v>
      </c>
      <c r="Q51" s="619"/>
      <c r="R51" s="619" t="s">
        <v>168</v>
      </c>
      <c r="S51" s="619" t="s">
        <v>168</v>
      </c>
      <c r="T51" s="619" t="s">
        <v>168</v>
      </c>
      <c r="U51" s="619" t="s">
        <v>168</v>
      </c>
      <c r="V51" s="619"/>
      <c r="W51" s="619"/>
      <c r="X51" s="619" t="s">
        <v>168</v>
      </c>
      <c r="Y51" s="619" t="s">
        <v>168</v>
      </c>
      <c r="Z51" s="619"/>
      <c r="AA51" s="619" t="s">
        <v>168</v>
      </c>
      <c r="AB51" s="619" t="s">
        <v>168</v>
      </c>
      <c r="AC51" s="619"/>
      <c r="AD51" s="619" t="s">
        <v>168</v>
      </c>
      <c r="AE51" s="619"/>
      <c r="AF51" s="621"/>
      <c r="AG51" s="2153">
        <f t="shared" si="0"/>
        <v>1</v>
      </c>
      <c r="AP51" s="3733">
        <f t="shared" si="2"/>
        <v>37</v>
      </c>
      <c r="AQ51" s="2162" t="str">
        <f t="shared" si="3"/>
        <v>Fusilade MAX</v>
      </c>
      <c r="AR51" s="2162"/>
      <c r="AS51" s="2162"/>
      <c r="AT51" s="2162"/>
      <c r="AU51" s="2162"/>
      <c r="AV51" s="3734">
        <f t="shared" si="8"/>
        <v>31</v>
      </c>
      <c r="AW51" s="3735" t="str">
        <f t="shared" si="8"/>
        <v>H</v>
      </c>
      <c r="AX51" s="2162"/>
      <c r="AY51" s="3733">
        <f t="shared" si="5"/>
        <v>87</v>
      </c>
      <c r="AZ51" s="3734" t="str">
        <f t="shared" si="6"/>
        <v/>
      </c>
      <c r="BA51" s="2162"/>
      <c r="BB51" s="3734" t="str">
        <f t="shared" si="9"/>
        <v/>
      </c>
      <c r="BC51" s="3735" t="str">
        <f t="shared" si="9"/>
        <v/>
      </c>
      <c r="BD51" s="2162"/>
      <c r="BE51" s="2162"/>
      <c r="BF51"/>
    </row>
    <row r="52" spans="1:58" ht="18">
      <c r="B52" s="2168">
        <f t="shared" si="1"/>
        <v>48</v>
      </c>
      <c r="C52" s="3706" t="s">
        <v>681</v>
      </c>
      <c r="D52" s="3707">
        <v>67.099999999999994</v>
      </c>
      <c r="E52" s="3708" t="s">
        <v>652</v>
      </c>
      <c r="F52" s="620"/>
      <c r="G52" s="619"/>
      <c r="H52" s="619"/>
      <c r="I52" s="619"/>
      <c r="J52" s="619"/>
      <c r="K52" s="619"/>
      <c r="L52" s="619"/>
      <c r="M52" s="619"/>
      <c r="N52" s="619"/>
      <c r="O52" s="619"/>
      <c r="P52" s="619"/>
      <c r="Q52" s="619" t="s">
        <v>168</v>
      </c>
      <c r="R52" s="619" t="s">
        <v>168</v>
      </c>
      <c r="S52" s="619"/>
      <c r="T52" s="619"/>
      <c r="U52" s="619"/>
      <c r="V52" s="619"/>
      <c r="W52" s="619"/>
      <c r="X52" s="619"/>
      <c r="Y52" s="619"/>
      <c r="Z52" s="619"/>
      <c r="AA52" s="619"/>
      <c r="AB52" s="619"/>
      <c r="AC52" s="619"/>
      <c r="AD52" s="619" t="s">
        <v>168</v>
      </c>
      <c r="AE52" s="619"/>
      <c r="AF52" s="621"/>
      <c r="AG52" s="2153">
        <f t="shared" si="0"/>
        <v>0</v>
      </c>
      <c r="AP52" s="3733">
        <f t="shared" si="2"/>
        <v>38</v>
      </c>
      <c r="AQ52" s="2162" t="str">
        <f t="shared" si="3"/>
        <v>Goltix Gold</v>
      </c>
      <c r="AR52" s="2162"/>
      <c r="AS52" s="2162"/>
      <c r="AT52" s="2162"/>
      <c r="AU52" s="2162"/>
      <c r="AV52" s="3734">
        <f t="shared" si="8"/>
        <v>35.4</v>
      </c>
      <c r="AW52" s="3735" t="str">
        <f t="shared" si="8"/>
        <v>H</v>
      </c>
      <c r="AX52" s="2162"/>
      <c r="AY52" s="3733">
        <f t="shared" si="5"/>
        <v>88</v>
      </c>
      <c r="AZ52" s="3734" t="str">
        <f t="shared" si="6"/>
        <v/>
      </c>
      <c r="BA52" s="2162"/>
      <c r="BB52" s="3734" t="str">
        <f t="shared" si="9"/>
        <v/>
      </c>
      <c r="BC52" s="3735" t="str">
        <f t="shared" si="9"/>
        <v/>
      </c>
      <c r="BD52" s="2162"/>
      <c r="BE52" s="2162"/>
      <c r="BF52"/>
    </row>
    <row r="53" spans="1:58" ht="18">
      <c r="B53" s="2168">
        <f t="shared" si="1"/>
        <v>49</v>
      </c>
      <c r="C53" s="3706" t="s">
        <v>680</v>
      </c>
      <c r="D53" s="3707">
        <v>44.8</v>
      </c>
      <c r="E53" s="3708" t="s">
        <v>652</v>
      </c>
      <c r="F53" s="620"/>
      <c r="G53" s="619"/>
      <c r="H53" s="619"/>
      <c r="I53" s="619"/>
      <c r="J53" s="619"/>
      <c r="K53" s="619"/>
      <c r="L53" s="619"/>
      <c r="M53" s="619"/>
      <c r="N53" s="619"/>
      <c r="O53" s="619"/>
      <c r="P53" s="619"/>
      <c r="Q53" s="619"/>
      <c r="R53" s="619" t="s">
        <v>168</v>
      </c>
      <c r="S53" s="619"/>
      <c r="T53" s="619"/>
      <c r="U53" s="619"/>
      <c r="V53" s="619"/>
      <c r="W53" s="619"/>
      <c r="X53" s="619"/>
      <c r="Y53" s="619"/>
      <c r="Z53" s="619"/>
      <c r="AA53" s="619"/>
      <c r="AB53" s="619"/>
      <c r="AC53" s="619"/>
      <c r="AD53" s="619" t="s">
        <v>168</v>
      </c>
      <c r="AE53" s="619"/>
      <c r="AF53" s="621"/>
      <c r="AG53" s="2153">
        <f t="shared" si="0"/>
        <v>0</v>
      </c>
      <c r="AP53" s="3733">
        <f t="shared" si="2"/>
        <v>39</v>
      </c>
      <c r="AQ53" s="2162" t="str">
        <f t="shared" si="3"/>
        <v>Goltix Titan</v>
      </c>
      <c r="AR53" s="2162"/>
      <c r="AS53" s="2162"/>
      <c r="AT53" s="2162"/>
      <c r="AU53" s="2162"/>
      <c r="AV53" s="3734">
        <f t="shared" si="8"/>
        <v>37.200000000000003</v>
      </c>
      <c r="AW53" s="3735" t="str">
        <f t="shared" si="8"/>
        <v>H</v>
      </c>
      <c r="AX53" s="2162"/>
      <c r="AY53" s="3733">
        <f t="shared" si="5"/>
        <v>89</v>
      </c>
      <c r="AZ53" s="2162" t="str">
        <f t="shared" si="6"/>
        <v/>
      </c>
      <c r="BA53" s="2162"/>
      <c r="BB53" s="2162" t="str">
        <f t="shared" si="9"/>
        <v/>
      </c>
      <c r="BC53" s="3735" t="str">
        <f t="shared" si="9"/>
        <v/>
      </c>
      <c r="BD53" s="2162"/>
      <c r="BE53" s="2162"/>
      <c r="BF53"/>
    </row>
    <row r="54" spans="1:58" ht="18">
      <c r="B54" s="2168">
        <f t="shared" si="1"/>
        <v>50</v>
      </c>
      <c r="C54" s="3706" t="s">
        <v>679</v>
      </c>
      <c r="D54" s="3707">
        <v>17.7</v>
      </c>
      <c r="E54" s="3708" t="s">
        <v>652</v>
      </c>
      <c r="F54" s="620" t="s">
        <v>168</v>
      </c>
      <c r="G54" s="619"/>
      <c r="H54" s="619" t="s">
        <v>168</v>
      </c>
      <c r="I54" s="619" t="s">
        <v>168</v>
      </c>
      <c r="J54" s="619" t="s">
        <v>168</v>
      </c>
      <c r="K54" s="619"/>
      <c r="L54" s="619"/>
      <c r="M54" s="619"/>
      <c r="N54" s="619"/>
      <c r="O54" s="619"/>
      <c r="P54" s="619"/>
      <c r="Q54" s="619"/>
      <c r="R54" s="619"/>
      <c r="S54" s="619"/>
      <c r="T54" s="619"/>
      <c r="U54" s="619"/>
      <c r="V54" s="619"/>
      <c r="W54" s="619"/>
      <c r="X54" s="619"/>
      <c r="Y54" s="619"/>
      <c r="Z54" s="619"/>
      <c r="AA54" s="619"/>
      <c r="AB54" s="619"/>
      <c r="AC54" s="619"/>
      <c r="AD54" s="619" t="s">
        <v>168</v>
      </c>
      <c r="AE54" s="619"/>
      <c r="AF54" s="621"/>
      <c r="AG54" s="2153">
        <f t="shared" si="0"/>
        <v>0</v>
      </c>
      <c r="AP54" s="3733">
        <f t="shared" si="2"/>
        <v>40</v>
      </c>
      <c r="AQ54" s="2162" t="str">
        <f t="shared" si="3"/>
        <v xml:space="preserve">Harmony SX </v>
      </c>
      <c r="AR54" s="2162"/>
      <c r="AS54" s="2162"/>
      <c r="AT54" s="2162"/>
      <c r="AU54" s="2162"/>
      <c r="AV54" s="3734">
        <f t="shared" si="8"/>
        <v>1450</v>
      </c>
      <c r="AW54" s="3735" t="str">
        <f t="shared" si="8"/>
        <v>H</v>
      </c>
      <c r="AX54" s="2162"/>
      <c r="AY54" s="3733">
        <f t="shared" si="5"/>
        <v>90</v>
      </c>
      <c r="AZ54" s="2162" t="str">
        <f t="shared" si="6"/>
        <v/>
      </c>
      <c r="BA54" s="2162"/>
      <c r="BB54" s="2162" t="str">
        <f t="shared" si="9"/>
        <v/>
      </c>
      <c r="BC54" s="3735" t="str">
        <f t="shared" si="9"/>
        <v/>
      </c>
      <c r="BD54" s="2162"/>
      <c r="BE54" s="2162"/>
      <c r="BF54"/>
    </row>
    <row r="55" spans="1:58" ht="18">
      <c r="B55" s="2168">
        <f t="shared" si="1"/>
        <v>51</v>
      </c>
      <c r="C55" s="3706" t="s">
        <v>678</v>
      </c>
      <c r="D55" s="3707">
        <v>62.8</v>
      </c>
      <c r="E55" s="3708" t="s">
        <v>677</v>
      </c>
      <c r="F55" s="620" t="s">
        <v>168</v>
      </c>
      <c r="G55" s="619" t="s">
        <v>168</v>
      </c>
      <c r="H55" s="619" t="s">
        <v>168</v>
      </c>
      <c r="I55" s="619" t="s">
        <v>168</v>
      </c>
      <c r="J55" s="619" t="s">
        <v>168</v>
      </c>
      <c r="K55" s="619"/>
      <c r="L55" s="619" t="s">
        <v>168</v>
      </c>
      <c r="M55" s="619" t="s">
        <v>168</v>
      </c>
      <c r="N55" s="619" t="s">
        <v>168</v>
      </c>
      <c r="O55" s="619"/>
      <c r="P55" s="619"/>
      <c r="Q55" s="619"/>
      <c r="R55" s="619"/>
      <c r="S55" s="619"/>
      <c r="T55" s="619"/>
      <c r="U55" s="619"/>
      <c r="V55" s="619"/>
      <c r="W55" s="619"/>
      <c r="X55" s="619"/>
      <c r="Y55" s="619"/>
      <c r="Z55" s="619"/>
      <c r="AA55" s="619"/>
      <c r="AB55" s="619"/>
      <c r="AC55" s="619"/>
      <c r="AD55" s="619" t="s">
        <v>168</v>
      </c>
      <c r="AE55" s="619"/>
      <c r="AF55" s="621"/>
      <c r="AG55" s="2153">
        <f t="shared" si="0"/>
        <v>0</v>
      </c>
      <c r="AP55" s="3733">
        <f t="shared" si="2"/>
        <v>41</v>
      </c>
      <c r="AQ55" s="2162" t="str">
        <f t="shared" si="3"/>
        <v>Herold SC</v>
      </c>
      <c r="AR55" s="2162"/>
      <c r="AS55" s="2162"/>
      <c r="AT55" s="2162"/>
      <c r="AU55" s="2162"/>
      <c r="AV55" s="3734">
        <f t="shared" si="8"/>
        <v>99.7</v>
      </c>
      <c r="AW55" s="3735" t="str">
        <f t="shared" si="8"/>
        <v>H</v>
      </c>
      <c r="AX55" s="2162"/>
      <c r="AY55" s="3733">
        <f t="shared" si="5"/>
        <v>91</v>
      </c>
      <c r="AZ55" s="2162" t="str">
        <f t="shared" si="6"/>
        <v/>
      </c>
      <c r="BA55" s="2162"/>
      <c r="BB55" s="2162" t="str">
        <f t="shared" si="9"/>
        <v/>
      </c>
      <c r="BC55" s="3735" t="str">
        <f t="shared" si="9"/>
        <v/>
      </c>
      <c r="BD55" s="2162"/>
      <c r="BE55" s="2162"/>
      <c r="BF55"/>
    </row>
    <row r="56" spans="1:58" ht="18">
      <c r="B56" s="2168">
        <f t="shared" si="1"/>
        <v>52</v>
      </c>
      <c r="C56" s="3706" t="s">
        <v>676</v>
      </c>
      <c r="D56" s="3707">
        <v>38.700000000000003</v>
      </c>
      <c r="E56" s="3708" t="s">
        <v>654</v>
      </c>
      <c r="F56" s="626"/>
      <c r="G56" s="618"/>
      <c r="H56" s="618"/>
      <c r="I56" s="618"/>
      <c r="J56" s="618"/>
      <c r="K56" s="618"/>
      <c r="L56" s="618"/>
      <c r="M56" s="618"/>
      <c r="N56" s="618"/>
      <c r="O56" s="618"/>
      <c r="P56" s="618"/>
      <c r="Q56" s="618"/>
      <c r="R56" s="618"/>
      <c r="S56" s="618" t="s">
        <v>168</v>
      </c>
      <c r="T56" s="618" t="s">
        <v>168</v>
      </c>
      <c r="U56" s="618"/>
      <c r="V56" s="618"/>
      <c r="W56" s="618"/>
      <c r="X56" s="618"/>
      <c r="Y56" s="618"/>
      <c r="Z56" s="618"/>
      <c r="AA56" s="618" t="s">
        <v>168</v>
      </c>
      <c r="AB56" s="618" t="s">
        <v>168</v>
      </c>
      <c r="AC56" s="618"/>
      <c r="AD56" s="618" t="s">
        <v>168</v>
      </c>
      <c r="AE56" s="618"/>
      <c r="AF56" s="617"/>
      <c r="AG56" s="2153">
        <f t="shared" si="0"/>
        <v>0</v>
      </c>
      <c r="AP56" s="3733">
        <f t="shared" si="2"/>
        <v>42</v>
      </c>
      <c r="AQ56" s="2162" t="str">
        <f t="shared" si="3"/>
        <v>Hoestar Super</v>
      </c>
      <c r="AR56" s="2162"/>
      <c r="AS56" s="2162"/>
      <c r="AT56" s="2162"/>
      <c r="AU56" s="2162"/>
      <c r="AV56" s="3734">
        <f t="shared" si="8"/>
        <v>126.8</v>
      </c>
      <c r="AW56" s="3735" t="str">
        <f t="shared" si="8"/>
        <v>H</v>
      </c>
      <c r="AX56" s="2162"/>
      <c r="AY56" s="3733">
        <f t="shared" si="5"/>
        <v>92</v>
      </c>
      <c r="AZ56" s="2162" t="str">
        <f t="shared" si="6"/>
        <v/>
      </c>
      <c r="BA56" s="2162"/>
      <c r="BB56" s="2162" t="str">
        <f t="shared" si="9"/>
        <v/>
      </c>
      <c r="BC56" s="3735" t="str">
        <f t="shared" si="9"/>
        <v/>
      </c>
      <c r="BD56" s="2162"/>
      <c r="BE56" s="2162"/>
      <c r="BF56"/>
    </row>
    <row r="57" spans="1:58" s="3704" customFormat="1" ht="18">
      <c r="A57" s="3721"/>
      <c r="B57" s="2168">
        <f t="shared" si="1"/>
        <v>53</v>
      </c>
      <c r="C57" s="3706" t="s">
        <v>2087</v>
      </c>
      <c r="D57" s="3707">
        <v>94.1</v>
      </c>
      <c r="E57" s="3708" t="s">
        <v>649</v>
      </c>
      <c r="F57" s="626"/>
      <c r="G57" s="618"/>
      <c r="H57" s="618"/>
      <c r="I57" s="618"/>
      <c r="J57" s="618"/>
      <c r="K57" s="618"/>
      <c r="L57" s="618"/>
      <c r="M57" s="618"/>
      <c r="N57" s="618"/>
      <c r="O57" s="618"/>
      <c r="P57" s="618" t="s">
        <v>168</v>
      </c>
      <c r="Q57" s="618"/>
      <c r="R57" s="618"/>
      <c r="S57" s="618" t="s">
        <v>168</v>
      </c>
      <c r="T57" s="618" t="s">
        <v>168</v>
      </c>
      <c r="U57" s="618"/>
      <c r="V57" s="618"/>
      <c r="W57" s="618"/>
      <c r="X57" s="618"/>
      <c r="Y57" s="618"/>
      <c r="Z57" s="618"/>
      <c r="AA57" s="618"/>
      <c r="AB57" s="618"/>
      <c r="AC57" s="618"/>
      <c r="AD57" s="3793" t="s">
        <v>168</v>
      </c>
      <c r="AE57" s="3793"/>
      <c r="AF57" s="3794"/>
      <c r="AG57" s="3705">
        <f t="shared" si="0"/>
        <v>0</v>
      </c>
      <c r="AP57" s="3736">
        <f t="shared" si="2"/>
        <v>43</v>
      </c>
      <c r="AQ57" s="3717" t="str">
        <f t="shared" si="3"/>
        <v>Infinito</v>
      </c>
      <c r="AR57" s="3717"/>
      <c r="AS57" s="3717"/>
      <c r="AT57" s="3717"/>
      <c r="AU57" s="3717"/>
      <c r="AV57" s="3737">
        <f t="shared" si="8"/>
        <v>25.2</v>
      </c>
      <c r="AW57" s="3738" t="str">
        <f t="shared" si="8"/>
        <v>F</v>
      </c>
      <c r="AY57" s="3736">
        <f t="shared" si="5"/>
        <v>93</v>
      </c>
      <c r="AZ57" s="3717" t="str">
        <f t="shared" si="6"/>
        <v/>
      </c>
      <c r="BA57" s="3717"/>
      <c r="BB57" s="3717" t="str">
        <f t="shared" si="9"/>
        <v/>
      </c>
      <c r="BC57" s="3738" t="str">
        <f t="shared" si="9"/>
        <v/>
      </c>
      <c r="BD57" s="3739"/>
      <c r="BE57" s="3739"/>
      <c r="BF57" s="3739"/>
    </row>
    <row r="58" spans="1:58" ht="18">
      <c r="B58" s="2168">
        <f t="shared" si="1"/>
        <v>54</v>
      </c>
      <c r="C58" s="3706" t="s">
        <v>674</v>
      </c>
      <c r="D58" s="3707">
        <v>545.9</v>
      </c>
      <c r="E58" s="3708" t="s">
        <v>652</v>
      </c>
      <c r="F58" s="626" t="s">
        <v>168</v>
      </c>
      <c r="G58" s="618"/>
      <c r="H58" s="618" t="s">
        <v>168</v>
      </c>
      <c r="I58" s="618" t="s">
        <v>168</v>
      </c>
      <c r="J58" s="618" t="s">
        <v>168</v>
      </c>
      <c r="K58" s="618" t="s">
        <v>168</v>
      </c>
      <c r="L58" s="618" t="s">
        <v>168</v>
      </c>
      <c r="M58" s="618" t="s">
        <v>168</v>
      </c>
      <c r="N58" s="618" t="s">
        <v>168</v>
      </c>
      <c r="O58" s="618"/>
      <c r="P58" s="618"/>
      <c r="Q58" s="618"/>
      <c r="R58" s="618"/>
      <c r="S58" s="618"/>
      <c r="T58" s="618"/>
      <c r="U58" s="618"/>
      <c r="V58" s="618"/>
      <c r="W58" s="618"/>
      <c r="X58" s="618"/>
      <c r="Y58" s="618"/>
      <c r="Z58" s="618"/>
      <c r="AA58" s="618"/>
      <c r="AB58" s="618"/>
      <c r="AC58" s="618"/>
      <c r="AD58" s="618" t="s">
        <v>168</v>
      </c>
      <c r="AE58" s="618" t="s">
        <v>168</v>
      </c>
      <c r="AF58" s="617"/>
      <c r="AG58" s="2153">
        <f t="shared" si="0"/>
        <v>0</v>
      </c>
      <c r="AP58" s="3733">
        <f t="shared" si="2"/>
        <v>44</v>
      </c>
      <c r="AQ58" s="2162" t="str">
        <f t="shared" si="3"/>
        <v>Input Classic</v>
      </c>
      <c r="AR58" s="2162"/>
      <c r="AS58" s="2162"/>
      <c r="AT58" s="2162"/>
      <c r="AU58" s="2162"/>
      <c r="AV58" s="3734">
        <f t="shared" si="8"/>
        <v>52.8</v>
      </c>
      <c r="AW58" s="3735" t="str">
        <f t="shared" si="8"/>
        <v>F</v>
      </c>
      <c r="AY58" s="3733">
        <f t="shared" si="5"/>
        <v>94</v>
      </c>
      <c r="AZ58" s="2162" t="str">
        <f t="shared" si="6"/>
        <v/>
      </c>
      <c r="BA58" s="2162"/>
      <c r="BB58" s="2162" t="str">
        <f t="shared" si="9"/>
        <v/>
      </c>
      <c r="BC58" s="3735" t="str">
        <f t="shared" si="9"/>
        <v/>
      </c>
    </row>
    <row r="59" spans="1:58" s="3704" customFormat="1" ht="18">
      <c r="A59" s="3721"/>
      <c r="B59" s="2168">
        <f t="shared" si="1"/>
        <v>55</v>
      </c>
      <c r="C59" s="3706" t="s">
        <v>673</v>
      </c>
      <c r="D59" s="3707">
        <v>11.2</v>
      </c>
      <c r="E59" s="3708" t="s">
        <v>654</v>
      </c>
      <c r="F59" s="626"/>
      <c r="G59" s="618"/>
      <c r="H59" s="618"/>
      <c r="I59" s="618"/>
      <c r="J59" s="618"/>
      <c r="K59" s="618"/>
      <c r="L59" s="618"/>
      <c r="M59" s="618"/>
      <c r="N59" s="618"/>
      <c r="O59" s="618"/>
      <c r="P59" s="618"/>
      <c r="Q59" s="618"/>
      <c r="R59" s="618"/>
      <c r="S59" s="618"/>
      <c r="T59" s="618"/>
      <c r="U59" s="618"/>
      <c r="V59" s="618"/>
      <c r="W59" s="618"/>
      <c r="X59" s="618"/>
      <c r="Y59" s="618"/>
      <c r="Z59" s="618"/>
      <c r="AA59" s="618"/>
      <c r="AB59" s="618" t="s">
        <v>168</v>
      </c>
      <c r="AC59" s="618"/>
      <c r="AD59" s="3793" t="s">
        <v>168</v>
      </c>
      <c r="AE59" s="3793"/>
      <c r="AF59" s="3794"/>
      <c r="AG59" s="3705">
        <f t="shared" si="0"/>
        <v>0</v>
      </c>
      <c r="AP59" s="3736">
        <f t="shared" si="2"/>
        <v>45</v>
      </c>
      <c r="AQ59" s="3717" t="str">
        <f t="shared" si="3"/>
        <v>Input Xpro</v>
      </c>
      <c r="AR59" s="3717"/>
      <c r="AS59" s="3717"/>
      <c r="AT59" s="3717"/>
      <c r="AU59" s="3717"/>
      <c r="AV59" s="3737">
        <f t="shared" si="8"/>
        <v>52.7</v>
      </c>
      <c r="AW59" s="3738" t="str">
        <f t="shared" si="8"/>
        <v>F</v>
      </c>
      <c r="AY59" s="3736">
        <f t="shared" si="5"/>
        <v>95</v>
      </c>
      <c r="AZ59" s="3717" t="str">
        <f t="shared" si="6"/>
        <v/>
      </c>
      <c r="BA59" s="3717"/>
      <c r="BB59" s="3717" t="str">
        <f t="shared" si="9"/>
        <v/>
      </c>
      <c r="BC59" s="3738" t="str">
        <f t="shared" si="9"/>
        <v/>
      </c>
    </row>
    <row r="60" spans="1:58" ht="18">
      <c r="B60" s="2168">
        <f t="shared" si="1"/>
        <v>56</v>
      </c>
      <c r="C60" s="3706" t="s">
        <v>672</v>
      </c>
      <c r="D60" s="3707">
        <v>130.1</v>
      </c>
      <c r="E60" s="3708" t="s">
        <v>652</v>
      </c>
      <c r="F60" s="626" t="s">
        <v>168</v>
      </c>
      <c r="G60" s="618" t="s">
        <v>168</v>
      </c>
      <c r="H60" s="618" t="s">
        <v>168</v>
      </c>
      <c r="I60" s="618" t="s">
        <v>168</v>
      </c>
      <c r="J60" s="618" t="s">
        <v>168</v>
      </c>
      <c r="K60" s="618" t="s">
        <v>168</v>
      </c>
      <c r="L60" s="618" t="s">
        <v>168</v>
      </c>
      <c r="M60" s="618" t="s">
        <v>168</v>
      </c>
      <c r="N60" s="618" t="s">
        <v>168</v>
      </c>
      <c r="O60" s="618" t="s">
        <v>168</v>
      </c>
      <c r="P60" s="618"/>
      <c r="Q60" s="618"/>
      <c r="R60" s="618"/>
      <c r="S60" s="618"/>
      <c r="T60" s="618"/>
      <c r="U60" s="618"/>
      <c r="V60" s="618"/>
      <c r="W60" s="618"/>
      <c r="X60" s="618"/>
      <c r="Y60" s="618"/>
      <c r="Z60" s="618"/>
      <c r="AA60" s="618"/>
      <c r="AB60" s="618"/>
      <c r="AC60" s="618"/>
      <c r="AD60" s="618" t="s">
        <v>168</v>
      </c>
      <c r="AE60" s="618"/>
      <c r="AF60" s="617"/>
      <c r="AG60" s="2153">
        <f t="shared" si="0"/>
        <v>0</v>
      </c>
      <c r="AP60" s="3733">
        <f t="shared" si="2"/>
        <v>46</v>
      </c>
      <c r="AQ60" s="2162" t="str">
        <f t="shared" si="3"/>
        <v>Metafol SC</v>
      </c>
      <c r="AR60" s="2162"/>
      <c r="AS60" s="2162"/>
      <c r="AT60" s="2162"/>
      <c r="AU60" s="2162"/>
      <c r="AV60" s="3745">
        <f t="shared" si="8"/>
        <v>30.2</v>
      </c>
      <c r="AW60" s="3735" t="str">
        <f t="shared" si="8"/>
        <v>H</v>
      </c>
      <c r="AX60"/>
      <c r="AY60" s="3733">
        <f t="shared" si="5"/>
        <v>96</v>
      </c>
      <c r="AZ60" s="2162" t="str">
        <f t="shared" si="6"/>
        <v/>
      </c>
      <c r="BA60" s="2162"/>
      <c r="BB60" s="2162" t="str">
        <f t="shared" si="9"/>
        <v/>
      </c>
      <c r="BC60" s="3735" t="str">
        <f t="shared" si="9"/>
        <v/>
      </c>
    </row>
    <row r="61" spans="1:58" ht="18">
      <c r="B61" s="2168">
        <f t="shared" si="1"/>
        <v>57</v>
      </c>
      <c r="C61" s="3706" t="s">
        <v>671</v>
      </c>
      <c r="D61" s="3707">
        <v>55.3</v>
      </c>
      <c r="E61" s="3708" t="s">
        <v>654</v>
      </c>
      <c r="F61" s="626"/>
      <c r="G61" s="618"/>
      <c r="H61" s="618"/>
      <c r="I61" s="618"/>
      <c r="J61" s="618"/>
      <c r="K61" s="618"/>
      <c r="L61" s="618"/>
      <c r="M61" s="618"/>
      <c r="N61" s="618"/>
      <c r="O61" s="618"/>
      <c r="P61" s="618"/>
      <c r="Q61" s="618"/>
      <c r="R61" s="618"/>
      <c r="S61" s="618" t="s">
        <v>168</v>
      </c>
      <c r="T61" s="618" t="s">
        <v>168</v>
      </c>
      <c r="U61" s="618"/>
      <c r="V61" s="618"/>
      <c r="W61" s="618"/>
      <c r="X61" s="618"/>
      <c r="Y61" s="618"/>
      <c r="Z61" s="618"/>
      <c r="AA61" s="618"/>
      <c r="AB61" s="618"/>
      <c r="AC61" s="618"/>
      <c r="AD61" s="618" t="s">
        <v>168</v>
      </c>
      <c r="AE61" s="618"/>
      <c r="AF61" s="617"/>
      <c r="AG61" s="2153">
        <f t="shared" si="0"/>
        <v>0</v>
      </c>
      <c r="AP61" s="3733">
        <f t="shared" si="2"/>
        <v>47</v>
      </c>
      <c r="AQ61" s="3734" t="str">
        <f t="shared" si="3"/>
        <v>Karate Zeon</v>
      </c>
      <c r="AR61" s="2162"/>
      <c r="AS61" s="2162"/>
      <c r="AT61" s="2162"/>
      <c r="AU61" s="2162"/>
      <c r="AV61" s="3734">
        <f t="shared" si="8"/>
        <v>137.9</v>
      </c>
      <c r="AW61" s="3735" t="str">
        <f t="shared" si="8"/>
        <v>I</v>
      </c>
      <c r="AY61" s="3733">
        <f t="shared" si="5"/>
        <v>97</v>
      </c>
      <c r="AZ61" s="2162" t="str">
        <f t="shared" si="6"/>
        <v/>
      </c>
      <c r="BA61" s="2162"/>
      <c r="BB61" s="2162" t="str">
        <f t="shared" si="9"/>
        <v/>
      </c>
      <c r="BC61" s="3735" t="str">
        <f t="shared" si="9"/>
        <v/>
      </c>
    </row>
    <row r="62" spans="1:58" ht="18">
      <c r="B62" s="2168">
        <f t="shared" si="1"/>
        <v>58</v>
      </c>
      <c r="C62" s="3706" t="s">
        <v>670</v>
      </c>
      <c r="D62" s="3707">
        <v>51.6</v>
      </c>
      <c r="E62" s="3708" t="s">
        <v>654</v>
      </c>
      <c r="F62" s="626"/>
      <c r="G62" s="618"/>
      <c r="H62" s="618"/>
      <c r="I62" s="618"/>
      <c r="J62" s="618"/>
      <c r="K62" s="618"/>
      <c r="L62" s="618"/>
      <c r="M62" s="618"/>
      <c r="N62" s="618"/>
      <c r="O62" s="618"/>
      <c r="P62" s="618"/>
      <c r="Q62" s="618"/>
      <c r="R62" s="618"/>
      <c r="S62" s="618" t="s">
        <v>168</v>
      </c>
      <c r="T62" s="618" t="s">
        <v>168</v>
      </c>
      <c r="U62" s="618"/>
      <c r="V62" s="618"/>
      <c r="W62" s="618"/>
      <c r="X62" s="618"/>
      <c r="Y62" s="618"/>
      <c r="Z62" s="618"/>
      <c r="AA62" s="618"/>
      <c r="AB62" s="618"/>
      <c r="AC62" s="618"/>
      <c r="AD62" s="618" t="s">
        <v>168</v>
      </c>
      <c r="AE62" s="618"/>
      <c r="AF62" s="617"/>
      <c r="AG62" s="2153">
        <f t="shared" si="0"/>
        <v>0</v>
      </c>
      <c r="AP62" s="3733">
        <f t="shared" si="2"/>
        <v>48</v>
      </c>
      <c r="AQ62" s="3734" t="str">
        <f t="shared" si="3"/>
        <v>Mais Banvel WG</v>
      </c>
      <c r="AR62" s="2162"/>
      <c r="AS62" s="2162"/>
      <c r="AT62" s="2162"/>
      <c r="AU62" s="2162"/>
      <c r="AV62" s="3734">
        <f t="shared" si="8"/>
        <v>67.099999999999994</v>
      </c>
      <c r="AW62" s="3735" t="str">
        <f t="shared" si="8"/>
        <v>H</v>
      </c>
      <c r="AY62" s="3733">
        <f t="shared" si="5"/>
        <v>98</v>
      </c>
      <c r="AZ62" s="2162" t="str">
        <f t="shared" si="6"/>
        <v/>
      </c>
      <c r="BA62" s="2162"/>
      <c r="BB62" s="2162" t="str">
        <f t="shared" si="9"/>
        <v/>
      </c>
      <c r="BC62" s="3735" t="str">
        <f t="shared" si="9"/>
        <v/>
      </c>
    </row>
    <row r="63" spans="1:58" ht="18">
      <c r="B63" s="2168">
        <f t="shared" si="1"/>
        <v>59</v>
      </c>
      <c r="C63" s="3706" t="s">
        <v>669</v>
      </c>
      <c r="D63" s="3707">
        <v>51.1</v>
      </c>
      <c r="E63" s="3708" t="s">
        <v>654</v>
      </c>
      <c r="F63" s="626" t="s">
        <v>168</v>
      </c>
      <c r="G63" s="618" t="s">
        <v>168</v>
      </c>
      <c r="H63" s="618" t="s">
        <v>168</v>
      </c>
      <c r="I63" s="618" t="s">
        <v>168</v>
      </c>
      <c r="J63" s="618" t="s">
        <v>168</v>
      </c>
      <c r="K63" s="618" t="s">
        <v>168</v>
      </c>
      <c r="L63" s="618" t="s">
        <v>168</v>
      </c>
      <c r="M63" s="618" t="s">
        <v>168</v>
      </c>
      <c r="N63" s="618"/>
      <c r="O63" s="618" t="s">
        <v>168</v>
      </c>
      <c r="P63" s="618" t="s">
        <v>168</v>
      </c>
      <c r="Q63" s="618"/>
      <c r="R63" s="618"/>
      <c r="S63" s="618" t="s">
        <v>168</v>
      </c>
      <c r="T63" s="618" t="s">
        <v>168</v>
      </c>
      <c r="U63" s="618"/>
      <c r="V63" s="618"/>
      <c r="W63" s="618"/>
      <c r="X63" s="618"/>
      <c r="Y63" s="618"/>
      <c r="Z63" s="618"/>
      <c r="AA63" s="618"/>
      <c r="AB63" s="618"/>
      <c r="AC63" s="618"/>
      <c r="AD63" s="618" t="s">
        <v>168</v>
      </c>
      <c r="AE63" s="618"/>
      <c r="AF63" s="617"/>
      <c r="AG63" s="2153">
        <f t="shared" si="0"/>
        <v>0</v>
      </c>
      <c r="AP63" s="3733">
        <f t="shared" si="2"/>
        <v>49</v>
      </c>
      <c r="AQ63" s="3734" t="str">
        <f t="shared" si="3"/>
        <v>MaisTer Power</v>
      </c>
      <c r="AR63" s="2162"/>
      <c r="AS63" s="2162"/>
      <c r="AT63" s="2162"/>
      <c r="AU63" s="2162"/>
      <c r="AV63" s="3734">
        <f t="shared" si="8"/>
        <v>44.8</v>
      </c>
      <c r="AW63" s="3735" t="str">
        <f t="shared" si="8"/>
        <v>H</v>
      </c>
      <c r="AY63" s="3733">
        <f t="shared" si="5"/>
        <v>99</v>
      </c>
      <c r="AZ63" s="2162" t="str">
        <f t="shared" si="6"/>
        <v/>
      </c>
      <c r="BA63" s="2162"/>
      <c r="BB63" s="2162" t="str">
        <f t="shared" si="9"/>
        <v/>
      </c>
      <c r="BC63" s="3735" t="str">
        <f t="shared" si="9"/>
        <v/>
      </c>
    </row>
    <row r="64" spans="1:58" ht="18">
      <c r="B64" s="2168">
        <f t="shared" si="1"/>
        <v>60</v>
      </c>
      <c r="C64" s="3706" t="s">
        <v>668</v>
      </c>
      <c r="D64" s="3707">
        <v>71.900000000000006</v>
      </c>
      <c r="E64" s="3708" t="s">
        <v>654</v>
      </c>
      <c r="F64" s="626"/>
      <c r="G64" s="618"/>
      <c r="H64" s="618"/>
      <c r="I64" s="618"/>
      <c r="J64" s="618"/>
      <c r="K64" s="618"/>
      <c r="L64" s="618"/>
      <c r="M64" s="618"/>
      <c r="N64" s="618"/>
      <c r="O64" s="618"/>
      <c r="P64" s="618"/>
      <c r="Q64" s="618"/>
      <c r="R64" s="618"/>
      <c r="S64" s="618"/>
      <c r="T64" s="618"/>
      <c r="U64" s="618"/>
      <c r="V64" s="618"/>
      <c r="W64" s="618"/>
      <c r="X64" s="618"/>
      <c r="Y64" s="618"/>
      <c r="Z64" s="618"/>
      <c r="AA64" s="618"/>
      <c r="AB64" s="618" t="s">
        <v>168</v>
      </c>
      <c r="AC64" s="618"/>
      <c r="AD64" s="618" t="s">
        <v>168</v>
      </c>
      <c r="AE64" s="618"/>
      <c r="AF64" s="617"/>
      <c r="AG64" s="2153">
        <f t="shared" si="0"/>
        <v>0</v>
      </c>
      <c r="AP64" s="3746">
        <f t="shared" si="2"/>
        <v>50</v>
      </c>
      <c r="AQ64" s="3747" t="str">
        <f t="shared" si="3"/>
        <v>Malibu</v>
      </c>
      <c r="AR64" s="2156"/>
      <c r="AS64" s="2156"/>
      <c r="AT64" s="2156"/>
      <c r="AU64" s="2156"/>
      <c r="AV64" s="3747">
        <f t="shared" si="8"/>
        <v>17.7</v>
      </c>
      <c r="AW64" s="3748" t="str">
        <f t="shared" si="8"/>
        <v>H</v>
      </c>
      <c r="AY64" s="3746"/>
      <c r="AZ64" s="2156" t="str">
        <f t="shared" si="6"/>
        <v/>
      </c>
      <c r="BA64" s="2156"/>
      <c r="BB64" s="2156" t="str">
        <f t="shared" si="9"/>
        <v/>
      </c>
      <c r="BC64" s="3748" t="str">
        <f t="shared" si="9"/>
        <v/>
      </c>
    </row>
    <row r="65" spans="1:33" ht="18">
      <c r="B65" s="2168">
        <f t="shared" si="1"/>
        <v>61</v>
      </c>
      <c r="C65" s="3706" t="s">
        <v>667</v>
      </c>
      <c r="D65" s="3707">
        <v>53.4</v>
      </c>
      <c r="E65" s="3708" t="s">
        <v>654</v>
      </c>
      <c r="F65" s="626"/>
      <c r="G65" s="618"/>
      <c r="H65" s="618"/>
      <c r="I65" s="618"/>
      <c r="J65" s="618"/>
      <c r="K65" s="618"/>
      <c r="L65" s="618"/>
      <c r="M65" s="618"/>
      <c r="N65" s="618"/>
      <c r="O65" s="618"/>
      <c r="P65" s="618"/>
      <c r="Q65" s="618"/>
      <c r="R65" s="618"/>
      <c r="S65" s="618"/>
      <c r="T65" s="618"/>
      <c r="U65" s="618"/>
      <c r="V65" s="618"/>
      <c r="W65" s="618"/>
      <c r="X65" s="618"/>
      <c r="Y65" s="618" t="s">
        <v>168</v>
      </c>
      <c r="Z65" s="618"/>
      <c r="AA65" s="618"/>
      <c r="AB65" s="618" t="s">
        <v>168</v>
      </c>
      <c r="AC65" s="618"/>
      <c r="AD65" s="618" t="s">
        <v>168</v>
      </c>
      <c r="AE65" s="618"/>
      <c r="AF65" s="617"/>
      <c r="AG65" s="2153">
        <f t="shared" si="0"/>
        <v>0</v>
      </c>
    </row>
    <row r="66" spans="1:33" s="3704" customFormat="1" ht="18">
      <c r="A66" s="3721"/>
      <c r="B66" s="2168">
        <f t="shared" si="1"/>
        <v>62</v>
      </c>
      <c r="C66" s="3706" t="s">
        <v>666</v>
      </c>
      <c r="D66" s="3707">
        <v>19.8</v>
      </c>
      <c r="E66" s="3708" t="s">
        <v>652</v>
      </c>
      <c r="F66" s="626"/>
      <c r="G66" s="618"/>
      <c r="H66" s="618"/>
      <c r="I66" s="618"/>
      <c r="J66" s="618"/>
      <c r="K66" s="618"/>
      <c r="L66" s="618"/>
      <c r="M66" s="618"/>
      <c r="N66" s="618"/>
      <c r="O66" s="618"/>
      <c r="P66" s="618"/>
      <c r="Q66" s="618"/>
      <c r="R66" s="618"/>
      <c r="S66" s="618"/>
      <c r="T66" s="618"/>
      <c r="U66" s="618"/>
      <c r="V66" s="618" t="s">
        <v>168</v>
      </c>
      <c r="W66" s="618"/>
      <c r="X66" s="618"/>
      <c r="Y66" s="618" t="s">
        <v>168</v>
      </c>
      <c r="Z66" s="618"/>
      <c r="AA66" s="618"/>
      <c r="AB66" s="618"/>
      <c r="AC66" s="618"/>
      <c r="AD66" s="3793" t="s">
        <v>168</v>
      </c>
      <c r="AE66" s="3793"/>
      <c r="AF66" s="3794"/>
      <c r="AG66" s="3705">
        <f t="shared" si="0"/>
        <v>0</v>
      </c>
    </row>
    <row r="67" spans="1:33" ht="18">
      <c r="B67" s="2168">
        <f t="shared" si="1"/>
        <v>63</v>
      </c>
      <c r="C67" s="3706" t="s">
        <v>665</v>
      </c>
      <c r="D67" s="3707">
        <v>30.2</v>
      </c>
      <c r="E67" s="3708" t="s">
        <v>652</v>
      </c>
      <c r="F67" s="626"/>
      <c r="G67" s="618"/>
      <c r="H67" s="618"/>
      <c r="I67" s="618"/>
      <c r="J67" s="618"/>
      <c r="K67" s="618"/>
      <c r="L67" s="618"/>
      <c r="M67" s="618"/>
      <c r="N67" s="618"/>
      <c r="O67" s="618"/>
      <c r="P67" s="618"/>
      <c r="Q67" s="618"/>
      <c r="R67" s="618"/>
      <c r="S67" s="618"/>
      <c r="T67" s="618"/>
      <c r="U67" s="618"/>
      <c r="V67" s="618"/>
      <c r="W67" s="618"/>
      <c r="X67" s="618"/>
      <c r="Y67" s="618"/>
      <c r="Z67" s="618"/>
      <c r="AA67" s="618"/>
      <c r="AB67" s="618"/>
      <c r="AC67" s="618"/>
      <c r="AD67" s="618" t="s">
        <v>168</v>
      </c>
      <c r="AE67" s="618"/>
      <c r="AF67" s="617"/>
      <c r="AG67" s="2153">
        <f t="shared" si="0"/>
        <v>0</v>
      </c>
    </row>
    <row r="68" spans="1:33" ht="18">
      <c r="B68" s="2168">
        <f t="shared" si="1"/>
        <v>64</v>
      </c>
      <c r="C68" s="3706" t="s">
        <v>2084</v>
      </c>
      <c r="D68" s="3707">
        <v>47.3</v>
      </c>
      <c r="E68" s="3708" t="s">
        <v>654</v>
      </c>
      <c r="F68" s="626" t="s">
        <v>168</v>
      </c>
      <c r="G68" s="618" t="s">
        <v>168</v>
      </c>
      <c r="H68" s="618" t="s">
        <v>168</v>
      </c>
      <c r="I68" s="618" t="s">
        <v>168</v>
      </c>
      <c r="J68" s="618" t="s">
        <v>168</v>
      </c>
      <c r="K68" s="618" t="s">
        <v>168</v>
      </c>
      <c r="L68" s="618" t="s">
        <v>168</v>
      </c>
      <c r="M68" s="618" t="s">
        <v>168</v>
      </c>
      <c r="N68" s="618" t="s">
        <v>168</v>
      </c>
      <c r="O68" s="618" t="s">
        <v>168</v>
      </c>
      <c r="P68" s="618"/>
      <c r="Q68" s="618"/>
      <c r="R68" s="618"/>
      <c r="S68" s="618"/>
      <c r="T68" s="618"/>
      <c r="U68" s="618"/>
      <c r="V68" s="618"/>
      <c r="W68" s="618"/>
      <c r="X68" s="618"/>
      <c r="Y68" s="618"/>
      <c r="Z68" s="618"/>
      <c r="AA68" s="618"/>
      <c r="AB68" s="618"/>
      <c r="AC68" s="618"/>
      <c r="AD68" s="618" t="s">
        <v>168</v>
      </c>
      <c r="AE68" s="618"/>
      <c r="AF68" s="617"/>
      <c r="AG68" s="2153">
        <f t="shared" si="0"/>
        <v>0</v>
      </c>
    </row>
    <row r="69" spans="1:33" s="3704" customFormat="1" ht="18">
      <c r="A69" s="3721"/>
      <c r="B69" s="2168">
        <f t="shared" si="1"/>
        <v>65</v>
      </c>
      <c r="C69" s="3706" t="s">
        <v>2085</v>
      </c>
      <c r="D69" s="3707">
        <v>34.700000000000003</v>
      </c>
      <c r="E69" s="3708" t="s">
        <v>654</v>
      </c>
      <c r="F69" s="626" t="s">
        <v>168</v>
      </c>
      <c r="G69" s="618" t="s">
        <v>168</v>
      </c>
      <c r="H69" s="618" t="s">
        <v>168</v>
      </c>
      <c r="I69" s="618" t="s">
        <v>168</v>
      </c>
      <c r="J69" s="618" t="s">
        <v>168</v>
      </c>
      <c r="K69" s="618" t="s">
        <v>168</v>
      </c>
      <c r="L69" s="618" t="s">
        <v>168</v>
      </c>
      <c r="M69" s="618" t="s">
        <v>168</v>
      </c>
      <c r="N69" s="618"/>
      <c r="O69" s="618" t="s">
        <v>168</v>
      </c>
      <c r="P69" s="618"/>
      <c r="Q69" s="618"/>
      <c r="R69" s="618"/>
      <c r="S69" s="618"/>
      <c r="T69" s="618"/>
      <c r="U69" s="618"/>
      <c r="V69" s="618"/>
      <c r="W69" s="618"/>
      <c r="X69" s="618"/>
      <c r="Y69" s="618"/>
      <c r="Z69" s="618"/>
      <c r="AA69" s="618"/>
      <c r="AB69" s="618"/>
      <c r="AC69" s="618"/>
      <c r="AD69" s="3793" t="s">
        <v>168</v>
      </c>
      <c r="AE69" s="3793"/>
      <c r="AF69" s="3794"/>
      <c r="AG69" s="3705">
        <f t="shared" ref="AG69:AG103" si="10">IF(AND(I69="x",X69="x"),1,0)</f>
        <v>0</v>
      </c>
    </row>
    <row r="70" spans="1:33" ht="18">
      <c r="B70" s="2168">
        <f t="shared" ref="B70:B103" si="11">B69+1</f>
        <v>66</v>
      </c>
      <c r="C70" s="3706" t="s">
        <v>662</v>
      </c>
      <c r="D70" s="3707">
        <v>73.8</v>
      </c>
      <c r="E70" s="3708" t="s">
        <v>652</v>
      </c>
      <c r="F70" s="626"/>
      <c r="G70" s="618"/>
      <c r="H70" s="618"/>
      <c r="I70" s="618"/>
      <c r="J70" s="618"/>
      <c r="K70" s="618"/>
      <c r="L70" s="618"/>
      <c r="M70" s="618"/>
      <c r="N70" s="618"/>
      <c r="O70" s="618"/>
      <c r="P70" s="618"/>
      <c r="Q70" s="618"/>
      <c r="R70" s="618"/>
      <c r="S70" s="618" t="s">
        <v>168</v>
      </c>
      <c r="T70" s="618"/>
      <c r="U70" s="618"/>
      <c r="V70" s="618"/>
      <c r="W70" s="618"/>
      <c r="X70" s="618" t="s">
        <v>168</v>
      </c>
      <c r="Y70" s="618"/>
      <c r="Z70" s="618"/>
      <c r="AA70" s="618"/>
      <c r="AB70" s="618"/>
      <c r="AC70" s="618"/>
      <c r="AD70" s="618" t="s">
        <v>168</v>
      </c>
      <c r="AE70" s="618"/>
      <c r="AF70" s="617"/>
      <c r="AG70" s="2153">
        <f t="shared" si="10"/>
        <v>0</v>
      </c>
    </row>
    <row r="71" spans="1:33" ht="18">
      <c r="B71" s="2168">
        <f t="shared" si="11"/>
        <v>67</v>
      </c>
      <c r="C71" s="3706" t="s">
        <v>661</v>
      </c>
      <c r="D71" s="3707">
        <v>52.5</v>
      </c>
      <c r="E71" s="3708" t="s">
        <v>652</v>
      </c>
      <c r="F71" s="626"/>
      <c r="G71" s="618"/>
      <c r="H71" s="618"/>
      <c r="I71" s="618"/>
      <c r="J71" s="618"/>
      <c r="K71" s="618"/>
      <c r="L71" s="618"/>
      <c r="M71" s="618"/>
      <c r="N71" s="618"/>
      <c r="O71" s="618"/>
      <c r="P71" s="618"/>
      <c r="Q71" s="618"/>
      <c r="R71" s="618"/>
      <c r="S71" s="618"/>
      <c r="T71" s="618"/>
      <c r="U71" s="618"/>
      <c r="V71" s="618" t="s">
        <v>168</v>
      </c>
      <c r="W71" s="618"/>
      <c r="X71" s="618"/>
      <c r="Y71" s="618"/>
      <c r="Z71" s="618"/>
      <c r="AA71" s="618"/>
      <c r="AB71" s="618" t="s">
        <v>168</v>
      </c>
      <c r="AC71" s="618"/>
      <c r="AD71" s="618" t="s">
        <v>168</v>
      </c>
      <c r="AE71" s="618"/>
      <c r="AF71" s="617"/>
      <c r="AG71" s="2153">
        <f t="shared" si="10"/>
        <v>0</v>
      </c>
    </row>
    <row r="72" spans="1:33" ht="18">
      <c r="B72" s="2168">
        <f t="shared" si="11"/>
        <v>68</v>
      </c>
      <c r="C72" s="3706" t="s">
        <v>660</v>
      </c>
      <c r="D72" s="3707">
        <v>40</v>
      </c>
      <c r="E72" s="3708" t="s">
        <v>654</v>
      </c>
      <c r="F72" s="626"/>
      <c r="G72" s="618"/>
      <c r="H72" s="618"/>
      <c r="I72" s="618"/>
      <c r="J72" s="618"/>
      <c r="K72" s="618"/>
      <c r="L72" s="618"/>
      <c r="M72" s="618"/>
      <c r="N72" s="618"/>
      <c r="O72" s="618"/>
      <c r="P72" s="618"/>
      <c r="Q72" s="618"/>
      <c r="R72" s="618"/>
      <c r="S72" s="618"/>
      <c r="T72" s="618"/>
      <c r="U72" s="618"/>
      <c r="V72" s="618"/>
      <c r="W72" s="618"/>
      <c r="X72" s="618"/>
      <c r="Y72" s="618"/>
      <c r="Z72" s="618"/>
      <c r="AA72" s="618"/>
      <c r="AB72" s="618" t="s">
        <v>168</v>
      </c>
      <c r="AC72" s="618"/>
      <c r="AD72" s="618" t="s">
        <v>168</v>
      </c>
      <c r="AE72" s="618"/>
      <c r="AF72" s="617"/>
      <c r="AG72" s="2153">
        <f t="shared" si="10"/>
        <v>0</v>
      </c>
    </row>
    <row r="73" spans="1:33" ht="18">
      <c r="B73" s="2168">
        <f t="shared" si="11"/>
        <v>69</v>
      </c>
      <c r="C73" s="3706" t="s">
        <v>2064</v>
      </c>
      <c r="D73" s="3707">
        <v>19.399999999999999</v>
      </c>
      <c r="E73" s="3708" t="s">
        <v>652</v>
      </c>
      <c r="F73" s="626"/>
      <c r="G73" s="618"/>
      <c r="H73" s="618"/>
      <c r="I73" s="618"/>
      <c r="J73" s="618"/>
      <c r="K73" s="618"/>
      <c r="L73" s="618"/>
      <c r="M73" s="618"/>
      <c r="N73" s="618"/>
      <c r="O73" s="618"/>
      <c r="P73" s="618"/>
      <c r="Q73" s="618"/>
      <c r="R73" s="618" t="s">
        <v>168</v>
      </c>
      <c r="S73" s="618"/>
      <c r="T73" s="618"/>
      <c r="U73" s="618" t="s">
        <v>168</v>
      </c>
      <c r="V73" s="618" t="s">
        <v>168</v>
      </c>
      <c r="W73" s="618"/>
      <c r="X73" s="618" t="s">
        <v>168</v>
      </c>
      <c r="Y73" s="618" t="s">
        <v>168</v>
      </c>
      <c r="Z73" s="618" t="s">
        <v>168</v>
      </c>
      <c r="AA73" s="618"/>
      <c r="AB73" s="618"/>
      <c r="AC73" s="618"/>
      <c r="AD73" s="618" t="s">
        <v>168</v>
      </c>
      <c r="AE73" s="618"/>
      <c r="AF73" s="617"/>
      <c r="AG73" s="2153">
        <f t="shared" si="10"/>
        <v>0</v>
      </c>
    </row>
    <row r="74" spans="1:33" ht="18">
      <c r="B74" s="2168">
        <f t="shared" si="11"/>
        <v>70</v>
      </c>
      <c r="C74" s="3706" t="s">
        <v>659</v>
      </c>
      <c r="D74" s="3707">
        <v>21</v>
      </c>
      <c r="E74" s="3708" t="s">
        <v>652</v>
      </c>
      <c r="F74" s="626" t="s">
        <v>168</v>
      </c>
      <c r="G74" s="618"/>
      <c r="H74" s="618" t="s">
        <v>168</v>
      </c>
      <c r="I74" s="618" t="s">
        <v>168</v>
      </c>
      <c r="J74" s="618" t="s">
        <v>168</v>
      </c>
      <c r="K74" s="618" t="s">
        <v>168</v>
      </c>
      <c r="L74" s="618" t="s">
        <v>168</v>
      </c>
      <c r="M74" s="618" t="s">
        <v>168</v>
      </c>
      <c r="N74" s="618" t="s">
        <v>168</v>
      </c>
      <c r="O74" s="618" t="s">
        <v>168</v>
      </c>
      <c r="P74" s="618" t="s">
        <v>168</v>
      </c>
      <c r="Q74" s="618"/>
      <c r="R74" s="618"/>
      <c r="S74" s="618"/>
      <c r="T74" s="618"/>
      <c r="U74" s="618"/>
      <c r="V74" s="618"/>
      <c r="W74" s="618"/>
      <c r="X74" s="618"/>
      <c r="Y74" s="618"/>
      <c r="Z74" s="618"/>
      <c r="AA74" s="618"/>
      <c r="AB74" s="618"/>
      <c r="AC74" s="618"/>
      <c r="AD74" s="618" t="s">
        <v>168</v>
      </c>
      <c r="AE74" s="618"/>
      <c r="AF74" s="617"/>
      <c r="AG74" s="2153">
        <f t="shared" si="10"/>
        <v>0</v>
      </c>
    </row>
    <row r="75" spans="1:33" s="3704" customFormat="1" ht="18">
      <c r="A75" s="3721"/>
      <c r="B75" s="2168">
        <f t="shared" si="11"/>
        <v>71</v>
      </c>
      <c r="C75" s="3706"/>
      <c r="D75" s="3707"/>
      <c r="E75" s="3708"/>
      <c r="F75" s="626"/>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3793"/>
      <c r="AE75" s="3793"/>
      <c r="AF75" s="3794"/>
      <c r="AG75" s="3705">
        <f t="shared" si="10"/>
        <v>0</v>
      </c>
    </row>
    <row r="76" spans="1:33" ht="18">
      <c r="B76" s="2168">
        <f t="shared" si="11"/>
        <v>72</v>
      </c>
      <c r="C76" s="3706" t="s">
        <v>657</v>
      </c>
      <c r="D76" s="3707">
        <v>17.7</v>
      </c>
      <c r="E76" s="3708" t="s">
        <v>652</v>
      </c>
      <c r="F76" s="626" t="s">
        <v>168</v>
      </c>
      <c r="G76" s="618" t="s">
        <v>168</v>
      </c>
      <c r="H76" s="618" t="s">
        <v>168</v>
      </c>
      <c r="I76" s="618" t="s">
        <v>168</v>
      </c>
      <c r="J76" s="618" t="s">
        <v>168</v>
      </c>
      <c r="K76" s="618"/>
      <c r="L76" s="618"/>
      <c r="M76" s="618"/>
      <c r="N76" s="618"/>
      <c r="O76" s="618"/>
      <c r="P76" s="618"/>
      <c r="Q76" s="618" t="s">
        <v>168</v>
      </c>
      <c r="R76" s="618" t="s">
        <v>168</v>
      </c>
      <c r="S76" s="618" t="s">
        <v>168</v>
      </c>
      <c r="T76" s="618" t="s">
        <v>168</v>
      </c>
      <c r="U76" s="618" t="s">
        <v>168</v>
      </c>
      <c r="V76" s="618" t="s">
        <v>168</v>
      </c>
      <c r="W76" s="618"/>
      <c r="X76" s="618" t="s">
        <v>168</v>
      </c>
      <c r="Y76" s="618" t="s">
        <v>168</v>
      </c>
      <c r="Z76" s="618" t="s">
        <v>168</v>
      </c>
      <c r="AA76" s="618"/>
      <c r="AB76" s="618"/>
      <c r="AC76" s="618"/>
      <c r="AD76" s="618" t="s">
        <v>168</v>
      </c>
      <c r="AE76" s="618"/>
      <c r="AF76" s="617"/>
      <c r="AG76" s="2153">
        <f t="shared" si="10"/>
        <v>1</v>
      </c>
    </row>
    <row r="77" spans="1:33" ht="18">
      <c r="B77" s="2168">
        <f t="shared" si="11"/>
        <v>73</v>
      </c>
      <c r="C77" s="3706" t="s">
        <v>656</v>
      </c>
      <c r="D77" s="3707">
        <v>225.7</v>
      </c>
      <c r="E77" s="3708" t="s">
        <v>649</v>
      </c>
      <c r="F77" s="626" t="s">
        <v>168</v>
      </c>
      <c r="G77" s="618"/>
      <c r="H77" s="618"/>
      <c r="I77" s="618"/>
      <c r="J77" s="618"/>
      <c r="K77" s="618"/>
      <c r="L77" s="618"/>
      <c r="M77" s="618"/>
      <c r="N77" s="618"/>
      <c r="O77" s="618"/>
      <c r="P77" s="618"/>
      <c r="Q77" s="618"/>
      <c r="R77" s="618"/>
      <c r="S77" s="618"/>
      <c r="T77" s="618"/>
      <c r="U77" s="618"/>
      <c r="V77" s="618"/>
      <c r="W77" s="618"/>
      <c r="X77" s="618"/>
      <c r="Y77" s="618"/>
      <c r="Z77" s="618"/>
      <c r="AA77" s="618"/>
      <c r="AB77" s="618" t="s">
        <v>168</v>
      </c>
      <c r="AC77" s="618"/>
      <c r="AD77" s="618" t="s">
        <v>168</v>
      </c>
      <c r="AE77" s="618"/>
      <c r="AF77" s="617"/>
      <c r="AG77" s="2153">
        <f t="shared" si="10"/>
        <v>0</v>
      </c>
    </row>
    <row r="78" spans="1:33" ht="18">
      <c r="B78" s="2168">
        <f t="shared" si="11"/>
        <v>74</v>
      </c>
      <c r="C78" s="3706" t="s">
        <v>655</v>
      </c>
      <c r="D78" s="3707">
        <v>34.5</v>
      </c>
      <c r="E78" s="3708" t="s">
        <v>654</v>
      </c>
      <c r="F78" s="626"/>
      <c r="G78" s="618"/>
      <c r="H78" s="618"/>
      <c r="I78" s="618"/>
      <c r="J78" s="618"/>
      <c r="K78" s="618"/>
      <c r="L78" s="618"/>
      <c r="M78" s="618"/>
      <c r="N78" s="618"/>
      <c r="O78" s="618"/>
      <c r="P78" s="618"/>
      <c r="Q78" s="618"/>
      <c r="R78" s="618"/>
      <c r="S78" s="618" t="s">
        <v>168</v>
      </c>
      <c r="T78" s="618"/>
      <c r="U78" s="618"/>
      <c r="V78" s="618"/>
      <c r="W78" s="618"/>
      <c r="X78" s="618"/>
      <c r="Y78" s="618"/>
      <c r="Z78" s="618"/>
      <c r="AA78" s="618"/>
      <c r="AB78" s="618"/>
      <c r="AC78" s="618"/>
      <c r="AD78" s="618" t="s">
        <v>168</v>
      </c>
      <c r="AE78" s="618"/>
      <c r="AF78" s="617"/>
      <c r="AG78" s="2153">
        <f t="shared" si="10"/>
        <v>0</v>
      </c>
    </row>
    <row r="79" spans="1:33" ht="18">
      <c r="B79" s="2168">
        <f t="shared" si="11"/>
        <v>75</v>
      </c>
      <c r="C79" s="3706" t="s">
        <v>653</v>
      </c>
      <c r="D79" s="3707">
        <v>42.2</v>
      </c>
      <c r="E79" s="3708" t="s">
        <v>652</v>
      </c>
      <c r="F79" s="626" t="s">
        <v>168</v>
      </c>
      <c r="G79" s="618"/>
      <c r="H79" s="618" t="s">
        <v>168</v>
      </c>
      <c r="I79" s="618" t="s">
        <v>168</v>
      </c>
      <c r="J79" s="618"/>
      <c r="K79" s="618"/>
      <c r="L79" s="618"/>
      <c r="M79" s="618"/>
      <c r="N79" s="618"/>
      <c r="O79" s="618"/>
      <c r="P79" s="618"/>
      <c r="Q79" s="618"/>
      <c r="R79" s="618"/>
      <c r="S79" s="618"/>
      <c r="T79" s="618"/>
      <c r="U79" s="618"/>
      <c r="V79" s="618"/>
      <c r="W79" s="618"/>
      <c r="X79" s="618"/>
      <c r="Y79" s="618"/>
      <c r="Z79" s="618"/>
      <c r="AA79" s="618"/>
      <c r="AB79" s="618"/>
      <c r="AC79" s="618"/>
      <c r="AD79" s="618" t="s">
        <v>168</v>
      </c>
      <c r="AE79" s="618"/>
      <c r="AF79" s="617"/>
      <c r="AG79" s="2153">
        <f t="shared" si="10"/>
        <v>0</v>
      </c>
    </row>
    <row r="80" spans="1:33" ht="18">
      <c r="B80" s="2168">
        <f t="shared" si="11"/>
        <v>76</v>
      </c>
      <c r="C80" s="3706" t="s">
        <v>651</v>
      </c>
      <c r="D80" s="3707">
        <v>73.7</v>
      </c>
      <c r="E80" s="3708" t="s">
        <v>649</v>
      </c>
      <c r="F80" s="626"/>
      <c r="G80" s="618"/>
      <c r="H80" s="618"/>
      <c r="I80" s="618"/>
      <c r="J80" s="618"/>
      <c r="K80" s="618"/>
      <c r="L80" s="618"/>
      <c r="M80" s="618"/>
      <c r="N80" s="618"/>
      <c r="O80" s="618"/>
      <c r="P80" s="618"/>
      <c r="Q80" s="618"/>
      <c r="R80" s="618"/>
      <c r="S80" s="618" t="s">
        <v>168</v>
      </c>
      <c r="T80" s="618" t="s">
        <v>168</v>
      </c>
      <c r="U80" s="618"/>
      <c r="V80" s="618"/>
      <c r="W80" s="618"/>
      <c r="X80" s="618"/>
      <c r="Y80" s="618"/>
      <c r="Z80" s="618"/>
      <c r="AA80" s="618"/>
      <c r="AB80" s="618"/>
      <c r="AC80" s="618"/>
      <c r="AD80" s="618" t="s">
        <v>168</v>
      </c>
      <c r="AE80" s="618"/>
      <c r="AF80" s="617"/>
      <c r="AG80" s="2153">
        <f t="shared" si="10"/>
        <v>0</v>
      </c>
    </row>
    <row r="81" spans="1:33" ht="18">
      <c r="B81" s="2168">
        <f t="shared" si="11"/>
        <v>77</v>
      </c>
      <c r="C81" s="3706" t="s">
        <v>650</v>
      </c>
      <c r="D81" s="3707">
        <v>50</v>
      </c>
      <c r="E81" s="3708" t="s">
        <v>649</v>
      </c>
      <c r="F81" s="626"/>
      <c r="G81" s="618"/>
      <c r="H81" s="618"/>
      <c r="I81" s="618"/>
      <c r="J81" s="618"/>
      <c r="K81" s="618"/>
      <c r="L81" s="618"/>
      <c r="M81" s="618"/>
      <c r="N81" s="618"/>
      <c r="O81" s="618"/>
      <c r="P81" s="618"/>
      <c r="Q81" s="618"/>
      <c r="R81" s="618" t="s">
        <v>168</v>
      </c>
      <c r="S81" s="618"/>
      <c r="T81" s="618"/>
      <c r="U81" s="618"/>
      <c r="V81" s="618"/>
      <c r="W81" s="618"/>
      <c r="X81" s="618"/>
      <c r="Y81" s="618"/>
      <c r="Z81" s="618"/>
      <c r="AA81" s="618"/>
      <c r="AB81" s="618"/>
      <c r="AC81" s="618"/>
      <c r="AD81" s="618" t="s">
        <v>168</v>
      </c>
      <c r="AE81" s="618"/>
      <c r="AF81" s="617"/>
      <c r="AG81" s="2153">
        <f t="shared" si="10"/>
        <v>0</v>
      </c>
    </row>
    <row r="82" spans="1:33" ht="18">
      <c r="B82" s="2168">
        <f t="shared" si="11"/>
        <v>78</v>
      </c>
      <c r="C82" s="3787" t="s">
        <v>2067</v>
      </c>
      <c r="D82" s="3707">
        <v>30.1</v>
      </c>
      <c r="E82" s="3788" t="s">
        <v>652</v>
      </c>
      <c r="F82" s="626" t="s">
        <v>168</v>
      </c>
      <c r="G82" s="618" t="s">
        <v>168</v>
      </c>
      <c r="H82" s="618" t="s">
        <v>168</v>
      </c>
      <c r="I82" s="618" t="s">
        <v>168</v>
      </c>
      <c r="J82" s="618" t="s">
        <v>168</v>
      </c>
      <c r="K82" s="618" t="s">
        <v>168</v>
      </c>
      <c r="L82" s="618" t="s">
        <v>168</v>
      </c>
      <c r="M82" s="618" t="s">
        <v>168</v>
      </c>
      <c r="N82" s="618"/>
      <c r="O82" s="618" t="s">
        <v>168</v>
      </c>
      <c r="P82" s="618"/>
      <c r="Q82" s="618"/>
      <c r="R82" s="618"/>
      <c r="S82" s="618"/>
      <c r="T82" s="618"/>
      <c r="U82" s="618"/>
      <c r="V82" s="618"/>
      <c r="W82" s="618"/>
      <c r="X82" s="618"/>
      <c r="Y82" s="618"/>
      <c r="Z82" s="618"/>
      <c r="AA82" s="618"/>
      <c r="AB82" s="618"/>
      <c r="AC82" s="618"/>
      <c r="AD82" s="618" t="s">
        <v>168</v>
      </c>
      <c r="AE82" s="618"/>
      <c r="AF82" s="617"/>
      <c r="AG82" s="2153">
        <f t="shared" si="10"/>
        <v>0</v>
      </c>
    </row>
    <row r="83" spans="1:33" s="3796" customFormat="1" ht="18">
      <c r="A83" s="3721"/>
      <c r="B83" s="3722">
        <f t="shared" si="11"/>
        <v>79</v>
      </c>
      <c r="C83" s="3706" t="s">
        <v>1983</v>
      </c>
      <c r="D83" s="3723">
        <v>29.9</v>
      </c>
      <c r="E83" s="3724" t="s">
        <v>652</v>
      </c>
      <c r="F83" s="3792"/>
      <c r="G83" s="3793"/>
      <c r="H83" s="3793"/>
      <c r="I83" s="3793"/>
      <c r="J83" s="3793"/>
      <c r="K83" s="3793"/>
      <c r="L83" s="3793"/>
      <c r="M83" s="3793"/>
      <c r="N83" s="3793"/>
      <c r="O83" s="3793"/>
      <c r="P83" s="3793" t="s">
        <v>168</v>
      </c>
      <c r="Q83" s="3793" t="s">
        <v>168</v>
      </c>
      <c r="R83" s="3793" t="s">
        <v>168</v>
      </c>
      <c r="S83" s="3793"/>
      <c r="T83" s="3793"/>
      <c r="U83" s="3793"/>
      <c r="V83" s="3793" t="s">
        <v>168</v>
      </c>
      <c r="W83" s="3793"/>
      <c r="X83" s="3793"/>
      <c r="Y83" s="3793"/>
      <c r="Z83" s="3793"/>
      <c r="AA83" s="3793" t="s">
        <v>168</v>
      </c>
      <c r="AB83" s="3793" t="s">
        <v>168</v>
      </c>
      <c r="AC83" s="3793"/>
      <c r="AD83" s="3793" t="s">
        <v>168</v>
      </c>
      <c r="AE83" s="3793"/>
      <c r="AF83" s="3794"/>
      <c r="AG83" s="3795">
        <f t="shared" si="10"/>
        <v>0</v>
      </c>
    </row>
    <row r="84" spans="1:33" s="3796" customFormat="1" ht="18">
      <c r="A84" s="3721"/>
      <c r="B84" s="3789">
        <f t="shared" si="11"/>
        <v>80</v>
      </c>
      <c r="C84" s="4103"/>
      <c r="D84" s="4104"/>
      <c r="E84" s="3791"/>
      <c r="F84" s="3792"/>
      <c r="G84" s="3793"/>
      <c r="H84" s="3793"/>
      <c r="I84" s="3793"/>
      <c r="J84" s="3793"/>
      <c r="K84" s="3793"/>
      <c r="L84" s="3793"/>
      <c r="M84" s="3793"/>
      <c r="N84" s="3793"/>
      <c r="O84" s="3793"/>
      <c r="P84" s="3793" t="s">
        <v>168</v>
      </c>
      <c r="Q84" s="3793"/>
      <c r="R84" s="3793"/>
      <c r="S84" s="3793"/>
      <c r="T84" s="3793"/>
      <c r="U84" s="3793"/>
      <c r="V84" s="3793"/>
      <c r="W84" s="3793"/>
      <c r="X84" s="3793"/>
      <c r="Y84" s="3793"/>
      <c r="Z84" s="3793"/>
      <c r="AA84" s="3793"/>
      <c r="AB84" s="3793"/>
      <c r="AC84" s="3793"/>
      <c r="AD84" s="3793"/>
      <c r="AE84" s="3793"/>
      <c r="AF84" s="3794"/>
      <c r="AG84" s="3795">
        <f t="shared" si="10"/>
        <v>0</v>
      </c>
    </row>
    <row r="85" spans="1:33" s="3796" customFormat="1" ht="18">
      <c r="A85" s="3721"/>
      <c r="B85" s="3789">
        <f t="shared" si="11"/>
        <v>81</v>
      </c>
      <c r="C85" s="3790" t="s">
        <v>2091</v>
      </c>
      <c r="D85" s="3723">
        <v>40.799999999999997</v>
      </c>
      <c r="E85" s="3791" t="s">
        <v>654</v>
      </c>
      <c r="F85" s="3792" t="s">
        <v>168</v>
      </c>
      <c r="G85" s="3793" t="s">
        <v>168</v>
      </c>
      <c r="H85" s="3793" t="s">
        <v>168</v>
      </c>
      <c r="I85" s="3793" t="s">
        <v>168</v>
      </c>
      <c r="J85" s="3793"/>
      <c r="K85" s="3793" t="s">
        <v>168</v>
      </c>
      <c r="L85" s="3793"/>
      <c r="M85" s="3793"/>
      <c r="N85" s="3793"/>
      <c r="O85" s="3793"/>
      <c r="P85" s="3793" t="s">
        <v>168</v>
      </c>
      <c r="Q85" s="3793"/>
      <c r="R85" s="3793"/>
      <c r="S85" s="3793"/>
      <c r="T85" s="3793"/>
      <c r="U85" s="3793"/>
      <c r="V85" s="3793"/>
      <c r="W85" s="3793"/>
      <c r="X85" s="3793"/>
      <c r="Y85" s="3793"/>
      <c r="Z85" s="3793"/>
      <c r="AA85" s="3793"/>
      <c r="AB85" s="3793"/>
      <c r="AC85" s="3793"/>
      <c r="AD85" s="3793" t="s">
        <v>168</v>
      </c>
      <c r="AE85" s="3793"/>
      <c r="AF85" s="3794"/>
      <c r="AG85" s="3795">
        <f t="shared" si="10"/>
        <v>0</v>
      </c>
    </row>
    <row r="86" spans="1:33" s="3796" customFormat="1" ht="18">
      <c r="A86" s="3721"/>
      <c r="B86" s="3789">
        <f t="shared" si="11"/>
        <v>82</v>
      </c>
      <c r="C86" s="3790"/>
      <c r="D86" s="3723"/>
      <c r="E86" s="3791"/>
      <c r="F86" s="3792"/>
      <c r="G86" s="3793"/>
      <c r="H86" s="3793"/>
      <c r="I86" s="3793"/>
      <c r="J86" s="3793"/>
      <c r="K86" s="3793"/>
      <c r="L86" s="3793"/>
      <c r="M86" s="3793"/>
      <c r="N86" s="3793"/>
      <c r="O86" s="3793"/>
      <c r="P86" s="3793"/>
      <c r="Q86" s="3793"/>
      <c r="R86" s="3793"/>
      <c r="S86" s="3793"/>
      <c r="T86" s="3793"/>
      <c r="U86" s="3793"/>
      <c r="V86" s="3793"/>
      <c r="W86" s="3793"/>
      <c r="X86" s="3793"/>
      <c r="Y86" s="3793"/>
      <c r="Z86" s="3793"/>
      <c r="AA86" s="3793"/>
      <c r="AB86" s="3793"/>
      <c r="AC86" s="3793"/>
      <c r="AD86" s="3793" t="s">
        <v>168</v>
      </c>
      <c r="AE86" s="3793"/>
      <c r="AF86" s="3794"/>
      <c r="AG86" s="3795">
        <f t="shared" si="10"/>
        <v>0</v>
      </c>
    </row>
    <row r="87" spans="1:33" s="3796" customFormat="1" ht="18">
      <c r="A87" s="3721"/>
      <c r="B87" s="3789">
        <f t="shared" si="11"/>
        <v>83</v>
      </c>
      <c r="C87" s="3790"/>
      <c r="D87" s="3723"/>
      <c r="E87" s="3791"/>
      <c r="F87" s="3792"/>
      <c r="G87" s="3793"/>
      <c r="H87" s="3793"/>
      <c r="I87" s="3793"/>
      <c r="J87" s="3793"/>
      <c r="K87" s="3793"/>
      <c r="L87" s="3793"/>
      <c r="M87" s="3793"/>
      <c r="N87" s="3793"/>
      <c r="O87" s="3793"/>
      <c r="P87" s="3793"/>
      <c r="Q87" s="3793"/>
      <c r="R87" s="3793"/>
      <c r="S87" s="3793"/>
      <c r="T87" s="3793"/>
      <c r="U87" s="3793"/>
      <c r="V87" s="3793"/>
      <c r="W87" s="3793"/>
      <c r="X87" s="3793"/>
      <c r="Y87" s="3793"/>
      <c r="Z87" s="3793"/>
      <c r="AA87" s="3793"/>
      <c r="AB87" s="3793"/>
      <c r="AC87" s="3793"/>
      <c r="AD87" s="3793" t="s">
        <v>168</v>
      </c>
      <c r="AE87" s="3793"/>
      <c r="AF87" s="3794"/>
      <c r="AG87" s="3795">
        <f t="shared" si="10"/>
        <v>0</v>
      </c>
    </row>
    <row r="88" spans="1:33" s="3796" customFormat="1" ht="18">
      <c r="A88" s="3721"/>
      <c r="B88" s="3789">
        <f t="shared" si="11"/>
        <v>84</v>
      </c>
      <c r="C88" s="3790"/>
      <c r="D88" s="3723"/>
      <c r="E88" s="3791"/>
      <c r="F88" s="3792"/>
      <c r="G88" s="3793"/>
      <c r="H88" s="3793"/>
      <c r="I88" s="3793"/>
      <c r="J88" s="3793"/>
      <c r="K88" s="3793"/>
      <c r="L88" s="3793"/>
      <c r="M88" s="3793"/>
      <c r="N88" s="3793"/>
      <c r="O88" s="3793"/>
      <c r="P88" s="3793"/>
      <c r="Q88" s="3793"/>
      <c r="R88" s="3793"/>
      <c r="S88" s="3793"/>
      <c r="T88" s="3793"/>
      <c r="U88" s="3793"/>
      <c r="V88" s="3793"/>
      <c r="W88" s="3793"/>
      <c r="X88" s="3793"/>
      <c r="Y88" s="3793"/>
      <c r="Z88" s="3793"/>
      <c r="AA88" s="3793"/>
      <c r="AB88" s="3793"/>
      <c r="AC88" s="3793"/>
      <c r="AD88" s="3793" t="s">
        <v>168</v>
      </c>
      <c r="AE88" s="3793" t="s">
        <v>168</v>
      </c>
      <c r="AF88" s="3794"/>
      <c r="AG88" s="3795">
        <f t="shared" si="10"/>
        <v>0</v>
      </c>
    </row>
    <row r="89" spans="1:33" s="3796" customFormat="1" ht="18">
      <c r="A89" s="3721"/>
      <c r="B89" s="3789">
        <f t="shared" si="11"/>
        <v>85</v>
      </c>
      <c r="C89" s="3797"/>
      <c r="D89" s="3723"/>
      <c r="E89" s="3791"/>
      <c r="F89" s="3792"/>
      <c r="G89" s="3793"/>
      <c r="H89" s="3793"/>
      <c r="I89" s="3793"/>
      <c r="J89" s="3793"/>
      <c r="K89" s="3793"/>
      <c r="L89" s="3793"/>
      <c r="M89" s="3793"/>
      <c r="N89" s="3793"/>
      <c r="O89" s="3793"/>
      <c r="P89" s="3793" t="s">
        <v>168</v>
      </c>
      <c r="Q89" s="3793"/>
      <c r="R89" s="3793"/>
      <c r="S89" s="3793"/>
      <c r="T89" s="3793"/>
      <c r="U89" s="3793"/>
      <c r="V89" s="3793"/>
      <c r="W89" s="3793"/>
      <c r="X89" s="3793"/>
      <c r="Y89" s="3793"/>
      <c r="Z89" s="3793"/>
      <c r="AA89" s="3793"/>
      <c r="AB89" s="3793"/>
      <c r="AC89" s="3793"/>
      <c r="AD89" s="3793" t="s">
        <v>168</v>
      </c>
      <c r="AE89" s="3793"/>
      <c r="AF89" s="3794"/>
      <c r="AG89" s="3795">
        <f t="shared" si="10"/>
        <v>0</v>
      </c>
    </row>
    <row r="90" spans="1:33" s="3796" customFormat="1" ht="18">
      <c r="A90" s="3721"/>
      <c r="B90" s="3789">
        <f t="shared" si="11"/>
        <v>86</v>
      </c>
      <c r="C90" s="3797"/>
      <c r="D90" s="3723"/>
      <c r="E90" s="3791"/>
      <c r="F90" s="3792"/>
      <c r="G90" s="3793"/>
      <c r="H90" s="3793"/>
      <c r="I90" s="3793"/>
      <c r="J90" s="3793"/>
      <c r="K90" s="3793"/>
      <c r="L90" s="3793"/>
      <c r="M90" s="3793"/>
      <c r="N90" s="3793"/>
      <c r="O90" s="3793"/>
      <c r="P90" s="3793"/>
      <c r="Q90" s="3793"/>
      <c r="R90" s="3793"/>
      <c r="S90" s="3793"/>
      <c r="T90" s="3793"/>
      <c r="U90" s="3793"/>
      <c r="V90" s="3793"/>
      <c r="W90" s="3793"/>
      <c r="X90" s="3793"/>
      <c r="Y90" s="3793"/>
      <c r="Z90" s="3793"/>
      <c r="AA90" s="3793"/>
      <c r="AB90" s="3793"/>
      <c r="AC90" s="3793"/>
      <c r="AD90" s="3793" t="s">
        <v>168</v>
      </c>
      <c r="AE90" s="3793"/>
      <c r="AF90" s="3794"/>
      <c r="AG90" s="3795">
        <f t="shared" si="10"/>
        <v>0</v>
      </c>
    </row>
    <row r="91" spans="1:33" s="3796" customFormat="1" ht="18">
      <c r="A91" s="3721"/>
      <c r="B91" s="3789">
        <f t="shared" si="11"/>
        <v>87</v>
      </c>
      <c r="C91" s="3797"/>
      <c r="D91" s="3723"/>
      <c r="E91" s="3791"/>
      <c r="F91" s="3792"/>
      <c r="G91" s="3793"/>
      <c r="H91" s="3793"/>
      <c r="I91" s="3793"/>
      <c r="J91" s="3793"/>
      <c r="K91" s="3793"/>
      <c r="L91" s="3793"/>
      <c r="M91" s="3793"/>
      <c r="N91" s="3793"/>
      <c r="O91" s="3793"/>
      <c r="P91" s="3793"/>
      <c r="Q91" s="3793"/>
      <c r="R91" s="3793"/>
      <c r="S91" s="3793"/>
      <c r="T91" s="3793"/>
      <c r="U91" s="3793"/>
      <c r="V91" s="3793"/>
      <c r="W91" s="3793"/>
      <c r="X91" s="3793"/>
      <c r="Y91" s="3793"/>
      <c r="Z91" s="3793"/>
      <c r="AA91" s="3793"/>
      <c r="AB91" s="3793"/>
      <c r="AC91" s="3793"/>
      <c r="AD91" s="3793" t="s">
        <v>168</v>
      </c>
      <c r="AE91" s="3793"/>
      <c r="AF91" s="3794"/>
      <c r="AG91" s="3795">
        <f t="shared" si="10"/>
        <v>0</v>
      </c>
    </row>
    <row r="92" spans="1:33" s="3796" customFormat="1" ht="18">
      <c r="A92" s="3721"/>
      <c r="B92" s="3789">
        <f t="shared" si="11"/>
        <v>88</v>
      </c>
      <c r="C92" s="3797"/>
      <c r="D92" s="3723"/>
      <c r="E92" s="3791"/>
      <c r="F92" s="3792"/>
      <c r="G92" s="3793"/>
      <c r="H92" s="3793"/>
      <c r="I92" s="3793"/>
      <c r="J92" s="3793"/>
      <c r="K92" s="3793"/>
      <c r="L92" s="3793"/>
      <c r="M92" s="3793"/>
      <c r="N92" s="3793"/>
      <c r="O92" s="3793"/>
      <c r="P92" s="3793"/>
      <c r="Q92" s="3793"/>
      <c r="R92" s="3793"/>
      <c r="S92" s="3793"/>
      <c r="T92" s="3793"/>
      <c r="U92" s="3793"/>
      <c r="V92" s="3793"/>
      <c r="W92" s="3793"/>
      <c r="X92" s="3793"/>
      <c r="Y92" s="3793"/>
      <c r="Z92" s="3793"/>
      <c r="AA92" s="3793"/>
      <c r="AB92" s="3793"/>
      <c r="AC92" s="3793"/>
      <c r="AD92" s="3793" t="s">
        <v>168</v>
      </c>
      <c r="AE92" s="3793"/>
      <c r="AF92" s="3794"/>
      <c r="AG92" s="3795">
        <f t="shared" si="10"/>
        <v>0</v>
      </c>
    </row>
    <row r="93" spans="1:33" s="3796" customFormat="1" ht="18">
      <c r="A93" s="3721"/>
      <c r="B93" s="3789">
        <f t="shared" si="11"/>
        <v>89</v>
      </c>
      <c r="C93" s="3798"/>
      <c r="D93" s="3723"/>
      <c r="E93" s="3799"/>
      <c r="F93" s="3800"/>
      <c r="G93" s="3801"/>
      <c r="H93" s="3801"/>
      <c r="I93" s="3801"/>
      <c r="J93" s="3801"/>
      <c r="K93" s="3801"/>
      <c r="L93" s="3801"/>
      <c r="M93" s="3801"/>
      <c r="N93" s="3801"/>
      <c r="O93" s="3801"/>
      <c r="P93" s="3801"/>
      <c r="Q93" s="3801"/>
      <c r="R93" s="3801"/>
      <c r="S93" s="3801"/>
      <c r="T93" s="3801"/>
      <c r="U93" s="3801"/>
      <c r="V93" s="3801"/>
      <c r="W93" s="3801"/>
      <c r="X93" s="3801"/>
      <c r="Y93" s="3801"/>
      <c r="Z93" s="3801"/>
      <c r="AA93" s="3801"/>
      <c r="AB93" s="3801"/>
      <c r="AC93" s="3801"/>
      <c r="AD93" s="3801" t="s">
        <v>168</v>
      </c>
      <c r="AE93" s="3801"/>
      <c r="AF93" s="3802"/>
      <c r="AG93" s="3795">
        <f t="shared" si="10"/>
        <v>0</v>
      </c>
    </row>
    <row r="94" spans="1:33" s="3796" customFormat="1" ht="18">
      <c r="A94" s="3721"/>
      <c r="B94" s="3789">
        <f t="shared" si="11"/>
        <v>90</v>
      </c>
      <c r="C94" s="3803"/>
      <c r="D94" s="3723"/>
      <c r="E94" s="3804"/>
      <c r="F94" s="3805"/>
      <c r="G94" s="3801"/>
      <c r="H94" s="3801"/>
      <c r="I94" s="3801"/>
      <c r="J94" s="3801"/>
      <c r="K94" s="3801"/>
      <c r="L94" s="3801"/>
      <c r="M94" s="3801"/>
      <c r="N94" s="3801"/>
      <c r="O94" s="3801"/>
      <c r="P94" s="3801"/>
      <c r="Q94" s="3801"/>
      <c r="R94" s="3801"/>
      <c r="S94" s="3801"/>
      <c r="T94" s="3801"/>
      <c r="U94" s="3801"/>
      <c r="V94" s="3801"/>
      <c r="W94" s="3801"/>
      <c r="X94" s="3801"/>
      <c r="Y94" s="3801"/>
      <c r="Z94" s="3801"/>
      <c r="AA94" s="3801"/>
      <c r="AB94" s="3801"/>
      <c r="AC94" s="3801"/>
      <c r="AD94" s="3801" t="s">
        <v>168</v>
      </c>
      <c r="AE94" s="3801"/>
      <c r="AF94" s="3802"/>
      <c r="AG94" s="3795">
        <f t="shared" si="10"/>
        <v>0</v>
      </c>
    </row>
    <row r="95" spans="1:33" ht="18">
      <c r="B95" s="2168">
        <f t="shared" si="11"/>
        <v>91</v>
      </c>
      <c r="C95" s="3707"/>
      <c r="D95" s="3707"/>
      <c r="E95" s="3707"/>
      <c r="F95" s="3779"/>
      <c r="G95" s="625"/>
      <c r="H95" s="625"/>
      <c r="I95" s="625"/>
      <c r="J95" s="625"/>
      <c r="K95" s="625"/>
      <c r="L95" s="625"/>
      <c r="M95" s="625"/>
      <c r="N95" s="625"/>
      <c r="O95" s="625"/>
      <c r="P95" s="625"/>
      <c r="Q95" s="625"/>
      <c r="R95" s="625"/>
      <c r="S95" s="625"/>
      <c r="T95" s="625"/>
      <c r="U95" s="625"/>
      <c r="V95" s="625"/>
      <c r="W95" s="625"/>
      <c r="X95" s="625"/>
      <c r="Y95" s="625"/>
      <c r="Z95" s="625"/>
      <c r="AA95" s="625"/>
      <c r="AB95" s="625"/>
      <c r="AC95" s="625"/>
      <c r="AD95" s="625" t="s">
        <v>168</v>
      </c>
      <c r="AE95" s="625"/>
      <c r="AF95" s="624"/>
      <c r="AG95" s="2153">
        <f t="shared" si="10"/>
        <v>0</v>
      </c>
    </row>
    <row r="96" spans="1:33" ht="18">
      <c r="B96" s="2168">
        <f t="shared" si="11"/>
        <v>92</v>
      </c>
      <c r="C96" s="3707"/>
      <c r="D96" s="3707"/>
      <c r="E96" s="3707"/>
      <c r="F96" s="3779"/>
      <c r="G96" s="625"/>
      <c r="H96" s="625"/>
      <c r="I96" s="625"/>
      <c r="J96" s="625"/>
      <c r="K96" s="625"/>
      <c r="L96" s="625"/>
      <c r="M96" s="625"/>
      <c r="N96" s="625"/>
      <c r="O96" s="625"/>
      <c r="P96" s="625"/>
      <c r="Q96" s="625"/>
      <c r="R96" s="625"/>
      <c r="S96" s="625"/>
      <c r="T96" s="625"/>
      <c r="U96" s="625"/>
      <c r="V96" s="625"/>
      <c r="W96" s="625"/>
      <c r="X96" s="625"/>
      <c r="Y96" s="625"/>
      <c r="Z96" s="625"/>
      <c r="AA96" s="625"/>
      <c r="AB96" s="625"/>
      <c r="AC96" s="625"/>
      <c r="AD96" s="625" t="s">
        <v>168</v>
      </c>
      <c r="AE96" s="625"/>
      <c r="AF96" s="624"/>
      <c r="AG96" s="2153">
        <f t="shared" si="10"/>
        <v>0</v>
      </c>
    </row>
    <row r="97" spans="2:33" ht="18">
      <c r="B97" s="2168">
        <f t="shared" si="11"/>
        <v>93</v>
      </c>
      <c r="C97" s="3707"/>
      <c r="D97" s="3707"/>
      <c r="E97" s="3707"/>
      <c r="F97" s="3779"/>
      <c r="G97" s="625"/>
      <c r="H97" s="625"/>
      <c r="I97" s="625"/>
      <c r="J97" s="625"/>
      <c r="K97" s="625"/>
      <c r="L97" s="625"/>
      <c r="M97" s="625"/>
      <c r="N97" s="625"/>
      <c r="O97" s="625"/>
      <c r="P97" s="625"/>
      <c r="Q97" s="625"/>
      <c r="R97" s="625"/>
      <c r="S97" s="625"/>
      <c r="T97" s="625"/>
      <c r="U97" s="625"/>
      <c r="V97" s="625"/>
      <c r="W97" s="625"/>
      <c r="X97" s="625"/>
      <c r="Y97" s="625"/>
      <c r="Z97" s="625"/>
      <c r="AA97" s="625"/>
      <c r="AB97" s="625"/>
      <c r="AC97" s="625"/>
      <c r="AD97" s="625" t="s">
        <v>168</v>
      </c>
      <c r="AE97" s="625"/>
      <c r="AF97" s="624"/>
      <c r="AG97" s="2153">
        <f t="shared" si="10"/>
        <v>0</v>
      </c>
    </row>
    <row r="98" spans="2:33" ht="18">
      <c r="B98" s="2168">
        <f t="shared" si="11"/>
        <v>94</v>
      </c>
      <c r="C98" s="3707"/>
      <c r="D98" s="3707"/>
      <c r="E98" s="3707"/>
      <c r="F98" s="3779"/>
      <c r="G98" s="625"/>
      <c r="H98" s="625"/>
      <c r="I98" s="625"/>
      <c r="J98" s="625"/>
      <c r="K98" s="625"/>
      <c r="L98" s="625"/>
      <c r="M98" s="625"/>
      <c r="N98" s="625"/>
      <c r="O98" s="625"/>
      <c r="P98" s="625"/>
      <c r="Q98" s="625"/>
      <c r="R98" s="625"/>
      <c r="S98" s="625"/>
      <c r="T98" s="625"/>
      <c r="U98" s="625"/>
      <c r="V98" s="625"/>
      <c r="W98" s="625"/>
      <c r="X98" s="625"/>
      <c r="Y98" s="625"/>
      <c r="Z98" s="625"/>
      <c r="AA98" s="625"/>
      <c r="AB98" s="625"/>
      <c r="AC98" s="625"/>
      <c r="AD98" s="625" t="s">
        <v>168</v>
      </c>
      <c r="AE98" s="625"/>
      <c r="AF98" s="624"/>
      <c r="AG98" s="2153">
        <f t="shared" si="10"/>
        <v>0</v>
      </c>
    </row>
    <row r="99" spans="2:33" ht="18">
      <c r="B99" s="2168">
        <f t="shared" si="11"/>
        <v>95</v>
      </c>
      <c r="C99" s="3707"/>
      <c r="D99" s="3707"/>
      <c r="E99" s="3707"/>
      <c r="F99" s="3779"/>
      <c r="G99" s="625"/>
      <c r="H99" s="625"/>
      <c r="I99" s="625"/>
      <c r="J99" s="625"/>
      <c r="K99" s="625"/>
      <c r="L99" s="625"/>
      <c r="M99" s="625"/>
      <c r="N99" s="625"/>
      <c r="O99" s="625"/>
      <c r="P99" s="625"/>
      <c r="Q99" s="625"/>
      <c r="R99" s="625"/>
      <c r="S99" s="625"/>
      <c r="T99" s="625"/>
      <c r="U99" s="625"/>
      <c r="V99" s="625"/>
      <c r="W99" s="625"/>
      <c r="X99" s="625"/>
      <c r="Y99" s="625"/>
      <c r="Z99" s="625"/>
      <c r="AA99" s="625"/>
      <c r="AB99" s="625"/>
      <c r="AC99" s="625"/>
      <c r="AD99" s="625" t="s">
        <v>168</v>
      </c>
      <c r="AE99" s="625"/>
      <c r="AF99" s="624"/>
      <c r="AG99" s="2153">
        <f t="shared" si="10"/>
        <v>0</v>
      </c>
    </row>
    <row r="100" spans="2:33" ht="18">
      <c r="B100" s="2168">
        <f t="shared" si="11"/>
        <v>96</v>
      </c>
      <c r="C100" s="3707"/>
      <c r="D100" s="3707"/>
      <c r="E100" s="3707"/>
      <c r="F100" s="3779"/>
      <c r="G100" s="625"/>
      <c r="H100" s="625"/>
      <c r="I100" s="625"/>
      <c r="J100" s="625"/>
      <c r="K100" s="625"/>
      <c r="L100" s="625"/>
      <c r="M100" s="625"/>
      <c r="N100" s="625"/>
      <c r="O100" s="625"/>
      <c r="P100" s="625"/>
      <c r="Q100" s="625"/>
      <c r="R100" s="625"/>
      <c r="S100" s="625"/>
      <c r="T100" s="625"/>
      <c r="U100" s="625"/>
      <c r="V100" s="625"/>
      <c r="W100" s="625"/>
      <c r="X100" s="625"/>
      <c r="Y100" s="625"/>
      <c r="Z100" s="625"/>
      <c r="AA100" s="625"/>
      <c r="AB100" s="625"/>
      <c r="AC100" s="625"/>
      <c r="AD100" s="625" t="s">
        <v>168</v>
      </c>
      <c r="AE100" s="625"/>
      <c r="AF100" s="624"/>
      <c r="AG100" s="2153">
        <f t="shared" si="10"/>
        <v>0</v>
      </c>
    </row>
    <row r="101" spans="2:33" ht="18">
      <c r="B101" s="2168">
        <f t="shared" si="11"/>
        <v>97</v>
      </c>
      <c r="C101" s="3707"/>
      <c r="D101" s="3707"/>
      <c r="E101" s="3707"/>
      <c r="F101" s="3779"/>
      <c r="G101" s="625"/>
      <c r="H101" s="625"/>
      <c r="I101" s="625"/>
      <c r="J101" s="625"/>
      <c r="K101" s="625"/>
      <c r="L101" s="625"/>
      <c r="M101" s="625"/>
      <c r="N101" s="625"/>
      <c r="O101" s="625"/>
      <c r="P101" s="625"/>
      <c r="Q101" s="625"/>
      <c r="R101" s="625"/>
      <c r="S101" s="625"/>
      <c r="T101" s="625"/>
      <c r="U101" s="625"/>
      <c r="V101" s="625"/>
      <c r="W101" s="625"/>
      <c r="X101" s="625"/>
      <c r="Y101" s="625"/>
      <c r="Z101" s="625"/>
      <c r="AA101" s="625"/>
      <c r="AB101" s="625"/>
      <c r="AC101" s="625"/>
      <c r="AD101" s="625" t="s">
        <v>168</v>
      </c>
      <c r="AE101" s="625"/>
      <c r="AF101" s="624"/>
      <c r="AG101" s="2153">
        <f t="shared" si="10"/>
        <v>0</v>
      </c>
    </row>
    <row r="102" spans="2:33" ht="18">
      <c r="B102" s="2168">
        <f t="shared" si="11"/>
        <v>98</v>
      </c>
      <c r="C102" s="3707"/>
      <c r="D102" s="3707"/>
      <c r="E102" s="3707"/>
      <c r="F102" s="3779"/>
      <c r="G102" s="625"/>
      <c r="H102" s="625"/>
      <c r="I102" s="625"/>
      <c r="J102" s="625"/>
      <c r="K102" s="625"/>
      <c r="L102" s="625"/>
      <c r="M102" s="625"/>
      <c r="N102" s="625"/>
      <c r="O102" s="625"/>
      <c r="P102" s="625"/>
      <c r="Q102" s="625"/>
      <c r="R102" s="625"/>
      <c r="S102" s="625"/>
      <c r="T102" s="625"/>
      <c r="U102" s="625"/>
      <c r="V102" s="625"/>
      <c r="W102" s="625"/>
      <c r="X102" s="625"/>
      <c r="Y102" s="625"/>
      <c r="Z102" s="625"/>
      <c r="AA102" s="625"/>
      <c r="AB102" s="625"/>
      <c r="AC102" s="625"/>
      <c r="AD102" s="625" t="s">
        <v>168</v>
      </c>
      <c r="AE102" s="625"/>
      <c r="AF102" s="624"/>
      <c r="AG102" s="2153">
        <f t="shared" si="10"/>
        <v>0</v>
      </c>
    </row>
    <row r="103" spans="2:33" ht="18.75" thickBot="1">
      <c r="B103" s="3749">
        <f t="shared" si="11"/>
        <v>99</v>
      </c>
      <c r="C103" s="3750"/>
      <c r="D103" s="3751"/>
      <c r="E103" s="3778"/>
      <c r="F103" s="3780"/>
      <c r="G103" s="616"/>
      <c r="H103" s="616"/>
      <c r="I103" s="616"/>
      <c r="J103" s="616"/>
      <c r="K103" s="616"/>
      <c r="L103" s="616"/>
      <c r="M103" s="616"/>
      <c r="N103" s="616"/>
      <c r="O103" s="616"/>
      <c r="P103" s="616"/>
      <c r="Q103" s="616"/>
      <c r="R103" s="616"/>
      <c r="S103" s="616"/>
      <c r="T103" s="616"/>
      <c r="U103" s="616"/>
      <c r="V103" s="616"/>
      <c r="W103" s="616"/>
      <c r="X103" s="616"/>
      <c r="Y103" s="616"/>
      <c r="Z103" s="616"/>
      <c r="AA103" s="616"/>
      <c r="AB103" s="616"/>
      <c r="AC103" s="616"/>
      <c r="AD103" s="616" t="s">
        <v>168</v>
      </c>
      <c r="AE103" s="616"/>
      <c r="AF103" s="615"/>
      <c r="AG103" s="2153">
        <f t="shared" si="10"/>
        <v>0</v>
      </c>
    </row>
    <row r="104" spans="2:33">
      <c r="B104" s="3753" t="s">
        <v>2193</v>
      </c>
    </row>
    <row r="105" spans="2:33">
      <c r="B105" s="3754"/>
      <c r="C105" s="2162"/>
      <c r="D105" s="2152"/>
    </row>
    <row r="106" spans="2:33">
      <c r="C106" s="623" t="s">
        <v>648</v>
      </c>
      <c r="D106" s="2152"/>
    </row>
    <row r="107" spans="2:33">
      <c r="B107" s="622"/>
      <c r="C107" s="622"/>
      <c r="D107" s="622"/>
      <c r="E107" s="622"/>
      <c r="F107" s="622">
        <f>COLUMNS(F$107:$AG107)</f>
        <v>28</v>
      </c>
      <c r="G107" s="622">
        <f>COLUMNS(G$107:$AG107)</f>
        <v>27</v>
      </c>
      <c r="H107" s="622">
        <f>COLUMNS(H$107:$AG107)</f>
        <v>26</v>
      </c>
      <c r="I107" s="622">
        <f>COLUMNS(I$107:$AG107)</f>
        <v>25</v>
      </c>
      <c r="J107" s="622">
        <f>COLUMNS(J$107:$AG107)</f>
        <v>24</v>
      </c>
      <c r="K107" s="622">
        <f>COLUMNS(K$107:$AG107)</f>
        <v>23</v>
      </c>
      <c r="L107" s="622">
        <f>COLUMNS(L$107:$AG107)</f>
        <v>22</v>
      </c>
      <c r="M107" s="622">
        <f>COLUMNS(M$107:$AG107)</f>
        <v>21</v>
      </c>
      <c r="N107" s="622">
        <f>COLUMNS(N$107:$AG107)</f>
        <v>20</v>
      </c>
      <c r="O107" s="622">
        <f>COLUMNS(O$107:$AG107)</f>
        <v>19</v>
      </c>
      <c r="P107" s="622">
        <f>COLUMNS(P$107:$AG107)</f>
        <v>18</v>
      </c>
      <c r="Q107" s="622">
        <f>COLUMNS(Q$107:$AG107)</f>
        <v>17</v>
      </c>
      <c r="R107" s="622">
        <f>COLUMNS(R$107:$AG107)</f>
        <v>16</v>
      </c>
      <c r="S107" s="622">
        <f>COLUMNS(S$107:$AG107)</f>
        <v>15</v>
      </c>
      <c r="T107" s="622">
        <f>COLUMNS(T$107:$AG107)</f>
        <v>14</v>
      </c>
      <c r="U107" s="622">
        <f>COLUMNS(U$107:$AG107)</f>
        <v>13</v>
      </c>
      <c r="V107" s="622">
        <f>COLUMNS(V$107:$AG107)</f>
        <v>12</v>
      </c>
      <c r="W107" s="622">
        <f>COLUMNS(W$107:$AG107)</f>
        <v>11</v>
      </c>
      <c r="X107" s="622">
        <f>COLUMNS(X$107:$AG107)</f>
        <v>10</v>
      </c>
      <c r="Y107" s="622">
        <f>COLUMNS(Y$107:$AG107)</f>
        <v>9</v>
      </c>
      <c r="Z107" s="622">
        <f>COLUMNS(Z$107:$AG107)</f>
        <v>8</v>
      </c>
      <c r="AA107" s="622">
        <f>COLUMNS(AA$107:$AG107)</f>
        <v>7</v>
      </c>
      <c r="AB107" s="622">
        <f>COLUMNS(AB$107:$AG107)</f>
        <v>6</v>
      </c>
      <c r="AC107" s="622">
        <f>COLUMNS(AC$107:$AG107)</f>
        <v>5</v>
      </c>
      <c r="AD107" s="622">
        <f>COLUMNS(AD$107:$AG107)</f>
        <v>4</v>
      </c>
      <c r="AE107" s="622">
        <f>COLUMNS(AE$107:$AG107)</f>
        <v>3</v>
      </c>
      <c r="AF107" s="622">
        <f>COLUMNS(AF$107:$AG107)</f>
        <v>2</v>
      </c>
      <c r="AG107" s="622">
        <f>COLUMNS($AG$107:AG107)</f>
        <v>1</v>
      </c>
    </row>
    <row r="108" spans="2:33" ht="15.75" thickBot="1">
      <c r="C108" s="3755"/>
      <c r="D108" s="2152"/>
    </row>
    <row r="109" spans="2:33" ht="16.5" thickBot="1">
      <c r="B109" s="3698" t="s">
        <v>647</v>
      </c>
      <c r="C109" s="3699" t="s">
        <v>645</v>
      </c>
      <c r="D109" s="3700" t="s">
        <v>646</v>
      </c>
      <c r="E109" s="3701" t="s">
        <v>353</v>
      </c>
      <c r="F109" s="3701" t="str">
        <f t="shared" ref="F109:AF109" si="12">F4</f>
        <v>Wiweiz</v>
      </c>
      <c r="G109" s="3702" t="str">
        <f t="shared" si="12"/>
        <v>Dinkel</v>
      </c>
      <c r="H109" s="3702" t="str">
        <f t="shared" si="12"/>
        <v>Wirogg</v>
      </c>
      <c r="I109" s="3702" t="str">
        <f t="shared" si="12"/>
        <v>Tritic</v>
      </c>
      <c r="J109" s="3702" t="str">
        <f t="shared" si="12"/>
        <v>WiGerst</v>
      </c>
      <c r="K109" s="3702" t="str">
        <f t="shared" si="12"/>
        <v>Soweizen</v>
      </c>
      <c r="L109" s="3702" t="str">
        <f t="shared" si="12"/>
        <v>SoGerst</v>
      </c>
      <c r="M109" s="3702" t="str">
        <f t="shared" si="12"/>
        <v>BraugerstG</v>
      </c>
      <c r="N109" s="3702" t="str">
        <f t="shared" si="12"/>
        <v>Hafer</v>
      </c>
      <c r="O109" s="3702" t="str">
        <f t="shared" si="12"/>
        <v>Durum</v>
      </c>
      <c r="P109" s="3702" t="str">
        <f t="shared" si="12"/>
        <v>Einkorn</v>
      </c>
      <c r="Q109" s="3702" t="str">
        <f t="shared" si="12"/>
        <v>KöHirse</v>
      </c>
      <c r="R109" s="3702" t="str">
        <f t="shared" si="12"/>
        <v>KöMais</v>
      </c>
      <c r="S109" s="3702" t="str">
        <f t="shared" si="12"/>
        <v>WiRaps</v>
      </c>
      <c r="T109" s="3702" t="str">
        <f t="shared" si="12"/>
        <v>SoRaps</v>
      </c>
      <c r="U109" s="3702" t="str">
        <f t="shared" si="12"/>
        <v>SonnBlum</v>
      </c>
      <c r="V109" s="3702" t="str">
        <f t="shared" si="12"/>
        <v>Soja</v>
      </c>
      <c r="W109" s="3702" t="str">
        <f t="shared" si="12"/>
        <v>Öllein</v>
      </c>
      <c r="X109" s="3702" t="str">
        <f t="shared" si="12"/>
        <v>FuErbs</v>
      </c>
      <c r="Y109" s="3702" t="str">
        <f t="shared" si="12"/>
        <v>AckBohn</v>
      </c>
      <c r="Z109" s="3702" t="str">
        <f t="shared" si="12"/>
        <v>Lupinen</v>
      </c>
      <c r="AA109" s="3702" t="str">
        <f t="shared" si="12"/>
        <v>ZuRüb</v>
      </c>
      <c r="AB109" s="3702" t="str">
        <f t="shared" si="12"/>
        <v>Kart.</v>
      </c>
      <c r="AC109" s="3702" t="str">
        <f t="shared" si="12"/>
        <v>Hanf</v>
      </c>
      <c r="AD109" s="3702" t="str">
        <f t="shared" si="12"/>
        <v>KulturA</v>
      </c>
      <c r="AE109" s="3702" t="str">
        <f t="shared" si="12"/>
        <v>Legu-Gemenge</v>
      </c>
      <c r="AF109" s="3703" t="str">
        <f t="shared" si="12"/>
        <v>Mulchen</v>
      </c>
      <c r="AG109" s="3699" t="s">
        <v>645</v>
      </c>
    </row>
    <row r="110" spans="2:33" ht="18">
      <c r="B110" s="2168">
        <v>1</v>
      </c>
      <c r="C110" s="3756">
        <f t="shared" ref="C110:C173" si="13">C5</f>
        <v>0</v>
      </c>
      <c r="D110" s="3707"/>
      <c r="E110" s="3757"/>
      <c r="F110" s="3758" t="str">
        <f t="shared" ref="F110:AF110" si="14">IF(F5="x",1,"")</f>
        <v/>
      </c>
      <c r="G110" s="3759" t="str">
        <f t="shared" si="14"/>
        <v/>
      </c>
      <c r="H110" s="3759" t="str">
        <f t="shared" si="14"/>
        <v/>
      </c>
      <c r="I110" s="3759" t="str">
        <f t="shared" si="14"/>
        <v/>
      </c>
      <c r="J110" s="3759" t="str">
        <f t="shared" si="14"/>
        <v/>
      </c>
      <c r="K110" s="3759" t="str">
        <f t="shared" si="14"/>
        <v/>
      </c>
      <c r="L110" s="3759" t="str">
        <f t="shared" si="14"/>
        <v/>
      </c>
      <c r="M110" s="3759" t="str">
        <f t="shared" si="14"/>
        <v/>
      </c>
      <c r="N110" s="3759" t="str">
        <f t="shared" si="14"/>
        <v/>
      </c>
      <c r="O110" s="3759" t="str">
        <f t="shared" si="14"/>
        <v/>
      </c>
      <c r="P110" s="3759" t="str">
        <f t="shared" si="14"/>
        <v/>
      </c>
      <c r="Q110" s="3759" t="str">
        <f t="shared" si="14"/>
        <v/>
      </c>
      <c r="R110" s="3759" t="str">
        <f t="shared" si="14"/>
        <v/>
      </c>
      <c r="S110" s="3759" t="str">
        <f t="shared" si="14"/>
        <v/>
      </c>
      <c r="T110" s="3759" t="str">
        <f t="shared" si="14"/>
        <v/>
      </c>
      <c r="U110" s="3759" t="str">
        <f t="shared" si="14"/>
        <v/>
      </c>
      <c r="V110" s="3759" t="str">
        <f t="shared" si="14"/>
        <v/>
      </c>
      <c r="W110" s="3759" t="str">
        <f t="shared" si="14"/>
        <v/>
      </c>
      <c r="X110" s="3759" t="str">
        <f t="shared" si="14"/>
        <v/>
      </c>
      <c r="Y110" s="3759" t="str">
        <f t="shared" si="14"/>
        <v/>
      </c>
      <c r="Z110" s="3759" t="str">
        <f t="shared" si="14"/>
        <v/>
      </c>
      <c r="AA110" s="3759" t="str">
        <f t="shared" si="14"/>
        <v/>
      </c>
      <c r="AB110" s="3759" t="str">
        <f t="shared" si="14"/>
        <v/>
      </c>
      <c r="AC110" s="3759" t="str">
        <f t="shared" si="14"/>
        <v/>
      </c>
      <c r="AD110" s="3759" t="str">
        <f t="shared" si="14"/>
        <v/>
      </c>
      <c r="AE110" s="3759" t="str">
        <f t="shared" si="14"/>
        <v/>
      </c>
      <c r="AF110" s="3760" t="str">
        <f t="shared" si="14"/>
        <v/>
      </c>
      <c r="AG110" s="2152">
        <f t="shared" ref="AG110:AG173" si="15">C110</f>
        <v>0</v>
      </c>
    </row>
    <row r="111" spans="2:33" ht="18">
      <c r="B111" s="2168">
        <f t="shared" ref="B111:B174" si="16">B110+1</f>
        <v>2</v>
      </c>
      <c r="C111" s="3706" t="str">
        <f t="shared" si="13"/>
        <v>Arrat + Dash</v>
      </c>
      <c r="D111" s="3707"/>
      <c r="E111" s="3761"/>
      <c r="F111" s="3758" t="str">
        <f>IF(((COUNTIF($F$5:$F6,"x"))-(COUNTIF($F5:$F$5,"x")))=0,"",COUNTIF($F$5:$F6,"x"))</f>
        <v/>
      </c>
      <c r="G111" s="3759" t="str">
        <f>IF(((COUNTIF($G$5:$G6,"x"))-(COUNTIF($G5:$G$5,"x")))=0,"",COUNTIF($G$5:$G6,"x"))</f>
        <v/>
      </c>
      <c r="H111" s="3759" t="str">
        <f>IF(((COUNTIF($H$5:$H6,"x"))-(COUNTIF($H$5:$H5,"x")))=0,"",COUNTIF($H$5:$H6,"x"))</f>
        <v/>
      </c>
      <c r="I111" s="3759" t="str">
        <f>IF(((COUNTIF($I$5:I6,"x"))-(COUNTIF($I$5:I5,"x")))=0,"",COUNTIF($I$5:I6,"x"))</f>
        <v/>
      </c>
      <c r="J111" s="3759" t="str">
        <f>IF(((COUNTIF($J$5:J6,"x"))-(COUNTIF($J$5:J5,"x")))=0,"",COUNTIF($J$5:J6,"x"))</f>
        <v/>
      </c>
      <c r="K111" s="3759" t="str">
        <f>IF(((COUNTIF($K$5:K6,"x"))-(COUNTIF($K$5:K5,"x")))=0,"",COUNTIF($K$5:K6,"x"))</f>
        <v/>
      </c>
      <c r="L111" s="3759" t="str">
        <f>IF(((COUNTIF($L$5:L6,"x"))-(COUNTIF($L$5:L5,"x")))=0,"",COUNTIF($L$5:L6,"x"))</f>
        <v/>
      </c>
      <c r="M111" s="3759" t="str">
        <f>IF(((COUNTIF($M$5:M6,"x"))-(COUNTIF($M$5:M5,"x")))=0,"",COUNTIF($M$5:M6,"x"))</f>
        <v/>
      </c>
      <c r="N111" s="3759" t="str">
        <f>IF(((COUNTIF($N$5:N6,"x"))-(COUNTIF($N$5:N5,"x")))=0,"",COUNTIF($N$5:N6,"x"))</f>
        <v/>
      </c>
      <c r="O111" s="3759" t="str">
        <f>IF(((COUNTIF($O$5:O6,"x"))-(COUNTIF($O$5:O5,"x")))=0,"",COUNTIF($O$5:O6,"x"))</f>
        <v/>
      </c>
      <c r="P111" s="3759">
        <f>IF(((COUNTIF($P$5:P6,"x"))-(COUNTIF($P$5:P5,"x")))=0,"",COUNTIF($P$5:P6,"x"))</f>
        <v>1</v>
      </c>
      <c r="Q111" s="3759">
        <f>IF(((COUNTIF($Q$5:Q6,"x"))-(COUNTIF($Q$5:Q5,"x")))=0,"",COUNTIF($Q$5:Q6,"x"))</f>
        <v>1</v>
      </c>
      <c r="R111" s="3759">
        <f>IF(((COUNTIF($R$5:R6,"x"))-(COUNTIF($R$5:R5,"x")))=0,"",COUNTIF($R$5:R6,"x"))</f>
        <v>1</v>
      </c>
      <c r="S111" s="3759" t="str">
        <f>IF(((COUNTIF($S$5:S6,"x"))-(COUNTIF($S$5:S5,"x")))=0,"",COUNTIF($S$5:S6,"x"))</f>
        <v/>
      </c>
      <c r="T111" s="3759" t="str">
        <f>IF(((COUNTIF($T$5:T6,"x"))-(COUNTIF($T$5:T5,"x")))=0,"",COUNTIF($T$5:T6,"x"))</f>
        <v/>
      </c>
      <c r="U111" s="3759" t="str">
        <f>IF(((COUNTIF($U$5:U6,"x"))-(COUNTIF($U$5:U5,"x")))=0,"",COUNTIF($U$5:U6,"x"))</f>
        <v/>
      </c>
      <c r="V111" s="3759" t="str">
        <f>IF(((COUNTIF($V$5:V6,"x"))-(COUNTIF($V$5:V5,"x")))=0,"",COUNTIF($V$5:V6,"x"))</f>
        <v/>
      </c>
      <c r="W111" s="3759" t="str">
        <f>IF(((COUNTIF($W$5:W6,"x"))-(COUNTIF($W$5:W5,"x")))=0,"",COUNTIF($W$5:W6,"x"))</f>
        <v/>
      </c>
      <c r="X111" s="3759" t="str">
        <f>IF(((COUNTIF($X$5:X6,"x"))-(COUNTIF($X$5:X5,"x")))=0,"",COUNTIF($X$5:X6,"x"))</f>
        <v/>
      </c>
      <c r="Y111" s="3759" t="str">
        <f>IF(((COUNTIF($Y$5:Y6,"x"))-(COUNTIF($Y$5:Y5,"x")))=0,"",COUNTIF($Y$5:Y6,"x"))</f>
        <v/>
      </c>
      <c r="Z111" s="3759" t="str">
        <f>IF(((COUNTIF($Z$5:Z6,"x"))-(COUNTIF($Z$5:Z5,"x")))=0,"",COUNTIF($Z$5:Z6,"x"))</f>
        <v/>
      </c>
      <c r="AA111" s="3759" t="str">
        <f>IF(((COUNTIF($AA$5:AA6,"x"))-(COUNTIF($AA$5:AA5,"x")))=0,"",COUNTIF($AA$5:AA6,"x"))</f>
        <v/>
      </c>
      <c r="AB111" s="3759" t="str">
        <f>IF(((COUNTIF($AB$5:AB6,"x"))-(COUNTIF($AB$5:AB5,"x")))=0,"",COUNTIF($AB$5:AB6,"x"))</f>
        <v/>
      </c>
      <c r="AC111" s="3759" t="str">
        <f>IF(((COUNTIF($AC$5:AC6,"x"))-(COUNTIF($AC$5:AC5,"x")))=0,"",COUNTIF($AC$5:AC6,"x"))</f>
        <v/>
      </c>
      <c r="AD111" s="3759">
        <f>IF(((COUNTIF($AD$5:AD6,"x"))-(COUNTIF($AD$5:AD5,"x")))=0,"",COUNTIF($AD$5:AD6,"x"))</f>
        <v>1</v>
      </c>
      <c r="AE111" s="3759" t="str">
        <f>IF(((COUNTIF($AE$5:AE6,"x"))-(COUNTIF($AE$5:AE5,"x")))=0,"",COUNTIF($AE$5:AE6,"x"))</f>
        <v/>
      </c>
      <c r="AF111" s="3759" t="str">
        <f>IF(((COUNTIF($AF$5:AF6,"x"))-(COUNTIF($AF$5:AF5,"x")))=0,"",COUNTIF($AF$5:AF6,"x"))</f>
        <v/>
      </c>
      <c r="AG111" s="2152" t="str">
        <f t="shared" si="15"/>
        <v>Arrat + Dash</v>
      </c>
    </row>
    <row r="112" spans="2:33" ht="18">
      <c r="B112" s="2168">
        <f t="shared" si="16"/>
        <v>3</v>
      </c>
      <c r="C112" s="3756" t="str">
        <f t="shared" si="13"/>
        <v>Agil-S</v>
      </c>
      <c r="D112" s="3707"/>
      <c r="E112" s="3757"/>
      <c r="F112" s="3758" t="str">
        <f>IF(((COUNTIF($F$5:$F7,"x"))-(COUNTIF($F$5:$F6,"x")))=0,"",COUNTIF($F$5:$F7,"x"))</f>
        <v/>
      </c>
      <c r="G112" s="3759" t="str">
        <f>IF(((COUNTIF($G$5:$G7,"x"))-(COUNTIF($G$5:$G6,"x")))=0,"",COUNTIF($G$5:$G7,"x"))</f>
        <v/>
      </c>
      <c r="H112" s="3759" t="str">
        <f>IF(((COUNTIF($H$5:$H7,"x"))-(COUNTIF($H$5:$H6,"x")))=0,"",COUNTIF($H$5:$H7,"x"))</f>
        <v/>
      </c>
      <c r="I112" s="3759" t="str">
        <f>IF(((COUNTIF($I$5:I7,"x"))-(COUNTIF($I$5:I6,"x")))=0,"",COUNTIF($I$5:I7,"x"))</f>
        <v/>
      </c>
      <c r="J112" s="3759" t="str">
        <f>IF(((COUNTIF($J$5:J7,"x"))-(COUNTIF($J$5:J6,"x")))=0,"",COUNTIF($J$5:J7,"x"))</f>
        <v/>
      </c>
      <c r="K112" s="3759" t="str">
        <f>IF(((COUNTIF($K$5:K7,"x"))-(COUNTIF($K$5:K6,"x")))=0,"",COUNTIF($K$5:K7,"x"))</f>
        <v/>
      </c>
      <c r="L112" s="3759" t="str">
        <f>IF(((COUNTIF($L$5:L7,"x"))-(COUNTIF($L$5:L6,"x")))=0,"",COUNTIF($L$5:L7,"x"))</f>
        <v/>
      </c>
      <c r="M112" s="3759" t="str">
        <f>IF(((COUNTIF($M$5:M7,"x"))-(COUNTIF($M$5:M6,"x")))=0,"",COUNTIF($M$5:M7,"x"))</f>
        <v/>
      </c>
      <c r="N112" s="3759" t="str">
        <f>IF(((COUNTIF($N$5:N7,"x"))-(COUNTIF($N$5:N6,"x")))=0,"",COUNTIF($N$5:N7,"x"))</f>
        <v/>
      </c>
      <c r="O112" s="3759" t="str">
        <f>IF(((COUNTIF($O$5:O7,"x"))-(COUNTIF($O$5:O6,"x")))=0,"",COUNTIF($O$5:O7,"x"))</f>
        <v/>
      </c>
      <c r="P112" s="3759" t="str">
        <f>IF(((COUNTIF($P$5:P7,"x"))-(COUNTIF($P$5:P6,"x")))=0,"",COUNTIF($P$5:P7,"x"))</f>
        <v/>
      </c>
      <c r="Q112" s="3759" t="str">
        <f>IF(((COUNTIF($Q$5:Q7,"x"))-(COUNTIF($Q$5:Q6,"x")))=0,"",COUNTIF($Q$5:Q7,"x"))</f>
        <v/>
      </c>
      <c r="R112" s="3759" t="str">
        <f>IF(((COUNTIF($R$5:R7,"x"))-(COUNTIF($R$5:R6,"x")))=0,"",COUNTIF($R$5:R7,"x"))</f>
        <v/>
      </c>
      <c r="S112" s="3759">
        <f>IF(((COUNTIF($S$5:S7,"x"))-(COUNTIF($S$5:S6,"x")))=0,"",COUNTIF($S$5:S7,"x"))</f>
        <v>1</v>
      </c>
      <c r="T112" s="3759" t="str">
        <f>IF(((COUNTIF($T$5:T7,"x"))-(COUNTIF($T$5:T6,"x")))=0,"",COUNTIF($T$5:T7,"x"))</f>
        <v/>
      </c>
      <c r="U112" s="3759">
        <f>IF(((COUNTIF($U$5:U7,"x"))-(COUNTIF($U$5:U6,"x")))=0,"",COUNTIF($U$5:U7,"x"))</f>
        <v>1</v>
      </c>
      <c r="V112" s="3759" t="str">
        <f>IF(((COUNTIF($V$5:V7,"x"))-(COUNTIF($V$5:V6,"x")))=0,"",COUNTIF($V$5:V7,"x"))</f>
        <v/>
      </c>
      <c r="W112" s="3759" t="str">
        <f>IF(((COUNTIF($W$5:W7,"x"))-(COUNTIF($W$5:W6,"x")))=0,"",COUNTIF($W$5:W7,"x"))</f>
        <v/>
      </c>
      <c r="X112" s="3759">
        <f>IF(((COUNTIF($X$5:X7,"x"))-(COUNTIF($X$5:X6,"x")))=0,"",COUNTIF($X$5:X7,"x"))</f>
        <v>1</v>
      </c>
      <c r="Y112" s="3759">
        <f>IF(((COUNTIF($Y$5:Y7,"x"))-(COUNTIF($Y$5:Y6,"x")))=0,"",COUNTIF($Y$5:Y7,"x"))</f>
        <v>1</v>
      </c>
      <c r="Z112" s="3759" t="str">
        <f>IF(((COUNTIF($Z$5:Z7,"x"))-(COUNTIF($Z$5:Z6,"x")))=0,"",COUNTIF($Z$5:Z7,"x"))</f>
        <v/>
      </c>
      <c r="AA112" s="3759">
        <f>IF(((COUNTIF($AA$5:AA7,"x"))-(COUNTIF($AA$5:AA6,"x")))=0,"",COUNTIF($AA$5:AA7,"x"))</f>
        <v>1</v>
      </c>
      <c r="AB112" s="3759">
        <f>IF(((COUNTIF($AB$5:AB7,"x"))-(COUNTIF($AB$5:AB6,"x")))=0,"",COUNTIF($AB$5:AB7,"x"))</f>
        <v>1</v>
      </c>
      <c r="AC112" s="3759" t="str">
        <f>IF(((COUNTIF($AC$5:AC7,"x"))-(COUNTIF($AC$5:AC6,"x")))=0,"",COUNTIF($AC$5:AC7,"x"))</f>
        <v/>
      </c>
      <c r="AD112" s="3759">
        <f>IF(((COUNTIF($AD$5:AD7,"x"))-(COUNTIF($AD$5:AD6,"x")))=0,"",COUNTIF($AD$5:AD7,"x"))</f>
        <v>2</v>
      </c>
      <c r="AE112" s="3759" t="str">
        <f>IF(((COUNTIF($AE$5:AE7,"x"))-(COUNTIF($AE$5:AE6,"x")))=0,"",COUNTIF($AE$5:AE7,"x"))</f>
        <v/>
      </c>
      <c r="AF112" s="3760" t="str">
        <f>IF(((COUNTIF($AF$5:AF7,"x"))-(COUNTIF($AF$5:AF6,"x")))=0,"",COUNTIF($AF$5:AF7,"x"))</f>
        <v/>
      </c>
      <c r="AG112" s="2152" t="str">
        <f t="shared" si="15"/>
        <v>Agil-S</v>
      </c>
    </row>
    <row r="113" spans="2:33" ht="18">
      <c r="B113" s="2168">
        <f t="shared" si="16"/>
        <v>4</v>
      </c>
      <c r="C113" s="3756" t="str">
        <f t="shared" si="13"/>
        <v>Ariane C</v>
      </c>
      <c r="D113" s="3707"/>
      <c r="E113" s="3757"/>
      <c r="F113" s="3758">
        <f>IF(((COUNTIF($F$5:$F8,"x"))-(COUNTIF($F$5:$F7,"x")))=0,"",COUNTIF($F$5:$F8,"x"))</f>
        <v>1</v>
      </c>
      <c r="G113" s="3759">
        <f>IF(((COUNTIF($G$5:$G8,"x"))-(COUNTIF($G$5:$G7,"x")))=0,"",COUNTIF($G$5:$G8,"x"))</f>
        <v>1</v>
      </c>
      <c r="H113" s="3759">
        <f>IF(((COUNTIF($H$5:$H8,"x"))-(COUNTIF($H$5:$H7,"x")))=0,"",COUNTIF($H$5:$H8,"x"))</f>
        <v>1</v>
      </c>
      <c r="I113" s="3759">
        <f>IF(((COUNTIF($I$5:I8,"x"))-(COUNTIF($I$5:I7,"x")))=0,"",COUNTIF($I$5:I8,"x"))</f>
        <v>1</v>
      </c>
      <c r="J113" s="3759">
        <f>IF(((COUNTIF($J$5:J8,"x"))-(COUNTIF($J$5:J7,"x")))=0,"",COUNTIF($J$5:J8,"x"))</f>
        <v>1</v>
      </c>
      <c r="K113" s="3759">
        <f>IF(((COUNTIF($K$5:K8,"x"))-(COUNTIF($K$5:K7,"x")))=0,"",COUNTIF($K$5:K8,"x"))</f>
        <v>1</v>
      </c>
      <c r="L113" s="3759">
        <f>IF(((COUNTIF($L$5:L8,"x"))-(COUNTIF($L$5:L7,"x")))=0,"",COUNTIF($L$5:L8,"x"))</f>
        <v>1</v>
      </c>
      <c r="M113" s="3759">
        <f>IF(((COUNTIF($M$5:M8,"x"))-(COUNTIF($M$5:M7,"x")))=0,"",COUNTIF($M$5:M8,"x"))</f>
        <v>1</v>
      </c>
      <c r="N113" s="3759">
        <f>IF(((COUNTIF($N$5:N8,"x"))-(COUNTIF($N$5:N7,"x")))=0,"",COUNTIF($N$5:N8,"x"))</f>
        <v>1</v>
      </c>
      <c r="O113" s="3759" t="str">
        <f>IF(((COUNTIF($O$5:O8,"x"))-(COUNTIF($O$5:O7,"x")))=0,"",COUNTIF($O$5:O8,"x"))</f>
        <v/>
      </c>
      <c r="P113" s="3759" t="str">
        <f>IF(((COUNTIF($P$5:P8,"x"))-(COUNTIF($P$5:P7,"x")))=0,"",COUNTIF($P$5:P8,"x"))</f>
        <v/>
      </c>
      <c r="Q113" s="3759" t="str">
        <f>IF(((COUNTIF($Q$5:Q8,"x"))-(COUNTIF($Q$5:Q7,"x")))=0,"",COUNTIF($Q$5:Q8,"x"))</f>
        <v/>
      </c>
      <c r="R113" s="3759" t="str">
        <f>IF(((COUNTIF($R$5:R8,"x"))-(COUNTIF($R$5:R7,"x")))=0,"",COUNTIF($R$5:R8,"x"))</f>
        <v/>
      </c>
      <c r="S113" s="3759" t="str">
        <f>IF(((COUNTIF($S$5:S8,"x"))-(COUNTIF($S$5:S7,"x")))=0,"",COUNTIF($S$5:S8,"x"))</f>
        <v/>
      </c>
      <c r="T113" s="3759" t="str">
        <f>IF(((COUNTIF($T$5:T8,"x"))-(COUNTIF($T$5:T7,"x")))=0,"",COUNTIF($T$5:T8,"x"))</f>
        <v/>
      </c>
      <c r="U113" s="3759" t="str">
        <f>IF(((COUNTIF($U$5:U8,"x"))-(COUNTIF($U$5:U7,"x")))=0,"",COUNTIF($U$5:U8,"x"))</f>
        <v/>
      </c>
      <c r="V113" s="3759" t="str">
        <f>IF(((COUNTIF($V$5:V8,"x"))-(COUNTIF($V$5:V7,"x")))=0,"",COUNTIF($V$5:V8,"x"))</f>
        <v/>
      </c>
      <c r="W113" s="3759" t="str">
        <f>IF(((COUNTIF($W$5:W8,"x"))-(COUNTIF($W$5:W7,"x")))=0,"",COUNTIF($W$5:W8,"x"))</f>
        <v/>
      </c>
      <c r="X113" s="3759" t="str">
        <f>IF(((COUNTIF($X$5:X8,"x"))-(COUNTIF($X$5:X7,"x")))=0,"",COUNTIF($X$5:X8,"x"))</f>
        <v/>
      </c>
      <c r="Y113" s="3759" t="str">
        <f>IF(((COUNTIF($Y$5:Y8,"x"))-(COUNTIF($Y$5:Y7,"x")))=0,"",COUNTIF($Y$5:Y8,"x"))</f>
        <v/>
      </c>
      <c r="Z113" s="3759" t="str">
        <f>IF(((COUNTIF($Z$5:Z8,"x"))-(COUNTIF($Z$5:Z7,"x")))=0,"",COUNTIF($Z$5:Z8,"x"))</f>
        <v/>
      </c>
      <c r="AA113" s="3759" t="str">
        <f>IF(((COUNTIF($AA$5:AA8,"x"))-(COUNTIF($AA$5:AA7,"x")))=0,"",COUNTIF($AA$5:AA8,"x"))</f>
        <v/>
      </c>
      <c r="AB113" s="3759" t="str">
        <f>IF(((COUNTIF($AB$5:AB8,"x"))-(COUNTIF($AB$5:AB7,"x")))=0,"",COUNTIF($AB$5:AB8,"x"))</f>
        <v/>
      </c>
      <c r="AC113" s="3759" t="str">
        <f>IF(((COUNTIF($AC$5:AC8,"x"))-(COUNTIF($AC$5:AC7,"x")))=0,"",COUNTIF($AC$5:AC8,"x"))</f>
        <v/>
      </c>
      <c r="AD113" s="3759">
        <f>IF(((COUNTIF($AD$5:AD8,"x"))-(COUNTIF($AD$5:AD7,"x")))=0,"",COUNTIF($AD$5:AD8,"x"))</f>
        <v>3</v>
      </c>
      <c r="AE113" s="3759" t="str">
        <f>IF(((COUNTIF($AE$5:AE8,"x"))-(COUNTIF($AE$5:AE7,"x")))=0,"",COUNTIF($AE$5:AE8,"x"))</f>
        <v/>
      </c>
      <c r="AF113" s="3760" t="str">
        <f>IF(((COUNTIF($AF$5:AF8,"x"))-(COUNTIF($AF$5:AF7,"x")))=0,"",COUNTIF($AF$5:AF8,"x"))</f>
        <v/>
      </c>
      <c r="AG113" s="2152" t="str">
        <f t="shared" si="15"/>
        <v>Ariane C</v>
      </c>
    </row>
    <row r="114" spans="2:33" ht="18">
      <c r="B114" s="2168">
        <f t="shared" si="16"/>
        <v>5</v>
      </c>
      <c r="C114" s="3756" t="str">
        <f t="shared" si="13"/>
        <v>Artist</v>
      </c>
      <c r="D114" s="3707"/>
      <c r="E114" s="3757"/>
      <c r="F114" s="3758" t="str">
        <f>IF(((COUNTIF($F$5:$F9,"x"))-(COUNTIF($F$5:$F8,"x")))=0,"",COUNTIF($F$5:$F9,"x"))</f>
        <v/>
      </c>
      <c r="G114" s="3759" t="str">
        <f>IF(((COUNTIF($G$5:$G9,"x"))-(COUNTIF($G$5:$G8,"x")))=0,"",COUNTIF($G$5:$G9,"x"))</f>
        <v/>
      </c>
      <c r="H114" s="3759" t="str">
        <f>IF(((COUNTIF($H$5:$H9,"x"))-(COUNTIF($H$5:$H8,"x")))=0,"",COUNTIF($H$5:$H9,"x"))</f>
        <v/>
      </c>
      <c r="I114" s="3759" t="str">
        <f>IF(((COUNTIF($I$5:I9,"x"))-(COUNTIF($I$5:I8,"x")))=0,"",COUNTIF($I$5:I9,"x"))</f>
        <v/>
      </c>
      <c r="J114" s="3759" t="str">
        <f>IF(((COUNTIF($J$5:J9,"x"))-(COUNTIF($J$5:J8,"x")))=0,"",COUNTIF($J$5:J9,"x"))</f>
        <v/>
      </c>
      <c r="K114" s="3759" t="str">
        <f>IF(((COUNTIF($K$5:K9,"x"))-(COUNTIF($K$5:K8,"x")))=0,"",COUNTIF($K$5:K9,"x"))</f>
        <v/>
      </c>
      <c r="L114" s="3759" t="str">
        <f>IF(((COUNTIF($L$5:L9,"x"))-(COUNTIF($L$5:L8,"x")))=0,"",COUNTIF($L$5:L9,"x"))</f>
        <v/>
      </c>
      <c r="M114" s="3759" t="str">
        <f>IF(((COUNTIF($M$5:M9,"x"))-(COUNTIF($M$5:M8,"x")))=0,"",COUNTIF($M$5:M9,"x"))</f>
        <v/>
      </c>
      <c r="N114" s="3759" t="str">
        <f>IF(((COUNTIF($N$5:N9,"x"))-(COUNTIF($N$5:N8,"x")))=0,"",COUNTIF($N$5:N9,"x"))</f>
        <v/>
      </c>
      <c r="O114" s="3759" t="str">
        <f>IF(((COUNTIF($O$5:O9,"x"))-(COUNTIF($O$5:O8,"x")))=0,"",COUNTIF($O$5:O9,"x"))</f>
        <v/>
      </c>
      <c r="P114" s="3759" t="str">
        <f>IF(((COUNTIF($P$5:P9,"x"))-(COUNTIF($P$5:P8,"x")))=0,"",COUNTIF($P$5:P9,"x"))</f>
        <v/>
      </c>
      <c r="Q114" s="3759" t="str">
        <f>IF(((COUNTIF($Q$5:Q9,"x"))-(COUNTIF($Q$5:Q8,"x")))=0,"",COUNTIF($Q$5:Q9,"x"))</f>
        <v/>
      </c>
      <c r="R114" s="3759" t="str">
        <f>IF(((COUNTIF($R$5:R9,"x"))-(COUNTIF($R$5:R8,"x")))=0,"",COUNTIF($R$5:R9,"x"))</f>
        <v/>
      </c>
      <c r="S114" s="3759" t="str">
        <f>IF(((COUNTIF($S$5:S9,"x"))-(COUNTIF($S$5:S8,"x")))=0,"",COUNTIF($S$5:S9,"x"))</f>
        <v/>
      </c>
      <c r="T114" s="3759" t="str">
        <f>IF(((COUNTIF($T$5:T9,"x"))-(COUNTIF($T$5:T8,"x")))=0,"",COUNTIF($T$5:T9,"x"))</f>
        <v/>
      </c>
      <c r="U114" s="3759" t="str">
        <f>IF(((COUNTIF($U$5:U9,"x"))-(COUNTIF($U$5:U8,"x")))=0,"",COUNTIF($U$5:U9,"x"))</f>
        <v/>
      </c>
      <c r="V114" s="3759">
        <f>IF(((COUNTIF($V$5:V9,"x"))-(COUNTIF($V$5:V8,"x")))=0,"",COUNTIF($V$5:V9,"x"))</f>
        <v>1</v>
      </c>
      <c r="W114" s="3759" t="str">
        <f>IF(((COUNTIF($W$5:W9,"x"))-(COUNTIF($W$5:W8,"x")))=0,"",COUNTIF($W$5:W9,"x"))</f>
        <v/>
      </c>
      <c r="X114" s="3759" t="str">
        <f>IF(((COUNTIF($X$5:X9,"x"))-(COUNTIF($X$5:X8,"x")))=0,"",COUNTIF($X$5:X9,"x"))</f>
        <v/>
      </c>
      <c r="Y114" s="3759" t="str">
        <f>IF(((COUNTIF($Y$5:Y9,"x"))-(COUNTIF($Y$5:Y8,"x")))=0,"",COUNTIF($Y$5:Y9,"x"))</f>
        <v/>
      </c>
      <c r="Z114" s="3759" t="str">
        <f>IF(((COUNTIF($Z$5:Z9,"x"))-(COUNTIF($Z$5:Z8,"x")))=0,"",COUNTIF($Z$5:Z9,"x"))</f>
        <v/>
      </c>
      <c r="AA114" s="3759" t="str">
        <f>IF(((COUNTIF($AA$5:AA9,"x"))-(COUNTIF($AA$5:AA8,"x")))=0,"",COUNTIF($AA$5:AA9,"x"))</f>
        <v/>
      </c>
      <c r="AB114" s="3759">
        <f>IF(((COUNTIF($AB$5:AB9,"x"))-(COUNTIF($AB$5:AB8,"x")))=0,"",COUNTIF($AB$5:AB9,"x"))</f>
        <v>2</v>
      </c>
      <c r="AC114" s="3759" t="str">
        <f>IF(((COUNTIF($AC$5:AC9,"x"))-(COUNTIF($AC$5:AC8,"x")))=0,"",COUNTIF($AC$5:AC9,"x"))</f>
        <v/>
      </c>
      <c r="AD114" s="3759">
        <f>IF(((COUNTIF($AD$5:AD9,"x"))-(COUNTIF($AD$5:AD8,"x")))=0,"",COUNTIF($AD$5:AD9,"x"))</f>
        <v>4</v>
      </c>
      <c r="AE114" s="3759" t="str">
        <f>IF(((COUNTIF($AE$5:AE9,"x"))-(COUNTIF($AE$5:AE8,"x")))=0,"",COUNTIF($AE$5:AE9,"x"))</f>
        <v/>
      </c>
      <c r="AF114" s="3760" t="str">
        <f>IF(((COUNTIF($AF$5:AF9,"x"))-(COUNTIF($AF$5:AF8,"x")))=0,"",COUNTIF($AF$5:AF9,"x"))</f>
        <v/>
      </c>
      <c r="AG114" s="2152" t="str">
        <f t="shared" si="15"/>
        <v>Artist</v>
      </c>
    </row>
    <row r="115" spans="2:33" ht="18">
      <c r="B115" s="2168">
        <f t="shared" si="16"/>
        <v>6</v>
      </c>
      <c r="C115" s="3756" t="str">
        <f t="shared" si="13"/>
        <v>Artus</v>
      </c>
      <c r="D115" s="3707"/>
      <c r="E115" s="3762"/>
      <c r="F115" s="3758">
        <f>IF(((COUNTIF($F$5:$F10,"x"))-(COUNTIF($F$5:$F9,"x")))=0,"",COUNTIF($F$5:$F10,"x"))</f>
        <v>2</v>
      </c>
      <c r="G115" s="3759" t="str">
        <f>IF(((COUNTIF($G$5:$G10,"x"))-(COUNTIF($G$5:$G9,"x")))=0,"",COUNTIF($G$5:$G10,"x"))</f>
        <v/>
      </c>
      <c r="H115" s="3759">
        <f>IF(((COUNTIF($H$5:$H10,"x"))-(COUNTIF($H$5:$H9,"x")))=0,"",COUNTIF($H$5:$H10,"x"))</f>
        <v>2</v>
      </c>
      <c r="I115" s="3759">
        <f>IF(((COUNTIF($I$5:I10,"x"))-(COUNTIF($I$5:I9,"x")))=0,"",COUNTIF($I$5:I10,"x"))</f>
        <v>2</v>
      </c>
      <c r="J115" s="3759">
        <f>IF(((COUNTIF($J$5:J10,"x"))-(COUNTIF($J$5:J9,"x")))=0,"",COUNTIF($J$5:J10,"x"))</f>
        <v>2</v>
      </c>
      <c r="K115" s="3759">
        <f>IF(((COUNTIF($K$5:K10,"x"))-(COUNTIF($K$5:K9,"x")))=0,"",COUNTIF($K$5:K10,"x"))</f>
        <v>2</v>
      </c>
      <c r="L115" s="3759">
        <f>IF(((COUNTIF($L$5:L10,"x"))-(COUNTIF($L$5:L9,"x")))=0,"",COUNTIF($L$5:L10,"x"))</f>
        <v>2</v>
      </c>
      <c r="M115" s="3759">
        <f>IF(((COUNTIF($M$5:M10,"x"))-(COUNTIF($M$5:M9,"x")))=0,"",COUNTIF($M$5:M10,"x"))</f>
        <v>2</v>
      </c>
      <c r="N115" s="3759">
        <f>IF(((COUNTIF($N$5:N10,"x"))-(COUNTIF($N$5:N9,"x")))=0,"",COUNTIF($N$5:N10,"x"))</f>
        <v>2</v>
      </c>
      <c r="O115" s="3759" t="str">
        <f>IF(((COUNTIF($O$5:O10,"x"))-(COUNTIF($O$5:O9,"x")))=0,"",COUNTIF($O$5:O10,"x"))</f>
        <v/>
      </c>
      <c r="P115" s="3759" t="str">
        <f>IF(((COUNTIF($P$5:P10,"x"))-(COUNTIF($P$5:P9,"x")))=0,"",COUNTIF($P$5:P10,"x"))</f>
        <v/>
      </c>
      <c r="Q115" s="3759" t="str">
        <f>IF(((COUNTIF($Q$5:Q10,"x"))-(COUNTIF($Q$5:Q9,"x")))=0,"",COUNTIF($Q$5:Q10,"x"))</f>
        <v/>
      </c>
      <c r="R115" s="3759" t="str">
        <f>IF(((COUNTIF($R$5:R10,"x"))-(COUNTIF($R$5:R9,"x")))=0,"",COUNTIF($R$5:R10,"x"))</f>
        <v/>
      </c>
      <c r="S115" s="3759" t="str">
        <f>IF(((COUNTIF($S$5:S10,"x"))-(COUNTIF($S$5:S9,"x")))=0,"",COUNTIF($S$5:S10,"x"))</f>
        <v/>
      </c>
      <c r="T115" s="3759" t="str">
        <f>IF(((COUNTIF($T$5:T10,"x"))-(COUNTIF($T$5:T9,"x")))=0,"",COUNTIF($T$5:T10,"x"))</f>
        <v/>
      </c>
      <c r="U115" s="3759" t="str">
        <f>IF(((COUNTIF($U$5:U10,"x"))-(COUNTIF($U$5:U9,"x")))=0,"",COUNTIF($U$5:U10,"x"))</f>
        <v/>
      </c>
      <c r="V115" s="3759" t="str">
        <f>IF(((COUNTIF($V$5:V10,"x"))-(COUNTIF($V$5:V9,"x")))=0,"",COUNTIF($V$5:V10,"x"))</f>
        <v/>
      </c>
      <c r="W115" s="3759" t="str">
        <f>IF(((COUNTIF($W$5:W10,"x"))-(COUNTIF($W$5:W9,"x")))=0,"",COUNTIF($W$5:W10,"x"))</f>
        <v/>
      </c>
      <c r="X115" s="3759" t="str">
        <f>IF(((COUNTIF($X$5:X10,"x"))-(COUNTIF($X$5:X9,"x")))=0,"",COUNTIF($X$5:X10,"x"))</f>
        <v/>
      </c>
      <c r="Y115" s="3759" t="str">
        <f>IF(((COUNTIF($Y$5:Y10,"x"))-(COUNTIF($Y$5:Y9,"x")))=0,"",COUNTIF($Y$5:Y10,"x"))</f>
        <v/>
      </c>
      <c r="Z115" s="3759" t="str">
        <f>IF(((COUNTIF($Z$5:Z10,"x"))-(COUNTIF($Z$5:Z9,"x")))=0,"",COUNTIF($Z$5:Z10,"x"))</f>
        <v/>
      </c>
      <c r="AA115" s="3759" t="str">
        <f>IF(((COUNTIF($AA$5:AA10,"x"))-(COUNTIF($AA$5:AA9,"x")))=0,"",COUNTIF($AA$5:AA10,"x"))</f>
        <v/>
      </c>
      <c r="AB115" s="3759" t="str">
        <f>IF(((COUNTIF($AB$5:AB10,"x"))-(COUNTIF($AB$5:AB9,"x")))=0,"",COUNTIF($AB$5:AB10,"x"))</f>
        <v/>
      </c>
      <c r="AC115" s="3759" t="str">
        <f>IF(((COUNTIF($AC$5:AC10,"x"))-(COUNTIF($AC$5:AC9,"x")))=0,"",COUNTIF($AC$5:AC10,"x"))</f>
        <v/>
      </c>
      <c r="AD115" s="3759">
        <f>IF(((COUNTIF($AD$5:AD10,"x"))-(COUNTIF($AD$5:AD9,"x")))=0,"",COUNTIF($AD$5:AD10,"x"))</f>
        <v>5</v>
      </c>
      <c r="AE115" s="3759" t="str">
        <f>IF(((COUNTIF($AE$5:AE10,"x"))-(COUNTIF($AE$5:AE9,"x")))=0,"",COUNTIF($AE$5:AE10,"x"))</f>
        <v/>
      </c>
      <c r="AF115" s="3760" t="str">
        <f>IF(((COUNTIF($AF$5:AF10,"x"))-(COUNTIF($AF$5:AF9,"x")))=0,"",COUNTIF($AF$5:AF10,"x"))</f>
        <v/>
      </c>
      <c r="AG115" s="2152" t="str">
        <f t="shared" si="15"/>
        <v>Artus</v>
      </c>
    </row>
    <row r="116" spans="2:33" ht="18">
      <c r="B116" s="2168">
        <f t="shared" si="16"/>
        <v>7</v>
      </c>
      <c r="C116" s="3756" t="str">
        <f t="shared" si="13"/>
        <v>Ascra Xpro</v>
      </c>
      <c r="D116" s="3707"/>
      <c r="E116" s="3762"/>
      <c r="F116" s="3758">
        <f>IF(((COUNTIF($F$5:$F11,"x"))-(COUNTIF($F$5:$F10,"x")))=0,"",COUNTIF($F$5:$F11,"x"))</f>
        <v>3</v>
      </c>
      <c r="G116" s="3759">
        <f>IF(((COUNTIF($G$5:$G11,"x"))-(COUNTIF($G$5:$G10,"x")))=0,"",COUNTIF($G$5:$G11,"x"))</f>
        <v>2</v>
      </c>
      <c r="H116" s="3759">
        <f>IF(((COUNTIF($H$5:$H11,"x"))-(COUNTIF($H$5:$H10,"x")))=0,"",COUNTIF($H$5:$H11,"x"))</f>
        <v>3</v>
      </c>
      <c r="I116" s="3759">
        <f>IF(((COUNTIF($I$5:I11,"x"))-(COUNTIF($I$5:I10,"x")))=0,"",COUNTIF($I$5:I11,"x"))</f>
        <v>3</v>
      </c>
      <c r="J116" s="3759">
        <f>IF(((COUNTIF($J$5:J11,"x"))-(COUNTIF($J$5:J10,"x")))=0,"",COUNTIF($J$5:J11,"x"))</f>
        <v>3</v>
      </c>
      <c r="K116" s="3759">
        <f>IF(((COUNTIF($K$5:K11,"x"))-(COUNTIF($K$5:K10,"x")))=0,"",COUNTIF($K$5:K11,"x"))</f>
        <v>3</v>
      </c>
      <c r="L116" s="3759">
        <f>IF(((COUNTIF($L$5:L11,"x"))-(COUNTIF($L$5:L10,"x")))=0,"",COUNTIF($L$5:L11,"x"))</f>
        <v>3</v>
      </c>
      <c r="M116" s="3759">
        <f>IF(((COUNTIF($M$5:M11,"x"))-(COUNTIF($M$5:M10,"x")))=0,"",COUNTIF($M$5:M11,"x"))</f>
        <v>3</v>
      </c>
      <c r="N116" s="3759">
        <f>IF(((COUNTIF($N$5:N11,"x"))-(COUNTIF($N$5:N10,"x")))=0,"",COUNTIF($N$5:N11,"x"))</f>
        <v>3</v>
      </c>
      <c r="O116" s="3759">
        <f>IF(((COUNTIF($O$5:O11,"x"))-(COUNTIF($O$5:O10,"x")))=0,"",COUNTIF($O$5:O11,"x"))</f>
        <v>1</v>
      </c>
      <c r="P116" s="3759" t="str">
        <f>IF(((COUNTIF($P$5:P11,"x"))-(COUNTIF($P$5:P10,"x")))=0,"",COUNTIF($P$5:P11,"x"))</f>
        <v/>
      </c>
      <c r="Q116" s="3759" t="str">
        <f>IF(((COUNTIF($Q$5:Q11,"x"))-(COUNTIF($Q$5:Q10,"x")))=0,"",COUNTIF($Q$5:Q11,"x"))</f>
        <v/>
      </c>
      <c r="R116" s="3759" t="str">
        <f>IF(((COUNTIF($R$5:R11,"x"))-(COUNTIF($R$5:R10,"x")))=0,"",COUNTIF($R$5:R11,"x"))</f>
        <v/>
      </c>
      <c r="S116" s="3759" t="str">
        <f>IF(((COUNTIF($S$5:S11,"x"))-(COUNTIF($S$5:S10,"x")))=0,"",COUNTIF($S$5:S11,"x"))</f>
        <v/>
      </c>
      <c r="T116" s="3759" t="str">
        <f>IF(((COUNTIF($T$5:T11,"x"))-(COUNTIF($T$5:T10,"x")))=0,"",COUNTIF($T$5:T11,"x"))</f>
        <v/>
      </c>
      <c r="U116" s="3759" t="str">
        <f>IF(((COUNTIF($U$5:U11,"x"))-(COUNTIF($U$5:U10,"x")))=0,"",COUNTIF($U$5:U11,"x"))</f>
        <v/>
      </c>
      <c r="V116" s="3759" t="str">
        <f>IF(((COUNTIF($V$5:V11,"x"))-(COUNTIF($V$5:V10,"x")))=0,"",COUNTIF($V$5:V11,"x"))</f>
        <v/>
      </c>
      <c r="W116" s="3759" t="str">
        <f>IF(((COUNTIF($W$5:W11,"x"))-(COUNTIF($W$5:W10,"x")))=0,"",COUNTIF($W$5:W11,"x"))</f>
        <v/>
      </c>
      <c r="X116" s="3759" t="str">
        <f>IF(((COUNTIF($X$5:X11,"x"))-(COUNTIF($X$5:X10,"x")))=0,"",COUNTIF($X$5:X11,"x"))</f>
        <v/>
      </c>
      <c r="Y116" s="3759" t="str">
        <f>IF(((COUNTIF($Y$5:Y11,"x"))-(COUNTIF($Y$5:Y10,"x")))=0,"",COUNTIF($Y$5:Y11,"x"))</f>
        <v/>
      </c>
      <c r="Z116" s="3759" t="str">
        <f>IF(((COUNTIF($Z$5:Z11,"x"))-(COUNTIF($Z$5:Z10,"x")))=0,"",COUNTIF($Z$5:Z11,"x"))</f>
        <v/>
      </c>
      <c r="AA116" s="3759" t="str">
        <f>IF(((COUNTIF($AA$5:AA11,"x"))-(COUNTIF($AA$5:AA10,"x")))=0,"",COUNTIF($AA$5:AA11,"x"))</f>
        <v/>
      </c>
      <c r="AB116" s="3759" t="str">
        <f>IF(((COUNTIF($AB$5:AB11,"x"))-(COUNTIF($AB$5:AB10,"x")))=0,"",COUNTIF($AB$5:AB11,"x"))</f>
        <v/>
      </c>
      <c r="AC116" s="3759" t="str">
        <f>IF(((COUNTIF($AC$5:AC11,"x"))-(COUNTIF($AC$5:AC10,"x")))=0,"",COUNTIF($AC$5:AC11,"x"))</f>
        <v/>
      </c>
      <c r="AD116" s="3759">
        <f>IF(((COUNTIF($AD$5:AD11,"x"))-(COUNTIF($AD$5:AD10,"x")))=0,"",COUNTIF($AD$5:AD11,"x"))</f>
        <v>6</v>
      </c>
      <c r="AE116" s="3759" t="str">
        <f>IF(((COUNTIF($AE$5:AE11,"x"))-(COUNTIF($AE$5:AE10,"x")))=0,"",COUNTIF($AE$5:AE11,"x"))</f>
        <v/>
      </c>
      <c r="AF116" s="3760" t="str">
        <f>IF(((COUNTIF($AF$5:AF11,"x"))-(COUNTIF($AF$5:AF10,"x")))=0,"",COUNTIF($AF$5:AF11,"x"))</f>
        <v/>
      </c>
      <c r="AG116" s="2152" t="str">
        <f t="shared" si="15"/>
        <v>Ascra Xpro</v>
      </c>
    </row>
    <row r="117" spans="2:33" ht="18">
      <c r="B117" s="2168">
        <f t="shared" si="16"/>
        <v>8</v>
      </c>
      <c r="C117" s="3706" t="str">
        <f t="shared" si="13"/>
        <v>Atlantis Flex + Biopower</v>
      </c>
      <c r="D117" s="3707"/>
      <c r="E117" s="3761"/>
      <c r="F117" s="3758">
        <f>IF(((COUNTIF($F$5:$F12,"x"))-(COUNTIF($F$5:$F11,"x")))=0,"",COUNTIF($F$5:$F12,"x"))</f>
        <v>4</v>
      </c>
      <c r="G117" s="3759">
        <f>IF(((COUNTIF($G$5:$G12,"x"))-(COUNTIF($G$5:$G11,"x")))=0,"",COUNTIF($G$5:$G12,"x"))</f>
        <v>3</v>
      </c>
      <c r="H117" s="3759">
        <f>IF(((COUNTIF($H$5:$H12,"x"))-(COUNTIF($H$5:$H11,"x")))=0,"",COUNTIF($H$5:$H12,"x"))</f>
        <v>4</v>
      </c>
      <c r="I117" s="3759">
        <f>IF(((COUNTIF($I$5:I12,"x"))-(COUNTIF($I$5:I11,"x")))=0,"",COUNTIF($I$5:I12,"x"))</f>
        <v>4</v>
      </c>
      <c r="J117" s="3759" t="str">
        <f>IF(((COUNTIF($J$5:J12,"x"))-(COUNTIF($J$5:J11,"x")))=0,"",COUNTIF($J$5:J12,"x"))</f>
        <v/>
      </c>
      <c r="K117" s="3759" t="str">
        <f>IF(((COUNTIF($K$5:K12,"x"))-(COUNTIF($K$5:K11,"x")))=0,"",COUNTIF($K$5:K12,"x"))</f>
        <v/>
      </c>
      <c r="L117" s="3759" t="str">
        <f>IF(((COUNTIF($L$5:L12,"x"))-(COUNTIF($L$5:L11,"x")))=0,"",COUNTIF($L$5:L12,"x"))</f>
        <v/>
      </c>
      <c r="M117" s="3759" t="str">
        <f>IF(((COUNTIF($M$5:M12,"x"))-(COUNTIF($M$5:M11,"x")))=0,"",COUNTIF($M$5:M12,"x"))</f>
        <v/>
      </c>
      <c r="N117" s="3759" t="str">
        <f>IF(((COUNTIF($N$5:N12,"x"))-(COUNTIF($N$5:N11,"x")))=0,"",COUNTIF($N$5:N12,"x"))</f>
        <v/>
      </c>
      <c r="O117" s="3759">
        <f>IF(((COUNTIF($O$5:O12,"x"))-(COUNTIF($O$5:O11,"x")))=0,"",COUNTIF($O$5:O12,"x"))</f>
        <v>2</v>
      </c>
      <c r="P117" s="3759" t="str">
        <f>IF(((COUNTIF($P$5:P12,"x"))-(COUNTIF($P$5:P11,"x")))=0,"",COUNTIF($P$5:P12,"x"))</f>
        <v/>
      </c>
      <c r="Q117" s="3759" t="str">
        <f>IF(((COUNTIF($Q$5:Q12,"x"))-(COUNTIF($Q$5:Q11,"x")))=0,"",COUNTIF($Q$5:Q12,"x"))</f>
        <v/>
      </c>
      <c r="R117" s="3759" t="str">
        <f>IF(((COUNTIF($R$5:R12,"x"))-(COUNTIF($R$5:R11,"x")))=0,"",COUNTIF($R$5:R12,"x"))</f>
        <v/>
      </c>
      <c r="S117" s="3759" t="str">
        <f>IF(((COUNTIF($S$5:S12,"x"))-(COUNTIF($S$5:S11,"x")))=0,"",COUNTIF($S$5:S12,"x"))</f>
        <v/>
      </c>
      <c r="T117" s="3759" t="str">
        <f>IF(((COUNTIF($T$5:T12,"x"))-(COUNTIF($T$5:T11,"x")))=0,"",COUNTIF($T$5:T12,"x"))</f>
        <v/>
      </c>
      <c r="U117" s="3759" t="str">
        <f>IF(((COUNTIF($U$5:U12,"x"))-(COUNTIF($U$5:U11,"x")))=0,"",COUNTIF($U$5:U12,"x"))</f>
        <v/>
      </c>
      <c r="V117" s="3759" t="str">
        <f>IF(((COUNTIF($V$5:V12,"x"))-(COUNTIF($V$5:V11,"x")))=0,"",COUNTIF($V$5:V12,"x"))</f>
        <v/>
      </c>
      <c r="W117" s="3759" t="str">
        <f>IF(((COUNTIF($W$5:W12,"x"))-(COUNTIF($W$5:W11,"x")))=0,"",COUNTIF($W$5:W12,"x"))</f>
        <v/>
      </c>
      <c r="X117" s="3759" t="str">
        <f>IF(((COUNTIF($X$5:X12,"x"))-(COUNTIF($X$5:X11,"x")))=0,"",COUNTIF($X$5:X12,"x"))</f>
        <v/>
      </c>
      <c r="Y117" s="3759" t="str">
        <f>IF(((COUNTIF($Y$5:Y12,"x"))-(COUNTIF($Y$5:Y11,"x")))=0,"",COUNTIF($Y$5:Y12,"x"))</f>
        <v/>
      </c>
      <c r="Z117" s="3759" t="str">
        <f>IF(((COUNTIF($Z$5:Z12,"x"))-(COUNTIF($Z$5:Z11,"x")))=0,"",COUNTIF($Z$5:Z12,"x"))</f>
        <v/>
      </c>
      <c r="AA117" s="3759" t="str">
        <f>IF(((COUNTIF($AA$5:AA12,"x"))-(COUNTIF($AA$5:AA11,"x")))=0,"",COUNTIF($AA$5:AA12,"x"))</f>
        <v/>
      </c>
      <c r="AB117" s="3759" t="str">
        <f>IF(((COUNTIF($AB$5:AB12,"x"))-(COUNTIF($AB$5:AB11,"x")))=0,"",COUNTIF($AB$5:AB12,"x"))</f>
        <v/>
      </c>
      <c r="AC117" s="3759" t="str">
        <f>IF(((COUNTIF($AC$5:AC12,"x"))-(COUNTIF($AC$5:AC11,"x")))=0,"",COUNTIF($AC$5:AC12,"x"))</f>
        <v/>
      </c>
      <c r="AD117" s="3759">
        <f>IF(((COUNTIF($AD$5:AD12,"x"))-(COUNTIF($AD$5:AD11,"x")))=0,"",COUNTIF($AD$5:AD12,"x"))</f>
        <v>7</v>
      </c>
      <c r="AE117" s="3759" t="str">
        <f>IF(((COUNTIF($AE$5:AE12,"x"))-(COUNTIF($AE$5:AE11,"x")))=0,"",COUNTIF($AE$5:AE12,"x"))</f>
        <v/>
      </c>
      <c r="AF117" s="3760" t="str">
        <f>IF(((COUNTIF($AF$5:AF12,"x"))-(COUNTIF($AF$5:AF11,"x")))=0,"",COUNTIF($AF$5:AF12,"x"))</f>
        <v/>
      </c>
      <c r="AG117" s="2152" t="str">
        <f t="shared" si="15"/>
        <v>Atlantis Flex + Biopower</v>
      </c>
    </row>
    <row r="118" spans="2:33" ht="18">
      <c r="B118" s="2168">
        <f t="shared" si="16"/>
        <v>9</v>
      </c>
      <c r="C118" s="3756">
        <f t="shared" si="13"/>
        <v>0</v>
      </c>
      <c r="D118" s="3707"/>
      <c r="E118" s="3762"/>
      <c r="F118" s="3758" t="str">
        <f>IF(((COUNTIF($F$5:$F13,"x"))-(COUNTIF($F$5:$F12,"x")))=0,"",COUNTIF($F$5:$F13,"x"))</f>
        <v/>
      </c>
      <c r="G118" s="3759" t="str">
        <f>IF(((COUNTIF($G$5:$G13,"x"))-(COUNTIF($G$5:$G12,"x")))=0,"",COUNTIF($G$5:$G13,"x"))</f>
        <v/>
      </c>
      <c r="H118" s="3759" t="str">
        <f>IF(((COUNTIF($H$5:$H13,"x"))-(COUNTIF($H$5:$H12,"x")))=0,"",COUNTIF($H$5:$H13,"x"))</f>
        <v/>
      </c>
      <c r="I118" s="3759" t="str">
        <f>IF(((COUNTIF($I$5:I13,"x"))-(COUNTIF($I$5:I12,"x")))=0,"",COUNTIF($I$5:I13,"x"))</f>
        <v/>
      </c>
      <c r="J118" s="3759" t="str">
        <f>IF(((COUNTIF($J$5:J13,"x"))-(COUNTIF($J$5:J12,"x")))=0,"",COUNTIF($J$5:J13,"x"))</f>
        <v/>
      </c>
      <c r="K118" s="3759" t="str">
        <f>IF(((COUNTIF($K$5:K13,"x"))-(COUNTIF($K$5:K12,"x")))=0,"",COUNTIF($K$5:K13,"x"))</f>
        <v/>
      </c>
      <c r="L118" s="3759" t="str">
        <f>IF(((COUNTIF($L$5:L13,"x"))-(COUNTIF($L$5:L12,"x")))=0,"",COUNTIF($L$5:L13,"x"))</f>
        <v/>
      </c>
      <c r="M118" s="3759" t="str">
        <f>IF(((COUNTIF($M$5:M13,"x"))-(COUNTIF($M$5:M12,"x")))=0,"",COUNTIF($M$5:M13,"x"))</f>
        <v/>
      </c>
      <c r="N118" s="3759" t="str">
        <f>IF(((COUNTIF($N$5:N13,"x"))-(COUNTIF($N$5:N12,"x")))=0,"",COUNTIF($N$5:N13,"x"))</f>
        <v/>
      </c>
      <c r="O118" s="3759" t="str">
        <f>IF(((COUNTIF($O$5:O13,"x"))-(COUNTIF($O$5:O12,"x")))=0,"",COUNTIF($O$5:O13,"x"))</f>
        <v/>
      </c>
      <c r="P118" s="3759" t="str">
        <f>IF(((COUNTIF($P$5:P13,"x"))-(COUNTIF($P$5:P12,"x")))=0,"",COUNTIF($P$5:P13,"x"))</f>
        <v/>
      </c>
      <c r="Q118" s="3759" t="str">
        <f>IF(((COUNTIF($Q$5:Q13,"x"))-(COUNTIF($Q$5:Q12,"x")))=0,"",COUNTIF($Q$5:Q13,"x"))</f>
        <v/>
      </c>
      <c r="R118" s="3759" t="str">
        <f>IF(((COUNTIF($R$5:R13,"x"))-(COUNTIF($R$5:R12,"x")))=0,"",COUNTIF($R$5:R13,"x"))</f>
        <v/>
      </c>
      <c r="S118" s="3759" t="str">
        <f>IF(((COUNTIF($S$5:S13,"x"))-(COUNTIF($S$5:S12,"x")))=0,"",COUNTIF($S$5:S13,"x"))</f>
        <v/>
      </c>
      <c r="T118" s="3759" t="str">
        <f>IF(((COUNTIF($T$5:T13,"x"))-(COUNTIF($T$5:T12,"x")))=0,"",COUNTIF($T$5:T13,"x"))</f>
        <v/>
      </c>
      <c r="U118" s="3759" t="str">
        <f>IF(((COUNTIF($U$5:U13,"x"))-(COUNTIF($U$5:U12,"x")))=0,"",COUNTIF($U$5:U13,"x"))</f>
        <v/>
      </c>
      <c r="V118" s="3759" t="str">
        <f>IF(((COUNTIF($V$5:V13,"x"))-(COUNTIF($V$5:V12,"x")))=0,"",COUNTIF($V$5:V13,"x"))</f>
        <v/>
      </c>
      <c r="W118" s="3759" t="str">
        <f>IF(((COUNTIF($W$5:W13,"x"))-(COUNTIF($W$5:W12,"x")))=0,"",COUNTIF($W$5:W13,"x"))</f>
        <v/>
      </c>
      <c r="X118" s="3759" t="str">
        <f>IF(((COUNTIF($X$5:X13,"x"))-(COUNTIF($X$5:X12,"x")))=0,"",COUNTIF($X$5:X13,"x"))</f>
        <v/>
      </c>
      <c r="Y118" s="3759" t="str">
        <f>IF(((COUNTIF($Y$5:Y13,"x"))-(COUNTIF($Y$5:Y12,"x")))=0,"",COUNTIF($Y$5:Y13,"x"))</f>
        <v/>
      </c>
      <c r="Z118" s="3759" t="str">
        <f>IF(((COUNTIF($Z$5:Z13,"x"))-(COUNTIF($Z$5:Z12,"x")))=0,"",COUNTIF($Z$5:Z13,"x"))</f>
        <v/>
      </c>
      <c r="AA118" s="3759" t="str">
        <f>IF(((COUNTIF($AA$5:AA13,"x"))-(COUNTIF($AA$5:AA12,"x")))=0,"",COUNTIF($AA$5:AA13,"x"))</f>
        <v/>
      </c>
      <c r="AB118" s="3759" t="str">
        <f>IF(((COUNTIF($AB$5:AB13,"x"))-(COUNTIF($AB$5:AB12,"x")))=0,"",COUNTIF($AB$5:AB13,"x"))</f>
        <v/>
      </c>
      <c r="AC118" s="3759" t="str">
        <f>IF(((COUNTIF($AC$5:AC13,"x"))-(COUNTIF($AC$5:AC12,"x")))=0,"",COUNTIF($AC$5:AC13,"x"))</f>
        <v/>
      </c>
      <c r="AD118" s="3759" t="str">
        <f>IF(((COUNTIF($AD$5:AD13,"x"))-(COUNTIF($AD$5:AD12,"x")))=0,"",COUNTIF($AD$5:AD13,"x"))</f>
        <v/>
      </c>
      <c r="AE118" s="3759" t="str">
        <f>IF(((COUNTIF($AE$5:AE13,"x"))-(COUNTIF($AE$5:AE12,"x")))=0,"",COUNTIF($AE$5:AE13,"x"))</f>
        <v/>
      </c>
      <c r="AF118" s="3760" t="str">
        <f>IF(((COUNTIF($AF$5:AF13,"x"))-(COUNTIF($AF$5:AF12,"x")))=0,"",COUNTIF($AF$5:AF13,"x"))</f>
        <v/>
      </c>
      <c r="AG118" s="2152">
        <f t="shared" si="15"/>
        <v>0</v>
      </c>
    </row>
    <row r="119" spans="2:33" ht="18">
      <c r="B119" s="2168">
        <f t="shared" si="16"/>
        <v>10</v>
      </c>
      <c r="C119" s="3756" t="str">
        <f t="shared" si="13"/>
        <v>Aviator Xpro</v>
      </c>
      <c r="D119" s="3707"/>
      <c r="E119" s="3762"/>
      <c r="F119" s="3758">
        <f>IF(((COUNTIF($F$5:$F14,"x"))-(COUNTIF($F$5:$F13,"x")))=0,"",COUNTIF($F$5:$F14,"x"))</f>
        <v>5</v>
      </c>
      <c r="G119" s="3759">
        <f>IF(((COUNTIF($G$5:$G14,"x"))-(COUNTIF($G$5:$G13,"x")))=0,"",COUNTIF($G$5:$G14,"x"))</f>
        <v>4</v>
      </c>
      <c r="H119" s="3759">
        <f>IF(((COUNTIF($H$5:$H14,"x"))-(COUNTIF($H$5:$H13,"x")))=0,"",COUNTIF($H$5:$H14,"x"))</f>
        <v>5</v>
      </c>
      <c r="I119" s="3759">
        <f>IF(((COUNTIF($I$5:I14,"x"))-(COUNTIF($I$5:I13,"x")))=0,"",COUNTIF($I$5:I14,"x"))</f>
        <v>5</v>
      </c>
      <c r="J119" s="3759">
        <f>IF(((COUNTIF($J$5:J14,"x"))-(COUNTIF($J$5:J13,"x")))=0,"",COUNTIF($J$5:J14,"x"))</f>
        <v>4</v>
      </c>
      <c r="K119" s="3759">
        <f>IF(((COUNTIF($K$5:K14,"x"))-(COUNTIF($K$5:K13,"x")))=0,"",COUNTIF($K$5:K14,"x"))</f>
        <v>4</v>
      </c>
      <c r="L119" s="3759">
        <f>IF(((COUNTIF($L$5:L14,"x"))-(COUNTIF($L$5:L13,"x")))=0,"",COUNTIF($L$5:L14,"x"))</f>
        <v>4</v>
      </c>
      <c r="M119" s="3759">
        <f>IF(((COUNTIF($M$5:M14,"x"))-(COUNTIF($M$5:M13,"x")))=0,"",COUNTIF($M$5:M14,"x"))</f>
        <v>4</v>
      </c>
      <c r="N119" s="3759" t="str">
        <f>IF(((COUNTIF($N$5:N14,"x"))-(COUNTIF($N$5:N13,"x")))=0,"",COUNTIF($N$5:N14,"x"))</f>
        <v/>
      </c>
      <c r="O119" s="3759">
        <f>IF(((COUNTIF($O$5:O14,"x"))-(COUNTIF($O$5:O13,"x")))=0,"",COUNTIF($O$5:O14,"x"))</f>
        <v>3</v>
      </c>
      <c r="P119" s="3759" t="str">
        <f>IF(((COUNTIF($P$5:P14,"x"))-(COUNTIF($P$5:P13,"x")))=0,"",COUNTIF($P$5:P14,"x"))</f>
        <v/>
      </c>
      <c r="Q119" s="3759" t="str">
        <f>IF(((COUNTIF($Q$5:Q14,"x"))-(COUNTIF($Q$5:Q13,"x")))=0,"",COUNTIF($Q$5:Q14,"x"))</f>
        <v/>
      </c>
      <c r="R119" s="3759" t="str">
        <f>IF(((COUNTIF($R$5:R14,"x"))-(COUNTIF($R$5:R13,"x")))=0,"",COUNTIF($R$5:R14,"x"))</f>
        <v/>
      </c>
      <c r="S119" s="3759" t="str">
        <f>IF(((COUNTIF($S$5:S14,"x"))-(COUNTIF($S$5:S13,"x")))=0,"",COUNTIF($S$5:S14,"x"))</f>
        <v/>
      </c>
      <c r="T119" s="3759" t="str">
        <f>IF(((COUNTIF($T$5:T14,"x"))-(COUNTIF($T$5:T13,"x")))=0,"",COUNTIF($T$5:T14,"x"))</f>
        <v/>
      </c>
      <c r="U119" s="3759" t="str">
        <f>IF(((COUNTIF($U$5:U14,"x"))-(COUNTIF($U$5:U13,"x")))=0,"",COUNTIF($U$5:U14,"x"))</f>
        <v/>
      </c>
      <c r="V119" s="3759" t="str">
        <f>IF(((COUNTIF($V$5:V14,"x"))-(COUNTIF($V$5:V13,"x")))=0,"",COUNTIF($V$5:V14,"x"))</f>
        <v/>
      </c>
      <c r="W119" s="3759" t="str">
        <f>IF(((COUNTIF($W$5:W14,"x"))-(COUNTIF($W$5:W13,"x")))=0,"",COUNTIF($W$5:W14,"x"))</f>
        <v/>
      </c>
      <c r="X119" s="3759" t="str">
        <f>IF(((COUNTIF($X$5:X14,"x"))-(COUNTIF($X$5:X13,"x")))=0,"",COUNTIF($X$5:X14,"x"))</f>
        <v/>
      </c>
      <c r="Y119" s="3759" t="str">
        <f>IF(((COUNTIF($Y$5:Y14,"x"))-(COUNTIF($Y$5:Y13,"x")))=0,"",COUNTIF($Y$5:Y14,"x"))</f>
        <v/>
      </c>
      <c r="Z119" s="3759" t="str">
        <f>IF(((COUNTIF($Z$5:Z14,"x"))-(COUNTIF($Z$5:Z13,"x")))=0,"",COUNTIF($Z$5:Z14,"x"))</f>
        <v/>
      </c>
      <c r="AA119" s="3759" t="str">
        <f>IF(((COUNTIF($AA$5:AA14,"x"))-(COUNTIF($AA$5:AA13,"x")))=0,"",COUNTIF($AA$5:AA14,"x"))</f>
        <v/>
      </c>
      <c r="AB119" s="3759" t="str">
        <f>IF(((COUNTIF($AB$5:AB14,"x"))-(COUNTIF($AB$5:AB13,"x")))=0,"",COUNTIF($AB$5:AB14,"x"))</f>
        <v/>
      </c>
      <c r="AC119" s="3759" t="str">
        <f>IF(((COUNTIF($AC$5:AC14,"x"))-(COUNTIF($AC$5:AC13,"x")))=0,"",COUNTIF($AC$5:AC14,"x"))</f>
        <v/>
      </c>
      <c r="AD119" s="3759">
        <f>IF(((COUNTIF($AD$5:AD14,"x"))-(COUNTIF($AD$5:AD13,"x")))=0,"",COUNTIF($AD$5:AD14,"x"))</f>
        <v>8</v>
      </c>
      <c r="AE119" s="3759" t="str">
        <f>IF(((COUNTIF($AE$5:AE14,"x"))-(COUNTIF($AE$5:AE13,"x")))=0,"",COUNTIF($AE$5:AE14,"x"))</f>
        <v/>
      </c>
      <c r="AF119" s="3760" t="str">
        <f>IF(((COUNTIF($AF$5:AF14,"x"))-(COUNTIF($AF$5:AF13,"x")))=0,"",COUNTIF($AF$5:AF14,"x"))</f>
        <v/>
      </c>
      <c r="AG119" s="2152" t="str">
        <f t="shared" si="15"/>
        <v>Aviator Xpro</v>
      </c>
    </row>
    <row r="120" spans="2:33" ht="18">
      <c r="B120" s="2168">
        <f t="shared" si="16"/>
        <v>11</v>
      </c>
      <c r="C120" s="3756" t="str">
        <f t="shared" si="13"/>
        <v>Axial 50</v>
      </c>
      <c r="D120" s="3707"/>
      <c r="E120" s="3762"/>
      <c r="F120" s="3758">
        <f>IF(((COUNTIF($F$5:$F15,"x"))-(COUNTIF($F$5:$F14,"x")))=0,"",COUNTIF($F$5:$F15,"x"))</f>
        <v>6</v>
      </c>
      <c r="G120" s="3759">
        <f>IF(((COUNTIF($G$5:$G15,"x"))-(COUNTIF($G$5:$G14,"x")))=0,"",COUNTIF($G$5:$G15,"x"))</f>
        <v>5</v>
      </c>
      <c r="H120" s="3759">
        <f>IF(((COUNTIF($H$5:$H15,"x"))-(COUNTIF($H$5:$H14,"x")))=0,"",COUNTIF($H$5:$H15,"x"))</f>
        <v>6</v>
      </c>
      <c r="I120" s="3759">
        <f>IF(((COUNTIF($I$5:I15,"x"))-(COUNTIF($I$5:I14,"x")))=0,"",COUNTIF($I$5:I15,"x"))</f>
        <v>6</v>
      </c>
      <c r="J120" s="3759">
        <f>IF(((COUNTIF($J$5:J15,"x"))-(COUNTIF($J$5:J14,"x")))=0,"",COUNTIF($J$5:J15,"x"))</f>
        <v>5</v>
      </c>
      <c r="K120" s="3759">
        <f>IF(((COUNTIF($K$5:K15,"x"))-(COUNTIF($K$5:K14,"x")))=0,"",COUNTIF($K$5:K15,"x"))</f>
        <v>5</v>
      </c>
      <c r="L120" s="3759">
        <f>IF(((COUNTIF($L$5:L15,"x"))-(COUNTIF($L$5:L14,"x")))=0,"",COUNTIF($L$5:L15,"x"))</f>
        <v>5</v>
      </c>
      <c r="M120" s="3759">
        <f>IF(((COUNTIF($M$5:M15,"x"))-(COUNTIF($M$5:M14,"x")))=0,"",COUNTIF($M$5:M15,"x"))</f>
        <v>5</v>
      </c>
      <c r="N120" s="3759" t="str">
        <f>IF(((COUNTIF($N$5:N15,"x"))-(COUNTIF($N$5:N14,"x")))=0,"",COUNTIF($N$5:N15,"x"))</f>
        <v/>
      </c>
      <c r="O120" s="3759">
        <f>IF(((COUNTIF($O$5:O15,"x"))-(COUNTIF($O$5:O14,"x")))=0,"",COUNTIF($O$5:O15,"x"))</f>
        <v>4</v>
      </c>
      <c r="P120" s="3759" t="str">
        <f>IF(((COUNTIF($P$5:P15,"x"))-(COUNTIF($P$5:P14,"x")))=0,"",COUNTIF($P$5:P15,"x"))</f>
        <v/>
      </c>
      <c r="Q120" s="3759" t="str">
        <f>IF(((COUNTIF($Q$5:Q15,"x"))-(COUNTIF($Q$5:Q14,"x")))=0,"",COUNTIF($Q$5:Q15,"x"))</f>
        <v/>
      </c>
      <c r="R120" s="3759" t="str">
        <f>IF(((COUNTIF($R$5:R15,"x"))-(COUNTIF($R$5:R14,"x")))=0,"",COUNTIF($R$5:R15,"x"))</f>
        <v/>
      </c>
      <c r="S120" s="3759" t="str">
        <f>IF(((COUNTIF($S$5:S15,"x"))-(COUNTIF($S$5:S14,"x")))=0,"",COUNTIF($S$5:S15,"x"))</f>
        <v/>
      </c>
      <c r="T120" s="3759" t="str">
        <f>IF(((COUNTIF($T$5:T15,"x"))-(COUNTIF($T$5:T14,"x")))=0,"",COUNTIF($T$5:T15,"x"))</f>
        <v/>
      </c>
      <c r="U120" s="3759" t="str">
        <f>IF(((COUNTIF($U$5:U15,"x"))-(COUNTIF($U$5:U14,"x")))=0,"",COUNTIF($U$5:U15,"x"))</f>
        <v/>
      </c>
      <c r="V120" s="3759" t="str">
        <f>IF(((COUNTIF($V$5:V15,"x"))-(COUNTIF($V$5:V14,"x")))=0,"",COUNTIF($V$5:V15,"x"))</f>
        <v/>
      </c>
      <c r="W120" s="3759" t="str">
        <f>IF(((COUNTIF($W$5:W15,"x"))-(COUNTIF($W$5:W14,"x")))=0,"",COUNTIF($W$5:W15,"x"))</f>
        <v/>
      </c>
      <c r="X120" s="3759" t="str">
        <f>IF(((COUNTIF($X$5:X15,"x"))-(COUNTIF($X$5:X14,"x")))=0,"",COUNTIF($X$5:X15,"x"))</f>
        <v/>
      </c>
      <c r="Y120" s="3759" t="str">
        <f>IF(((COUNTIF($Y$5:Y15,"x"))-(COUNTIF($Y$5:Y14,"x")))=0,"",COUNTIF($Y$5:Y15,"x"))</f>
        <v/>
      </c>
      <c r="Z120" s="3759" t="str">
        <f>IF(((COUNTIF($Z$5:Z15,"x"))-(COUNTIF($Z$5:Z14,"x")))=0,"",COUNTIF($Z$5:Z15,"x"))</f>
        <v/>
      </c>
      <c r="AA120" s="3759" t="str">
        <f>IF(((COUNTIF($AA$5:AA15,"x"))-(COUNTIF($AA$5:AA14,"x")))=0,"",COUNTIF($AA$5:AA15,"x"))</f>
        <v/>
      </c>
      <c r="AB120" s="3759" t="str">
        <f>IF(((COUNTIF($AB$5:AB15,"x"))-(COUNTIF($AB$5:AB14,"x")))=0,"",COUNTIF($AB$5:AB15,"x"))</f>
        <v/>
      </c>
      <c r="AC120" s="3759" t="str">
        <f>IF(((COUNTIF($AC$5:AC15,"x"))-(COUNTIF($AC$5:AC14,"x")))=0,"",COUNTIF($AC$5:AC15,"x"))</f>
        <v/>
      </c>
      <c r="AD120" s="3759">
        <f>IF(((COUNTIF($AD$5:AD15,"x"))-(COUNTIF($AD$5:AD14,"x")))=0,"",COUNTIF($AD$5:AD15,"x"))</f>
        <v>9</v>
      </c>
      <c r="AE120" s="3759" t="str">
        <f>IF(((COUNTIF($AE$5:AE15,"x"))-(COUNTIF($AE$5:AE14,"x")))=0,"",COUNTIF($AE$5:AE15,"x"))</f>
        <v/>
      </c>
      <c r="AF120" s="3760" t="str">
        <f>IF(((COUNTIF($AF$5:AF15,"x"))-(COUNTIF($AF$5:AF14,"x")))=0,"",COUNTIF($AF$5:AF15,"x"))</f>
        <v/>
      </c>
      <c r="AG120" s="2152" t="str">
        <f t="shared" si="15"/>
        <v>Axial 50</v>
      </c>
    </row>
    <row r="121" spans="2:33" ht="18">
      <c r="B121" s="2168">
        <f t="shared" si="16"/>
        <v>12</v>
      </c>
      <c r="C121" s="3756">
        <f t="shared" si="13"/>
        <v>0</v>
      </c>
      <c r="D121" s="3707"/>
      <c r="E121" s="3762"/>
      <c r="F121" s="3758" t="str">
        <f>IF(((COUNTIF($F$5:$F16,"x"))-(COUNTIF($F$5:$F15,"x")))=0,"",COUNTIF($F$5:$F16,"x"))</f>
        <v/>
      </c>
      <c r="G121" s="3759" t="str">
        <f>IF(((COUNTIF($G$5:$G16,"x"))-(COUNTIF($G$5:$G15,"x")))=0,"",COUNTIF($G$5:$G16,"x"))</f>
        <v/>
      </c>
      <c r="H121" s="3759" t="str">
        <f>IF(((COUNTIF($H$5:$H16,"x"))-(COUNTIF($H$5:$H15,"x")))=0,"",COUNTIF($H$5:$H16,"x"))</f>
        <v/>
      </c>
      <c r="I121" s="3759" t="str">
        <f>IF(((COUNTIF($I$5:I16,"x"))-(COUNTIF($I$5:I15,"x")))=0,"",COUNTIF($I$5:I16,"x"))</f>
        <v/>
      </c>
      <c r="J121" s="3759" t="str">
        <f>IF(((COUNTIF($J$5:J16,"x"))-(COUNTIF($J$5:J15,"x")))=0,"",COUNTIF($J$5:J16,"x"))</f>
        <v/>
      </c>
      <c r="K121" s="3759" t="str">
        <f>IF(((COUNTIF($K$5:K16,"x"))-(COUNTIF($K$5:K15,"x")))=0,"",COUNTIF($K$5:K16,"x"))</f>
        <v/>
      </c>
      <c r="L121" s="3759" t="str">
        <f>IF(((COUNTIF($L$5:L16,"x"))-(COUNTIF($L$5:L15,"x")))=0,"",COUNTIF($L$5:L16,"x"))</f>
        <v/>
      </c>
      <c r="M121" s="3759" t="str">
        <f>IF(((COUNTIF($M$5:M16,"x"))-(COUNTIF($M$5:M15,"x")))=0,"",COUNTIF($M$5:M16,"x"))</f>
        <v/>
      </c>
      <c r="N121" s="3759" t="str">
        <f>IF(((COUNTIF($N$5:N16,"x"))-(COUNTIF($N$5:N15,"x")))=0,"",COUNTIF($N$5:N16,"x"))</f>
        <v/>
      </c>
      <c r="O121" s="3759" t="str">
        <f>IF(((COUNTIF($O$5:O16,"x"))-(COUNTIF($O$5:O15,"x")))=0,"",COUNTIF($O$5:O16,"x"))</f>
        <v/>
      </c>
      <c r="P121" s="3759" t="str">
        <f>IF(((COUNTIF($P$5:P16,"x"))-(COUNTIF($P$5:P15,"x")))=0,"",COUNTIF($P$5:P16,"x"))</f>
        <v/>
      </c>
      <c r="Q121" s="3759" t="str">
        <f>IF(((COUNTIF($Q$5:Q16,"x"))-(COUNTIF($Q$5:Q15,"x")))=0,"",COUNTIF($Q$5:Q16,"x"))</f>
        <v/>
      </c>
      <c r="R121" s="3759" t="str">
        <f>IF(((COUNTIF($R$5:R16,"x"))-(COUNTIF($R$5:R15,"x")))=0,"",COUNTIF($R$5:R16,"x"))</f>
        <v/>
      </c>
      <c r="S121" s="3759" t="str">
        <f>IF(((COUNTIF($S$5:S16,"x"))-(COUNTIF($S$5:S15,"x")))=0,"",COUNTIF($S$5:S16,"x"))</f>
        <v/>
      </c>
      <c r="T121" s="3759" t="str">
        <f>IF(((COUNTIF($T$5:T16,"x"))-(COUNTIF($T$5:T15,"x")))=0,"",COUNTIF($T$5:T16,"x"))</f>
        <v/>
      </c>
      <c r="U121" s="3759" t="str">
        <f>IF(((COUNTIF($U$5:U16,"x"))-(COUNTIF($U$5:U15,"x")))=0,"",COUNTIF($U$5:U16,"x"))</f>
        <v/>
      </c>
      <c r="V121" s="3759" t="str">
        <f>IF(((COUNTIF($V$5:V16,"x"))-(COUNTIF($V$5:V15,"x")))=0,"",COUNTIF($V$5:V16,"x"))</f>
        <v/>
      </c>
      <c r="W121" s="3759" t="str">
        <f>IF(((COUNTIF($W$5:W16,"x"))-(COUNTIF($W$5:W15,"x")))=0,"",COUNTIF($W$5:W16,"x"))</f>
        <v/>
      </c>
      <c r="X121" s="3759" t="str">
        <f>IF(((COUNTIF($X$5:X16,"x"))-(COUNTIF($X$5:X15,"x")))=0,"",COUNTIF($X$5:X16,"x"))</f>
        <v/>
      </c>
      <c r="Y121" s="3759" t="str">
        <f>IF(((COUNTIF($Y$5:Y16,"x"))-(COUNTIF($Y$5:Y15,"x")))=0,"",COUNTIF($Y$5:Y16,"x"))</f>
        <v/>
      </c>
      <c r="Z121" s="3759" t="str">
        <f>IF(((COUNTIF($Z$5:Z16,"x"))-(COUNTIF($Z$5:Z15,"x")))=0,"",COUNTIF($Z$5:Z16,"x"))</f>
        <v/>
      </c>
      <c r="AA121" s="3759" t="str">
        <f>IF(((COUNTIF($AA$5:AA16,"x"))-(COUNTIF($AA$5:AA15,"x")))=0,"",COUNTIF($AA$5:AA16,"x"))</f>
        <v/>
      </c>
      <c r="AB121" s="3759" t="str">
        <f>IF(((COUNTIF($AB$5:AB16,"x"))-(COUNTIF($AB$5:AB15,"x")))=0,"",COUNTIF($AB$5:AB16,"x"))</f>
        <v/>
      </c>
      <c r="AC121" s="3759" t="str">
        <f>IF(((COUNTIF($AC$5:AC16,"x"))-(COUNTIF($AC$5:AC15,"x")))=0,"",COUNTIF($AC$5:AC16,"x"))</f>
        <v/>
      </c>
      <c r="AD121" s="3759" t="str">
        <f>IF(((COUNTIF($AD$5:AD16,"x"))-(COUNTIF($AD$5:AD15,"x")))=0,"",COUNTIF($AD$5:AD16,"x"))</f>
        <v/>
      </c>
      <c r="AE121" s="3759" t="str">
        <f>IF(((COUNTIF($AE$5:AE16,"x"))-(COUNTIF($AE$5:AE15,"x")))=0,"",COUNTIF($AE$5:AE16,"x"))</f>
        <v/>
      </c>
      <c r="AF121" s="3760" t="str">
        <f>IF(((COUNTIF($AF$5:AF16,"x"))-(COUNTIF($AF$5:AF15,"x")))=0,"",COUNTIF($AF$5:AF16,"x"))</f>
        <v/>
      </c>
      <c r="AG121" s="2152">
        <f t="shared" si="15"/>
        <v>0</v>
      </c>
    </row>
    <row r="122" spans="2:33" ht="18">
      <c r="B122" s="2168">
        <f t="shared" si="16"/>
        <v>13</v>
      </c>
      <c r="C122" s="3763" t="str">
        <f t="shared" si="13"/>
        <v>Bandur</v>
      </c>
      <c r="D122" s="3707"/>
      <c r="E122" s="3762"/>
      <c r="F122" s="3758" t="str">
        <f>IF(((COUNTIF($F$5:$F17,"x"))-(COUNTIF($F$5:$F16,"x")))=0,"",COUNTIF($F$5:$F17,"x"))</f>
        <v/>
      </c>
      <c r="G122" s="3759" t="str">
        <f>IF(((COUNTIF($G$5:$G17,"x"))-(COUNTIF($G$5:$G16,"x")))=0,"",COUNTIF($G$5:$G17,"x"))</f>
        <v/>
      </c>
      <c r="H122" s="3759" t="str">
        <f>IF(((COUNTIF($H$5:$H17,"x"))-(COUNTIF($H$5:$H16,"x")))=0,"",COUNTIF($H$5:$H17,"x"))</f>
        <v/>
      </c>
      <c r="I122" s="3759" t="str">
        <f>IF(((COUNTIF($I$5:I17,"x"))-(COUNTIF($I$5:I16,"x")))=0,"",COUNTIF($I$5:I17,"x"))</f>
        <v/>
      </c>
      <c r="J122" s="3759" t="str">
        <f>IF(((COUNTIF($J$5:J17,"x"))-(COUNTIF($J$5:J16,"x")))=0,"",COUNTIF($J$5:J17,"x"))</f>
        <v/>
      </c>
      <c r="K122" s="3759" t="str">
        <f>IF(((COUNTIF($K$5:K17,"x"))-(COUNTIF($K$5:K16,"x")))=0,"",COUNTIF($K$5:K17,"x"))</f>
        <v/>
      </c>
      <c r="L122" s="3759" t="str">
        <f>IF(((COUNTIF($L$5:L17,"x"))-(COUNTIF($L$5:L16,"x")))=0,"",COUNTIF($L$5:L17,"x"))</f>
        <v/>
      </c>
      <c r="M122" s="3759" t="str">
        <f>IF(((COUNTIF($M$5:M17,"x"))-(COUNTIF($M$5:M16,"x")))=0,"",COUNTIF($M$5:M17,"x"))</f>
        <v/>
      </c>
      <c r="N122" s="3759" t="str">
        <f>IF(((COUNTIF($N$5:N17,"x"))-(COUNTIF($N$5:N16,"x")))=0,"",COUNTIF($N$5:N17,"x"))</f>
        <v/>
      </c>
      <c r="O122" s="3759" t="str">
        <f>IF(((COUNTIF($O$5:O17,"x"))-(COUNTIF($O$5:O16,"x")))=0,"",COUNTIF($O$5:O17,"x"))</f>
        <v/>
      </c>
      <c r="P122" s="3759" t="str">
        <f>IF(((COUNTIF($P$5:P17,"x"))-(COUNTIF($P$5:P16,"x")))=0,"",COUNTIF($P$5:P17,"x"))</f>
        <v/>
      </c>
      <c r="Q122" s="3759" t="str">
        <f>IF(((COUNTIF($Q$5:Q17,"x"))-(COUNTIF($Q$5:Q16,"x")))=0,"",COUNTIF($Q$5:Q17,"x"))</f>
        <v/>
      </c>
      <c r="R122" s="3759" t="str">
        <f>IF(((COUNTIF($R$5:R17,"x"))-(COUNTIF($R$5:R16,"x")))=0,"",COUNTIF($R$5:R17,"x"))</f>
        <v/>
      </c>
      <c r="S122" s="3759" t="str">
        <f>IF(((COUNTIF($S$5:S17,"x"))-(COUNTIF($S$5:S16,"x")))=0,"",COUNTIF($S$5:S17,"x"))</f>
        <v/>
      </c>
      <c r="T122" s="3759" t="str">
        <f>IF(((COUNTIF($T$5:T17,"x"))-(COUNTIF($T$5:T16,"x")))=0,"",COUNTIF($T$5:T17,"x"))</f>
        <v/>
      </c>
      <c r="U122" s="3759">
        <f>IF(((COUNTIF($U$5:U17,"x"))-(COUNTIF($U$5:U16,"x")))=0,"",COUNTIF($U$5:U17,"x"))</f>
        <v>2</v>
      </c>
      <c r="V122" s="3759" t="str">
        <f>IF(((COUNTIF($V$5:V17,"x"))-(COUNTIF($V$5:V16,"x")))=0,"",COUNTIF($V$5:V17,"x"))</f>
        <v/>
      </c>
      <c r="W122" s="3759" t="str">
        <f>IF(((COUNTIF($W$5:W17,"x"))-(COUNTIF($W$5:W16,"x")))=0,"",COUNTIF($W$5:W17,"x"))</f>
        <v/>
      </c>
      <c r="X122" s="3759">
        <f>IF(((COUNTIF($X$5:X17,"x"))-(COUNTIF($X$5:X16,"x")))=0,"",COUNTIF($X$5:X17,"x"))</f>
        <v>2</v>
      </c>
      <c r="Y122" s="3759">
        <f>IF(((COUNTIF($Y$5:Y17,"x"))-(COUNTIF($Y$5:Y16,"x")))=0,"",COUNTIF($Y$5:Y17,"x"))</f>
        <v>2</v>
      </c>
      <c r="Z122" s="3759" t="str">
        <f>IF(((COUNTIF($Z$5:Z17,"x"))-(COUNTIF($Z$5:Z16,"x")))=0,"",COUNTIF($Z$5:Z17,"x"))</f>
        <v/>
      </c>
      <c r="AA122" s="3759" t="str">
        <f>IF(((COUNTIF($AA$5:AA17,"x"))-(COUNTIF($AA$5:AA16,"x")))=0,"",COUNTIF($AA$5:AA17,"x"))</f>
        <v/>
      </c>
      <c r="AB122" s="3759">
        <f>IF(((COUNTIF($AB$5:AB17,"x"))-(COUNTIF($AB$5:AB16,"x")))=0,"",COUNTIF($AB$5:AB17,"x"))</f>
        <v>3</v>
      </c>
      <c r="AC122" s="3759" t="str">
        <f>IF(((COUNTIF($AC$5:AC17,"x"))-(COUNTIF($AC$5:AC16,"x")))=0,"",COUNTIF($AC$5:AC17,"x"))</f>
        <v/>
      </c>
      <c r="AD122" s="3759">
        <f>IF(((COUNTIF($AD$5:AD17,"x"))-(COUNTIF($AD$5:AD16,"x")))=0,"",COUNTIF($AD$5:AD17,"x"))</f>
        <v>10</v>
      </c>
      <c r="AE122" s="3759" t="str">
        <f>IF(((COUNTIF($AE$5:AE17,"x"))-(COUNTIF($AE$5:AE16,"x")))=0,"",COUNTIF($AE$5:AE17,"x"))</f>
        <v/>
      </c>
      <c r="AF122" s="3760" t="str">
        <f>IF(((COUNTIF($AF$5:AF17,"x"))-(COUNTIF($AF$5:AF16,"x")))=0,"",COUNTIF($AF$5:AF17,"x"))</f>
        <v/>
      </c>
      <c r="AG122" s="2152" t="str">
        <f t="shared" si="15"/>
        <v>Bandur</v>
      </c>
    </row>
    <row r="123" spans="2:33" ht="18">
      <c r="B123" s="2168">
        <f t="shared" si="16"/>
        <v>14</v>
      </c>
      <c r="C123" s="3763" t="str">
        <f t="shared" si="13"/>
        <v>Betanal Tandem + Mero</v>
      </c>
      <c r="D123" s="3707"/>
      <c r="E123" s="3762"/>
      <c r="F123" s="3758" t="str">
        <f>IF(((COUNTIF($F$5:$F18,"x"))-(COUNTIF($F$5:$F17,"x")))=0,"",COUNTIF($F$5:$F18,"x"))</f>
        <v/>
      </c>
      <c r="G123" s="3759" t="str">
        <f>IF(((COUNTIF($G$5:$G18,"x"))-(COUNTIF($G$5:$G17,"x")))=0,"",COUNTIF($G$5:$G18,"x"))</f>
        <v/>
      </c>
      <c r="H123" s="3759" t="str">
        <f>IF(((COUNTIF($H$5:$H18,"x"))-(COUNTIF($H$5:$H17,"x")))=0,"",COUNTIF($H$5:$H18,"x"))</f>
        <v/>
      </c>
      <c r="I123" s="3759" t="str">
        <f>IF(((COUNTIF($I$5:I18,"x"))-(COUNTIF($I$5:I17,"x")))=0,"",COUNTIF($I$5:I18,"x"))</f>
        <v/>
      </c>
      <c r="J123" s="3759" t="str">
        <f>IF(((COUNTIF($J$5:J18,"x"))-(COUNTIF($J$5:J17,"x")))=0,"",COUNTIF($J$5:J18,"x"))</f>
        <v/>
      </c>
      <c r="K123" s="3759" t="str">
        <f>IF(((COUNTIF($K$5:K18,"x"))-(COUNTIF($K$5:K17,"x")))=0,"",COUNTIF($K$5:K18,"x"))</f>
        <v/>
      </c>
      <c r="L123" s="3759" t="str">
        <f>IF(((COUNTIF($L$5:L18,"x"))-(COUNTIF($L$5:L17,"x")))=0,"",COUNTIF($L$5:L18,"x"))</f>
        <v/>
      </c>
      <c r="M123" s="3759" t="str">
        <f>IF(((COUNTIF($M$5:M18,"x"))-(COUNTIF($M$5:M17,"x")))=0,"",COUNTIF($M$5:M18,"x"))</f>
        <v/>
      </c>
      <c r="N123" s="3759" t="str">
        <f>IF(((COUNTIF($N$5:N18,"x"))-(COUNTIF($N$5:N17,"x")))=0,"",COUNTIF($N$5:N18,"x"))</f>
        <v/>
      </c>
      <c r="O123" s="3759" t="str">
        <f>IF(((COUNTIF($O$5:O18,"x"))-(COUNTIF($O$5:O17,"x")))=0,"",COUNTIF($O$5:O18,"x"))</f>
        <v/>
      </c>
      <c r="P123" s="3759" t="str">
        <f>IF(((COUNTIF($P$5:P18,"x"))-(COUNTIF($P$5:P17,"x")))=0,"",COUNTIF($P$5:P18,"x"))</f>
        <v/>
      </c>
      <c r="Q123" s="3759" t="str">
        <f>IF(((COUNTIF($Q$5:Q18,"x"))-(COUNTIF($Q$5:Q17,"x")))=0,"",COUNTIF($Q$5:Q18,"x"))</f>
        <v/>
      </c>
      <c r="R123" s="3759" t="str">
        <f>IF(((COUNTIF($R$5:R18,"x"))-(COUNTIF($R$5:R17,"x")))=0,"",COUNTIF($R$5:R18,"x"))</f>
        <v/>
      </c>
      <c r="S123" s="3759" t="str">
        <f>IF(((COUNTIF($S$5:S18,"x"))-(COUNTIF($S$5:S17,"x")))=0,"",COUNTIF($S$5:S18,"x"))</f>
        <v/>
      </c>
      <c r="T123" s="3759" t="str">
        <f>IF(((COUNTIF($T$5:T18,"x"))-(COUNTIF($T$5:T17,"x")))=0,"",COUNTIF($T$5:T18,"x"))</f>
        <v/>
      </c>
      <c r="U123" s="3759" t="str">
        <f>IF(((COUNTIF($U$5:U18,"x"))-(COUNTIF($U$5:U17,"x")))=0,"",COUNTIF($U$5:U18,"x"))</f>
        <v/>
      </c>
      <c r="V123" s="3759" t="str">
        <f>IF(((COUNTIF($V$5:V18,"x"))-(COUNTIF($V$5:V17,"x")))=0,"",COUNTIF($V$5:V18,"x"))</f>
        <v/>
      </c>
      <c r="W123" s="3759" t="str">
        <f>IF(((COUNTIF($W$5:W18,"x"))-(COUNTIF($W$5:W17,"x")))=0,"",COUNTIF($W$5:W18,"x"))</f>
        <v/>
      </c>
      <c r="X123" s="3759" t="str">
        <f>IF(((COUNTIF($X$5:X18,"x"))-(COUNTIF($X$5:X17,"x")))=0,"",COUNTIF($X$5:X18,"x"))</f>
        <v/>
      </c>
      <c r="Y123" s="3759" t="str">
        <f>IF(((COUNTIF($Y$5:Y18,"x"))-(COUNTIF($Y$5:Y17,"x")))=0,"",COUNTIF($Y$5:Y18,"x"))</f>
        <v/>
      </c>
      <c r="Z123" s="3759" t="str">
        <f>IF(((COUNTIF($Z$5:Z18,"x"))-(COUNTIF($Z$5:Z17,"x")))=0,"",COUNTIF($Z$5:Z18,"x"))</f>
        <v/>
      </c>
      <c r="AA123" s="3759">
        <f>IF(((COUNTIF($AA$5:AA18,"x"))-(COUNTIF($AA$5:AA17,"x")))=0,"",COUNTIF($AA$5:AA18,"x"))</f>
        <v>2</v>
      </c>
      <c r="AB123" s="3759" t="str">
        <f>IF(((COUNTIF($AB$5:AB18,"x"))-(COUNTIF($AB$5:AB17,"x")))=0,"",COUNTIF($AB$5:AB18,"x"))</f>
        <v/>
      </c>
      <c r="AC123" s="3759" t="str">
        <f>IF(((COUNTIF($AC$5:AC18,"x"))-(COUNTIF($AC$5:AC17,"x")))=0,"",COUNTIF($AC$5:AC18,"x"))</f>
        <v/>
      </c>
      <c r="AD123" s="3759">
        <f>IF(((COUNTIF($AD$5:AD18,"x"))-(COUNTIF($AD$5:AD17,"x")))=0,"",COUNTIF($AD$5:AD18,"x"))</f>
        <v>11</v>
      </c>
      <c r="AE123" s="3759" t="str">
        <f>IF(((COUNTIF($AE$5:AE18,"x"))-(COUNTIF($AE$5:AE17,"x")))=0,"",COUNTIF($AE$5:AE18,"x"))</f>
        <v/>
      </c>
      <c r="AF123" s="3760" t="str">
        <f>IF(((COUNTIF($AF$5:AF18,"x"))-(COUNTIF($AF$5:AF17,"x")))=0,"",COUNTIF($AF$5:AF18,"x"))</f>
        <v/>
      </c>
      <c r="AG123" s="2152" t="str">
        <f t="shared" si="15"/>
        <v>Betanal Tandem + Mero</v>
      </c>
    </row>
    <row r="124" spans="2:33" ht="18">
      <c r="B124" s="2168">
        <f t="shared" si="16"/>
        <v>15</v>
      </c>
      <c r="C124" s="3763" t="str">
        <f t="shared" si="13"/>
        <v>Biathlon 4D +Dash</v>
      </c>
      <c r="D124" s="3707"/>
      <c r="E124" s="3762"/>
      <c r="F124" s="3758">
        <f>IF(((COUNTIF($F$5:$F19,"x"))-(COUNTIF($F$5:$F18,"x")))=0,"",COUNTIF($F$5:$F19,"x"))</f>
        <v>7</v>
      </c>
      <c r="G124" s="3759">
        <f>IF(((COUNTIF($G$5:$G19,"x"))-(COUNTIF($G$5:$G18,"x")))=0,"",COUNTIF($G$5:$G19,"x"))</f>
        <v>6</v>
      </c>
      <c r="H124" s="3759">
        <f>IF(((COUNTIF($H$5:$H19,"x"))-(COUNTIF($H$5:$H18,"x")))=0,"",COUNTIF($H$5:$H19,"x"))</f>
        <v>7</v>
      </c>
      <c r="I124" s="3759">
        <f>IF(((COUNTIF($I$5:I19,"x"))-(COUNTIF($I$5:I18,"x")))=0,"",COUNTIF($I$5:I19,"x"))</f>
        <v>7</v>
      </c>
      <c r="J124" s="3759">
        <f>IF(((COUNTIF($J$5:J19,"x"))-(COUNTIF($J$5:J18,"x")))=0,"",COUNTIF($J$5:J19,"x"))</f>
        <v>6</v>
      </c>
      <c r="K124" s="3759">
        <f>IF(((COUNTIF($K$5:K19,"x"))-(COUNTIF($K$5:K18,"x")))=0,"",COUNTIF($K$5:K19,"x"))</f>
        <v>6</v>
      </c>
      <c r="L124" s="3759">
        <f>IF(((COUNTIF($L$5:L19,"x"))-(COUNTIF($L$5:L18,"x")))=0,"",COUNTIF($L$5:L19,"x"))</f>
        <v>6</v>
      </c>
      <c r="M124" s="3759">
        <f>IF(((COUNTIF($M$5:M19,"x"))-(COUNTIF($M$5:M18,"x")))=0,"",COUNTIF($M$5:M19,"x"))</f>
        <v>6</v>
      </c>
      <c r="N124" s="3759">
        <f>IF(((COUNTIF($N$5:N19,"x"))-(COUNTIF($N$5:N18,"x")))=0,"",COUNTIF($N$5:N19,"x"))</f>
        <v>4</v>
      </c>
      <c r="O124" s="3759">
        <f>IF(((COUNTIF($O$5:O19,"x"))-(COUNTIF($O$5:O18,"x")))=0,"",COUNTIF($O$5:O19,"x"))</f>
        <v>5</v>
      </c>
      <c r="P124" s="3759">
        <f>IF(((COUNTIF($P$5:P19,"x"))-(COUNTIF($P$5:P18,"x")))=0,"",COUNTIF($P$5:P19,"x"))</f>
        <v>2</v>
      </c>
      <c r="Q124" s="3759" t="str">
        <f>IF(((COUNTIF($Q$5:Q19,"x"))-(COUNTIF($Q$5:Q18,"x")))=0,"",COUNTIF($Q$5:Q19,"x"))</f>
        <v/>
      </c>
      <c r="R124" s="3759" t="str">
        <f>IF(((COUNTIF($R$5:R19,"x"))-(COUNTIF($R$5:R18,"x")))=0,"",COUNTIF($R$5:R19,"x"))</f>
        <v/>
      </c>
      <c r="S124" s="3759" t="str">
        <f>IF(((COUNTIF($S$5:S19,"x"))-(COUNTIF($S$5:S18,"x")))=0,"",COUNTIF($S$5:S19,"x"))</f>
        <v/>
      </c>
      <c r="T124" s="3759" t="str">
        <f>IF(((COUNTIF($T$5:T19,"x"))-(COUNTIF($T$5:T18,"x")))=0,"",COUNTIF($T$5:T19,"x"))</f>
        <v/>
      </c>
      <c r="U124" s="3759" t="str">
        <f>IF(((COUNTIF($U$5:U19,"x"))-(COUNTIF($U$5:U18,"x")))=0,"",COUNTIF($U$5:U19,"x"))</f>
        <v/>
      </c>
      <c r="V124" s="3759" t="str">
        <f>IF(((COUNTIF($V$5:V19,"x"))-(COUNTIF($V$5:V18,"x")))=0,"",COUNTIF($V$5:V19,"x"))</f>
        <v/>
      </c>
      <c r="W124" s="3759" t="str">
        <f>IF(((COUNTIF($W$5:W19,"x"))-(COUNTIF($W$5:W18,"x")))=0,"",COUNTIF($W$5:W19,"x"))</f>
        <v/>
      </c>
      <c r="X124" s="3759" t="str">
        <f>IF(((COUNTIF($X$5:X19,"x"))-(COUNTIF($X$5:X18,"x")))=0,"",COUNTIF($X$5:X19,"x"))</f>
        <v/>
      </c>
      <c r="Y124" s="3759" t="str">
        <f>IF(((COUNTIF($Y$5:Y19,"x"))-(COUNTIF($Y$5:Y18,"x")))=0,"",COUNTIF($Y$5:Y19,"x"))</f>
        <v/>
      </c>
      <c r="Z124" s="3759" t="str">
        <f>IF(((COUNTIF($Z$5:Z19,"x"))-(COUNTIF($Z$5:Z18,"x")))=0,"",COUNTIF($Z$5:Z19,"x"))</f>
        <v/>
      </c>
      <c r="AA124" s="3759" t="str">
        <f>IF(((COUNTIF($AA$5:AA19,"x"))-(COUNTIF($AA$5:AA18,"x")))=0,"",COUNTIF($AA$5:AA19,"x"))</f>
        <v/>
      </c>
      <c r="AB124" s="3759" t="str">
        <f>IF(((COUNTIF($AB$5:AB19,"x"))-(COUNTIF($AB$5:AB18,"x")))=0,"",COUNTIF($AB$5:AB19,"x"))</f>
        <v/>
      </c>
      <c r="AC124" s="3759" t="str">
        <f>IF(((COUNTIF($AC$5:AC19,"x"))-(COUNTIF($AC$5:AC18,"x")))=0,"",COUNTIF($AC$5:AC19,"x"))</f>
        <v/>
      </c>
      <c r="AD124" s="3759">
        <f>IF(((COUNTIF($AD$5:AD19,"x"))-(COUNTIF($AD$5:AD18,"x")))=0,"",COUNTIF($AD$5:AD19,"x"))</f>
        <v>12</v>
      </c>
      <c r="AE124" s="3759" t="str">
        <f>IF(((COUNTIF($AE$5:AE19,"x"))-(COUNTIF($AE$5:AE18,"x")))=0,"",COUNTIF($AE$5:AE19,"x"))</f>
        <v/>
      </c>
      <c r="AF124" s="3760" t="str">
        <f>IF(((COUNTIF($AF$5:AF19,"x"))-(COUNTIF($AF$5:AF18,"x")))=0,"",COUNTIF($AF$5:AF19,"x"))</f>
        <v/>
      </c>
      <c r="AG124" s="2152" t="str">
        <f t="shared" si="15"/>
        <v>Biathlon 4D +Dash</v>
      </c>
    </row>
    <row r="125" spans="2:33" ht="18">
      <c r="B125" s="2168">
        <f t="shared" si="16"/>
        <v>16</v>
      </c>
      <c r="C125" s="3763" t="str">
        <f t="shared" si="13"/>
        <v>Amistar Gold</v>
      </c>
      <c r="D125" s="3707"/>
      <c r="E125" s="3762"/>
      <c r="F125" s="3758" t="str">
        <f>IF(((COUNTIF($F$5:$F20,"x"))-(COUNTIF($F$5:$F19,"x")))=0,"",COUNTIF($F$5:$F20,"x"))</f>
        <v/>
      </c>
      <c r="G125" s="3759" t="str">
        <f>IF(((COUNTIF($G$5:$G20,"x"))-(COUNTIF($G$5:$G19,"x")))=0,"",COUNTIF($G$5:$G20,"x"))</f>
        <v/>
      </c>
      <c r="H125" s="3759" t="str">
        <f>IF(((COUNTIF($H$5:$H20,"x"))-(COUNTIF($H$5:$H19,"x")))=0,"",COUNTIF($H$5:$H20,"x"))</f>
        <v/>
      </c>
      <c r="I125" s="3759" t="str">
        <f>IF(((COUNTIF($I$5:I20,"x"))-(COUNTIF($I$5:I19,"x")))=0,"",COUNTIF($I$5:I20,"x"))</f>
        <v/>
      </c>
      <c r="J125" s="3759" t="str">
        <f>IF(((COUNTIF($J$5:J20,"x"))-(COUNTIF($J$5:J19,"x")))=0,"",COUNTIF($J$5:J20,"x"))</f>
        <v/>
      </c>
      <c r="K125" s="3759" t="str">
        <f>IF(((COUNTIF($K$5:K20,"x"))-(COUNTIF($K$5:K19,"x")))=0,"",COUNTIF($K$5:K20,"x"))</f>
        <v/>
      </c>
      <c r="L125" s="3759" t="str">
        <f>IF(((COUNTIF($L$5:L20,"x"))-(COUNTIF($L$5:L19,"x")))=0,"",COUNTIF($L$5:L20,"x"))</f>
        <v/>
      </c>
      <c r="M125" s="3759" t="str">
        <f>IF(((COUNTIF($M$5:M20,"x"))-(COUNTIF($M$5:M19,"x")))=0,"",COUNTIF($M$5:M20,"x"))</f>
        <v/>
      </c>
      <c r="N125" s="3759" t="str">
        <f>IF(((COUNTIF($N$5:N20,"x"))-(COUNTIF($N$5:N19,"x")))=0,"",COUNTIF($N$5:N20,"x"))</f>
        <v/>
      </c>
      <c r="O125" s="3759" t="str">
        <f>IF(((COUNTIF($O$5:O20,"x"))-(COUNTIF($O$5:O19,"x")))=0,"",COUNTIF($O$5:O20,"x"))</f>
        <v/>
      </c>
      <c r="P125" s="3759">
        <f>IF(((COUNTIF($P$5:P20,"x"))-(COUNTIF($P$5:P19,"x")))=0,"",COUNTIF($P$5:P20,"x"))</f>
        <v>3</v>
      </c>
      <c r="Q125" s="3759" t="str">
        <f>IF(((COUNTIF($Q$5:Q20,"x"))-(COUNTIF($Q$5:Q19,"x")))=0,"",COUNTIF($Q$5:Q20,"x"))</f>
        <v/>
      </c>
      <c r="R125" s="3759" t="str">
        <f>IF(((COUNTIF($R$5:R20,"x"))-(COUNTIF($R$5:R19,"x")))=0,"",COUNTIF($R$5:R20,"x"))</f>
        <v/>
      </c>
      <c r="S125" s="3759">
        <f>IF(((COUNTIF($S$5:S20,"x"))-(COUNTIF($S$5:S19,"x")))=0,"",COUNTIF($S$5:S20,"x"))</f>
        <v>2</v>
      </c>
      <c r="T125" s="3759" t="str">
        <f>IF(((COUNTIF($T$5:T20,"x"))-(COUNTIF($T$5:T19,"x")))=0,"",COUNTIF($T$5:T20,"x"))</f>
        <v/>
      </c>
      <c r="U125" s="3759" t="str">
        <f>IF(((COUNTIF($U$5:U20,"x"))-(COUNTIF($U$5:U19,"x")))=0,"",COUNTIF($U$5:U20,"x"))</f>
        <v/>
      </c>
      <c r="V125" s="3759" t="str">
        <f>IF(((COUNTIF($V$5:V20,"x"))-(COUNTIF($V$5:V19,"x")))=0,"",COUNTIF($V$5:V20,"x"))</f>
        <v/>
      </c>
      <c r="W125" s="3759" t="str">
        <f>IF(((COUNTIF($W$5:W20,"x"))-(COUNTIF($W$5:W19,"x")))=0,"",COUNTIF($W$5:W20,"x"))</f>
        <v/>
      </c>
      <c r="X125" s="3759" t="str">
        <f>IF(((COUNTIF($X$5:X20,"x"))-(COUNTIF($X$5:X19,"x")))=0,"",COUNTIF($X$5:X20,"x"))</f>
        <v/>
      </c>
      <c r="Y125" s="3759" t="str">
        <f>IF(((COUNTIF($Y$5:Y20,"x"))-(COUNTIF($Y$5:Y19,"x")))=0,"",COUNTIF($Y$5:Y20,"x"))</f>
        <v/>
      </c>
      <c r="Z125" s="3759" t="str">
        <f>IF(((COUNTIF($Z$5:Z20,"x"))-(COUNTIF($Z$5:Z19,"x")))=0,"",COUNTIF($Z$5:Z20,"x"))</f>
        <v/>
      </c>
      <c r="AA125" s="3759">
        <f>IF(((COUNTIF($AA$5:AA20,"x"))-(COUNTIF($AA$5:AA19,"x")))=0,"",COUNTIF($AA$5:AA20,"x"))</f>
        <v>3</v>
      </c>
      <c r="AB125" s="3759" t="str">
        <f>IF(((COUNTIF($AB$5:AB20,"x"))-(COUNTIF($AB$5:AB19,"x")))=0,"",COUNTIF($AB$5:AB20,"x"))</f>
        <v/>
      </c>
      <c r="AC125" s="3759" t="str">
        <f>IF(((COUNTIF($AC$5:AC20,"x"))-(COUNTIF($AC$5:AC19,"x")))=0,"",COUNTIF($AC$5:AC20,"x"))</f>
        <v/>
      </c>
      <c r="AD125" s="3759">
        <f>IF(((COUNTIF($AD$5:AD20,"x"))-(COUNTIF($AD$5:AD19,"x")))=0,"",COUNTIF($AD$5:AD20,"x"))</f>
        <v>13</v>
      </c>
      <c r="AE125" s="3759" t="str">
        <f>IF(((COUNTIF($AE$5:AE20,"x"))-(COUNTIF($AE$5:AE19,"x")))=0,"",COUNTIF($AE$5:AE20,"x"))</f>
        <v/>
      </c>
      <c r="AF125" s="3760" t="str">
        <f>IF(((COUNTIF($AF$5:AF20,"x"))-(COUNTIF($AF$5:AF19,"x")))=0,"",COUNTIF($AF$5:AF20,"x"))</f>
        <v/>
      </c>
      <c r="AG125" s="2152" t="str">
        <f t="shared" si="15"/>
        <v>Amistar Gold</v>
      </c>
    </row>
    <row r="126" spans="2:33" ht="18">
      <c r="B126" s="2168">
        <f t="shared" si="16"/>
        <v>17</v>
      </c>
      <c r="C126" s="3763" t="str">
        <f t="shared" si="13"/>
        <v>Boxer</v>
      </c>
      <c r="D126" s="3707"/>
      <c r="E126" s="3762"/>
      <c r="F126" s="3758">
        <f>IF(((COUNTIF($F$5:$F21,"x"))-(COUNTIF($F$5:$F20,"x")))=0,"",COUNTIF($F$5:$F21,"x"))</f>
        <v>8</v>
      </c>
      <c r="G126" s="3759">
        <f>IF(((COUNTIF($G$5:$G21,"x"))-(COUNTIF($G$5:$G20,"x")))=0,"",COUNTIF($G$5:$G21,"x"))</f>
        <v>7</v>
      </c>
      <c r="H126" s="3759">
        <f>IF(((COUNTIF($H$5:$H21,"x"))-(COUNTIF($H$5:$H20,"x")))=0,"",COUNTIF($H$5:$H21,"x"))</f>
        <v>8</v>
      </c>
      <c r="I126" s="3759" t="str">
        <f>IF(((COUNTIF($I$5:I21,"x"))-(COUNTIF($I$5:I20,"x")))=0,"",COUNTIF($I$5:I21,"x"))</f>
        <v/>
      </c>
      <c r="J126" s="3759">
        <f>IF(((COUNTIF($J$5:J21,"x"))-(COUNTIF($J$5:J20,"x")))=0,"",COUNTIF($J$5:J21,"x"))</f>
        <v>7</v>
      </c>
      <c r="K126" s="3759" t="str">
        <f>IF(((COUNTIF($K$5:K21,"x"))-(COUNTIF($K$5:K20,"x")))=0,"",COUNTIF($K$5:K21,"x"))</f>
        <v/>
      </c>
      <c r="L126" s="3759">
        <f>IF(((COUNTIF($L$5:L21,"x"))-(COUNTIF($L$5:L20,"x")))=0,"",COUNTIF($L$5:L21,"x"))</f>
        <v>7</v>
      </c>
      <c r="M126" s="3759">
        <f>IF(((COUNTIF($M$5:M21,"x"))-(COUNTIF($M$5:M20,"x")))=0,"",COUNTIF($M$5:M21,"x"))</f>
        <v>7</v>
      </c>
      <c r="N126" s="3759" t="str">
        <f>IF(((COUNTIF($N$5:N21,"x"))-(COUNTIF($N$5:N20,"x")))=0,"",COUNTIF($N$5:N21,"x"))</f>
        <v/>
      </c>
      <c r="O126" s="3759" t="str">
        <f>IF(((COUNTIF($O$5:O21,"x"))-(COUNTIF($O$5:O20,"x")))=0,"",COUNTIF($O$5:O21,"x"))</f>
        <v/>
      </c>
      <c r="P126" s="3759" t="str">
        <f>IF(((COUNTIF($P$5:P21,"x"))-(COUNTIF($P$5:P20,"x")))=0,"",COUNTIF($P$5:P21,"x"))</f>
        <v/>
      </c>
      <c r="Q126" s="3759" t="str">
        <f>IF(((COUNTIF($Q$5:Q21,"x"))-(COUNTIF($Q$5:Q20,"x")))=0,"",COUNTIF($Q$5:Q21,"x"))</f>
        <v/>
      </c>
      <c r="R126" s="3759" t="str">
        <f>IF(((COUNTIF($R$5:R21,"x"))-(COUNTIF($R$5:R20,"x")))=0,"",COUNTIF($R$5:R21,"x"))</f>
        <v/>
      </c>
      <c r="S126" s="3759" t="str">
        <f>IF(((COUNTIF($S$5:S21,"x"))-(COUNTIF($S$5:S20,"x")))=0,"",COUNTIF($S$5:S21,"x"))</f>
        <v/>
      </c>
      <c r="T126" s="3759" t="str">
        <f>IF(((COUNTIF($T$5:T21,"x"))-(COUNTIF($T$5:T20,"x")))=0,"",COUNTIF($T$5:T21,"x"))</f>
        <v/>
      </c>
      <c r="U126" s="3759">
        <f>IF(((COUNTIF($U$5:U21,"x"))-(COUNTIF($U$5:U20,"x")))=0,"",COUNTIF($U$5:U21,"x"))</f>
        <v>3</v>
      </c>
      <c r="V126" s="3759" t="str">
        <f>IF(((COUNTIF($V$5:V21,"x"))-(COUNTIF($V$5:V20,"x")))=0,"",COUNTIF($V$5:V21,"x"))</f>
        <v/>
      </c>
      <c r="W126" s="3759" t="str">
        <f>IF(((COUNTIF($W$5:W21,"x"))-(COUNTIF($W$5:W20,"x")))=0,"",COUNTIF($W$5:W21,"x"))</f>
        <v/>
      </c>
      <c r="X126" s="3759">
        <f>IF(((COUNTIF($X$5:X21,"x"))-(COUNTIF($X$5:X20,"x")))=0,"",COUNTIF($X$5:X21,"x"))</f>
        <v>3</v>
      </c>
      <c r="Y126" s="3759">
        <f>IF(((COUNTIF($Y$5:Y21,"x"))-(COUNTIF($Y$5:Y20,"x")))=0,"",COUNTIF($Y$5:Y21,"x"))</f>
        <v>3</v>
      </c>
      <c r="Z126" s="3759">
        <f>IF(((COUNTIF($Z$5:Z21,"x"))-(COUNTIF($Z$5:Z20,"x")))=0,"",COUNTIF($Z$5:Z21,"x"))</f>
        <v>1</v>
      </c>
      <c r="AA126" s="3759" t="str">
        <f>IF(((COUNTIF($AA$5:AA21,"x"))-(COUNTIF($AA$5:AA20,"x")))=0,"",COUNTIF($AA$5:AA21,"x"))</f>
        <v/>
      </c>
      <c r="AB126" s="3759">
        <f>IF(((COUNTIF($AB$5:AB21,"x"))-(COUNTIF($AB$5:AB20,"x")))=0,"",COUNTIF($AB$5:AB21,"x"))</f>
        <v>4</v>
      </c>
      <c r="AC126" s="3759" t="str">
        <f>IF(((COUNTIF($AC$5:AC21,"x"))-(COUNTIF($AC$5:AC20,"x")))=0,"",COUNTIF($AC$5:AC21,"x"))</f>
        <v/>
      </c>
      <c r="AD126" s="3759">
        <f>IF(((COUNTIF($AD$5:AD21,"x"))-(COUNTIF($AD$5:AD20,"x")))=0,"",COUNTIF($AD$5:AD21,"x"))</f>
        <v>14</v>
      </c>
      <c r="AE126" s="3759" t="str">
        <f>IF(((COUNTIF($AE$5:AE21,"x"))-(COUNTIF($AE$5:AE20,"x")))=0,"",COUNTIF($AE$5:AE21,"x"))</f>
        <v/>
      </c>
      <c r="AF126" s="3760" t="str">
        <f>IF(((COUNTIF($AF$5:AF21,"x"))-(COUNTIF($AF$5:AF20,"x")))=0,"",COUNTIF($AF$5:AF21,"x"))</f>
        <v/>
      </c>
      <c r="AG126" s="2152" t="str">
        <f t="shared" si="15"/>
        <v>Boxer</v>
      </c>
    </row>
    <row r="127" spans="2:33" ht="18">
      <c r="B127" s="2168">
        <f t="shared" si="16"/>
        <v>18</v>
      </c>
      <c r="C127" s="3763" t="str">
        <f t="shared" si="13"/>
        <v>Broadway</v>
      </c>
      <c r="D127" s="3707"/>
      <c r="E127" s="3762"/>
      <c r="F127" s="3758">
        <f>IF(((COUNTIF($F$5:$F22,"x"))-(COUNTIF($F$5:$F21,"x")))=0,"",COUNTIF($F$5:$F22,"x"))</f>
        <v>9</v>
      </c>
      <c r="G127" s="3759">
        <f>IF(((COUNTIF($G$5:$G22,"x"))-(COUNTIF($G$5:$G21,"x")))=0,"",COUNTIF($G$5:$G22,"x"))</f>
        <v>8</v>
      </c>
      <c r="H127" s="3759">
        <f>IF(((COUNTIF($H$5:$H22,"x"))-(COUNTIF($H$5:$H21,"x")))=0,"",COUNTIF($H$5:$H22,"x"))</f>
        <v>9</v>
      </c>
      <c r="I127" s="3759">
        <f>IF(((COUNTIF($I$5:I22,"x"))-(COUNTIF($I$5:I21,"x")))=0,"",COUNTIF($I$5:I22,"x"))</f>
        <v>8</v>
      </c>
      <c r="J127" s="3759" t="str">
        <f>IF(((COUNTIF($J$5:J22,"x"))-(COUNTIF($J$5:J21,"x")))=0,"",COUNTIF($J$5:J22,"x"))</f>
        <v/>
      </c>
      <c r="K127" s="3759" t="str">
        <f>IF(((COUNTIF($K$5:K22,"x"))-(COUNTIF($K$5:K21,"x")))=0,"",COUNTIF($K$5:K22,"x"))</f>
        <v/>
      </c>
      <c r="L127" s="3759" t="str">
        <f>IF(((COUNTIF($L$5:L22,"x"))-(COUNTIF($L$5:L21,"x")))=0,"",COUNTIF($L$5:L22,"x"))</f>
        <v/>
      </c>
      <c r="M127" s="3759" t="str">
        <f>IF(((COUNTIF($M$5:M22,"x"))-(COUNTIF($M$5:M21,"x")))=0,"",COUNTIF($M$5:M22,"x"))</f>
        <v/>
      </c>
      <c r="N127" s="3759" t="str">
        <f>IF(((COUNTIF($N$5:N22,"x"))-(COUNTIF($N$5:N21,"x")))=0,"",COUNTIF($N$5:N22,"x"))</f>
        <v/>
      </c>
      <c r="O127" s="3759">
        <f>IF(((COUNTIF($O$5:O22,"x"))-(COUNTIF($O$5:O21,"x")))=0,"",COUNTIF($O$5:O22,"x"))</f>
        <v>6</v>
      </c>
      <c r="P127" s="3759">
        <f>IF(((COUNTIF($P$5:P22,"x"))-(COUNTIF($P$5:P21,"x")))=0,"",COUNTIF($P$5:P22,"x"))</f>
        <v>4</v>
      </c>
      <c r="Q127" s="3759" t="str">
        <f>IF(((COUNTIF($Q$5:Q22,"x"))-(COUNTIF($Q$5:Q21,"x")))=0,"",COUNTIF($Q$5:Q22,"x"))</f>
        <v/>
      </c>
      <c r="R127" s="3759" t="str">
        <f>IF(((COUNTIF($R$5:R22,"x"))-(COUNTIF($R$5:R21,"x")))=0,"",COUNTIF($R$5:R22,"x"))</f>
        <v/>
      </c>
      <c r="S127" s="3759" t="str">
        <f>IF(((COUNTIF($S$5:S22,"x"))-(COUNTIF($S$5:S21,"x")))=0,"",COUNTIF($S$5:S22,"x"))</f>
        <v/>
      </c>
      <c r="T127" s="3759" t="str">
        <f>IF(((COUNTIF($T$5:T22,"x"))-(COUNTIF($T$5:T21,"x")))=0,"",COUNTIF($T$5:T22,"x"))</f>
        <v/>
      </c>
      <c r="U127" s="3759" t="str">
        <f>IF(((COUNTIF($U$5:U22,"x"))-(COUNTIF($U$5:U21,"x")))=0,"",COUNTIF($U$5:U22,"x"))</f>
        <v/>
      </c>
      <c r="V127" s="3759" t="str">
        <f>IF(((COUNTIF($V$5:V22,"x"))-(COUNTIF($V$5:V21,"x")))=0,"",COUNTIF($V$5:V22,"x"))</f>
        <v/>
      </c>
      <c r="W127" s="3759" t="str">
        <f>IF(((COUNTIF($W$5:W22,"x"))-(COUNTIF($W$5:W21,"x")))=0,"",COUNTIF($W$5:W22,"x"))</f>
        <v/>
      </c>
      <c r="X127" s="3759" t="str">
        <f>IF(((COUNTIF($X$5:X22,"x"))-(COUNTIF($X$5:X21,"x")))=0,"",COUNTIF($X$5:X22,"x"))</f>
        <v/>
      </c>
      <c r="Y127" s="3759" t="str">
        <f>IF(((COUNTIF($Y$5:Y22,"x"))-(COUNTIF($Y$5:Y21,"x")))=0,"",COUNTIF($Y$5:Y22,"x"))</f>
        <v/>
      </c>
      <c r="Z127" s="3759" t="str">
        <f>IF(((COUNTIF($Z$5:Z22,"x"))-(COUNTIF($Z$5:Z21,"x")))=0,"",COUNTIF($Z$5:Z22,"x"))</f>
        <v/>
      </c>
      <c r="AA127" s="3759" t="str">
        <f>IF(((COUNTIF($AA$5:AA22,"x"))-(COUNTIF($AA$5:AA21,"x")))=0,"",COUNTIF($AA$5:AA22,"x"))</f>
        <v/>
      </c>
      <c r="AB127" s="3759" t="str">
        <f>IF(((COUNTIF($AB$5:AB22,"x"))-(COUNTIF($AB$5:AB21,"x")))=0,"",COUNTIF($AB$5:AB22,"x"))</f>
        <v/>
      </c>
      <c r="AC127" s="3759" t="str">
        <f>IF(((COUNTIF($AC$5:AC22,"x"))-(COUNTIF($AC$5:AC21,"x")))=0,"",COUNTIF($AC$5:AC22,"x"))</f>
        <v/>
      </c>
      <c r="AD127" s="3759">
        <f>IF(((COUNTIF($AD$5:AD22,"x"))-(COUNTIF($AD$5:AD21,"x")))=0,"",COUNTIF($AD$5:AD22,"x"))</f>
        <v>15</v>
      </c>
      <c r="AE127" s="3759" t="str">
        <f>IF(((COUNTIF($AE$5:AE22,"x"))-(COUNTIF($AE$5:AE21,"x")))=0,"",COUNTIF($AE$5:AE22,"x"))</f>
        <v/>
      </c>
      <c r="AF127" s="3760" t="str">
        <f>IF(((COUNTIF($AF$5:AF22,"x"))-(COUNTIF($AF$5:AF21,"x")))=0,"",COUNTIF($AF$5:AF22,"x"))</f>
        <v/>
      </c>
      <c r="AG127" s="2152" t="str">
        <f t="shared" si="15"/>
        <v>Broadway</v>
      </c>
    </row>
    <row r="128" spans="2:33" ht="18">
      <c r="B128" s="2168">
        <f t="shared" si="16"/>
        <v>19</v>
      </c>
      <c r="C128" s="3763" t="str">
        <f t="shared" si="13"/>
        <v xml:space="preserve">Butisan </v>
      </c>
      <c r="D128" s="3707"/>
      <c r="E128" s="3762"/>
      <c r="F128" s="3758" t="str">
        <f>IF(((COUNTIF($F$5:$F23,"x"))-(COUNTIF($F$5:$F22,"x")))=0,"",COUNTIF($F$5:$F23,"x"))</f>
        <v/>
      </c>
      <c r="G128" s="3759" t="str">
        <f>IF(((COUNTIF($G$5:$G23,"x"))-(COUNTIF($G$5:$G22,"x")))=0,"",COUNTIF($G$5:$G23,"x"))</f>
        <v/>
      </c>
      <c r="H128" s="3759" t="str">
        <f>IF(((COUNTIF($H$5:$H23,"x"))-(COUNTIF($H$5:$H22,"x")))=0,"",COUNTIF($H$5:$H23,"x"))</f>
        <v/>
      </c>
      <c r="I128" s="3759" t="str">
        <f>IF(((COUNTIF($I$5:I23,"x"))-(COUNTIF($I$5:I22,"x")))=0,"",COUNTIF($I$5:I23,"x"))</f>
        <v/>
      </c>
      <c r="J128" s="3759" t="str">
        <f>IF(((COUNTIF($J$5:J23,"x"))-(COUNTIF($J$5:J22,"x")))=0,"",COUNTIF($J$5:J23,"x"))</f>
        <v/>
      </c>
      <c r="K128" s="3759" t="str">
        <f>IF(((COUNTIF($K$5:K23,"x"))-(COUNTIF($K$5:K22,"x")))=0,"",COUNTIF($K$5:K23,"x"))</f>
        <v/>
      </c>
      <c r="L128" s="3759" t="str">
        <f>IF(((COUNTIF($L$5:L23,"x"))-(COUNTIF($L$5:L22,"x")))=0,"",COUNTIF($L$5:L23,"x"))</f>
        <v/>
      </c>
      <c r="M128" s="3759" t="str">
        <f>IF(((COUNTIF($M$5:M23,"x"))-(COUNTIF($M$5:M22,"x")))=0,"",COUNTIF($M$5:M23,"x"))</f>
        <v/>
      </c>
      <c r="N128" s="3759" t="str">
        <f>IF(((COUNTIF($N$5:N23,"x"))-(COUNTIF($N$5:N22,"x")))=0,"",COUNTIF($N$5:N23,"x"))</f>
        <v/>
      </c>
      <c r="O128" s="3759" t="str">
        <f>IF(((COUNTIF($O$5:O23,"x"))-(COUNTIF($O$5:O22,"x")))=0,"",COUNTIF($O$5:O23,"x"))</f>
        <v/>
      </c>
      <c r="P128" s="3759" t="str">
        <f>IF(((COUNTIF($P$5:P23,"x"))-(COUNTIF($P$5:P22,"x")))=0,"",COUNTIF($P$5:P23,"x"))</f>
        <v/>
      </c>
      <c r="Q128" s="3759" t="str">
        <f>IF(((COUNTIF($Q$5:Q23,"x"))-(COUNTIF($Q$5:Q22,"x")))=0,"",COUNTIF($Q$5:Q23,"x"))</f>
        <v/>
      </c>
      <c r="R128" s="3759" t="str">
        <f>IF(((COUNTIF($R$5:R23,"x"))-(COUNTIF($R$5:R22,"x")))=0,"",COUNTIF($R$5:R23,"x"))</f>
        <v/>
      </c>
      <c r="S128" s="3759">
        <f>IF(((COUNTIF($S$5:S23,"x"))-(COUNTIF($S$5:S22,"x")))=0,"",COUNTIF($S$5:S23,"x"))</f>
        <v>3</v>
      </c>
      <c r="T128" s="3759">
        <f>IF(((COUNTIF($T$5:T23,"x"))-(COUNTIF($T$5:T22,"x")))=0,"",COUNTIF($T$5:T23,"x"))</f>
        <v>1</v>
      </c>
      <c r="U128" s="3759" t="str">
        <f>IF(((COUNTIF($U$5:U23,"x"))-(COUNTIF($U$5:U22,"x")))=0,"",COUNTIF($U$5:U23,"x"))</f>
        <v/>
      </c>
      <c r="V128" s="3759" t="str">
        <f>IF(((COUNTIF($V$5:V23,"x"))-(COUNTIF($V$5:V22,"x")))=0,"",COUNTIF($V$5:V23,"x"))</f>
        <v/>
      </c>
      <c r="W128" s="3759" t="str">
        <f>IF(((COUNTIF($W$5:W23,"x"))-(COUNTIF($W$5:W22,"x")))=0,"",COUNTIF($W$5:W23,"x"))</f>
        <v/>
      </c>
      <c r="X128" s="3759" t="str">
        <f>IF(((COUNTIF($X$5:X23,"x"))-(COUNTIF($X$5:X22,"x")))=0,"",COUNTIF($X$5:X23,"x"))</f>
        <v/>
      </c>
      <c r="Y128" s="3759" t="str">
        <f>IF(((COUNTIF($Y$5:Y23,"x"))-(COUNTIF($Y$5:Y22,"x")))=0,"",COUNTIF($Y$5:Y23,"x"))</f>
        <v/>
      </c>
      <c r="Z128" s="3759" t="str">
        <f>IF(((COUNTIF($Z$5:Z23,"x"))-(COUNTIF($Z$5:Z22,"x")))=0,"",COUNTIF($Z$5:Z23,"x"))</f>
        <v/>
      </c>
      <c r="AA128" s="3759" t="str">
        <f>IF(((COUNTIF($AA$5:AA23,"x"))-(COUNTIF($AA$5:AA22,"x")))=0,"",COUNTIF($AA$5:AA23,"x"))</f>
        <v/>
      </c>
      <c r="AB128" s="3759" t="str">
        <f>IF(((COUNTIF($AB$5:AB23,"x"))-(COUNTIF($AB$5:AB22,"x")))=0,"",COUNTIF($AB$5:AB23,"x"))</f>
        <v/>
      </c>
      <c r="AC128" s="3759" t="str">
        <f>IF(((COUNTIF($AC$5:AC23,"x"))-(COUNTIF($AC$5:AC22,"x")))=0,"",COUNTIF($AC$5:AC23,"x"))</f>
        <v/>
      </c>
      <c r="AD128" s="3759">
        <f>IF(((COUNTIF($AD$5:AD23,"x"))-(COUNTIF($AD$5:AD22,"x")))=0,"",COUNTIF($AD$5:AD23,"x"))</f>
        <v>16</v>
      </c>
      <c r="AE128" s="3759" t="str">
        <f>IF(((COUNTIF($AE$5:AE23,"x"))-(COUNTIF($AE$5:AE22,"x")))=0,"",COUNTIF($AE$5:AE23,"x"))</f>
        <v/>
      </c>
      <c r="AF128" s="3760" t="str">
        <f>IF(((COUNTIF($AF$5:AF23,"x"))-(COUNTIF($AF$5:AF22,"x")))=0,"",COUNTIF($AF$5:AF23,"x"))</f>
        <v/>
      </c>
      <c r="AG128" s="2152" t="str">
        <f t="shared" si="15"/>
        <v xml:space="preserve">Butisan </v>
      </c>
    </row>
    <row r="129" spans="2:33" ht="18">
      <c r="B129" s="2168">
        <f t="shared" si="16"/>
        <v>20</v>
      </c>
      <c r="C129" s="3763" t="str">
        <f t="shared" si="13"/>
        <v>Callisto</v>
      </c>
      <c r="D129" s="3707"/>
      <c r="E129" s="3762"/>
      <c r="F129" s="3758" t="str">
        <f>IF(((COUNTIF($F$5:$F24,"x"))-(COUNTIF($F$5:$F23,"x")))=0,"",COUNTIF($F$5:$F24,"x"))</f>
        <v/>
      </c>
      <c r="G129" s="3759" t="str">
        <f>IF(((COUNTIF($G$5:$G24,"x"))-(COUNTIF($G$5:$G23,"x")))=0,"",COUNTIF($G$5:$G24,"x"))</f>
        <v/>
      </c>
      <c r="H129" s="3759" t="str">
        <f>IF(((COUNTIF($H$5:$H24,"x"))-(COUNTIF($H$5:$H23,"x")))=0,"",COUNTIF($H$5:$H24,"x"))</f>
        <v/>
      </c>
      <c r="I129" s="3759" t="str">
        <f>IF(((COUNTIF($I$5:I24,"x"))-(COUNTIF($I$5:I23,"x")))=0,"",COUNTIF($I$5:I24,"x"))</f>
        <v/>
      </c>
      <c r="J129" s="3759" t="str">
        <f>IF(((COUNTIF($J$5:J24,"x"))-(COUNTIF($J$5:J23,"x")))=0,"",COUNTIF($J$5:J24,"x"))</f>
        <v/>
      </c>
      <c r="K129" s="3759" t="str">
        <f>IF(((COUNTIF($K$5:K24,"x"))-(COUNTIF($K$5:K23,"x")))=0,"",COUNTIF($K$5:K24,"x"))</f>
        <v/>
      </c>
      <c r="L129" s="3759" t="str">
        <f>IF(((COUNTIF($L$5:L24,"x"))-(COUNTIF($L$5:L23,"x")))=0,"",COUNTIF($L$5:L24,"x"))</f>
        <v/>
      </c>
      <c r="M129" s="3759" t="str">
        <f>IF(((COUNTIF($M$5:M24,"x"))-(COUNTIF($M$5:M23,"x")))=0,"",COUNTIF($M$5:M24,"x"))</f>
        <v/>
      </c>
      <c r="N129" s="3759" t="str">
        <f>IF(((COUNTIF($N$5:N24,"x"))-(COUNTIF($N$5:N23,"x")))=0,"",COUNTIF($N$5:N24,"x"))</f>
        <v/>
      </c>
      <c r="O129" s="3759" t="str">
        <f>IF(((COUNTIF($O$5:O24,"x"))-(COUNTIF($O$5:O23,"x")))=0,"",COUNTIF($O$5:O24,"x"))</f>
        <v/>
      </c>
      <c r="P129" s="3759" t="str">
        <f>IF(((COUNTIF($P$5:P24,"x"))-(COUNTIF($P$5:P23,"x")))=0,"",COUNTIF($P$5:P24,"x"))</f>
        <v/>
      </c>
      <c r="Q129" s="3759" t="str">
        <f>IF(((COUNTIF($Q$5:Q24,"x"))-(COUNTIF($Q$5:Q23,"x")))=0,"",COUNTIF($Q$5:Q24,"x"))</f>
        <v/>
      </c>
      <c r="R129" s="3759">
        <f>IF(((COUNTIF($R$5:R24,"x"))-(COUNTIF($R$5:R23,"x")))=0,"",COUNTIF($R$5:R24,"x"))</f>
        <v>2</v>
      </c>
      <c r="S129" s="3759" t="str">
        <f>IF(((COUNTIF($S$5:S24,"x"))-(COUNTIF($S$5:S23,"x")))=0,"",COUNTIF($S$5:S24,"x"))</f>
        <v/>
      </c>
      <c r="T129" s="3759" t="str">
        <f>IF(((COUNTIF($T$5:T24,"x"))-(COUNTIF($T$5:T23,"x")))=0,"",COUNTIF($T$5:T24,"x"))</f>
        <v/>
      </c>
      <c r="U129" s="3759" t="str">
        <f>IF(((COUNTIF($U$5:U24,"x"))-(COUNTIF($U$5:U23,"x")))=0,"",COUNTIF($U$5:U24,"x"))</f>
        <v/>
      </c>
      <c r="V129" s="3759" t="str">
        <f>IF(((COUNTIF($V$5:V24,"x"))-(COUNTIF($V$5:V23,"x")))=0,"",COUNTIF($V$5:V24,"x"))</f>
        <v/>
      </c>
      <c r="W129" s="3759">
        <f>IF(((COUNTIF($W$5:W24,"x"))-(COUNTIF($W$5:W23,"x")))=0,"",COUNTIF($W$5:W24,"x"))</f>
        <v>1</v>
      </c>
      <c r="X129" s="3759" t="str">
        <f>IF(((COUNTIF($X$5:X24,"x"))-(COUNTIF($X$5:X23,"x")))=0,"",COUNTIF($X$5:X24,"x"))</f>
        <v/>
      </c>
      <c r="Y129" s="3759" t="str">
        <f>IF(((COUNTIF($Y$5:Y24,"x"))-(COUNTIF($Y$5:Y23,"x")))=0,"",COUNTIF($Y$5:Y24,"x"))</f>
        <v/>
      </c>
      <c r="Z129" s="3759" t="str">
        <f>IF(((COUNTIF($Z$5:Z24,"x"))-(COUNTIF($Z$5:Z23,"x")))=0,"",COUNTIF($Z$5:Z24,"x"))</f>
        <v/>
      </c>
      <c r="AA129" s="3759" t="str">
        <f>IF(((COUNTIF($AA$5:AA24,"x"))-(COUNTIF($AA$5:AA23,"x")))=0,"",COUNTIF($AA$5:AA24,"x"))</f>
        <v/>
      </c>
      <c r="AB129" s="3759" t="str">
        <f>IF(((COUNTIF($AB$5:AB24,"x"))-(COUNTIF($AB$5:AB23,"x")))=0,"",COUNTIF($AB$5:AB24,"x"))</f>
        <v/>
      </c>
      <c r="AC129" s="3759" t="str">
        <f>IF(((COUNTIF($AC$5:AC24,"x"))-(COUNTIF($AC$5:AC23,"x")))=0,"",COUNTIF($AC$5:AC24,"x"))</f>
        <v/>
      </c>
      <c r="AD129" s="3759">
        <f>IF(((COUNTIF($AD$5:AD24,"x"))-(COUNTIF($AD$5:AD23,"x")))=0,"",COUNTIF($AD$5:AD24,"x"))</f>
        <v>17</v>
      </c>
      <c r="AE129" s="3759" t="str">
        <f>IF(((COUNTIF($AE$5:AE24,"x"))-(COUNTIF($AE$5:AE23,"x")))=0,"",COUNTIF($AE$5:AE24,"x"))</f>
        <v/>
      </c>
      <c r="AF129" s="3760" t="str">
        <f>IF(((COUNTIF($AF$5:AF24,"x"))-(COUNTIF($AF$5:AF23,"x")))=0,"",COUNTIF($AF$5:AF24,"x"))</f>
        <v/>
      </c>
      <c r="AG129" s="2152" t="str">
        <f t="shared" si="15"/>
        <v>Callisto</v>
      </c>
    </row>
    <row r="130" spans="2:33" ht="18">
      <c r="B130" s="2168">
        <f t="shared" si="16"/>
        <v>21</v>
      </c>
      <c r="C130" s="3763" t="str">
        <f t="shared" si="13"/>
        <v>Cantus Gold</v>
      </c>
      <c r="D130" s="3707"/>
      <c r="E130" s="3762"/>
      <c r="F130" s="3758" t="str">
        <f>IF(((COUNTIF($F$5:$F25,"x"))-(COUNTIF($F$5:$F24,"x")))=0,"",COUNTIF($F$5:$F25,"x"))</f>
        <v/>
      </c>
      <c r="G130" s="3759" t="str">
        <f>IF(((COUNTIF($G$5:$G25,"x"))-(COUNTIF($G$5:$G24,"x")))=0,"",COUNTIF($G$5:$G25,"x"))</f>
        <v/>
      </c>
      <c r="H130" s="3759" t="str">
        <f>IF(((COUNTIF($H$5:$H25,"x"))-(COUNTIF($H$5:$H24,"x")))=0,"",COUNTIF($H$5:$H25,"x"))</f>
        <v/>
      </c>
      <c r="I130" s="3759" t="str">
        <f>IF(((COUNTIF($I$5:I25,"x"))-(COUNTIF($I$5:I24,"x")))=0,"",COUNTIF($I$5:I25,"x"))</f>
        <v/>
      </c>
      <c r="J130" s="3759" t="str">
        <f>IF(((COUNTIF($J$5:J25,"x"))-(COUNTIF($J$5:J24,"x")))=0,"",COUNTIF($J$5:J25,"x"))</f>
        <v/>
      </c>
      <c r="K130" s="3759" t="str">
        <f>IF(((COUNTIF($K$5:K25,"x"))-(COUNTIF($K$5:K24,"x")))=0,"",COUNTIF($K$5:K25,"x"))</f>
        <v/>
      </c>
      <c r="L130" s="3759" t="str">
        <f>IF(((COUNTIF($L$5:L25,"x"))-(COUNTIF($L$5:L24,"x")))=0,"",COUNTIF($L$5:L25,"x"))</f>
        <v/>
      </c>
      <c r="M130" s="3759" t="str">
        <f>IF(((COUNTIF($M$5:M25,"x"))-(COUNTIF($M$5:M24,"x")))=0,"",COUNTIF($M$5:M25,"x"))</f>
        <v/>
      </c>
      <c r="N130" s="3759" t="str">
        <f>IF(((COUNTIF($N$5:N25,"x"))-(COUNTIF($N$5:N24,"x")))=0,"",COUNTIF($N$5:N25,"x"))</f>
        <v/>
      </c>
      <c r="O130" s="3759" t="str">
        <f>IF(((COUNTIF($O$5:O25,"x"))-(COUNTIF($O$5:O24,"x")))=0,"",COUNTIF($O$5:O25,"x"))</f>
        <v/>
      </c>
      <c r="P130" s="3759" t="str">
        <f>IF(((COUNTIF($P$5:P25,"x"))-(COUNTIF($P$5:P24,"x")))=0,"",COUNTIF($P$5:P25,"x"))</f>
        <v/>
      </c>
      <c r="Q130" s="3759" t="str">
        <f>IF(((COUNTIF($Q$5:Q25,"x"))-(COUNTIF($Q$5:Q24,"x")))=0,"",COUNTIF($Q$5:Q25,"x"))</f>
        <v/>
      </c>
      <c r="R130" s="3759" t="str">
        <f>IF(((COUNTIF($R$5:R25,"x"))-(COUNTIF($R$5:R24,"x")))=0,"",COUNTIF($R$5:R25,"x"))</f>
        <v/>
      </c>
      <c r="S130" s="3759">
        <f>IF(((COUNTIF($S$5:S25,"x"))-(COUNTIF($S$5:S24,"x")))=0,"",COUNTIF($S$5:S25,"x"))</f>
        <v>4</v>
      </c>
      <c r="T130" s="3759" t="str">
        <f>IF(((COUNTIF($T$5:T25,"x"))-(COUNTIF($T$5:T24,"x")))=0,"",COUNTIF($T$5:T25,"x"))</f>
        <v/>
      </c>
      <c r="U130" s="3759">
        <f>IF(((COUNTIF($U$5:U25,"x"))-(COUNTIF($U$5:U24,"x")))=0,"",COUNTIF($U$5:U25,"x"))</f>
        <v>4</v>
      </c>
      <c r="V130" s="3759" t="str">
        <f>IF(((COUNTIF($V$5:V25,"x"))-(COUNTIF($V$5:V24,"x")))=0,"",COUNTIF($V$5:V25,"x"))</f>
        <v/>
      </c>
      <c r="W130" s="3759" t="str">
        <f>IF(((COUNTIF($W$5:W25,"x"))-(COUNTIF($W$5:W24,"x")))=0,"",COUNTIF($W$5:W25,"x"))</f>
        <v/>
      </c>
      <c r="X130" s="3759" t="str">
        <f>IF(((COUNTIF($X$5:X25,"x"))-(COUNTIF($X$5:X24,"x")))=0,"",COUNTIF($X$5:X25,"x"))</f>
        <v/>
      </c>
      <c r="Y130" s="3759" t="str">
        <f>IF(((COUNTIF($Y$5:Y25,"x"))-(COUNTIF($Y$5:Y24,"x")))=0,"",COUNTIF($Y$5:Y25,"x"))</f>
        <v/>
      </c>
      <c r="Z130" s="3759" t="str">
        <f>IF(((COUNTIF($Z$5:Z25,"x"))-(COUNTIF($Z$5:Z24,"x")))=0,"",COUNTIF($Z$5:Z25,"x"))</f>
        <v/>
      </c>
      <c r="AA130" s="3759" t="str">
        <f>IF(((COUNTIF($AA$5:AA25,"x"))-(COUNTIF($AA$5:AA24,"x")))=0,"",COUNTIF($AA$5:AA25,"x"))</f>
        <v/>
      </c>
      <c r="AB130" s="3759" t="str">
        <f>IF(((COUNTIF($AB$5:AB25,"x"))-(COUNTIF($AB$5:AB24,"x")))=0,"",COUNTIF($AB$5:AB25,"x"))</f>
        <v/>
      </c>
      <c r="AC130" s="3759" t="str">
        <f>IF(((COUNTIF($AC$5:AC25,"x"))-(COUNTIF($AC$5:AC24,"x")))=0,"",COUNTIF($AC$5:AC25,"x"))</f>
        <v/>
      </c>
      <c r="AD130" s="3759">
        <f>IF(((COUNTIF($AD$5:AD25,"x"))-(COUNTIF($AD$5:AD24,"x")))=0,"",COUNTIF($AD$5:AD25,"x"))</f>
        <v>18</v>
      </c>
      <c r="AE130" s="3759" t="str">
        <f>IF(((COUNTIF($AE$5:AE25,"x"))-(COUNTIF($AE$5:AE24,"x")))=0,"",COUNTIF($AE$5:AE25,"x"))</f>
        <v/>
      </c>
      <c r="AF130" s="3760" t="str">
        <f>IF(((COUNTIF($AF$5:AF25,"x"))-(COUNTIF($AF$5:AF24,"x")))=0,"",COUNTIF($AF$5:AF25,"x"))</f>
        <v/>
      </c>
      <c r="AG130" s="2152" t="str">
        <f t="shared" si="15"/>
        <v>Cantus Gold</v>
      </c>
    </row>
    <row r="131" spans="2:33" ht="18">
      <c r="B131" s="2168">
        <f t="shared" si="16"/>
        <v>22</v>
      </c>
      <c r="C131" s="3706" t="str">
        <f t="shared" si="13"/>
        <v>Carax</v>
      </c>
      <c r="D131" s="3707"/>
      <c r="E131" s="3761"/>
      <c r="F131" s="3758" t="str">
        <f>IF(((COUNTIF($F$5:$F26,"x"))-(COUNTIF($F$5:$F25,"x")))=0,"",COUNTIF($F$5:$F26,"x"))</f>
        <v/>
      </c>
      <c r="G131" s="3759" t="str">
        <f>IF(((COUNTIF($G$5:$G26,"x"))-(COUNTIF($G$5:$G25,"x")))=0,"",COUNTIF($G$5:$G26,"x"))</f>
        <v/>
      </c>
      <c r="H131" s="3759" t="str">
        <f>IF(((COUNTIF($H$5:$H26,"x"))-(COUNTIF($H$5:$H25,"x")))=0,"",COUNTIF($H$5:$H26,"x"))</f>
        <v/>
      </c>
      <c r="I131" s="3759" t="str">
        <f>IF(((COUNTIF($I$5:I26,"x"))-(COUNTIF($I$5:I25,"x")))=0,"",COUNTIF($I$5:I26,"x"))</f>
        <v/>
      </c>
      <c r="J131" s="3759" t="str">
        <f>IF(((COUNTIF($J$5:J26,"x"))-(COUNTIF($J$5:J25,"x")))=0,"",COUNTIF($J$5:J26,"x"))</f>
        <v/>
      </c>
      <c r="K131" s="3759" t="str">
        <f>IF(((COUNTIF($K$5:K26,"x"))-(COUNTIF($K$5:K25,"x")))=0,"",COUNTIF($K$5:K26,"x"))</f>
        <v/>
      </c>
      <c r="L131" s="3759" t="str">
        <f>IF(((COUNTIF($L$5:L26,"x"))-(COUNTIF($L$5:L25,"x")))=0,"",COUNTIF($L$5:L26,"x"))</f>
        <v/>
      </c>
      <c r="M131" s="3759" t="str">
        <f>IF(((COUNTIF($M$5:M26,"x"))-(COUNTIF($M$5:M25,"x")))=0,"",COUNTIF($M$5:M26,"x"))</f>
        <v/>
      </c>
      <c r="N131" s="3759" t="str">
        <f>IF(((COUNTIF($N$5:N26,"x"))-(COUNTIF($N$5:N25,"x")))=0,"",COUNTIF($N$5:N26,"x"))</f>
        <v/>
      </c>
      <c r="O131" s="3759" t="str">
        <f>IF(((COUNTIF($O$5:O26,"x"))-(COUNTIF($O$5:O25,"x")))=0,"",COUNTIF($O$5:O26,"x"))</f>
        <v/>
      </c>
      <c r="P131" s="3759" t="str">
        <f>IF(((COUNTIF($P$5:P26,"x"))-(COUNTIF($P$5:P25,"x")))=0,"",COUNTIF($P$5:P26,"x"))</f>
        <v/>
      </c>
      <c r="Q131" s="3759" t="str">
        <f>IF(((COUNTIF($Q$5:Q26,"x"))-(COUNTIF($Q$5:Q25,"x")))=0,"",COUNTIF($Q$5:Q26,"x"))</f>
        <v/>
      </c>
      <c r="R131" s="3759" t="str">
        <f>IF(((COUNTIF($R$5:R26,"x"))-(COUNTIF($R$5:R25,"x")))=0,"",COUNTIF($R$5:R26,"x"))</f>
        <v/>
      </c>
      <c r="S131" s="3759">
        <f>IF(((COUNTIF($S$5:S26,"x"))-(COUNTIF($S$5:S25,"x")))=0,"",COUNTIF($S$5:S26,"x"))</f>
        <v>5</v>
      </c>
      <c r="T131" s="3759">
        <f>IF(((COUNTIF($T$5:T26,"x"))-(COUNTIF($T$5:T25,"x")))=0,"",COUNTIF($T$5:T26,"x"))</f>
        <v>2</v>
      </c>
      <c r="U131" s="3759" t="str">
        <f>IF(((COUNTIF($U$5:U26,"x"))-(COUNTIF($U$5:U25,"x")))=0,"",COUNTIF($U$5:U26,"x"))</f>
        <v/>
      </c>
      <c r="V131" s="3759" t="str">
        <f>IF(((COUNTIF($V$5:V26,"x"))-(COUNTIF($V$5:V25,"x")))=0,"",COUNTIF($V$5:V26,"x"))</f>
        <v/>
      </c>
      <c r="W131" s="3759" t="str">
        <f>IF(((COUNTIF($W$5:W26,"x"))-(COUNTIF($W$5:W25,"x")))=0,"",COUNTIF($W$5:W26,"x"))</f>
        <v/>
      </c>
      <c r="X131" s="3759" t="str">
        <f>IF(((COUNTIF($X$5:X26,"x"))-(COUNTIF($X$5:X25,"x")))=0,"",COUNTIF($X$5:X26,"x"))</f>
        <v/>
      </c>
      <c r="Y131" s="3759" t="str">
        <f>IF(((COUNTIF($Y$5:Y26,"x"))-(COUNTIF($Y$5:Y25,"x")))=0,"",COUNTIF($Y$5:Y26,"x"))</f>
        <v/>
      </c>
      <c r="Z131" s="3759" t="str">
        <f>IF(((COUNTIF($Z$5:Z26,"x"))-(COUNTIF($Z$5:Z25,"x")))=0,"",COUNTIF($Z$5:Z26,"x"))</f>
        <v/>
      </c>
      <c r="AA131" s="3759" t="str">
        <f>IF(((COUNTIF($AA$5:AA26,"x"))-(COUNTIF($AA$5:AA25,"x")))=0,"",COUNTIF($AA$5:AA26,"x"))</f>
        <v/>
      </c>
      <c r="AB131" s="3759" t="str">
        <f>IF(((COUNTIF($AB$5:AB26,"x"))-(COUNTIF($AB$5:AB25,"x")))=0,"",COUNTIF($AB$5:AB26,"x"))</f>
        <v/>
      </c>
      <c r="AC131" s="3759" t="str">
        <f>IF(((COUNTIF($AC$5:AC26,"x"))-(COUNTIF($AC$5:AC25,"x")))=0,"",COUNTIF($AC$5:AC26,"x"))</f>
        <v/>
      </c>
      <c r="AD131" s="3759">
        <f>IF(((COUNTIF($AD$5:AD26,"x"))-(COUNTIF($AD$5:AD25,"x")))=0,"",COUNTIF($AD$5:AD26,"x"))</f>
        <v>19</v>
      </c>
      <c r="AE131" s="3759" t="str">
        <f>IF(((COUNTIF($AE$5:AE26,"x"))-(COUNTIF($AE$5:AE25,"x")))=0,"",COUNTIF($AE$5:AE26,"x"))</f>
        <v/>
      </c>
      <c r="AF131" s="3760" t="str">
        <f>IF(((COUNTIF($AF$5:AF26,"x"))-(COUNTIF($AF$5:AF25,"x")))=0,"",COUNTIF($AF$5:AF26,"x"))</f>
        <v/>
      </c>
      <c r="AG131" s="2152" t="str">
        <f t="shared" si="15"/>
        <v>Carax</v>
      </c>
    </row>
    <row r="132" spans="2:33" ht="18">
      <c r="B132" s="2168">
        <f t="shared" si="16"/>
        <v>23</v>
      </c>
      <c r="C132" s="3706" t="str">
        <f t="shared" si="13"/>
        <v>CCC 720</v>
      </c>
      <c r="D132" s="3707"/>
      <c r="E132" s="3762"/>
      <c r="F132" s="3758">
        <f>IF(((COUNTIF($F$5:$F27,"x"))-(COUNTIF($F$5:$F26,"x")))=0,"",COUNTIF($F$5:$F27,"x"))</f>
        <v>10</v>
      </c>
      <c r="G132" s="3759" t="str">
        <f>IF(((COUNTIF($G$5:$G27,"x"))-(COUNTIF($G$5:$G26,"x")))=0,"",COUNTIF($G$5:$G27,"x"))</f>
        <v/>
      </c>
      <c r="H132" s="3759">
        <f>IF(((COUNTIF($H$5:$H27,"x"))-(COUNTIF($H$5:$H26,"x")))=0,"",COUNTIF($H$5:$H27,"x"))</f>
        <v>10</v>
      </c>
      <c r="I132" s="3759">
        <f>IF(((COUNTIF($I$5:I27,"x"))-(COUNTIF($I$5:I26,"x")))=0,"",COUNTIF($I$5:I27,"x"))</f>
        <v>9</v>
      </c>
      <c r="J132" s="3759" t="str">
        <f>IF(((COUNTIF($J$5:J27,"x"))-(COUNTIF($J$5:J26,"x")))=0,"",COUNTIF($J$5:J27,"x"))</f>
        <v/>
      </c>
      <c r="K132" s="3759">
        <f>IF(((COUNTIF($K$5:K27,"x"))-(COUNTIF($K$5:K26,"x")))=0,"",COUNTIF($K$5:K27,"x"))</f>
        <v>7</v>
      </c>
      <c r="L132" s="3759" t="str">
        <f>IF(((COUNTIF($L$5:L27,"x"))-(COUNTIF($L$5:L26,"x")))=0,"",COUNTIF($L$5:L27,"x"))</f>
        <v/>
      </c>
      <c r="M132" s="3759" t="str">
        <f>IF(((COUNTIF($M$5:M27,"x"))-(COUNTIF($M$5:M26,"x")))=0,"",COUNTIF($M$5:M27,"x"))</f>
        <v/>
      </c>
      <c r="N132" s="3759">
        <f>IF(((COUNTIF($N$5:N27,"x"))-(COUNTIF($N$5:N26,"x")))=0,"",COUNTIF($N$5:N27,"x"))</f>
        <v>5</v>
      </c>
      <c r="O132" s="3759" t="str">
        <f>IF(((COUNTIF($O$5:O27,"x"))-(COUNTIF($O$5:O26,"x")))=0,"",COUNTIF($O$5:O27,"x"))</f>
        <v/>
      </c>
      <c r="P132" s="3759" t="str">
        <f>IF(((COUNTIF($P$5:P27,"x"))-(COUNTIF($P$5:P26,"x")))=0,"",COUNTIF($P$5:P27,"x"))</f>
        <v/>
      </c>
      <c r="Q132" s="3759" t="str">
        <f>IF(((COUNTIF($Q$5:Q27,"x"))-(COUNTIF($Q$5:Q26,"x")))=0,"",COUNTIF($Q$5:Q27,"x"))</f>
        <v/>
      </c>
      <c r="R132" s="3759" t="str">
        <f>IF(((COUNTIF($R$5:R27,"x"))-(COUNTIF($R$5:R26,"x")))=0,"",COUNTIF($R$5:R27,"x"))</f>
        <v/>
      </c>
      <c r="S132" s="3759" t="str">
        <f>IF(((COUNTIF($S$5:S27,"x"))-(COUNTIF($S$5:S26,"x")))=0,"",COUNTIF($S$5:S27,"x"))</f>
        <v/>
      </c>
      <c r="T132" s="3759" t="str">
        <f>IF(((COUNTIF($T$5:T27,"x"))-(COUNTIF($T$5:T26,"x")))=0,"",COUNTIF($T$5:T27,"x"))</f>
        <v/>
      </c>
      <c r="U132" s="3759" t="str">
        <f>IF(((COUNTIF($U$5:U27,"x"))-(COUNTIF($U$5:U26,"x")))=0,"",COUNTIF($U$5:U27,"x"))</f>
        <v/>
      </c>
      <c r="V132" s="3759" t="str">
        <f>IF(((COUNTIF($V$5:V27,"x"))-(COUNTIF($V$5:V26,"x")))=0,"",COUNTIF($V$5:V27,"x"))</f>
        <v/>
      </c>
      <c r="W132" s="3759" t="str">
        <f>IF(((COUNTIF($W$5:W27,"x"))-(COUNTIF($W$5:W26,"x")))=0,"",COUNTIF($W$5:W27,"x"))</f>
        <v/>
      </c>
      <c r="X132" s="3759" t="str">
        <f>IF(((COUNTIF($X$5:X27,"x"))-(COUNTIF($X$5:X26,"x")))=0,"",COUNTIF($X$5:X27,"x"))</f>
        <v/>
      </c>
      <c r="Y132" s="3759" t="str">
        <f>IF(((COUNTIF($Y$5:Y27,"x"))-(COUNTIF($Y$5:Y26,"x")))=0,"",COUNTIF($Y$5:Y27,"x"))</f>
        <v/>
      </c>
      <c r="Z132" s="3759" t="str">
        <f>IF(((COUNTIF($Z$5:Z27,"x"))-(COUNTIF($Z$5:Z26,"x")))=0,"",COUNTIF($Z$5:Z27,"x"))</f>
        <v/>
      </c>
      <c r="AA132" s="3759" t="str">
        <f>IF(((COUNTIF($AA$5:AA27,"x"))-(COUNTIF($AA$5:AA26,"x")))=0,"",COUNTIF($AA$5:AA27,"x"))</f>
        <v/>
      </c>
      <c r="AB132" s="3759" t="str">
        <f>IF(((COUNTIF($AB$5:AB27,"x"))-(COUNTIF($AB$5:AB26,"x")))=0,"",COUNTIF($AB$5:AB27,"x"))</f>
        <v/>
      </c>
      <c r="AC132" s="3759" t="str">
        <f>IF(((COUNTIF($AC$5:AC27,"x"))-(COUNTIF($AC$5:AC26,"x")))=0,"",COUNTIF($AC$5:AC27,"x"))</f>
        <v/>
      </c>
      <c r="AD132" s="3759">
        <f>IF(((COUNTIF($AD$5:AD27,"x"))-(COUNTIF($AD$5:AD26,"x")))=0,"",COUNTIF($AD$5:AD27,"x"))</f>
        <v>20</v>
      </c>
      <c r="AE132" s="3759" t="str">
        <f>IF(((COUNTIF($AE$5:AE27,"x"))-(COUNTIF($AE$5:AE26,"x")))=0,"",COUNTIF($AE$5:AE27,"x"))</f>
        <v/>
      </c>
      <c r="AF132" s="3760" t="str">
        <f>IF(((COUNTIF($AF$5:AF27,"x"))-(COUNTIF($AF$5:AF26,"x")))=0,"",COUNTIF($AF$5:AF27,"x"))</f>
        <v/>
      </c>
      <c r="AG132" s="2152" t="str">
        <f t="shared" si="15"/>
        <v>CCC 720</v>
      </c>
    </row>
    <row r="133" spans="2:33" ht="18">
      <c r="B133" s="2168">
        <f t="shared" si="16"/>
        <v>24</v>
      </c>
      <c r="C133" s="3706" t="str">
        <f t="shared" si="13"/>
        <v>Centium 36 CS</v>
      </c>
      <c r="D133" s="3707"/>
      <c r="E133" s="3761"/>
      <c r="F133" s="3758" t="str">
        <f>IF(((COUNTIF($F$5:$F28,"x"))-(COUNTIF($F$5:$F27,"x")))=0,"",COUNTIF($F$5:$F28,"x"))</f>
        <v/>
      </c>
      <c r="G133" s="3759" t="str">
        <f>IF(((COUNTIF($G$5:$G28,"x"))-(COUNTIF($G$5:$G27,"x")))=0,"",COUNTIF($G$5:$G28,"x"))</f>
        <v/>
      </c>
      <c r="H133" s="3759" t="str">
        <f>IF(((COUNTIF($H$5:$H28,"x"))-(COUNTIF($H$5:$H27,"x")))=0,"",COUNTIF($H$5:$H28,"x"))</f>
        <v/>
      </c>
      <c r="I133" s="3759" t="str">
        <f>IF(((COUNTIF($I$5:I28,"x"))-(COUNTIF($I$5:I27,"x")))=0,"",COUNTIF($I$5:I28,"x"))</f>
        <v/>
      </c>
      <c r="J133" s="3759" t="str">
        <f>IF(((COUNTIF($J$5:J28,"x"))-(COUNTIF($J$5:J27,"x")))=0,"",COUNTIF($J$5:J28,"x"))</f>
        <v/>
      </c>
      <c r="K133" s="3759" t="str">
        <f>IF(((COUNTIF($K$5:K28,"x"))-(COUNTIF($K$5:K27,"x")))=0,"",COUNTIF($K$5:K28,"x"))</f>
        <v/>
      </c>
      <c r="L133" s="3759" t="str">
        <f>IF(((COUNTIF($L$5:L28,"x"))-(COUNTIF($L$5:L27,"x")))=0,"",COUNTIF($L$5:L28,"x"))</f>
        <v/>
      </c>
      <c r="M133" s="3759" t="str">
        <f>IF(((COUNTIF($M$5:M28,"x"))-(COUNTIF($M$5:M27,"x")))=0,"",COUNTIF($M$5:M28,"x"))</f>
        <v/>
      </c>
      <c r="N133" s="3759" t="str">
        <f>IF(((COUNTIF($N$5:N28,"x"))-(COUNTIF($N$5:N27,"x")))=0,"",COUNTIF($N$5:N28,"x"))</f>
        <v/>
      </c>
      <c r="O133" s="3759" t="str">
        <f>IF(((COUNTIF($O$5:O28,"x"))-(COUNTIF($O$5:O27,"x")))=0,"",COUNTIF($O$5:O28,"x"))</f>
        <v/>
      </c>
      <c r="P133" s="3759" t="str">
        <f>IF(((COUNTIF($P$5:P28,"x"))-(COUNTIF($P$5:P27,"x")))=0,"",COUNTIF($P$5:P28,"x"))</f>
        <v/>
      </c>
      <c r="Q133" s="3759" t="str">
        <f>IF(((COUNTIF($Q$5:Q28,"x"))-(COUNTIF($Q$5:Q27,"x")))=0,"",COUNTIF($Q$5:Q28,"x"))</f>
        <v/>
      </c>
      <c r="R133" s="3759" t="str">
        <f>IF(((COUNTIF($R$5:R28,"x"))-(COUNTIF($R$5:R27,"x")))=0,"",COUNTIF($R$5:R28,"x"))</f>
        <v/>
      </c>
      <c r="S133" s="3759">
        <f>IF(((COUNTIF($S$5:S28,"x"))-(COUNTIF($S$5:S27,"x")))=0,"",COUNTIF($S$5:S28,"x"))</f>
        <v>6</v>
      </c>
      <c r="T133" s="3759" t="str">
        <f>IF(((COUNTIF($T$5:T28,"x"))-(COUNTIF($T$5:T27,"x")))=0,"",COUNTIF($T$5:T28,"x"))</f>
        <v/>
      </c>
      <c r="U133" s="3759" t="str">
        <f>IF(((COUNTIF($U$5:U28,"x"))-(COUNTIF($U$5:U27,"x")))=0,"",COUNTIF($U$5:U28,"x"))</f>
        <v/>
      </c>
      <c r="V133" s="3759">
        <f>IF(((COUNTIF($V$5:V28,"x"))-(COUNTIF($V$5:V27,"x")))=0,"",COUNTIF($V$5:V28,"x"))</f>
        <v>2</v>
      </c>
      <c r="W133" s="3759" t="str">
        <f>IF(((COUNTIF($W$5:W28,"x"))-(COUNTIF($W$5:W27,"x")))=0,"",COUNTIF($W$5:W28,"x"))</f>
        <v/>
      </c>
      <c r="X133" s="3759">
        <f>IF(((COUNTIF($X$5:X28,"x"))-(COUNTIF($X$5:X27,"x")))=0,"",COUNTIF($X$5:X28,"x"))</f>
        <v>4</v>
      </c>
      <c r="Y133" s="3759">
        <f>IF(((COUNTIF($Y$5:Y28,"x"))-(COUNTIF($Y$5:Y27,"x")))=0,"",COUNTIF($Y$5:Y28,"x"))</f>
        <v>4</v>
      </c>
      <c r="Z133" s="3759" t="str">
        <f>IF(((COUNTIF($Z$5:Z28,"x"))-(COUNTIF($Z$5:Z27,"x")))=0,"",COUNTIF($Z$5:Z28,"x"))</f>
        <v/>
      </c>
      <c r="AA133" s="3759" t="str">
        <f>IF(((COUNTIF($AA$5:AA28,"x"))-(COUNTIF($AA$5:AA27,"x")))=0,"",COUNTIF($AA$5:AA28,"x"))</f>
        <v/>
      </c>
      <c r="AB133" s="3759">
        <f>IF(((COUNTIF($AB$5:AB28,"x"))-(COUNTIF($AB$5:AB27,"x")))=0,"",COUNTIF($AB$5:AB28,"x"))</f>
        <v>5</v>
      </c>
      <c r="AC133" s="3759" t="str">
        <f>IF(((COUNTIF($AC$5:AC28,"x"))-(COUNTIF($AC$5:AC27,"x")))=0,"",COUNTIF($AC$5:AC28,"x"))</f>
        <v/>
      </c>
      <c r="AD133" s="3759">
        <f>IF(((COUNTIF($AD$5:AD28,"x"))-(COUNTIF($AD$5:AD27,"x")))=0,"",COUNTIF($AD$5:AD28,"x"))</f>
        <v>21</v>
      </c>
      <c r="AE133" s="3759" t="str">
        <f>IF(((COUNTIF($AE$5:AE28,"x"))-(COUNTIF($AE$5:AE27,"x")))=0,"",COUNTIF($AE$5:AE28,"x"))</f>
        <v/>
      </c>
      <c r="AF133" s="3760" t="str">
        <f>IF(((COUNTIF($AF$5:AF28,"x"))-(COUNTIF($AF$5:AF27,"x")))=0,"",COUNTIF($AF$5:AF28,"x"))</f>
        <v/>
      </c>
      <c r="AG133" s="2152" t="str">
        <f t="shared" si="15"/>
        <v>Centium 36 CS</v>
      </c>
    </row>
    <row r="134" spans="2:33" ht="18">
      <c r="B134" s="2168">
        <f t="shared" si="16"/>
        <v>25</v>
      </c>
      <c r="C134" s="3763" t="str">
        <f t="shared" si="13"/>
        <v>Cerone 660</v>
      </c>
      <c r="D134" s="3707"/>
      <c r="E134" s="3762"/>
      <c r="F134" s="3758">
        <f>IF(((COUNTIF($F$5:$F29,"x"))-(COUNTIF($F$5:$F28,"x")))=0,"",COUNTIF($F$5:$F29,"x"))</f>
        <v>11</v>
      </c>
      <c r="G134" s="3759" t="str">
        <f>IF(((COUNTIF($G$5:$G29,"x"))-(COUNTIF($G$5:$G28,"x")))=0,"",COUNTIF($G$5:$G29,"x"))</f>
        <v/>
      </c>
      <c r="H134" s="3759">
        <f>IF(((COUNTIF($H$5:$H29,"x"))-(COUNTIF($H$5:$H28,"x")))=0,"",COUNTIF($H$5:$H29,"x"))</f>
        <v>11</v>
      </c>
      <c r="I134" s="3759">
        <f>IF(((COUNTIF($I$5:I29,"x"))-(COUNTIF($I$5:I28,"x")))=0,"",COUNTIF($I$5:I29,"x"))</f>
        <v>10</v>
      </c>
      <c r="J134" s="3759">
        <f>IF(((COUNTIF($J$5:J29,"x"))-(COUNTIF($J$5:J28,"x")))=0,"",COUNTIF($J$5:J29,"x"))</f>
        <v>8</v>
      </c>
      <c r="K134" s="3759">
        <f>IF(((COUNTIF($K$5:K29,"x"))-(COUNTIF($K$5:K28,"x")))=0,"",COUNTIF($K$5:K29,"x"))</f>
        <v>8</v>
      </c>
      <c r="L134" s="3759">
        <f>IF(((COUNTIF($L$5:L29,"x"))-(COUNTIF($L$5:L28,"x")))=0,"",COUNTIF($L$5:L29,"x"))</f>
        <v>8</v>
      </c>
      <c r="M134" s="3759">
        <f>IF(((COUNTIF($M$5:M29,"x"))-(COUNTIF($M$5:M28,"x")))=0,"",COUNTIF($M$5:M29,"x"))</f>
        <v>8</v>
      </c>
      <c r="N134" s="3759" t="str">
        <f>IF(((COUNTIF($N$5:N29,"x"))-(COUNTIF($N$5:N28,"x")))=0,"",COUNTIF($N$5:N29,"x"))</f>
        <v/>
      </c>
      <c r="O134" s="3759" t="str">
        <f>IF(((COUNTIF($O$5:O29,"x"))-(COUNTIF($O$5:O28,"x")))=0,"",COUNTIF($O$5:O29,"x"))</f>
        <v/>
      </c>
      <c r="P134" s="3759" t="str">
        <f>IF(((COUNTIF($P$5:P29,"x"))-(COUNTIF($P$5:P28,"x")))=0,"",COUNTIF($P$5:P29,"x"))</f>
        <v/>
      </c>
      <c r="Q134" s="3759" t="str">
        <f>IF(((COUNTIF($Q$5:Q29,"x"))-(COUNTIF($Q$5:Q28,"x")))=0,"",COUNTIF($Q$5:Q29,"x"))</f>
        <v/>
      </c>
      <c r="R134" s="3759" t="str">
        <f>IF(((COUNTIF($R$5:R29,"x"))-(COUNTIF($R$5:R28,"x")))=0,"",COUNTIF($R$5:R29,"x"))</f>
        <v/>
      </c>
      <c r="S134" s="3759" t="str">
        <f>IF(((COUNTIF($S$5:S29,"x"))-(COUNTIF($S$5:S28,"x")))=0,"",COUNTIF($S$5:S29,"x"))</f>
        <v/>
      </c>
      <c r="T134" s="3759" t="str">
        <f>IF(((COUNTIF($T$5:T29,"x"))-(COUNTIF($T$5:T28,"x")))=0,"",COUNTIF($T$5:T29,"x"))</f>
        <v/>
      </c>
      <c r="U134" s="3759" t="str">
        <f>IF(((COUNTIF($U$5:U29,"x"))-(COUNTIF($U$5:U28,"x")))=0,"",COUNTIF($U$5:U29,"x"))</f>
        <v/>
      </c>
      <c r="V134" s="3759" t="str">
        <f>IF(((COUNTIF($V$5:V29,"x"))-(COUNTIF($V$5:V28,"x")))=0,"",COUNTIF($V$5:V29,"x"))</f>
        <v/>
      </c>
      <c r="W134" s="3759" t="str">
        <f>IF(((COUNTIF($W$5:W29,"x"))-(COUNTIF($W$5:W28,"x")))=0,"",COUNTIF($W$5:W29,"x"))</f>
        <v/>
      </c>
      <c r="X134" s="3759" t="str">
        <f>IF(((COUNTIF($X$5:X29,"x"))-(COUNTIF($X$5:X28,"x")))=0,"",COUNTIF($X$5:X29,"x"))</f>
        <v/>
      </c>
      <c r="Y134" s="3759" t="str">
        <f>IF(((COUNTIF($Y$5:Y29,"x"))-(COUNTIF($Y$5:Y28,"x")))=0,"",COUNTIF($Y$5:Y29,"x"))</f>
        <v/>
      </c>
      <c r="Z134" s="3759" t="str">
        <f>IF(((COUNTIF($Z$5:Z29,"x"))-(COUNTIF($Z$5:Z28,"x")))=0,"",COUNTIF($Z$5:Z29,"x"))</f>
        <v/>
      </c>
      <c r="AA134" s="3759" t="str">
        <f>IF(((COUNTIF($AA$5:AA29,"x"))-(COUNTIF($AA$5:AA28,"x")))=0,"",COUNTIF($AA$5:AA29,"x"))</f>
        <v/>
      </c>
      <c r="AB134" s="3759" t="str">
        <f>IF(((COUNTIF($AB$5:AB29,"x"))-(COUNTIF($AB$5:AB28,"x")))=0,"",COUNTIF($AB$5:AB29,"x"))</f>
        <v/>
      </c>
      <c r="AC134" s="3759" t="str">
        <f>IF(((COUNTIF($AC$5:AC29,"x"))-(COUNTIF($AC$5:AC28,"x")))=0,"",COUNTIF($AC$5:AC29,"x"))</f>
        <v/>
      </c>
      <c r="AD134" s="3759">
        <f>IF(((COUNTIF($AD$5:AD29,"x"))-(COUNTIF($AD$5:AD28,"x")))=0,"",COUNTIF($AD$5:AD29,"x"))</f>
        <v>22</v>
      </c>
      <c r="AE134" s="3759" t="str">
        <f>IF(((COUNTIF($AE$5:AE29,"x"))-(COUNTIF($AE$5:AE28,"x")))=0,"",COUNTIF($AE$5:AE29,"x"))</f>
        <v/>
      </c>
      <c r="AF134" s="3760" t="str">
        <f>IF(((COUNTIF($AF$5:AF29,"x"))-(COUNTIF($AF$5:AF28,"x")))=0,"",COUNTIF($AF$5:AF29,"x"))</f>
        <v/>
      </c>
      <c r="AG134" s="2152" t="str">
        <f t="shared" si="15"/>
        <v>Cerone 660</v>
      </c>
    </row>
    <row r="135" spans="2:33" ht="18">
      <c r="B135" s="2168">
        <f t="shared" si="16"/>
        <v>26</v>
      </c>
      <c r="C135" s="3763" t="str">
        <f t="shared" si="13"/>
        <v>Fuego Top</v>
      </c>
      <c r="D135" s="3707"/>
      <c r="E135" s="3762"/>
      <c r="F135" s="3758" t="str">
        <f>IF(((COUNTIF($F$5:$F30,"x"))-(COUNTIF($F$5:$F29,"x")))=0,"",COUNTIF($F$5:$F30,"x"))</f>
        <v/>
      </c>
      <c r="G135" s="3759" t="str">
        <f>IF(((COUNTIF($G$5:$G30,"x"))-(COUNTIF($G$5:$G29,"x")))=0,"",COUNTIF($G$5:$G30,"x"))</f>
        <v/>
      </c>
      <c r="H135" s="3759" t="str">
        <f>IF(((COUNTIF($H$5:$H30,"x"))-(COUNTIF($H$5:$H29,"x")))=0,"",COUNTIF($H$5:$H30,"x"))</f>
        <v/>
      </c>
      <c r="I135" s="3759" t="str">
        <f>IF(((COUNTIF($I$5:I30,"x"))-(COUNTIF($I$5:I29,"x")))=0,"",COUNTIF($I$5:I30,"x"))</f>
        <v/>
      </c>
      <c r="J135" s="3759" t="str">
        <f>IF(((COUNTIF($J$5:J30,"x"))-(COUNTIF($J$5:J29,"x")))=0,"",COUNTIF($J$5:J30,"x"))</f>
        <v/>
      </c>
      <c r="K135" s="3759" t="str">
        <f>IF(((COUNTIF($K$5:K30,"x"))-(COUNTIF($K$5:K29,"x")))=0,"",COUNTIF($K$5:K30,"x"))</f>
        <v/>
      </c>
      <c r="L135" s="3759" t="str">
        <f>IF(((COUNTIF($L$5:L30,"x"))-(COUNTIF($L$5:L29,"x")))=0,"",COUNTIF($L$5:L30,"x"))</f>
        <v/>
      </c>
      <c r="M135" s="3759" t="str">
        <f>IF(((COUNTIF($M$5:M30,"x"))-(COUNTIF($M$5:M29,"x")))=0,"",COUNTIF($M$5:M30,"x"))</f>
        <v/>
      </c>
      <c r="N135" s="3759" t="str">
        <f>IF(((COUNTIF($N$5:N30,"x"))-(COUNTIF($N$5:N29,"x")))=0,"",COUNTIF($N$5:N30,"x"))</f>
        <v/>
      </c>
      <c r="O135" s="3759" t="str">
        <f>IF(((COUNTIF($O$5:O30,"x"))-(COUNTIF($O$5:O29,"x")))=0,"",COUNTIF($O$5:O30,"x"))</f>
        <v/>
      </c>
      <c r="P135" s="3759" t="str">
        <f>IF(((COUNTIF($P$5:P30,"x"))-(COUNTIF($P$5:P29,"x")))=0,"",COUNTIF($P$5:P30,"x"))</f>
        <v/>
      </c>
      <c r="Q135" s="3759" t="str">
        <f>IF(((COUNTIF($Q$5:Q30,"x"))-(COUNTIF($Q$5:Q29,"x")))=0,"",COUNTIF($Q$5:Q30,"x"))</f>
        <v/>
      </c>
      <c r="R135" s="3759" t="str">
        <f>IF(((COUNTIF($R$5:R30,"x"))-(COUNTIF($R$5:R29,"x")))=0,"",COUNTIF($R$5:R30,"x"))</f>
        <v/>
      </c>
      <c r="S135" s="3759">
        <f>IF(((COUNTIF($S$5:S30,"x"))-(COUNTIF($S$5:S29,"x")))=0,"",COUNTIF($S$5:S30,"x"))</f>
        <v>7</v>
      </c>
      <c r="T135" s="3759" t="str">
        <f>IF(((COUNTIF($T$5:T30,"x"))-(COUNTIF($T$5:T29,"x")))=0,"",COUNTIF($T$5:T30,"x"))</f>
        <v/>
      </c>
      <c r="U135" s="3759" t="str">
        <f>IF(((COUNTIF($U$5:U30,"x"))-(COUNTIF($U$5:U29,"x")))=0,"",COUNTIF($U$5:U30,"x"))</f>
        <v/>
      </c>
      <c r="V135" s="3759" t="str">
        <f>IF(((COUNTIF($V$5:V30,"x"))-(COUNTIF($V$5:V29,"x")))=0,"",COUNTIF($V$5:V30,"x"))</f>
        <v/>
      </c>
      <c r="W135" s="3759" t="str">
        <f>IF(((COUNTIF($W$5:W30,"x"))-(COUNTIF($W$5:W29,"x")))=0,"",COUNTIF($W$5:W30,"x"))</f>
        <v/>
      </c>
      <c r="X135" s="3759" t="str">
        <f>IF(((COUNTIF($X$5:X30,"x"))-(COUNTIF($X$5:X29,"x")))=0,"",COUNTIF($X$5:X30,"x"))</f>
        <v/>
      </c>
      <c r="Y135" s="3759" t="str">
        <f>IF(((COUNTIF($Y$5:Y30,"x"))-(COUNTIF($Y$5:Y29,"x")))=0,"",COUNTIF($Y$5:Y30,"x"))</f>
        <v/>
      </c>
      <c r="Z135" s="3759" t="str">
        <f>IF(((COUNTIF($Z$5:Z30,"x"))-(COUNTIF($Z$5:Z29,"x")))=0,"",COUNTIF($Z$5:Z30,"x"))</f>
        <v/>
      </c>
      <c r="AA135" s="3759" t="str">
        <f>IF(((COUNTIF($AA$5:AA30,"x"))-(COUNTIF($AA$5:AA29,"x")))=0,"",COUNTIF($AA$5:AA30,"x"))</f>
        <v/>
      </c>
      <c r="AB135" s="3759" t="str">
        <f>IF(((COUNTIF($AB$5:AB30,"x"))-(COUNTIF($AB$5:AB29,"x")))=0,"",COUNTIF($AB$5:AB30,"x"))</f>
        <v/>
      </c>
      <c r="AC135" s="3759" t="str">
        <f>IF(((COUNTIF($AC$5:AC30,"x"))-(COUNTIF($AC$5:AC29,"x")))=0,"",COUNTIF($AC$5:AC30,"x"))</f>
        <v/>
      </c>
      <c r="AD135" s="3759" t="str">
        <f>IF(((COUNTIF($AD$5:AD30,"x"))-(COUNTIF($AD$5:AD29,"x")))=0,"",COUNTIF($AD$5:AD30,"x"))</f>
        <v/>
      </c>
      <c r="AE135" s="3759" t="str">
        <f>IF(((COUNTIF($AE$5:AE30,"x"))-(COUNTIF($AE$5:AE29,"x")))=0,"",COUNTIF($AE$5:AE30,"x"))</f>
        <v/>
      </c>
      <c r="AF135" s="3760" t="str">
        <f>IF(((COUNTIF($AF$5:AF30,"x"))-(COUNTIF($AF$5:AF29,"x")))=0,"",COUNTIF($AF$5:AF30,"x"))</f>
        <v/>
      </c>
      <c r="AG135" s="2152" t="str">
        <f t="shared" si="15"/>
        <v>Fuego Top</v>
      </c>
    </row>
    <row r="136" spans="2:33" ht="18">
      <c r="B136" s="2168">
        <f t="shared" si="16"/>
        <v>27</v>
      </c>
      <c r="C136" s="3763" t="str">
        <f t="shared" si="13"/>
        <v>Coragen</v>
      </c>
      <c r="D136" s="3707"/>
      <c r="E136" s="3762"/>
      <c r="F136" s="3758" t="str">
        <f>IF(((COUNTIF($F$5:$F31,"x"))-(COUNTIF($F$5:$F30,"x")))=0,"",COUNTIF($F$5:$F31,"x"))</f>
        <v/>
      </c>
      <c r="G136" s="3759" t="str">
        <f>IF(((COUNTIF($G$5:$G31,"x"))-(COUNTIF($G$5:$G30,"x")))=0,"",COUNTIF($G$5:$G31,"x"))</f>
        <v/>
      </c>
      <c r="H136" s="3759" t="str">
        <f>IF(((COUNTIF($H$5:$H31,"x"))-(COUNTIF($H$5:$H30,"x")))=0,"",COUNTIF($H$5:$H31,"x"))</f>
        <v/>
      </c>
      <c r="I136" s="3759" t="str">
        <f>IF(((COUNTIF($I$5:I31,"x"))-(COUNTIF($I$5:I30,"x")))=0,"",COUNTIF($I$5:I31,"x"))</f>
        <v/>
      </c>
      <c r="J136" s="3759" t="str">
        <f>IF(((COUNTIF($J$5:J31,"x"))-(COUNTIF($J$5:J30,"x")))=0,"",COUNTIF($J$5:J31,"x"))</f>
        <v/>
      </c>
      <c r="K136" s="3759" t="str">
        <f>IF(((COUNTIF($K$5:K31,"x"))-(COUNTIF($K$5:K30,"x")))=0,"",COUNTIF($K$5:K31,"x"))</f>
        <v/>
      </c>
      <c r="L136" s="3759" t="str">
        <f>IF(((COUNTIF($L$5:L31,"x"))-(COUNTIF($L$5:L30,"x")))=0,"",COUNTIF($L$5:L31,"x"))</f>
        <v/>
      </c>
      <c r="M136" s="3759" t="str">
        <f>IF(((COUNTIF($M$5:M31,"x"))-(COUNTIF($M$5:M30,"x")))=0,"",COUNTIF($M$5:M31,"x"))</f>
        <v/>
      </c>
      <c r="N136" s="3759" t="str">
        <f>IF(((COUNTIF($N$5:N31,"x"))-(COUNTIF($N$5:N30,"x")))=0,"",COUNTIF($N$5:N31,"x"))</f>
        <v/>
      </c>
      <c r="O136" s="3759" t="str">
        <f>IF(((COUNTIF($O$5:O31,"x"))-(COUNTIF($O$5:O30,"x")))=0,"",COUNTIF($O$5:O31,"x"))</f>
        <v/>
      </c>
      <c r="P136" s="3759" t="str">
        <f>IF(((COUNTIF($P$5:P31,"x"))-(COUNTIF($P$5:P30,"x")))=0,"",COUNTIF($P$5:P31,"x"))</f>
        <v/>
      </c>
      <c r="Q136" s="3759" t="str">
        <f>IF(((COUNTIF($Q$5:Q31,"x"))-(COUNTIF($Q$5:Q30,"x")))=0,"",COUNTIF($Q$5:Q31,"x"))</f>
        <v/>
      </c>
      <c r="R136" s="3759">
        <f>IF(((COUNTIF($R$5:R31,"x"))-(COUNTIF($R$5:R30,"x")))=0,"",COUNTIF($R$5:R31,"x"))</f>
        <v>3</v>
      </c>
      <c r="S136" s="3759" t="str">
        <f>IF(((COUNTIF($S$5:S31,"x"))-(COUNTIF($S$5:S30,"x")))=0,"",COUNTIF($S$5:S31,"x"))</f>
        <v/>
      </c>
      <c r="T136" s="3759" t="str">
        <f>IF(((COUNTIF($T$5:T31,"x"))-(COUNTIF($T$5:T30,"x")))=0,"",COUNTIF($T$5:T31,"x"))</f>
        <v/>
      </c>
      <c r="U136" s="3759" t="str">
        <f>IF(((COUNTIF($U$5:U31,"x"))-(COUNTIF($U$5:U30,"x")))=0,"",COUNTIF($U$5:U31,"x"))</f>
        <v/>
      </c>
      <c r="V136" s="3759" t="str">
        <f>IF(((COUNTIF($V$5:V31,"x"))-(COUNTIF($V$5:V30,"x")))=0,"",COUNTIF($V$5:V31,"x"))</f>
        <v/>
      </c>
      <c r="W136" s="3759" t="str">
        <f>IF(((COUNTIF($W$5:W31,"x"))-(COUNTIF($W$5:W30,"x")))=0,"",COUNTIF($W$5:W31,"x"))</f>
        <v/>
      </c>
      <c r="X136" s="3759" t="str">
        <f>IF(((COUNTIF($X$5:X31,"x"))-(COUNTIF($X$5:X30,"x")))=0,"",COUNTIF($X$5:X31,"x"))</f>
        <v/>
      </c>
      <c r="Y136" s="3759" t="str">
        <f>IF(((COUNTIF($Y$5:Y31,"x"))-(COUNTIF($Y$5:Y30,"x")))=0,"",COUNTIF($Y$5:Y31,"x"))</f>
        <v/>
      </c>
      <c r="Z136" s="3759" t="str">
        <f>IF(((COUNTIF($Z$5:Z31,"x"))-(COUNTIF($Z$5:Z30,"x")))=0,"",COUNTIF($Z$5:Z31,"x"))</f>
        <v/>
      </c>
      <c r="AA136" s="3759" t="str">
        <f>IF(((COUNTIF($AA$5:AA31,"x"))-(COUNTIF($AA$5:AA30,"x")))=0,"",COUNTIF($AA$5:AA31,"x"))</f>
        <v/>
      </c>
      <c r="AB136" s="3759">
        <f>IF(((COUNTIF($AB$5:AB31,"x"))-(COUNTIF($AB$5:AB30,"x")))=0,"",COUNTIF($AB$5:AB31,"x"))</f>
        <v>6</v>
      </c>
      <c r="AC136" s="3759" t="str">
        <f>IF(((COUNTIF($AC$5:AC31,"x"))-(COUNTIF($AC$5:AC30,"x")))=0,"",COUNTIF($AC$5:AC31,"x"))</f>
        <v/>
      </c>
      <c r="AD136" s="3759">
        <f>IF(((COUNTIF($AD$5:AD31,"x"))-(COUNTIF($AD$5:AD30,"x")))=0,"",COUNTIF($AD$5:AD31,"x"))</f>
        <v>23</v>
      </c>
      <c r="AE136" s="3759" t="str">
        <f>IF(((COUNTIF($AE$5:AE31,"x"))-(COUNTIF($AE$5:AE30,"x")))=0,"",COUNTIF($AE$5:AE31,"x"))</f>
        <v/>
      </c>
      <c r="AF136" s="3760" t="str">
        <f>IF(((COUNTIF($AF$5:AF31,"x"))-(COUNTIF($AF$5:AF30,"x")))=0,"",COUNTIF($AF$5:AF31,"x"))</f>
        <v/>
      </c>
      <c r="AG136" s="2152" t="str">
        <f t="shared" si="15"/>
        <v>Coragen</v>
      </c>
    </row>
    <row r="137" spans="2:33" ht="18">
      <c r="B137" s="2168">
        <f t="shared" si="16"/>
        <v>28</v>
      </c>
      <c r="C137" s="3763" t="str">
        <f t="shared" si="13"/>
        <v xml:space="preserve">Debut </v>
      </c>
      <c r="D137" s="3707"/>
      <c r="E137" s="3762"/>
      <c r="F137" s="3758" t="str">
        <f>IF(((COUNTIF($F$5:$F32,"x"))-(COUNTIF($F$5:$F31,"x")))=0,"",COUNTIF($F$5:$F32,"x"))</f>
        <v/>
      </c>
      <c r="G137" s="3759" t="str">
        <f>IF(((COUNTIF($G$5:$G32,"x"))-(COUNTIF($G$5:$G31,"x")))=0,"",COUNTIF($G$5:$G32,"x"))</f>
        <v/>
      </c>
      <c r="H137" s="3759" t="str">
        <f>IF(((COUNTIF($H$5:$H32,"x"))-(COUNTIF($H$5:$H31,"x")))=0,"",COUNTIF($H$5:$H32,"x"))</f>
        <v/>
      </c>
      <c r="I137" s="3759" t="str">
        <f>IF(((COUNTIF($I$5:I32,"x"))-(COUNTIF($I$5:I31,"x")))=0,"",COUNTIF($I$5:I32,"x"))</f>
        <v/>
      </c>
      <c r="J137" s="3759" t="str">
        <f>IF(((COUNTIF($J$5:J32,"x"))-(COUNTIF($J$5:J31,"x")))=0,"",COUNTIF($J$5:J32,"x"))</f>
        <v/>
      </c>
      <c r="K137" s="3759" t="str">
        <f>IF(((COUNTIF($K$5:K32,"x"))-(COUNTIF($K$5:K31,"x")))=0,"",COUNTIF($K$5:K32,"x"))</f>
        <v/>
      </c>
      <c r="L137" s="3759" t="str">
        <f>IF(((COUNTIF($L$5:L32,"x"))-(COUNTIF($L$5:L31,"x")))=0,"",COUNTIF($L$5:L32,"x"))</f>
        <v/>
      </c>
      <c r="M137" s="3759" t="str">
        <f>IF(((COUNTIF($M$5:M32,"x"))-(COUNTIF($M$5:M31,"x")))=0,"",COUNTIF($M$5:M32,"x"))</f>
        <v/>
      </c>
      <c r="N137" s="3759" t="str">
        <f>IF(((COUNTIF($N$5:N32,"x"))-(COUNTIF($N$5:N31,"x")))=0,"",COUNTIF($N$5:N32,"x"))</f>
        <v/>
      </c>
      <c r="O137" s="3759" t="str">
        <f>IF(((COUNTIF($O$5:O32,"x"))-(COUNTIF($O$5:O31,"x")))=0,"",COUNTIF($O$5:O32,"x"))</f>
        <v/>
      </c>
      <c r="P137" s="3759" t="str">
        <f>IF(((COUNTIF($P$5:P32,"x"))-(COUNTIF($P$5:P31,"x")))=0,"",COUNTIF($P$5:P32,"x"))</f>
        <v/>
      </c>
      <c r="Q137" s="3759" t="str">
        <f>IF(((COUNTIF($Q$5:Q32,"x"))-(COUNTIF($Q$5:Q31,"x")))=0,"",COUNTIF($Q$5:Q32,"x"))</f>
        <v/>
      </c>
      <c r="R137" s="3759" t="str">
        <f>IF(((COUNTIF($R$5:R32,"x"))-(COUNTIF($R$5:R31,"x")))=0,"",COUNTIF($R$5:R32,"x"))</f>
        <v/>
      </c>
      <c r="S137" s="3759" t="str">
        <f>IF(((COUNTIF($S$5:S32,"x"))-(COUNTIF($S$5:S31,"x")))=0,"",COUNTIF($S$5:S32,"x"))</f>
        <v/>
      </c>
      <c r="T137" s="3759" t="str">
        <f>IF(((COUNTIF($T$5:T32,"x"))-(COUNTIF($T$5:T31,"x")))=0,"",COUNTIF($T$5:T32,"x"))</f>
        <v/>
      </c>
      <c r="U137" s="3759" t="str">
        <f>IF(((COUNTIF($U$5:U32,"x"))-(COUNTIF($U$5:U31,"x")))=0,"",COUNTIF($U$5:U32,"x"))</f>
        <v/>
      </c>
      <c r="V137" s="3759" t="str">
        <f>IF(((COUNTIF($V$5:V32,"x"))-(COUNTIF($V$5:V31,"x")))=0,"",COUNTIF($V$5:V32,"x"))</f>
        <v/>
      </c>
      <c r="W137" s="3759" t="str">
        <f>IF(((COUNTIF($W$5:W32,"x"))-(COUNTIF($W$5:W31,"x")))=0,"",COUNTIF($W$5:W32,"x"))</f>
        <v/>
      </c>
      <c r="X137" s="3759" t="str">
        <f>IF(((COUNTIF($X$5:X32,"x"))-(COUNTIF($X$5:X31,"x")))=0,"",COUNTIF($X$5:X32,"x"))</f>
        <v/>
      </c>
      <c r="Y137" s="3759" t="str">
        <f>IF(((COUNTIF($Y$5:Y32,"x"))-(COUNTIF($Y$5:Y31,"x")))=0,"",COUNTIF($Y$5:Y32,"x"))</f>
        <v/>
      </c>
      <c r="Z137" s="3759" t="str">
        <f>IF(((COUNTIF($Z$5:Z32,"x"))-(COUNTIF($Z$5:Z31,"x")))=0,"",COUNTIF($Z$5:Z32,"x"))</f>
        <v/>
      </c>
      <c r="AA137" s="3759">
        <f>IF(((COUNTIF($AA$5:AA32,"x"))-(COUNTIF($AA$5:AA31,"x")))=0,"",COUNTIF($AA$5:AA32,"x"))</f>
        <v>4</v>
      </c>
      <c r="AB137" s="3759" t="str">
        <f>IF(((COUNTIF($AB$5:AB32,"x"))-(COUNTIF($AB$5:AB31,"x")))=0,"",COUNTIF($AB$5:AB32,"x"))</f>
        <v/>
      </c>
      <c r="AC137" s="3759" t="str">
        <f>IF(((COUNTIF($AC$5:AC32,"x"))-(COUNTIF($AC$5:AC31,"x")))=0,"",COUNTIF($AC$5:AC32,"x"))</f>
        <v/>
      </c>
      <c r="AD137" s="3759">
        <f>IF(((COUNTIF($AD$5:AD32,"x"))-(COUNTIF($AD$5:AD31,"x")))=0,"",COUNTIF($AD$5:AD32,"x"))</f>
        <v>24</v>
      </c>
      <c r="AE137" s="3759" t="str">
        <f>IF(((COUNTIF($AE$5:AE32,"x"))-(COUNTIF($AE$5:AE31,"x")))=0,"",COUNTIF($AE$5:AE32,"x"))</f>
        <v/>
      </c>
      <c r="AF137" s="3760" t="str">
        <f>IF(((COUNTIF($AF$5:AF32,"x"))-(COUNTIF($AF$5:AF31,"x")))=0,"",COUNTIF($AF$5:AF32,"x"))</f>
        <v/>
      </c>
      <c r="AG137" s="2152" t="str">
        <f t="shared" si="15"/>
        <v xml:space="preserve">Debut </v>
      </c>
    </row>
    <row r="138" spans="2:33" ht="18">
      <c r="B138" s="2168">
        <f t="shared" si="16"/>
        <v>29</v>
      </c>
      <c r="C138" s="3706" t="str">
        <f t="shared" si="13"/>
        <v>Effigo</v>
      </c>
      <c r="D138" s="3707"/>
      <c r="E138" s="3761"/>
      <c r="F138" s="3758" t="str">
        <f>IF(((COUNTIF($F$5:$F33,"x"))-(COUNTIF($F$5:$F32,"x")))=0,"",COUNTIF($F$5:$F33,"x"))</f>
        <v/>
      </c>
      <c r="G138" s="3759" t="str">
        <f>IF(((COUNTIF($G$5:$G33,"x"))-(COUNTIF($G$5:$G32,"x")))=0,"",COUNTIF($G$5:$G33,"x"))</f>
        <v/>
      </c>
      <c r="H138" s="3759" t="str">
        <f>IF(((COUNTIF($H$5:$H33,"x"))-(COUNTIF($H$5:$H32,"x")))=0,"",COUNTIF($H$5:$H33,"x"))</f>
        <v/>
      </c>
      <c r="I138" s="3759" t="str">
        <f>IF(((COUNTIF($I$5:I33,"x"))-(COUNTIF($I$5:I32,"x")))=0,"",COUNTIF($I$5:I33,"x"))</f>
        <v/>
      </c>
      <c r="J138" s="3759" t="str">
        <f>IF(((COUNTIF($J$5:J33,"x"))-(COUNTIF($J$5:J32,"x")))=0,"",COUNTIF($J$5:J33,"x"))</f>
        <v/>
      </c>
      <c r="K138" s="3759" t="str">
        <f>IF(((COUNTIF($K$5:K33,"x"))-(COUNTIF($K$5:K32,"x")))=0,"",COUNTIF($K$5:K33,"x"))</f>
        <v/>
      </c>
      <c r="L138" s="3759" t="str">
        <f>IF(((COUNTIF($L$5:L33,"x"))-(COUNTIF($L$5:L32,"x")))=0,"",COUNTIF($L$5:L33,"x"))</f>
        <v/>
      </c>
      <c r="M138" s="3759" t="str">
        <f>IF(((COUNTIF($M$5:M33,"x"))-(COUNTIF($M$5:M32,"x")))=0,"",COUNTIF($M$5:M33,"x"))</f>
        <v/>
      </c>
      <c r="N138" s="3759" t="str">
        <f>IF(((COUNTIF($N$5:N33,"x"))-(COUNTIF($N$5:N32,"x")))=0,"",COUNTIF($N$5:N33,"x"))</f>
        <v/>
      </c>
      <c r="O138" s="3759" t="str">
        <f>IF(((COUNTIF($O$5:O33,"x"))-(COUNTIF($O$5:O32,"x")))=0,"",COUNTIF($O$5:O33,"x"))</f>
        <v/>
      </c>
      <c r="P138" s="3759" t="str">
        <f>IF(((COUNTIF($P$5:P33,"x"))-(COUNTIF($P$5:P32,"x")))=0,"",COUNTIF($P$5:P33,"x"))</f>
        <v/>
      </c>
      <c r="Q138" s="3759" t="str">
        <f>IF(((COUNTIF($Q$5:Q33,"x"))-(COUNTIF($Q$5:Q32,"x")))=0,"",COUNTIF($Q$5:Q33,"x"))</f>
        <v/>
      </c>
      <c r="R138" s="3759">
        <f>IF(((COUNTIF($R$5:R33,"x"))-(COUNTIF($R$5:R32,"x")))=0,"",COUNTIF($R$5:R33,"x"))</f>
        <v>4</v>
      </c>
      <c r="S138" s="3759">
        <f>IF(((COUNTIF($S$5:S33,"x"))-(COUNTIF($S$5:S32,"x")))=0,"",COUNTIF($S$5:S33,"x"))</f>
        <v>8</v>
      </c>
      <c r="T138" s="3759" t="str">
        <f>IF(((COUNTIF($T$5:T33,"x"))-(COUNTIF($T$5:T32,"x")))=0,"",COUNTIF($T$5:T33,"x"))</f>
        <v/>
      </c>
      <c r="U138" s="3759" t="str">
        <f>IF(((COUNTIF($U$5:U33,"x"))-(COUNTIF($U$5:U32,"x")))=0,"",COUNTIF($U$5:U33,"x"))</f>
        <v/>
      </c>
      <c r="V138" s="3759" t="str">
        <f>IF(((COUNTIF($V$5:V33,"x"))-(COUNTIF($V$5:V32,"x")))=0,"",COUNTIF($V$5:V33,"x"))</f>
        <v/>
      </c>
      <c r="W138" s="3759" t="str">
        <f>IF(((COUNTIF($W$5:W33,"x"))-(COUNTIF($W$5:W32,"x")))=0,"",COUNTIF($W$5:W33,"x"))</f>
        <v/>
      </c>
      <c r="X138" s="3759" t="str">
        <f>IF(((COUNTIF($X$5:X33,"x"))-(COUNTIF($X$5:X32,"x")))=0,"",COUNTIF($X$5:X33,"x"))</f>
        <v/>
      </c>
      <c r="Y138" s="3759" t="str">
        <f>IF(((COUNTIF($Y$5:Y33,"x"))-(COUNTIF($Y$5:Y32,"x")))=0,"",COUNTIF($Y$5:Y33,"x"))</f>
        <v/>
      </c>
      <c r="Z138" s="3759" t="str">
        <f>IF(((COUNTIF($Z$5:Z33,"x"))-(COUNTIF($Z$5:Z32,"x")))=0,"",COUNTIF($Z$5:Z33,"x"))</f>
        <v/>
      </c>
      <c r="AA138" s="3759" t="str">
        <f>IF(((COUNTIF($AA$5:AA33,"x"))-(COUNTIF($AA$5:AA32,"x")))=0,"",COUNTIF($AA$5:AA33,"x"))</f>
        <v/>
      </c>
      <c r="AB138" s="3759" t="str">
        <f>IF(((COUNTIF($AB$5:AB33,"x"))-(COUNTIF($AB$5:AB32,"x")))=0,"",COUNTIF($AB$5:AB33,"x"))</f>
        <v/>
      </c>
      <c r="AC138" s="3759" t="str">
        <f>IF(((COUNTIF($AC$5:AC33,"x"))-(COUNTIF($AC$5:AC32,"x")))=0,"",COUNTIF($AC$5:AC33,"x"))</f>
        <v/>
      </c>
      <c r="AD138" s="3759">
        <f>IF(((COUNTIF($AD$5:AD33,"x"))-(COUNTIF($AD$5:AD32,"x")))=0,"",COUNTIF($AD$5:AD33,"x"))</f>
        <v>25</v>
      </c>
      <c r="AE138" s="3759" t="str">
        <f>IF(((COUNTIF($AE$5:AE33,"x"))-(COUNTIF($AE$5:AE32,"x")))=0,"",COUNTIF($AE$5:AE33,"x"))</f>
        <v/>
      </c>
      <c r="AF138" s="3760" t="str">
        <f>IF(((COUNTIF($AF$5:AF33,"x"))-(COUNTIF($AF$5:AF32,"x")))=0,"",COUNTIF($AF$5:AF33,"x"))</f>
        <v/>
      </c>
      <c r="AG138" s="2152" t="str">
        <f t="shared" si="15"/>
        <v>Effigo</v>
      </c>
    </row>
    <row r="139" spans="2:33" ht="18">
      <c r="B139" s="2168">
        <f t="shared" si="16"/>
        <v>30</v>
      </c>
      <c r="C139" s="3763" t="str">
        <f t="shared" si="13"/>
        <v>Elatus Era</v>
      </c>
      <c r="D139" s="3707"/>
      <c r="E139" s="3762"/>
      <c r="F139" s="3758">
        <f>IF(((COUNTIF($F$5:$F34,"x"))-(COUNTIF($F$5:$F33,"x")))=0,"",COUNTIF($F$5:$F34,"x"))</f>
        <v>12</v>
      </c>
      <c r="G139" s="3759">
        <f>IF(((COUNTIF($G$5:$G34,"x"))-(COUNTIF($G$5:$G33,"x")))=0,"",COUNTIF($G$5:$G34,"x"))</f>
        <v>9</v>
      </c>
      <c r="H139" s="3759">
        <f>IF(((COUNTIF($H$5:$H34,"x"))-(COUNTIF($H$5:$H33,"x")))=0,"",COUNTIF($H$5:$H34,"x"))</f>
        <v>12</v>
      </c>
      <c r="I139" s="3759">
        <f>IF(((COUNTIF($I$5:I34,"x"))-(COUNTIF($I$5:I33,"x")))=0,"",COUNTIF($I$5:I34,"x"))</f>
        <v>11</v>
      </c>
      <c r="J139" s="3759">
        <f>IF(((COUNTIF($J$5:J34,"x"))-(COUNTIF($J$5:J33,"x")))=0,"",COUNTIF($J$5:J34,"x"))</f>
        <v>9</v>
      </c>
      <c r="K139" s="3759">
        <f>IF(((COUNTIF($K$5:K34,"x"))-(COUNTIF($K$5:K33,"x")))=0,"",COUNTIF($K$5:K34,"x"))</f>
        <v>9</v>
      </c>
      <c r="L139" s="3759">
        <f>IF(((COUNTIF($L$5:L34,"x"))-(COUNTIF($L$5:L33,"x")))=0,"",COUNTIF($L$5:L34,"x"))</f>
        <v>9</v>
      </c>
      <c r="M139" s="3759">
        <f>IF(((COUNTIF($M$5:M34,"x"))-(COUNTIF($M$5:M33,"x")))=0,"",COUNTIF($M$5:M34,"x"))</f>
        <v>9</v>
      </c>
      <c r="N139" s="3759" t="str">
        <f>IF(((COUNTIF($N$5:N34,"x"))-(COUNTIF($N$5:N33,"x")))=0,"",COUNTIF($N$5:N34,"x"))</f>
        <v/>
      </c>
      <c r="O139" s="3759" t="str">
        <f>IF(((COUNTIF($O$5:O34,"x"))-(COUNTIF($O$5:O33,"x")))=0,"",COUNTIF($O$5:O34,"x"))</f>
        <v/>
      </c>
      <c r="P139" s="3759" t="str">
        <f>IF(((COUNTIF($P$5:P34,"x"))-(COUNTIF($P$5:P33,"x")))=0,"",COUNTIF($P$5:P34,"x"))</f>
        <v/>
      </c>
      <c r="Q139" s="3759" t="str">
        <f>IF(((COUNTIF($Q$5:Q34,"x"))-(COUNTIF($Q$5:Q33,"x")))=0,"",COUNTIF($Q$5:Q34,"x"))</f>
        <v/>
      </c>
      <c r="R139" s="3759" t="str">
        <f>IF(((COUNTIF($R$5:R34,"x"))-(COUNTIF($R$5:R33,"x")))=0,"",COUNTIF($R$5:R34,"x"))</f>
        <v/>
      </c>
      <c r="S139" s="3759" t="str">
        <f>IF(((COUNTIF($S$5:S34,"x"))-(COUNTIF($S$5:S33,"x")))=0,"",COUNTIF($S$5:S34,"x"))</f>
        <v/>
      </c>
      <c r="T139" s="3759" t="str">
        <f>IF(((COUNTIF($T$5:T34,"x"))-(COUNTIF($T$5:T33,"x")))=0,"",COUNTIF($T$5:T34,"x"))</f>
        <v/>
      </c>
      <c r="U139" s="3759" t="str">
        <f>IF(((COUNTIF($U$5:U34,"x"))-(COUNTIF($U$5:U33,"x")))=0,"",COUNTIF($U$5:U34,"x"))</f>
        <v/>
      </c>
      <c r="V139" s="3759" t="str">
        <f>IF(((COUNTIF($V$5:V34,"x"))-(COUNTIF($V$5:V33,"x")))=0,"",COUNTIF($V$5:V34,"x"))</f>
        <v/>
      </c>
      <c r="W139" s="3759" t="str">
        <f>IF(((COUNTIF($W$5:W34,"x"))-(COUNTIF($W$5:W33,"x")))=0,"",COUNTIF($W$5:W34,"x"))</f>
        <v/>
      </c>
      <c r="X139" s="3759" t="str">
        <f>IF(((COUNTIF($X$5:X34,"x"))-(COUNTIF($X$5:X33,"x")))=0,"",COUNTIF($X$5:X34,"x"))</f>
        <v/>
      </c>
      <c r="Y139" s="3759" t="str">
        <f>IF(((COUNTIF($Y$5:Y34,"x"))-(COUNTIF($Y$5:Y33,"x")))=0,"",COUNTIF($Y$5:Y34,"x"))</f>
        <v/>
      </c>
      <c r="Z139" s="3759" t="str">
        <f>IF(((COUNTIF($Z$5:Z34,"x"))-(COUNTIF($Z$5:Z33,"x")))=0,"",COUNTIF($Z$5:Z34,"x"))</f>
        <v/>
      </c>
      <c r="AA139" s="3759" t="str">
        <f>IF(((COUNTIF($AA$5:AA34,"x"))-(COUNTIF($AA$5:AA33,"x")))=0,"",COUNTIF($AA$5:AA34,"x"))</f>
        <v/>
      </c>
      <c r="AB139" s="3759" t="str">
        <f>IF(((COUNTIF($AB$5:AB34,"x"))-(COUNTIF($AB$5:AB33,"x")))=0,"",COUNTIF($AB$5:AB34,"x"))</f>
        <v/>
      </c>
      <c r="AC139" s="3759" t="str">
        <f>IF(((COUNTIF($AC$5:AC34,"x"))-(COUNTIF($AC$5:AC33,"x")))=0,"",COUNTIF($AC$5:AC34,"x"))</f>
        <v/>
      </c>
      <c r="AD139" s="3759">
        <f>IF(((COUNTIF($AD$5:AD34,"x"))-(COUNTIF($AD$5:AD33,"x")))=0,"",COUNTIF($AD$5:AD34,"x"))</f>
        <v>26</v>
      </c>
      <c r="AE139" s="3759" t="str">
        <f>IF(((COUNTIF($AE$5:AE34,"x"))-(COUNTIF($AE$5:AE33,"x")))=0,"",COUNTIF($AE$5:AE34,"x"))</f>
        <v/>
      </c>
      <c r="AF139" s="3760" t="str">
        <f>IF(((COUNTIF($AF$5:AF34,"x"))-(COUNTIF($AF$5:AF33,"x")))=0,"",COUNTIF($AF$5:AF34,"x"))</f>
        <v/>
      </c>
      <c r="AG139" s="2152" t="str">
        <f t="shared" si="15"/>
        <v>Elatus Era</v>
      </c>
    </row>
    <row r="140" spans="2:33" ht="18">
      <c r="B140" s="2168">
        <f t="shared" si="16"/>
        <v>31</v>
      </c>
      <c r="C140" s="3763" t="str">
        <f t="shared" si="13"/>
        <v>Elumis P Dual Pack, Dual Gold</v>
      </c>
      <c r="D140" s="3707"/>
      <c r="E140" s="3762"/>
      <c r="F140" s="3758" t="str">
        <f>IF(((COUNTIF($F$5:$F35,"x"))-(COUNTIF($F$5:$F34,"x")))=0,"",COUNTIF($F$5:$F35,"x"))</f>
        <v/>
      </c>
      <c r="G140" s="3759" t="str">
        <f>IF(((COUNTIF($G$5:$G35,"x"))-(COUNTIF($G$5:$G34,"x")))=0,"",COUNTIF($G$5:$G35,"x"))</f>
        <v/>
      </c>
      <c r="H140" s="3759" t="str">
        <f>IF(((COUNTIF($H$5:$H35,"x"))-(COUNTIF($H$5:$H34,"x")))=0,"",COUNTIF($H$5:$H35,"x"))</f>
        <v/>
      </c>
      <c r="I140" s="3759" t="str">
        <f>IF(((COUNTIF($I$5:I35,"x"))-(COUNTIF($I$5:I34,"x")))=0,"",COUNTIF($I$5:I35,"x"))</f>
        <v/>
      </c>
      <c r="J140" s="3759" t="str">
        <f>IF(((COUNTIF($J$5:J35,"x"))-(COUNTIF($J$5:J34,"x")))=0,"",COUNTIF($J$5:J35,"x"))</f>
        <v/>
      </c>
      <c r="K140" s="3759" t="str">
        <f>IF(((COUNTIF($K$5:K35,"x"))-(COUNTIF($K$5:K34,"x")))=0,"",COUNTIF($K$5:K35,"x"))</f>
        <v/>
      </c>
      <c r="L140" s="3759" t="str">
        <f>IF(((COUNTIF($L$5:L35,"x"))-(COUNTIF($L$5:L34,"x")))=0,"",COUNTIF($L$5:L35,"x"))</f>
        <v/>
      </c>
      <c r="M140" s="3759" t="str">
        <f>IF(((COUNTIF($M$5:M35,"x"))-(COUNTIF($M$5:M34,"x")))=0,"",COUNTIF($M$5:M35,"x"))</f>
        <v/>
      </c>
      <c r="N140" s="3759" t="str">
        <f>IF(((COUNTIF($N$5:N35,"x"))-(COUNTIF($N$5:N34,"x")))=0,"",COUNTIF($N$5:N35,"x"))</f>
        <v/>
      </c>
      <c r="O140" s="3759" t="str">
        <f>IF(((COUNTIF($O$5:O35,"x"))-(COUNTIF($O$5:O34,"x")))=0,"",COUNTIF($O$5:O35,"x"))</f>
        <v/>
      </c>
      <c r="P140" s="3759" t="str">
        <f>IF(((COUNTIF($P$5:P35,"x"))-(COUNTIF($P$5:P34,"x")))=0,"",COUNTIF($P$5:P35,"x"))</f>
        <v/>
      </c>
      <c r="Q140" s="3759" t="str">
        <f>IF(((COUNTIF($Q$5:Q35,"x"))-(COUNTIF($Q$5:Q34,"x")))=0,"",COUNTIF($Q$5:Q35,"x"))</f>
        <v/>
      </c>
      <c r="R140" s="3759">
        <f>IF(((COUNTIF($R$5:R35,"x"))-(COUNTIF($R$5:R34,"x")))=0,"",COUNTIF($R$5:R35,"x"))</f>
        <v>5</v>
      </c>
      <c r="S140" s="3759" t="str">
        <f>IF(((COUNTIF($S$5:S35,"x"))-(COUNTIF($S$5:S34,"x")))=0,"",COUNTIF($S$5:S35,"x"))</f>
        <v/>
      </c>
      <c r="T140" s="3759" t="str">
        <f>IF(((COUNTIF($T$5:T35,"x"))-(COUNTIF($T$5:T34,"x")))=0,"",COUNTIF($T$5:T35,"x"))</f>
        <v/>
      </c>
      <c r="U140" s="3759" t="str">
        <f>IF(((COUNTIF($U$5:U35,"x"))-(COUNTIF($U$5:U34,"x")))=0,"",COUNTIF($U$5:U35,"x"))</f>
        <v/>
      </c>
      <c r="V140" s="3759" t="str">
        <f>IF(((COUNTIF($V$5:V35,"x"))-(COUNTIF($V$5:V34,"x")))=0,"",COUNTIF($V$5:V35,"x"))</f>
        <v/>
      </c>
      <c r="W140" s="3759" t="str">
        <f>IF(((COUNTIF($W$5:W35,"x"))-(COUNTIF($W$5:W34,"x")))=0,"",COUNTIF($W$5:W35,"x"))</f>
        <v/>
      </c>
      <c r="X140" s="3759" t="str">
        <f>IF(((COUNTIF($X$5:X35,"x"))-(COUNTIF($X$5:X34,"x")))=0,"",COUNTIF($X$5:X35,"x"))</f>
        <v/>
      </c>
      <c r="Y140" s="3759" t="str">
        <f>IF(((COUNTIF($Y$5:Y35,"x"))-(COUNTIF($Y$5:Y34,"x")))=0,"",COUNTIF($Y$5:Y35,"x"))</f>
        <v/>
      </c>
      <c r="Z140" s="3759" t="str">
        <f>IF(((COUNTIF($Z$5:Z35,"x"))-(COUNTIF($Z$5:Z34,"x")))=0,"",COUNTIF($Z$5:Z35,"x"))</f>
        <v/>
      </c>
      <c r="AA140" s="3759" t="str">
        <f>IF(((COUNTIF($AA$5:AA35,"x"))-(COUNTIF($AA$5:AA34,"x")))=0,"",COUNTIF($AA$5:AA35,"x"))</f>
        <v/>
      </c>
      <c r="AB140" s="3759" t="str">
        <f>IF(((COUNTIF($AB$5:AB35,"x"))-(COUNTIF($AB$5:AB34,"x")))=0,"",COUNTIF($AB$5:AB35,"x"))</f>
        <v/>
      </c>
      <c r="AC140" s="3759" t="str">
        <f>IF(((COUNTIF($AC$5:AC35,"x"))-(COUNTIF($AC$5:AC34,"x")))=0,"",COUNTIF($AC$5:AC35,"x"))</f>
        <v/>
      </c>
      <c r="AD140" s="3759">
        <f>IF(((COUNTIF($AD$5:AD35,"x"))-(COUNTIF($AD$5:AD34,"x")))=0,"",COUNTIF($AD$5:AD35,"x"))</f>
        <v>27</v>
      </c>
      <c r="AE140" s="3759" t="str">
        <f>IF(((COUNTIF($AE$5:AE35,"x"))-(COUNTIF($AE$5:AE34,"x")))=0,"",COUNTIF($AE$5:AE35,"x"))</f>
        <v/>
      </c>
      <c r="AF140" s="3760" t="str">
        <f>IF(((COUNTIF($AF$5:AF35,"x"))-(COUNTIF($AF$5:AF34,"x")))=0,"",COUNTIF($AF$5:AF35,"x"))</f>
        <v/>
      </c>
      <c r="AG140" s="2152" t="str">
        <f t="shared" si="15"/>
        <v>Elumis P Dual Pack, Dual Gold</v>
      </c>
    </row>
    <row r="141" spans="2:33" ht="18">
      <c r="B141" s="2168">
        <f t="shared" si="16"/>
        <v>32</v>
      </c>
      <c r="C141" s="3763" t="str">
        <f t="shared" si="13"/>
        <v>Elumis P Dual Pack, Elumis</v>
      </c>
      <c r="D141" s="3707"/>
      <c r="E141" s="3762"/>
      <c r="F141" s="3758" t="str">
        <f>IF(((COUNTIF($F$5:$F36,"x"))-(COUNTIF($F$5:$F35,"x")))=0,"",COUNTIF($F$5:$F36,"x"))</f>
        <v/>
      </c>
      <c r="G141" s="3759" t="str">
        <f>IF(((COUNTIF($G$5:$G36,"x"))-(COUNTIF($G$5:$G35,"x")))=0,"",COUNTIF($G$5:$G36,"x"))</f>
        <v/>
      </c>
      <c r="H141" s="3759" t="str">
        <f>IF(((COUNTIF($H$5:$H36,"x"))-(COUNTIF($H$5:$H35,"x")))=0,"",COUNTIF($H$5:$H36,"x"))</f>
        <v/>
      </c>
      <c r="I141" s="3759" t="str">
        <f>IF(((COUNTIF($I$5:I36,"x"))-(COUNTIF($I$5:I35,"x")))=0,"",COUNTIF($I$5:I36,"x"))</f>
        <v/>
      </c>
      <c r="J141" s="3759" t="str">
        <f>IF(((COUNTIF($J$5:J36,"x"))-(COUNTIF($J$5:J35,"x")))=0,"",COUNTIF($J$5:J36,"x"))</f>
        <v/>
      </c>
      <c r="K141" s="3759" t="str">
        <f>IF(((COUNTIF($K$5:K36,"x"))-(COUNTIF($K$5:K35,"x")))=0,"",COUNTIF($K$5:K36,"x"))</f>
        <v/>
      </c>
      <c r="L141" s="3759" t="str">
        <f>IF(((COUNTIF($L$5:L36,"x"))-(COUNTIF($L$5:L35,"x")))=0,"",COUNTIF($L$5:L36,"x"))</f>
        <v/>
      </c>
      <c r="M141" s="3759" t="str">
        <f>IF(((COUNTIF($M$5:M36,"x"))-(COUNTIF($M$5:M35,"x")))=0,"",COUNTIF($M$5:M36,"x"))</f>
        <v/>
      </c>
      <c r="N141" s="3759" t="str">
        <f>IF(((COUNTIF($N$5:N36,"x"))-(COUNTIF($N$5:N35,"x")))=0,"",COUNTIF($N$5:N36,"x"))</f>
        <v/>
      </c>
      <c r="O141" s="3759" t="str">
        <f>IF(((COUNTIF($O$5:O36,"x"))-(COUNTIF($O$5:O35,"x")))=0,"",COUNTIF($O$5:O36,"x"))</f>
        <v/>
      </c>
      <c r="P141" s="3759" t="str">
        <f>IF(((COUNTIF($P$5:P36,"x"))-(COUNTIF($P$5:P35,"x")))=0,"",COUNTIF($P$5:P36,"x"))</f>
        <v/>
      </c>
      <c r="Q141" s="3759" t="str">
        <f>IF(((COUNTIF($Q$5:Q36,"x"))-(COUNTIF($Q$5:Q35,"x")))=0,"",COUNTIF($Q$5:Q36,"x"))</f>
        <v/>
      </c>
      <c r="R141" s="3759">
        <f>IF(((COUNTIF($R$5:R36,"x"))-(COUNTIF($R$5:R35,"x")))=0,"",COUNTIF($R$5:R36,"x"))</f>
        <v>6</v>
      </c>
      <c r="S141" s="3759" t="str">
        <f>IF(((COUNTIF($S$5:S36,"x"))-(COUNTIF($S$5:S35,"x")))=0,"",COUNTIF($S$5:S36,"x"))</f>
        <v/>
      </c>
      <c r="T141" s="3759" t="str">
        <f>IF(((COUNTIF($T$5:T36,"x"))-(COUNTIF($T$5:T35,"x")))=0,"",COUNTIF($T$5:T36,"x"))</f>
        <v/>
      </c>
      <c r="U141" s="3759" t="str">
        <f>IF(((COUNTIF($U$5:U36,"x"))-(COUNTIF($U$5:U35,"x")))=0,"",COUNTIF($U$5:U36,"x"))</f>
        <v/>
      </c>
      <c r="V141" s="3759" t="str">
        <f>IF(((COUNTIF($V$5:V36,"x"))-(COUNTIF($V$5:V35,"x")))=0,"",COUNTIF($V$5:V36,"x"))</f>
        <v/>
      </c>
      <c r="W141" s="3759" t="str">
        <f>IF(((COUNTIF($W$5:W36,"x"))-(COUNTIF($W$5:W35,"x")))=0,"",COUNTIF($W$5:W36,"x"))</f>
        <v/>
      </c>
      <c r="X141" s="3759" t="str">
        <f>IF(((COUNTIF($X$5:X36,"x"))-(COUNTIF($X$5:X35,"x")))=0,"",COUNTIF($X$5:X36,"x"))</f>
        <v/>
      </c>
      <c r="Y141" s="3759" t="str">
        <f>IF(((COUNTIF($Y$5:Y36,"x"))-(COUNTIF($Y$5:Y35,"x")))=0,"",COUNTIF($Y$5:Y36,"x"))</f>
        <v/>
      </c>
      <c r="Z141" s="3759" t="str">
        <f>IF(((COUNTIF($Z$5:Z36,"x"))-(COUNTIF($Z$5:Z35,"x")))=0,"",COUNTIF($Z$5:Z36,"x"))</f>
        <v/>
      </c>
      <c r="AA141" s="3759" t="str">
        <f>IF(((COUNTIF($AA$5:AA36,"x"))-(COUNTIF($AA$5:AA35,"x")))=0,"",COUNTIF($AA$5:AA36,"x"))</f>
        <v/>
      </c>
      <c r="AB141" s="3759" t="str">
        <f>IF(((COUNTIF($AB$5:AB36,"x"))-(COUNTIF($AB$5:AB35,"x")))=0,"",COUNTIF($AB$5:AB36,"x"))</f>
        <v/>
      </c>
      <c r="AC141" s="3759" t="str">
        <f>IF(((COUNTIF($AC$5:AC36,"x"))-(COUNTIF($AC$5:AC35,"x")))=0,"",COUNTIF($AC$5:AC36,"x"))</f>
        <v/>
      </c>
      <c r="AD141" s="3759">
        <f>IF(((COUNTIF($AD$5:AD36,"x"))-(COUNTIF($AD$5:AD35,"x")))=0,"",COUNTIF($AD$5:AD36,"x"))</f>
        <v>28</v>
      </c>
      <c r="AE141" s="3759" t="str">
        <f>IF(((COUNTIF($AE$5:AE36,"x"))-(COUNTIF($AE$5:AE35,"x")))=0,"",COUNTIF($AE$5:AE36,"x"))</f>
        <v/>
      </c>
      <c r="AF141" s="3760" t="str">
        <f>IF(((COUNTIF($AF$5:AF36,"x"))-(COUNTIF($AF$5:AF35,"x")))=0,"",COUNTIF($AF$5:AF36,"x"))</f>
        <v/>
      </c>
      <c r="AG141" s="2152" t="str">
        <f t="shared" si="15"/>
        <v>Elumis P Dual Pack, Elumis</v>
      </c>
    </row>
    <row r="142" spans="2:33" ht="18">
      <c r="B142" s="2168">
        <f t="shared" si="16"/>
        <v>33</v>
      </c>
      <c r="C142" s="3763" t="str">
        <f t="shared" si="13"/>
        <v>Elumis P Dual Pack, Peak</v>
      </c>
      <c r="D142" s="3707"/>
      <c r="E142" s="3762"/>
      <c r="F142" s="3758" t="str">
        <f>IF(((COUNTIF($F$5:$F37,"x"))-(COUNTIF($F$5:$F36,"x")))=0,"",COUNTIF($F$5:$F37,"x"))</f>
        <v/>
      </c>
      <c r="G142" s="3759" t="str">
        <f>IF(((COUNTIF($G$5:$G37,"x"))-(COUNTIF($G$5:$G36,"x")))=0,"",COUNTIF($G$5:$G37,"x"))</f>
        <v/>
      </c>
      <c r="H142" s="3759" t="str">
        <f>IF(((COUNTIF($H$5:$H37,"x"))-(COUNTIF($H$5:$H36,"x")))=0,"",COUNTIF($H$5:$H37,"x"))</f>
        <v/>
      </c>
      <c r="I142" s="3759" t="str">
        <f>IF(((COUNTIF($I$5:I37,"x"))-(COUNTIF($I$5:I36,"x")))=0,"",COUNTIF($I$5:I37,"x"))</f>
        <v/>
      </c>
      <c r="J142" s="3759" t="str">
        <f>IF(((COUNTIF($J$5:J37,"x"))-(COUNTIF($J$5:J36,"x")))=0,"",COUNTIF($J$5:J37,"x"))</f>
        <v/>
      </c>
      <c r="K142" s="3759" t="str">
        <f>IF(((COUNTIF($K$5:K37,"x"))-(COUNTIF($K$5:K36,"x")))=0,"",COUNTIF($K$5:K37,"x"))</f>
        <v/>
      </c>
      <c r="L142" s="3759" t="str">
        <f>IF(((COUNTIF($L$5:L37,"x"))-(COUNTIF($L$5:L36,"x")))=0,"",COUNTIF($L$5:L37,"x"))</f>
        <v/>
      </c>
      <c r="M142" s="3759" t="str">
        <f>IF(((COUNTIF($M$5:M37,"x"))-(COUNTIF($M$5:M36,"x")))=0,"",COUNTIF($M$5:M37,"x"))</f>
        <v/>
      </c>
      <c r="N142" s="3759" t="str">
        <f>IF(((COUNTIF($N$5:N37,"x"))-(COUNTIF($N$5:N36,"x")))=0,"",COUNTIF($N$5:N37,"x"))</f>
        <v/>
      </c>
      <c r="O142" s="3759" t="str">
        <f>IF(((COUNTIF($O$5:O37,"x"))-(COUNTIF($O$5:O36,"x")))=0,"",COUNTIF($O$5:O37,"x"))</f>
        <v/>
      </c>
      <c r="P142" s="3759" t="str">
        <f>IF(((COUNTIF($P$5:P37,"x"))-(COUNTIF($P$5:P36,"x")))=0,"",COUNTIF($P$5:P37,"x"))</f>
        <v/>
      </c>
      <c r="Q142" s="3759" t="str">
        <f>IF(((COUNTIF($Q$5:Q37,"x"))-(COUNTIF($Q$5:Q36,"x")))=0,"",COUNTIF($Q$5:Q37,"x"))</f>
        <v/>
      </c>
      <c r="R142" s="3759">
        <f>IF(((COUNTIF($R$5:R37,"x"))-(COUNTIF($R$5:R36,"x")))=0,"",COUNTIF($R$5:R37,"x"))</f>
        <v>7</v>
      </c>
      <c r="S142" s="3759" t="str">
        <f>IF(((COUNTIF($S$5:S37,"x"))-(COUNTIF($S$5:S36,"x")))=0,"",COUNTIF($S$5:S37,"x"))</f>
        <v/>
      </c>
      <c r="T142" s="3759" t="str">
        <f>IF(((COUNTIF($T$5:T37,"x"))-(COUNTIF($T$5:T36,"x")))=0,"",COUNTIF($T$5:T37,"x"))</f>
        <v/>
      </c>
      <c r="U142" s="3759" t="str">
        <f>IF(((COUNTIF($U$5:U37,"x"))-(COUNTIF($U$5:U36,"x")))=0,"",COUNTIF($U$5:U37,"x"))</f>
        <v/>
      </c>
      <c r="V142" s="3759" t="str">
        <f>IF(((COUNTIF($V$5:V37,"x"))-(COUNTIF($V$5:V36,"x")))=0,"",COUNTIF($V$5:V37,"x"))</f>
        <v/>
      </c>
      <c r="W142" s="3759" t="str">
        <f>IF(((COUNTIF($W$5:W37,"x"))-(COUNTIF($W$5:W36,"x")))=0,"",COUNTIF($W$5:W37,"x"))</f>
        <v/>
      </c>
      <c r="X142" s="3759" t="str">
        <f>IF(((COUNTIF($X$5:X37,"x"))-(COUNTIF($X$5:X36,"x")))=0,"",COUNTIF($X$5:X37,"x"))</f>
        <v/>
      </c>
      <c r="Y142" s="3759" t="str">
        <f>IF(((COUNTIF($Y$5:Y37,"x"))-(COUNTIF($Y$5:Y36,"x")))=0,"",COUNTIF($Y$5:Y37,"x"))</f>
        <v/>
      </c>
      <c r="Z142" s="3759" t="str">
        <f>IF(((COUNTIF($Z$5:Z37,"x"))-(COUNTIF($Z$5:Z36,"x")))=0,"",COUNTIF($Z$5:Z37,"x"))</f>
        <v/>
      </c>
      <c r="AA142" s="3759" t="str">
        <f>IF(((COUNTIF($AA$5:AA37,"x"))-(COUNTIF($AA$5:AA36,"x")))=0,"",COUNTIF($AA$5:AA37,"x"))</f>
        <v/>
      </c>
      <c r="AB142" s="3759" t="str">
        <f>IF(((COUNTIF($AB$5:AB37,"x"))-(COUNTIF($AB$5:AB36,"x")))=0,"",COUNTIF($AB$5:AB37,"x"))</f>
        <v/>
      </c>
      <c r="AC142" s="3759" t="str">
        <f>IF(((COUNTIF($AC$5:AC37,"x"))-(COUNTIF($AC$5:AC36,"x")))=0,"",COUNTIF($AC$5:AC37,"x"))</f>
        <v/>
      </c>
      <c r="AD142" s="3759">
        <f>IF(((COUNTIF($AD$5:AD37,"x"))-(COUNTIF($AD$5:AD36,"x")))=0,"",COUNTIF($AD$5:AD37,"x"))</f>
        <v>29</v>
      </c>
      <c r="AE142" s="3759" t="str">
        <f>IF(((COUNTIF($AE$5:AE37,"x"))-(COUNTIF($AE$5:AE36,"x")))=0,"",COUNTIF($AE$5:AE37,"x"))</f>
        <v/>
      </c>
      <c r="AF142" s="3760" t="str">
        <f>IF(((COUNTIF($AF$5:AF37,"x"))-(COUNTIF($AF$5:AF36,"x")))=0,"",COUNTIF($AF$5:AF37,"x"))</f>
        <v/>
      </c>
      <c r="AG142" s="2152" t="str">
        <f t="shared" si="15"/>
        <v>Elumis P Dual Pack, Peak</v>
      </c>
    </row>
    <row r="143" spans="2:33" ht="18">
      <c r="B143" s="2168">
        <f t="shared" si="16"/>
        <v>34</v>
      </c>
      <c r="C143" s="3763" t="str">
        <f t="shared" si="13"/>
        <v>Fandango</v>
      </c>
      <c r="D143" s="3707"/>
      <c r="E143" s="3762"/>
      <c r="F143" s="3758">
        <f>IF(((COUNTIF($F$5:$F38,"x"))-(COUNTIF($F$5:$F37,"x")))=0,"",COUNTIF($F$5:$F38,"x"))</f>
        <v>13</v>
      </c>
      <c r="G143" s="3759">
        <f>IF(((COUNTIF($G$5:$G38,"x"))-(COUNTIF($G$5:$G37,"x")))=0,"",COUNTIF($G$5:$G38,"x"))</f>
        <v>10</v>
      </c>
      <c r="H143" s="3759">
        <f>IF(((COUNTIF($H$5:$H38,"x"))-(COUNTIF($H$5:$H37,"x")))=0,"",COUNTIF($H$5:$H38,"x"))</f>
        <v>13</v>
      </c>
      <c r="I143" s="3759">
        <f>IF(((COUNTIF($I$5:I38,"x"))-(COUNTIF($I$5:I37,"x")))=0,"",COUNTIF($I$5:I38,"x"))</f>
        <v>12</v>
      </c>
      <c r="J143" s="3759">
        <f>IF(((COUNTIF($J$5:J38,"x"))-(COUNTIF($J$5:J37,"x")))=0,"",COUNTIF($J$5:J38,"x"))</f>
        <v>10</v>
      </c>
      <c r="K143" s="3759">
        <f>IF(((COUNTIF($K$5:K38,"x"))-(COUNTIF($K$5:K37,"x")))=0,"",COUNTIF($K$5:K38,"x"))</f>
        <v>10</v>
      </c>
      <c r="L143" s="3759">
        <f>IF(((COUNTIF($L$5:L38,"x"))-(COUNTIF($L$5:L37,"x")))=0,"",COUNTIF($L$5:L38,"x"))</f>
        <v>10</v>
      </c>
      <c r="M143" s="3759">
        <f>IF(((COUNTIF($M$5:M38,"x"))-(COUNTIF($M$5:M37,"x")))=0,"",COUNTIF($M$5:M38,"x"))</f>
        <v>10</v>
      </c>
      <c r="N143" s="3759" t="str">
        <f>IF(((COUNTIF($N$5:N38,"x"))-(COUNTIF($N$5:N37,"x")))=0,"",COUNTIF($N$5:N38,"x"))</f>
        <v/>
      </c>
      <c r="O143" s="3759">
        <f>IF(((COUNTIF($O$5:O38,"x"))-(COUNTIF($O$5:O37,"x")))=0,"",COUNTIF($O$5:O38,"x"))</f>
        <v>7</v>
      </c>
      <c r="P143" s="3759" t="str">
        <f>IF(((COUNTIF($P$5:P38,"x"))-(COUNTIF($P$5:P37,"x")))=0,"",COUNTIF($P$5:P38,"x"))</f>
        <v/>
      </c>
      <c r="Q143" s="3759" t="str">
        <f>IF(((COUNTIF($Q$5:Q38,"x"))-(COUNTIF($Q$5:Q37,"x")))=0,"",COUNTIF($Q$5:Q38,"x"))</f>
        <v/>
      </c>
      <c r="R143" s="3759" t="str">
        <f>IF(((COUNTIF($R$5:R38,"x"))-(COUNTIF($R$5:R37,"x")))=0,"",COUNTIF($R$5:R38,"x"))</f>
        <v/>
      </c>
      <c r="S143" s="3759" t="str">
        <f>IF(((COUNTIF($S$5:S38,"x"))-(COUNTIF($S$5:S37,"x")))=0,"",COUNTIF($S$5:S38,"x"))</f>
        <v/>
      </c>
      <c r="T143" s="3759" t="str">
        <f>IF(((COUNTIF($T$5:T38,"x"))-(COUNTIF($T$5:T37,"x")))=0,"",COUNTIF($T$5:T38,"x"))</f>
        <v/>
      </c>
      <c r="U143" s="3759" t="str">
        <f>IF(((COUNTIF($U$5:U38,"x"))-(COUNTIF($U$5:U37,"x")))=0,"",COUNTIF($U$5:U38,"x"))</f>
        <v/>
      </c>
      <c r="V143" s="3759" t="str">
        <f>IF(((COUNTIF($V$5:V38,"x"))-(COUNTIF($V$5:V37,"x")))=0,"",COUNTIF($V$5:V38,"x"))</f>
        <v/>
      </c>
      <c r="W143" s="3759" t="str">
        <f>IF(((COUNTIF($W$5:W38,"x"))-(COUNTIF($W$5:W37,"x")))=0,"",COUNTIF($W$5:W38,"x"))</f>
        <v/>
      </c>
      <c r="X143" s="3759" t="str">
        <f>IF(((COUNTIF($X$5:X38,"x"))-(COUNTIF($X$5:X37,"x")))=0,"",COUNTIF($X$5:X38,"x"))</f>
        <v/>
      </c>
      <c r="Y143" s="3759" t="str">
        <f>IF(((COUNTIF($Y$5:Y38,"x"))-(COUNTIF($Y$5:Y37,"x")))=0,"",COUNTIF($Y$5:Y38,"x"))</f>
        <v/>
      </c>
      <c r="Z143" s="3759" t="str">
        <f>IF(((COUNTIF($Z$5:Z38,"x"))-(COUNTIF($Z$5:Z37,"x")))=0,"",COUNTIF($Z$5:Z38,"x"))</f>
        <v/>
      </c>
      <c r="AA143" s="3759" t="str">
        <f>IF(((COUNTIF($AA$5:AA38,"x"))-(COUNTIF($AA$5:AA37,"x")))=0,"",COUNTIF($AA$5:AA38,"x"))</f>
        <v/>
      </c>
      <c r="AB143" s="3759" t="str">
        <f>IF(((COUNTIF($AB$5:AB38,"x"))-(COUNTIF($AB$5:AB37,"x")))=0,"",COUNTIF($AB$5:AB38,"x"))</f>
        <v/>
      </c>
      <c r="AC143" s="3759" t="str">
        <f>IF(((COUNTIF($AC$5:AC38,"x"))-(COUNTIF($AC$5:AC37,"x")))=0,"",COUNTIF($AC$5:AC38,"x"))</f>
        <v/>
      </c>
      <c r="AD143" s="3759">
        <f>IF(((COUNTIF($AD$5:AD38,"x"))-(COUNTIF($AD$5:AD37,"x")))=0,"",COUNTIF($AD$5:AD38,"x"))</f>
        <v>30</v>
      </c>
      <c r="AE143" s="3759" t="str">
        <f>IF(((COUNTIF($AE$5:AE38,"x"))-(COUNTIF($AE$5:AE37,"x")))=0,"",COUNTIF($AE$5:AE38,"x"))</f>
        <v/>
      </c>
      <c r="AF143" s="3760" t="str">
        <f>IF(((COUNTIF($AF$5:AF38,"x"))-(COUNTIF($AF$5:AF37,"x")))=0,"",COUNTIF($AF$5:AF38,"x"))</f>
        <v/>
      </c>
      <c r="AG143" s="2152" t="str">
        <f t="shared" si="15"/>
        <v>Fandango</v>
      </c>
    </row>
    <row r="144" spans="2:33" ht="18">
      <c r="B144" s="2168">
        <f t="shared" si="16"/>
        <v>35</v>
      </c>
      <c r="C144" s="3763" t="str">
        <f t="shared" si="13"/>
        <v>Focus Aktiv Pack, Focus Ultra</v>
      </c>
      <c r="D144" s="3707"/>
      <c r="E144" s="3762"/>
      <c r="F144" s="3758" t="str">
        <f>IF(((COUNTIF($F$5:$F39,"x"))-(COUNTIF($F$5:$F38,"x")))=0,"",COUNTIF($F$5:$F39,"x"))</f>
        <v/>
      </c>
      <c r="G144" s="3759" t="str">
        <f>IF(((COUNTIF($G$5:$G39,"x"))-(COUNTIF($G$5:$G38,"x")))=0,"",COUNTIF($G$5:$G39,"x"))</f>
        <v/>
      </c>
      <c r="H144" s="3759" t="str">
        <f>IF(((COUNTIF($H$5:$H39,"x"))-(COUNTIF($H$5:$H38,"x")))=0,"",COUNTIF($H$5:$H39,"x"))</f>
        <v/>
      </c>
      <c r="I144" s="3759" t="str">
        <f>IF(((COUNTIF($I$5:I39,"x"))-(COUNTIF($I$5:I38,"x")))=0,"",COUNTIF($I$5:I39,"x"))</f>
        <v/>
      </c>
      <c r="J144" s="3759" t="str">
        <f>IF(((COUNTIF($J$5:J39,"x"))-(COUNTIF($J$5:J38,"x")))=0,"",COUNTIF($J$5:J39,"x"))</f>
        <v/>
      </c>
      <c r="K144" s="3759" t="str">
        <f>IF(((COUNTIF($K$5:K39,"x"))-(COUNTIF($K$5:K38,"x")))=0,"",COUNTIF($K$5:K39,"x"))</f>
        <v/>
      </c>
      <c r="L144" s="3759" t="str">
        <f>IF(((COUNTIF($L$5:L39,"x"))-(COUNTIF($L$5:L38,"x")))=0,"",COUNTIF($L$5:L39,"x"))</f>
        <v/>
      </c>
      <c r="M144" s="3759" t="str">
        <f>IF(((COUNTIF($M$5:M39,"x"))-(COUNTIF($M$5:M38,"x")))=0,"",COUNTIF($M$5:M39,"x"))</f>
        <v/>
      </c>
      <c r="N144" s="3759" t="str">
        <f>IF(((COUNTIF($N$5:N39,"x"))-(COUNTIF($N$5:N38,"x")))=0,"",COUNTIF($N$5:N39,"x"))</f>
        <v/>
      </c>
      <c r="O144" s="3759" t="str">
        <f>IF(((COUNTIF($O$5:O39,"x"))-(COUNTIF($O$5:O38,"x")))=0,"",COUNTIF($O$5:O39,"x"))</f>
        <v/>
      </c>
      <c r="P144" s="3759" t="str">
        <f>IF(((COUNTIF($P$5:P39,"x"))-(COUNTIF($P$5:P38,"x")))=0,"",COUNTIF($P$5:P39,"x"))</f>
        <v/>
      </c>
      <c r="Q144" s="3759" t="str">
        <f>IF(((COUNTIF($Q$5:Q39,"x"))-(COUNTIF($Q$5:Q38,"x")))=0,"",COUNTIF($Q$5:Q39,"x"))</f>
        <v/>
      </c>
      <c r="R144" s="3759" t="str">
        <f>IF(((COUNTIF($R$5:R39,"x"))-(COUNTIF($R$5:R38,"x")))=0,"",COUNTIF($R$5:R39,"x"))</f>
        <v/>
      </c>
      <c r="S144" s="3759">
        <f>IF(((COUNTIF($S$5:S39,"x"))-(COUNTIF($S$5:S38,"x")))=0,"",COUNTIF($S$5:S39,"x"))</f>
        <v>9</v>
      </c>
      <c r="T144" s="3759">
        <f>IF(((COUNTIF($T$5:T39,"x"))-(COUNTIF($T$5:T38,"x")))=0,"",COUNTIF($T$5:T39,"x"))</f>
        <v>3</v>
      </c>
      <c r="U144" s="3759">
        <f>IF(((COUNTIF($U$5:U39,"x"))-(COUNTIF($U$5:U38,"x")))=0,"",COUNTIF($U$5:U39,"x"))</f>
        <v>5</v>
      </c>
      <c r="V144" s="3759">
        <f>IF(((COUNTIF($V$5:V39,"x"))-(COUNTIF($V$5:V38,"x")))=0,"",COUNTIF($V$5:V39,"x"))</f>
        <v>3</v>
      </c>
      <c r="W144" s="3759">
        <f>IF(((COUNTIF($W$5:W39,"x"))-(COUNTIF($W$5:W38,"x")))=0,"",COUNTIF($W$5:W39,"x"))</f>
        <v>2</v>
      </c>
      <c r="X144" s="3759">
        <f>IF(((COUNTIF($X$5:X39,"x"))-(COUNTIF($X$5:X38,"x")))=0,"",COUNTIF($X$5:X39,"x"))</f>
        <v>5</v>
      </c>
      <c r="Y144" s="3759">
        <f>IF(((COUNTIF($Y$5:Y39,"x"))-(COUNTIF($Y$5:Y38,"x")))=0,"",COUNTIF($Y$5:Y39,"x"))</f>
        <v>5</v>
      </c>
      <c r="Z144" s="3759" t="str">
        <f>IF(((COUNTIF($Z$5:Z39,"x"))-(COUNTIF($Z$5:Z38,"x")))=0,"",COUNTIF($Z$5:Z39,"x"))</f>
        <v/>
      </c>
      <c r="AA144" s="3759">
        <f>IF(((COUNTIF($AA$5:AA39,"x"))-(COUNTIF($AA$5:AA38,"x")))=0,"",COUNTIF($AA$5:AA39,"x"))</f>
        <v>5</v>
      </c>
      <c r="AB144" s="3759">
        <f>IF(((COUNTIF($AB$5:AB39,"x"))-(COUNTIF($AB$5:AB38,"x")))=0,"",COUNTIF($AB$5:AB39,"x"))</f>
        <v>7</v>
      </c>
      <c r="AC144" s="3759" t="str">
        <f>IF(((COUNTIF($AC$5:AC39,"x"))-(COUNTIF($AC$5:AC38,"x")))=0,"",COUNTIF($AC$5:AC39,"x"))</f>
        <v/>
      </c>
      <c r="AD144" s="3759">
        <f>IF(((COUNTIF($AD$5:AD39,"x"))-(COUNTIF($AD$5:AD38,"x")))=0,"",COUNTIF($AD$5:AD39,"x"))</f>
        <v>31</v>
      </c>
      <c r="AE144" s="3759" t="str">
        <f>IF(((COUNTIF($AE$5:AE39,"x"))-(COUNTIF($AE$5:AE38,"x")))=0,"",COUNTIF($AE$5:AE39,"x"))</f>
        <v/>
      </c>
      <c r="AF144" s="3760" t="str">
        <f>IF(((COUNTIF($AF$5:AF39,"x"))-(COUNTIF($AF$5:AF38,"x")))=0,"",COUNTIF($AF$5:AF39,"x"))</f>
        <v/>
      </c>
      <c r="AG144" s="2152" t="str">
        <f t="shared" si="15"/>
        <v>Focus Aktiv Pack, Focus Ultra</v>
      </c>
    </row>
    <row r="145" spans="2:33" ht="18">
      <c r="B145" s="2168">
        <f t="shared" si="16"/>
        <v>36</v>
      </c>
      <c r="C145" s="3763" t="str">
        <f t="shared" si="13"/>
        <v>Folicur</v>
      </c>
      <c r="D145" s="3707"/>
      <c r="E145" s="3762"/>
      <c r="F145" s="3758">
        <f>IF(((COUNTIF($F$5:$F40,"x"))-(COUNTIF($F$5:$F39,"x")))=0,"",COUNTIF($F$5:$F40,"x"))</f>
        <v>14</v>
      </c>
      <c r="G145" s="3759">
        <f>IF(((COUNTIF($G$5:$G40,"x"))-(COUNTIF($G$5:$G39,"x")))=0,"",COUNTIF($G$5:$G40,"x"))</f>
        <v>11</v>
      </c>
      <c r="H145" s="3759">
        <f>IF(((COUNTIF($H$5:$H40,"x"))-(COUNTIF($H$5:$H39,"x")))=0,"",COUNTIF($H$5:$H40,"x"))</f>
        <v>14</v>
      </c>
      <c r="I145" s="3759" t="str">
        <f>IF(((COUNTIF($I$5:I40,"x"))-(COUNTIF($I$5:I39,"x")))=0,"",COUNTIF($I$5:I40,"x"))</f>
        <v/>
      </c>
      <c r="J145" s="3759">
        <f>IF(((COUNTIF($J$5:J40,"x"))-(COUNTIF($J$5:J39,"x")))=0,"",COUNTIF($J$5:J40,"x"))</f>
        <v>11</v>
      </c>
      <c r="K145" s="3759">
        <f>IF(((COUNTIF($K$5:K40,"x"))-(COUNTIF($K$5:K39,"x")))=0,"",COUNTIF($K$5:K40,"x"))</f>
        <v>11</v>
      </c>
      <c r="L145" s="3759">
        <f>IF(((COUNTIF($L$5:L40,"x"))-(COUNTIF($L$5:L39,"x")))=0,"",COUNTIF($L$5:L40,"x"))</f>
        <v>11</v>
      </c>
      <c r="M145" s="3759">
        <f>IF(((COUNTIF($M$5:M40,"x"))-(COUNTIF($M$5:M39,"x")))=0,"",COUNTIF($M$5:M40,"x"))</f>
        <v>11</v>
      </c>
      <c r="N145" s="3759" t="str">
        <f>IF(((COUNTIF($N$5:N40,"x"))-(COUNTIF($N$5:N39,"x")))=0,"",COUNTIF($N$5:N40,"x"))</f>
        <v/>
      </c>
      <c r="O145" s="3759" t="str">
        <f>IF(((COUNTIF($O$5:O40,"x"))-(COUNTIF($O$5:O39,"x")))=0,"",COUNTIF($O$5:O40,"x"))</f>
        <v/>
      </c>
      <c r="P145" s="3759" t="str">
        <f>IF(((COUNTIF($P$5:P40,"x"))-(COUNTIF($P$5:P39,"x")))=0,"",COUNTIF($P$5:P40,"x"))</f>
        <v/>
      </c>
      <c r="Q145" s="3759" t="str">
        <f>IF(((COUNTIF($Q$5:Q40,"x"))-(COUNTIF($Q$5:Q39,"x")))=0,"",COUNTIF($Q$5:Q40,"x"))</f>
        <v/>
      </c>
      <c r="R145" s="3759" t="str">
        <f>IF(((COUNTIF($R$5:R40,"x"))-(COUNTIF($R$5:R39,"x")))=0,"",COUNTIF($R$5:R40,"x"))</f>
        <v/>
      </c>
      <c r="S145" s="3759">
        <f>IF(((COUNTIF($S$5:S40,"x"))-(COUNTIF($S$5:S39,"x")))=0,"",COUNTIF($S$5:S40,"x"))</f>
        <v>10</v>
      </c>
      <c r="T145" s="3759">
        <f>IF(((COUNTIF($T$5:T40,"x"))-(COUNTIF($T$5:T39,"x")))=0,"",COUNTIF($T$5:T40,"x"))</f>
        <v>4</v>
      </c>
      <c r="U145" s="3759" t="str">
        <f>IF(((COUNTIF($U$5:U40,"x"))-(COUNTIF($U$5:U39,"x")))=0,"",COUNTIF($U$5:U40,"x"))</f>
        <v/>
      </c>
      <c r="V145" s="3759" t="str">
        <f>IF(((COUNTIF($V$5:V40,"x"))-(COUNTIF($V$5:V39,"x")))=0,"",COUNTIF($V$5:V40,"x"))</f>
        <v/>
      </c>
      <c r="W145" s="3759" t="str">
        <f>IF(((COUNTIF($W$5:W40,"x"))-(COUNTIF($W$5:W39,"x")))=0,"",COUNTIF($W$5:W40,"x"))</f>
        <v/>
      </c>
      <c r="X145" s="3759" t="str">
        <f>IF(((COUNTIF($X$5:X40,"x"))-(COUNTIF($X$5:X39,"x")))=0,"",COUNTIF($X$5:X40,"x"))</f>
        <v/>
      </c>
      <c r="Y145" s="3759" t="str">
        <f>IF(((COUNTIF($Y$5:Y40,"x"))-(COUNTIF($Y$5:Y39,"x")))=0,"",COUNTIF($Y$5:Y40,"x"))</f>
        <v/>
      </c>
      <c r="Z145" s="3759" t="str">
        <f>IF(((COUNTIF($Z$5:Z40,"x"))-(COUNTIF($Z$5:Z39,"x")))=0,"",COUNTIF($Z$5:Z40,"x"))</f>
        <v/>
      </c>
      <c r="AA145" s="3759" t="str">
        <f>IF(((COUNTIF($AA$5:AA40,"x"))-(COUNTIF($AA$5:AA39,"x")))=0,"",COUNTIF($AA$5:AA40,"x"))</f>
        <v/>
      </c>
      <c r="AB145" s="3759" t="str">
        <f>IF(((COUNTIF($AB$5:AB40,"x"))-(COUNTIF($AB$5:AB39,"x")))=0,"",COUNTIF($AB$5:AB40,"x"))</f>
        <v/>
      </c>
      <c r="AC145" s="3759" t="str">
        <f>IF(((COUNTIF($AC$5:AC40,"x"))-(COUNTIF($AC$5:AC39,"x")))=0,"",COUNTIF($AC$5:AC40,"x"))</f>
        <v/>
      </c>
      <c r="AD145" s="3759">
        <f>IF(((COUNTIF($AD$5:AD40,"x"))-(COUNTIF($AD$5:AD39,"x")))=0,"",COUNTIF($AD$5:AD40,"x"))</f>
        <v>32</v>
      </c>
      <c r="AE145" s="3759" t="str">
        <f>IF(((COUNTIF($AE$5:AE40,"x"))-(COUNTIF($AE$5:AE39,"x")))=0,"",COUNTIF($AE$5:AE40,"x"))</f>
        <v/>
      </c>
      <c r="AF145" s="3760" t="str">
        <f>IF(((COUNTIF($AF$5:AF40,"x"))-(COUNTIF($AF$5:AF39,"x")))=0,"",COUNTIF($AF$5:AF40,"x"))</f>
        <v/>
      </c>
      <c r="AG145" s="2152" t="str">
        <f t="shared" si="15"/>
        <v>Folicur</v>
      </c>
    </row>
    <row r="146" spans="2:33" ht="18">
      <c r="B146" s="2168">
        <f t="shared" si="16"/>
        <v>37</v>
      </c>
      <c r="C146" s="3763" t="str">
        <f t="shared" si="13"/>
        <v>Fusilade MAX</v>
      </c>
      <c r="D146" s="3707"/>
      <c r="E146" s="3762"/>
      <c r="F146" s="3758" t="str">
        <f>IF(((COUNTIF($F$5:$F41,"x"))-(COUNTIF($F$5:$F40,"x")))=0,"",COUNTIF($F$5:$F41,"x"))</f>
        <v/>
      </c>
      <c r="G146" s="3759" t="str">
        <f>IF(((COUNTIF($G$5:$G41,"x"))-(COUNTIF($G$5:$G40,"x")))=0,"",COUNTIF($G$5:$G41,"x"))</f>
        <v/>
      </c>
      <c r="H146" s="3759" t="str">
        <f>IF(((COUNTIF($H$5:$H41,"x"))-(COUNTIF($H$5:$H40,"x")))=0,"",COUNTIF($H$5:$H41,"x"))</f>
        <v/>
      </c>
      <c r="I146" s="3759" t="str">
        <f>IF(((COUNTIF($I$5:I41,"x"))-(COUNTIF($I$5:I40,"x")))=0,"",COUNTIF($I$5:I41,"x"))</f>
        <v/>
      </c>
      <c r="J146" s="3759" t="str">
        <f>IF(((COUNTIF($J$5:J41,"x"))-(COUNTIF($J$5:J40,"x")))=0,"",COUNTIF($J$5:J41,"x"))</f>
        <v/>
      </c>
      <c r="K146" s="3759" t="str">
        <f>IF(((COUNTIF($K$5:K41,"x"))-(COUNTIF($K$5:K40,"x")))=0,"",COUNTIF($K$5:K41,"x"))</f>
        <v/>
      </c>
      <c r="L146" s="3759" t="str">
        <f>IF(((COUNTIF($L$5:L41,"x"))-(COUNTIF($L$5:L40,"x")))=0,"",COUNTIF($L$5:L41,"x"))</f>
        <v/>
      </c>
      <c r="M146" s="3759" t="str">
        <f>IF(((COUNTIF($M$5:M41,"x"))-(COUNTIF($M$5:M40,"x")))=0,"",COUNTIF($M$5:M41,"x"))</f>
        <v/>
      </c>
      <c r="N146" s="3759" t="str">
        <f>IF(((COUNTIF($N$5:N41,"x"))-(COUNTIF($N$5:N40,"x")))=0,"",COUNTIF($N$5:N41,"x"))</f>
        <v/>
      </c>
      <c r="O146" s="3759" t="str">
        <f>IF(((COUNTIF($O$5:O41,"x"))-(COUNTIF($O$5:O40,"x")))=0,"",COUNTIF($O$5:O41,"x"))</f>
        <v/>
      </c>
      <c r="P146" s="3759" t="str">
        <f>IF(((COUNTIF($P$5:P41,"x"))-(COUNTIF($P$5:P40,"x")))=0,"",COUNTIF($P$5:P41,"x"))</f>
        <v/>
      </c>
      <c r="Q146" s="3759" t="str">
        <f>IF(((COUNTIF($Q$5:Q41,"x"))-(COUNTIF($Q$5:Q40,"x")))=0,"",COUNTIF($Q$5:Q41,"x"))</f>
        <v/>
      </c>
      <c r="R146" s="3759" t="str">
        <f>IF(((COUNTIF($R$5:R41,"x"))-(COUNTIF($R$5:R40,"x")))=0,"",COUNTIF($R$5:R41,"x"))</f>
        <v/>
      </c>
      <c r="S146" s="3759">
        <f>IF(((COUNTIF($S$5:S41,"x"))-(COUNTIF($S$5:S40,"x")))=0,"",COUNTIF($S$5:S41,"x"))</f>
        <v>11</v>
      </c>
      <c r="T146" s="3759" t="str">
        <f>IF(((COUNTIF($T$5:T41,"x"))-(COUNTIF($T$5:T40,"x")))=0,"",COUNTIF($T$5:T41,"x"))</f>
        <v/>
      </c>
      <c r="U146" s="3759">
        <f>IF(((COUNTIF($U$5:U41,"x"))-(COUNTIF($U$5:U40,"x")))=0,"",COUNTIF($U$5:U41,"x"))</f>
        <v>6</v>
      </c>
      <c r="V146" s="3759">
        <f>IF(((COUNTIF($V$5:V41,"x"))-(COUNTIF($V$5:V40,"x")))=0,"",COUNTIF($V$5:V41,"x"))</f>
        <v>4</v>
      </c>
      <c r="W146" s="3759">
        <f>IF(((COUNTIF($W$5:W41,"x"))-(COUNTIF($W$5:W40,"x")))=0,"",COUNTIF($W$5:W41,"x"))</f>
        <v>3</v>
      </c>
      <c r="X146" s="3759">
        <f>IF(((COUNTIF($X$5:X41,"x"))-(COUNTIF($X$5:X40,"x")))=0,"",COUNTIF($X$5:X41,"x"))</f>
        <v>6</v>
      </c>
      <c r="Y146" s="3759">
        <f>IF(((COUNTIF($Y$5:Y41,"x"))-(COUNTIF($Y$5:Y40,"x")))=0,"",COUNTIF($Y$5:Y41,"x"))</f>
        <v>6</v>
      </c>
      <c r="Z146" s="3759">
        <f>IF(((COUNTIF($Z$5:Z41,"x"))-(COUNTIF($Z$5:Z40,"x")))=0,"",COUNTIF($Z$5:Z41,"x"))</f>
        <v>2</v>
      </c>
      <c r="AA146" s="3759">
        <f>IF(((COUNTIF($AA$5:AA41,"x"))-(COUNTIF($AA$5:AA40,"x")))=0,"",COUNTIF($AA$5:AA41,"x"))</f>
        <v>6</v>
      </c>
      <c r="AB146" s="3759">
        <f>IF(((COUNTIF($AB$5:AB41,"x"))-(COUNTIF($AB$5:AB40,"x")))=0,"",COUNTIF($AB$5:AB41,"x"))</f>
        <v>8</v>
      </c>
      <c r="AC146" s="3759" t="str">
        <f>IF(((COUNTIF($AC$5:AC41,"x"))-(COUNTIF($AC$5:AC40,"x")))=0,"",COUNTIF($AC$5:AC41,"x"))</f>
        <v/>
      </c>
      <c r="AD146" s="3759">
        <f>IF(((COUNTIF($AD$5:AD41,"x"))-(COUNTIF($AD$5:AD40,"x")))=0,"",COUNTIF($AD$5:AD41,"x"))</f>
        <v>33</v>
      </c>
      <c r="AE146" s="3759" t="str">
        <f>IF(((COUNTIF($AE$5:AE41,"x"))-(COUNTIF($AE$5:AE40,"x")))=0,"",COUNTIF($AE$5:AE41,"x"))</f>
        <v/>
      </c>
      <c r="AF146" s="3760" t="str">
        <f>IF(((COUNTIF($AF$5:AF41,"x"))-(COUNTIF($AF$5:AF40,"x")))=0,"",COUNTIF($AF$5:AF41,"x"))</f>
        <v/>
      </c>
      <c r="AG146" s="2152" t="str">
        <f t="shared" si="15"/>
        <v>Fusilade MAX</v>
      </c>
    </row>
    <row r="147" spans="2:33" ht="18">
      <c r="B147" s="2168">
        <f t="shared" si="16"/>
        <v>38</v>
      </c>
      <c r="C147" s="3763" t="str">
        <f t="shared" si="13"/>
        <v>Goltix Gold</v>
      </c>
      <c r="D147" s="3707"/>
      <c r="E147" s="3762"/>
      <c r="F147" s="3758" t="str">
        <f>IF(((COUNTIF($F$5:$F42,"x"))-(COUNTIF($F$5:$F41,"x")))=0,"",COUNTIF($F$5:$F42,"x"))</f>
        <v/>
      </c>
      <c r="G147" s="3759" t="str">
        <f>IF(((COUNTIF($G$5:$G42,"x"))-(COUNTIF($G$5:$G41,"x")))=0,"",COUNTIF($G$5:$G42,"x"))</f>
        <v/>
      </c>
      <c r="H147" s="3759" t="str">
        <f>IF(((COUNTIF($H$5:$H42,"x"))-(COUNTIF($H$5:$H41,"x")))=0,"",COUNTIF($H$5:$H42,"x"))</f>
        <v/>
      </c>
      <c r="I147" s="3759" t="str">
        <f>IF(((COUNTIF($I$5:I42,"x"))-(COUNTIF($I$5:I41,"x")))=0,"",COUNTIF($I$5:I42,"x"))</f>
        <v/>
      </c>
      <c r="J147" s="3759" t="str">
        <f>IF(((COUNTIF($J$5:J42,"x"))-(COUNTIF($J$5:J41,"x")))=0,"",COUNTIF($J$5:J42,"x"))</f>
        <v/>
      </c>
      <c r="K147" s="3759" t="str">
        <f>IF(((COUNTIF($K$5:K42,"x"))-(COUNTIF($K$5:K41,"x")))=0,"",COUNTIF($K$5:K42,"x"))</f>
        <v/>
      </c>
      <c r="L147" s="3759" t="str">
        <f>IF(((COUNTIF($L$5:L42,"x"))-(COUNTIF($L$5:L41,"x")))=0,"",COUNTIF($L$5:L42,"x"))</f>
        <v/>
      </c>
      <c r="M147" s="3759" t="str">
        <f>IF(((COUNTIF($M$5:M42,"x"))-(COUNTIF($M$5:M41,"x")))=0,"",COUNTIF($M$5:M42,"x"))</f>
        <v/>
      </c>
      <c r="N147" s="3759" t="str">
        <f>IF(((COUNTIF($N$5:N42,"x"))-(COUNTIF($N$5:N41,"x")))=0,"",COUNTIF($N$5:N42,"x"))</f>
        <v/>
      </c>
      <c r="O147" s="3759" t="str">
        <f>IF(((COUNTIF($O$5:O42,"x"))-(COUNTIF($O$5:O41,"x")))=0,"",COUNTIF($O$5:O42,"x"))</f>
        <v/>
      </c>
      <c r="P147" s="3759" t="str">
        <f>IF(((COUNTIF($P$5:P42,"x"))-(COUNTIF($P$5:P41,"x")))=0,"",COUNTIF($P$5:P42,"x"))</f>
        <v/>
      </c>
      <c r="Q147" s="3759" t="str">
        <f>IF(((COUNTIF($Q$5:Q42,"x"))-(COUNTIF($Q$5:Q41,"x")))=0,"",COUNTIF($Q$5:Q42,"x"))</f>
        <v/>
      </c>
      <c r="R147" s="3759" t="str">
        <f>IF(((COUNTIF($R$5:R42,"x"))-(COUNTIF($R$5:R41,"x")))=0,"",COUNTIF($R$5:R42,"x"))</f>
        <v/>
      </c>
      <c r="S147" s="3759" t="str">
        <f>IF(((COUNTIF($S$5:S42,"x"))-(COUNTIF($S$5:S41,"x")))=0,"",COUNTIF($S$5:S42,"x"))</f>
        <v/>
      </c>
      <c r="T147" s="3759" t="str">
        <f>IF(((COUNTIF($T$5:T42,"x"))-(COUNTIF($T$5:T41,"x")))=0,"",COUNTIF($T$5:T42,"x"))</f>
        <v/>
      </c>
      <c r="U147" s="3759" t="str">
        <f>IF(((COUNTIF($U$5:U42,"x"))-(COUNTIF($U$5:U41,"x")))=0,"",COUNTIF($U$5:U42,"x"))</f>
        <v/>
      </c>
      <c r="V147" s="3759" t="str">
        <f>IF(((COUNTIF($V$5:V42,"x"))-(COUNTIF($V$5:V41,"x")))=0,"",COUNTIF($V$5:V42,"x"))</f>
        <v/>
      </c>
      <c r="W147" s="3759" t="str">
        <f>IF(((COUNTIF($W$5:W42,"x"))-(COUNTIF($W$5:W41,"x")))=0,"",COUNTIF($W$5:W42,"x"))</f>
        <v/>
      </c>
      <c r="X147" s="3759" t="str">
        <f>IF(((COUNTIF($X$5:X42,"x"))-(COUNTIF($X$5:X41,"x")))=0,"",COUNTIF($X$5:X42,"x"))</f>
        <v/>
      </c>
      <c r="Y147" s="3759" t="str">
        <f>IF(((COUNTIF($Y$5:Y42,"x"))-(COUNTIF($Y$5:Y41,"x")))=0,"",COUNTIF($Y$5:Y42,"x"))</f>
        <v/>
      </c>
      <c r="Z147" s="3759" t="str">
        <f>IF(((COUNTIF($Z$5:Z42,"x"))-(COUNTIF($Z$5:Z41,"x")))=0,"",COUNTIF($Z$5:Z42,"x"))</f>
        <v/>
      </c>
      <c r="AA147" s="3759">
        <f>IF(((COUNTIF($AA$5:AA42,"x"))-(COUNTIF($AA$5:AA41,"x")))=0,"",COUNTIF($AA$5:AA42,"x"))</f>
        <v>7</v>
      </c>
      <c r="AB147" s="3759" t="str">
        <f>IF(((COUNTIF($AB$5:AB42,"x"))-(COUNTIF($AB$5:AB41,"x")))=0,"",COUNTIF($AB$5:AB42,"x"))</f>
        <v/>
      </c>
      <c r="AC147" s="3759" t="str">
        <f>IF(((COUNTIF($AC$5:AC42,"x"))-(COUNTIF($AC$5:AC41,"x")))=0,"",COUNTIF($AC$5:AC42,"x"))</f>
        <v/>
      </c>
      <c r="AD147" s="3759">
        <f>IF(((COUNTIF($AD$5:AD42,"x"))-(COUNTIF($AD$5:AD41,"x")))=0,"",COUNTIF($AD$5:AD42,"x"))</f>
        <v>34</v>
      </c>
      <c r="AE147" s="3759" t="str">
        <f>IF(((COUNTIF($AE$5:AE42,"x"))-(COUNTIF($AE$5:AE41,"x")))=0,"",COUNTIF($AE$5:AE42,"x"))</f>
        <v/>
      </c>
      <c r="AF147" s="3760" t="str">
        <f>IF(((COUNTIF($AF$5:AF42,"x"))-(COUNTIF($AF$5:AF41,"x")))=0,"",COUNTIF($AF$5:AF42,"x"))</f>
        <v/>
      </c>
      <c r="AG147" s="2152" t="str">
        <f t="shared" si="15"/>
        <v>Goltix Gold</v>
      </c>
    </row>
    <row r="148" spans="2:33" ht="18">
      <c r="B148" s="2168">
        <f t="shared" si="16"/>
        <v>39</v>
      </c>
      <c r="C148" s="3763" t="str">
        <f t="shared" si="13"/>
        <v>Goltix Titan</v>
      </c>
      <c r="D148" s="3707"/>
      <c r="E148" s="3762"/>
      <c r="F148" s="3758" t="str">
        <f>IF(((COUNTIF($F$5:$F43,"x"))-(COUNTIF($F$5:$F42,"x")))=0,"",COUNTIF($F$5:$F43,"x"))</f>
        <v/>
      </c>
      <c r="G148" s="3759" t="str">
        <f>IF(((COUNTIF($G$5:$G43,"x"))-(COUNTIF($G$5:$G42,"x")))=0,"",COUNTIF($G$5:$G43,"x"))</f>
        <v/>
      </c>
      <c r="H148" s="3759" t="str">
        <f>IF(((COUNTIF($H$5:$H43,"x"))-(COUNTIF($H$5:$H42,"x")))=0,"",COUNTIF($H$5:$H43,"x"))</f>
        <v/>
      </c>
      <c r="I148" s="3759" t="str">
        <f>IF(((COUNTIF($I$5:I43,"x"))-(COUNTIF($I$5:I42,"x")))=0,"",COUNTIF($I$5:I43,"x"))</f>
        <v/>
      </c>
      <c r="J148" s="3759" t="str">
        <f>IF(((COUNTIF($J$5:J43,"x"))-(COUNTIF($J$5:J42,"x")))=0,"",COUNTIF($J$5:J43,"x"))</f>
        <v/>
      </c>
      <c r="K148" s="3759" t="str">
        <f>IF(((COUNTIF($K$5:K43,"x"))-(COUNTIF($K$5:K42,"x")))=0,"",COUNTIF($K$5:K43,"x"))</f>
        <v/>
      </c>
      <c r="L148" s="3759" t="str">
        <f>IF(((COUNTIF($L$5:L43,"x"))-(COUNTIF($L$5:L42,"x")))=0,"",COUNTIF($L$5:L43,"x"))</f>
        <v/>
      </c>
      <c r="M148" s="3759" t="str">
        <f>IF(((COUNTIF($M$5:M43,"x"))-(COUNTIF($M$5:M42,"x")))=0,"",COUNTIF($M$5:M43,"x"))</f>
        <v/>
      </c>
      <c r="N148" s="3759" t="str">
        <f>IF(((COUNTIF($N$5:N43,"x"))-(COUNTIF($N$5:N42,"x")))=0,"",COUNTIF($N$5:N43,"x"))</f>
        <v/>
      </c>
      <c r="O148" s="3759" t="str">
        <f>IF(((COUNTIF($O$5:O43,"x"))-(COUNTIF($O$5:O42,"x")))=0,"",COUNTIF($O$5:O43,"x"))</f>
        <v/>
      </c>
      <c r="P148" s="3759">
        <f>IF(((COUNTIF($P$5:P43,"x"))-(COUNTIF($P$5:P42,"x")))=0,"",COUNTIF($P$5:P43,"x"))</f>
        <v>5</v>
      </c>
      <c r="Q148" s="3759" t="str">
        <f>IF(((COUNTIF($Q$5:Q43,"x"))-(COUNTIF($Q$5:Q42,"x")))=0,"",COUNTIF($Q$5:Q43,"x"))</f>
        <v/>
      </c>
      <c r="R148" s="3759" t="str">
        <f>IF(((COUNTIF($R$5:R43,"x"))-(COUNTIF($R$5:R42,"x")))=0,"",COUNTIF($R$5:R43,"x"))</f>
        <v/>
      </c>
      <c r="S148" s="3759" t="str">
        <f>IF(((COUNTIF($S$5:S43,"x"))-(COUNTIF($S$5:S42,"x")))=0,"",COUNTIF($S$5:S43,"x"))</f>
        <v/>
      </c>
      <c r="T148" s="3759" t="str">
        <f>IF(((COUNTIF($T$5:T43,"x"))-(COUNTIF($T$5:T42,"x")))=0,"",COUNTIF($T$5:T43,"x"))</f>
        <v/>
      </c>
      <c r="U148" s="3759" t="str">
        <f>IF(((COUNTIF($U$5:U43,"x"))-(COUNTIF($U$5:U42,"x")))=0,"",COUNTIF($U$5:U43,"x"))</f>
        <v/>
      </c>
      <c r="V148" s="3759" t="str">
        <f>IF(((COUNTIF($V$5:V43,"x"))-(COUNTIF($V$5:V42,"x")))=0,"",COUNTIF($V$5:V43,"x"))</f>
        <v/>
      </c>
      <c r="W148" s="3759" t="str">
        <f>IF(((COUNTIF($W$5:W43,"x"))-(COUNTIF($W$5:W42,"x")))=0,"",COUNTIF($W$5:W43,"x"))</f>
        <v/>
      </c>
      <c r="X148" s="3759" t="str">
        <f>IF(((COUNTIF($X$5:X43,"x"))-(COUNTIF($X$5:X42,"x")))=0,"",COUNTIF($X$5:X43,"x"))</f>
        <v/>
      </c>
      <c r="Y148" s="3759" t="str">
        <f>IF(((COUNTIF($Y$5:Y43,"x"))-(COUNTIF($Y$5:Y42,"x")))=0,"",COUNTIF($Y$5:Y43,"x"))</f>
        <v/>
      </c>
      <c r="Z148" s="3759" t="str">
        <f>IF(((COUNTIF($Z$5:Z43,"x"))-(COUNTIF($Z$5:Z42,"x")))=0,"",COUNTIF($Z$5:Z43,"x"))</f>
        <v/>
      </c>
      <c r="AA148" s="3759">
        <f>IF(((COUNTIF($AA$5:AA43,"x"))-(COUNTIF($AA$5:AA42,"x")))=0,"",COUNTIF($AA$5:AA43,"x"))</f>
        <v>8</v>
      </c>
      <c r="AB148" s="3759" t="str">
        <f>IF(((COUNTIF($AB$5:AB43,"x"))-(COUNTIF($AB$5:AB42,"x")))=0,"",COUNTIF($AB$5:AB43,"x"))</f>
        <v/>
      </c>
      <c r="AC148" s="3759" t="str">
        <f>IF(((COUNTIF($AC$5:AC43,"x"))-(COUNTIF($AC$5:AC42,"x")))=0,"",COUNTIF($AC$5:AC43,"x"))</f>
        <v/>
      </c>
      <c r="AD148" s="3759">
        <f>IF(((COUNTIF($AD$5:AD43,"x"))-(COUNTIF($AD$5:AD42,"x")))=0,"",COUNTIF($AD$5:AD43,"x"))</f>
        <v>35</v>
      </c>
      <c r="AE148" s="3759" t="str">
        <f>IF(((COUNTIF($AE$5:AE43,"x"))-(COUNTIF($AE$5:AE42,"x")))=0,"",COUNTIF($AE$5:AE43,"x"))</f>
        <v/>
      </c>
      <c r="AF148" s="3760" t="str">
        <f>IF(((COUNTIF($AF$5:AF43,"x"))-(COUNTIF($AF$5:AF42,"x")))=0,"",COUNTIF($AF$5:AF43,"x"))</f>
        <v/>
      </c>
      <c r="AG148" s="2152" t="str">
        <f t="shared" si="15"/>
        <v>Goltix Titan</v>
      </c>
    </row>
    <row r="149" spans="2:33" ht="18">
      <c r="B149" s="2168">
        <f t="shared" si="16"/>
        <v>40</v>
      </c>
      <c r="C149" s="3763" t="str">
        <f t="shared" si="13"/>
        <v xml:space="preserve">Harmony SX </v>
      </c>
      <c r="D149" s="3707"/>
      <c r="E149" s="3762"/>
      <c r="F149" s="3758" t="str">
        <f>IF(((COUNTIF($F$5:$F44,"x"))-(COUNTIF($F$5:$F43,"x")))=0,"",COUNTIF($F$5:$F44,"x"))</f>
        <v/>
      </c>
      <c r="G149" s="3759" t="str">
        <f>IF(((COUNTIF($G$5:$G44,"x"))-(COUNTIF($G$5:$G43,"x")))=0,"",COUNTIF($G$5:$G44,"x"))</f>
        <v/>
      </c>
      <c r="H149" s="3759" t="str">
        <f>IF(((COUNTIF($H$5:$H44,"x"))-(COUNTIF($H$5:$H43,"x")))=0,"",COUNTIF($H$5:$H44,"x"))</f>
        <v/>
      </c>
      <c r="I149" s="3759" t="str">
        <f>IF(((COUNTIF($I$5:I44,"x"))-(COUNTIF($I$5:I43,"x")))=0,"",COUNTIF($I$5:I44,"x"))</f>
        <v/>
      </c>
      <c r="J149" s="3759" t="str">
        <f>IF(((COUNTIF($J$5:J44,"x"))-(COUNTIF($J$5:J43,"x")))=0,"",COUNTIF($J$5:J44,"x"))</f>
        <v/>
      </c>
      <c r="K149" s="3759" t="str">
        <f>IF(((COUNTIF($K$5:K44,"x"))-(COUNTIF($K$5:K43,"x")))=0,"",COUNTIF($K$5:K44,"x"))</f>
        <v/>
      </c>
      <c r="L149" s="3759" t="str">
        <f>IF(((COUNTIF($L$5:L44,"x"))-(COUNTIF($L$5:L43,"x")))=0,"",COUNTIF($L$5:L44,"x"))</f>
        <v/>
      </c>
      <c r="M149" s="3759" t="str">
        <f>IF(((COUNTIF($M$5:M44,"x"))-(COUNTIF($M$5:M43,"x")))=0,"",COUNTIF($M$5:M44,"x"))</f>
        <v/>
      </c>
      <c r="N149" s="3759" t="str">
        <f>IF(((COUNTIF($N$5:N44,"x"))-(COUNTIF($N$5:N43,"x")))=0,"",COUNTIF($N$5:N44,"x"))</f>
        <v/>
      </c>
      <c r="O149" s="3759" t="str">
        <f>IF(((COUNTIF($O$5:O44,"x"))-(COUNTIF($O$5:O43,"x")))=0,"",COUNTIF($O$5:O44,"x"))</f>
        <v/>
      </c>
      <c r="P149" s="3759" t="str">
        <f>IF(((COUNTIF($P$5:P44,"x"))-(COUNTIF($P$5:P43,"x")))=0,"",COUNTIF($P$5:P44,"x"))</f>
        <v/>
      </c>
      <c r="Q149" s="3759" t="str">
        <f>IF(((COUNTIF($Q$5:Q44,"x"))-(COUNTIF($Q$5:Q43,"x")))=0,"",COUNTIF($Q$5:Q44,"x"))</f>
        <v/>
      </c>
      <c r="R149" s="3759">
        <f>IF(((COUNTIF($R$5:R44,"x"))-(COUNTIF($R$5:R43,"x")))=0,"",COUNTIF($R$5:R44,"x"))</f>
        <v>8</v>
      </c>
      <c r="S149" s="3759" t="str">
        <f>IF(((COUNTIF($S$5:S44,"x"))-(COUNTIF($S$5:S43,"x")))=0,"",COUNTIF($S$5:S44,"x"))</f>
        <v/>
      </c>
      <c r="T149" s="3759" t="str">
        <f>IF(((COUNTIF($T$5:T44,"x"))-(COUNTIF($T$5:T43,"x")))=0,"",COUNTIF($T$5:T44,"x"))</f>
        <v/>
      </c>
      <c r="U149" s="3759" t="str">
        <f>IF(((COUNTIF($U$5:U44,"x"))-(COUNTIF($U$5:U43,"x")))=0,"",COUNTIF($U$5:U44,"x"))</f>
        <v/>
      </c>
      <c r="V149" s="3759">
        <f>IF(((COUNTIF($V$5:V44,"x"))-(COUNTIF($V$5:V43,"x")))=0,"",COUNTIF($V$5:V44,"x"))</f>
        <v>5</v>
      </c>
      <c r="W149" s="3759" t="str">
        <f>IF(((COUNTIF($W$5:W44,"x"))-(COUNTIF($W$5:W43,"x")))=0,"",COUNTIF($W$5:W44,"x"))</f>
        <v/>
      </c>
      <c r="X149" s="3759" t="str">
        <f>IF(((COUNTIF($X$5:X44,"x"))-(COUNTIF($X$5:X43,"x")))=0,"",COUNTIF($X$5:X44,"x"))</f>
        <v/>
      </c>
      <c r="Y149" s="3759" t="str">
        <f>IF(((COUNTIF($Y$5:Y44,"x"))-(COUNTIF($Y$5:Y43,"x")))=0,"",COUNTIF($Y$5:Y44,"x"))</f>
        <v/>
      </c>
      <c r="Z149" s="3759" t="str">
        <f>IF(((COUNTIF($Z$5:Z44,"x"))-(COUNTIF($Z$5:Z43,"x")))=0,"",COUNTIF($Z$5:Z44,"x"))</f>
        <v/>
      </c>
      <c r="AA149" s="3759" t="str">
        <f>IF(((COUNTIF($AA$5:AA44,"x"))-(COUNTIF($AA$5:AA43,"x")))=0,"",COUNTIF($AA$5:AA44,"x"))</f>
        <v/>
      </c>
      <c r="AB149" s="3759" t="str">
        <f>IF(((COUNTIF($AB$5:AB44,"x"))-(COUNTIF($AB$5:AB43,"x")))=0,"",COUNTIF($AB$5:AB44,"x"))</f>
        <v/>
      </c>
      <c r="AC149" s="3759" t="str">
        <f>IF(((COUNTIF($AC$5:AC44,"x"))-(COUNTIF($AC$5:AC43,"x")))=0,"",COUNTIF($AC$5:AC44,"x"))</f>
        <v/>
      </c>
      <c r="AD149" s="3759">
        <f>IF(((COUNTIF($AD$5:AD44,"x"))-(COUNTIF($AD$5:AD43,"x")))=0,"",COUNTIF($AD$5:AD44,"x"))</f>
        <v>36</v>
      </c>
      <c r="AE149" s="3759" t="str">
        <f>IF(((COUNTIF($AE$5:AE44,"x"))-(COUNTIF($AE$5:AE43,"x")))=0,"",COUNTIF($AE$5:AE44,"x"))</f>
        <v/>
      </c>
      <c r="AF149" s="3760" t="str">
        <f>IF(((COUNTIF($AF$5:AF44,"x"))-(COUNTIF($AF$5:AF43,"x")))=0,"",COUNTIF($AF$5:AF44,"x"))</f>
        <v/>
      </c>
      <c r="AG149" s="2152" t="str">
        <f t="shared" si="15"/>
        <v xml:space="preserve">Harmony SX </v>
      </c>
    </row>
    <row r="150" spans="2:33" ht="18">
      <c r="B150" s="2168">
        <f t="shared" si="16"/>
        <v>41</v>
      </c>
      <c r="C150" s="3763" t="str">
        <f t="shared" si="13"/>
        <v>Herold SC</v>
      </c>
      <c r="D150" s="3707"/>
      <c r="E150" s="3762"/>
      <c r="F150" s="3758">
        <f>IF(((COUNTIF($F$5:$F45,"x"))-(COUNTIF($F$5:$F44,"x")))=0,"",COUNTIF($F$5:$F45,"x"))</f>
        <v>15</v>
      </c>
      <c r="G150" s="3759">
        <f>IF(((COUNTIF($G$5:$G45,"x"))-(COUNTIF($G$5:$G44,"x")))=0,"",COUNTIF($G$5:$G45,"x"))</f>
        <v>12</v>
      </c>
      <c r="H150" s="3759">
        <f>IF(((COUNTIF($H$5:$H45,"x"))-(COUNTIF($H$5:$H44,"x")))=0,"",COUNTIF($H$5:$H45,"x"))</f>
        <v>15</v>
      </c>
      <c r="I150" s="3759">
        <f>IF(((COUNTIF($I$5:I45,"x"))-(COUNTIF($I$5:I44,"x")))=0,"",COUNTIF($I$5:I45,"x"))</f>
        <v>13</v>
      </c>
      <c r="J150" s="3759">
        <f>IF(((COUNTIF($J$5:J45,"x"))-(COUNTIF($J$5:J44,"x")))=0,"",COUNTIF($J$5:J45,"x"))</f>
        <v>12</v>
      </c>
      <c r="K150" s="3759" t="str">
        <f>IF(((COUNTIF($K$5:K45,"x"))-(COUNTIF($K$5:K44,"x")))=0,"",COUNTIF($K$5:K45,"x"))</f>
        <v/>
      </c>
      <c r="L150" s="3759" t="str">
        <f>IF(((COUNTIF($L$5:L45,"x"))-(COUNTIF($L$5:L44,"x")))=0,"",COUNTIF($L$5:L45,"x"))</f>
        <v/>
      </c>
      <c r="M150" s="3759" t="str">
        <f>IF(((COUNTIF($M$5:M45,"x"))-(COUNTIF($M$5:M44,"x")))=0,"",COUNTIF($M$5:M45,"x"))</f>
        <v/>
      </c>
      <c r="N150" s="3759" t="str">
        <f>IF(((COUNTIF($N$5:N45,"x"))-(COUNTIF($N$5:N44,"x")))=0,"",COUNTIF($N$5:N45,"x"))</f>
        <v/>
      </c>
      <c r="O150" s="3759" t="str">
        <f>IF(((COUNTIF($O$5:O45,"x"))-(COUNTIF($O$5:O44,"x")))=0,"",COUNTIF($O$5:O45,"x"))</f>
        <v/>
      </c>
      <c r="P150" s="3759" t="str">
        <f>IF(((COUNTIF($P$5:P45,"x"))-(COUNTIF($P$5:P44,"x")))=0,"",COUNTIF($P$5:P45,"x"))</f>
        <v/>
      </c>
      <c r="Q150" s="3759" t="str">
        <f>IF(((COUNTIF($Q$5:Q45,"x"))-(COUNTIF($Q$5:Q44,"x")))=0,"",COUNTIF($Q$5:Q45,"x"))</f>
        <v/>
      </c>
      <c r="R150" s="3759" t="str">
        <f>IF(((COUNTIF($R$5:R45,"x"))-(COUNTIF($R$5:R44,"x")))=0,"",COUNTIF($R$5:R45,"x"))</f>
        <v/>
      </c>
      <c r="S150" s="3759" t="str">
        <f>IF(((COUNTIF($S$5:S45,"x"))-(COUNTIF($S$5:S44,"x")))=0,"",COUNTIF($S$5:S45,"x"))</f>
        <v/>
      </c>
      <c r="T150" s="3759" t="str">
        <f>IF(((COUNTIF($T$5:T45,"x"))-(COUNTIF($T$5:T44,"x")))=0,"",COUNTIF($T$5:T45,"x"))</f>
        <v/>
      </c>
      <c r="U150" s="3759" t="str">
        <f>IF(((COUNTIF($U$5:U45,"x"))-(COUNTIF($U$5:U44,"x")))=0,"",COUNTIF($U$5:U45,"x"))</f>
        <v/>
      </c>
      <c r="V150" s="3759" t="str">
        <f>IF(((COUNTIF($V$5:V45,"x"))-(COUNTIF($V$5:V44,"x")))=0,"",COUNTIF($V$5:V45,"x"))</f>
        <v/>
      </c>
      <c r="W150" s="3759" t="str">
        <f>IF(((COUNTIF($W$5:W45,"x"))-(COUNTIF($W$5:W44,"x")))=0,"",COUNTIF($W$5:W45,"x"))</f>
        <v/>
      </c>
      <c r="X150" s="3759" t="str">
        <f>IF(((COUNTIF($X$5:X45,"x"))-(COUNTIF($X$5:X44,"x")))=0,"",COUNTIF($X$5:X45,"x"))</f>
        <v/>
      </c>
      <c r="Y150" s="3759" t="str">
        <f>IF(((COUNTIF($Y$5:Y45,"x"))-(COUNTIF($Y$5:Y44,"x")))=0,"",COUNTIF($Y$5:Y45,"x"))</f>
        <v/>
      </c>
      <c r="Z150" s="3759" t="str">
        <f>IF(((COUNTIF($Z$5:Z45,"x"))-(COUNTIF($Z$5:Z44,"x")))=0,"",COUNTIF($Z$5:Z45,"x"))</f>
        <v/>
      </c>
      <c r="AA150" s="3759" t="str">
        <f>IF(((COUNTIF($AA$5:AA45,"x"))-(COUNTIF($AA$5:AA44,"x")))=0,"",COUNTIF($AA$5:AA45,"x"))</f>
        <v/>
      </c>
      <c r="AB150" s="3759" t="str">
        <f>IF(((COUNTIF($AB$5:AB45,"x"))-(COUNTIF($AB$5:AB44,"x")))=0,"",COUNTIF($AB$5:AB45,"x"))</f>
        <v/>
      </c>
      <c r="AC150" s="3759" t="str">
        <f>IF(((COUNTIF($AC$5:AC45,"x"))-(COUNTIF($AC$5:AC44,"x")))=0,"",COUNTIF($AC$5:AC45,"x"))</f>
        <v/>
      </c>
      <c r="AD150" s="3759">
        <f>IF(((COUNTIF($AD$5:AD45,"x"))-(COUNTIF($AD$5:AD44,"x")))=0,"",COUNTIF($AD$5:AD45,"x"))</f>
        <v>37</v>
      </c>
      <c r="AE150" s="3759" t="str">
        <f>IF(((COUNTIF($AE$5:AE45,"x"))-(COUNTIF($AE$5:AE44,"x")))=0,"",COUNTIF($AE$5:AE45,"x"))</f>
        <v/>
      </c>
      <c r="AF150" s="3760" t="str">
        <f>IF(((COUNTIF($AF$5:AF45,"x"))-(COUNTIF($AF$5:AF44,"x")))=0,"",COUNTIF($AF$5:AF45,"x"))</f>
        <v/>
      </c>
      <c r="AG150" s="2152" t="str">
        <f t="shared" si="15"/>
        <v>Herold SC</v>
      </c>
    </row>
    <row r="151" spans="2:33" ht="18">
      <c r="B151" s="2168">
        <f t="shared" si="16"/>
        <v>42</v>
      </c>
      <c r="C151" s="3763" t="str">
        <f t="shared" si="13"/>
        <v>Hoestar Super</v>
      </c>
      <c r="D151" s="3707"/>
      <c r="E151" s="3762"/>
      <c r="F151" s="3758">
        <f>IF(((COUNTIF($F$5:$F46,"x"))-(COUNTIF($F$5:$F45,"x")))=0,"",COUNTIF($F$5:$F46,"x"))</f>
        <v>16</v>
      </c>
      <c r="G151" s="3759" t="str">
        <f>IF(((COUNTIF($G$5:$G46,"x"))-(COUNTIF($G$5:$G45,"x")))=0,"",COUNTIF($G$5:$G46,"x"))</f>
        <v/>
      </c>
      <c r="H151" s="3759">
        <f>IF(((COUNTIF($H$5:$H46,"x"))-(COUNTIF($H$5:$H45,"x")))=0,"",COUNTIF($H$5:$H46,"x"))</f>
        <v>16</v>
      </c>
      <c r="I151" s="3759">
        <f>IF(((COUNTIF($I$5:I46,"x"))-(COUNTIF($I$5:I45,"x")))=0,"",COUNTIF($I$5:I46,"x"))</f>
        <v>14</v>
      </c>
      <c r="J151" s="3759">
        <f>IF(((COUNTIF($J$5:J46,"x"))-(COUNTIF($J$5:J45,"x")))=0,"",COUNTIF($J$5:J46,"x"))</f>
        <v>13</v>
      </c>
      <c r="K151" s="3759">
        <f>IF(((COUNTIF($K$5:K46,"x"))-(COUNTIF($K$5:K45,"x")))=0,"",COUNTIF($K$5:K46,"x"))</f>
        <v>12</v>
      </c>
      <c r="L151" s="3759">
        <f>IF(((COUNTIF($L$5:L46,"x"))-(COUNTIF($L$5:L45,"x")))=0,"",COUNTIF($L$5:L46,"x"))</f>
        <v>12</v>
      </c>
      <c r="M151" s="3759">
        <f>IF(((COUNTIF($M$5:M46,"x"))-(COUNTIF($M$5:M45,"x")))=0,"",COUNTIF($M$5:M46,"x"))</f>
        <v>12</v>
      </c>
      <c r="N151" s="3759" t="str">
        <f>IF(((COUNTIF($N$5:N46,"x"))-(COUNTIF($N$5:N45,"x")))=0,"",COUNTIF($N$5:N46,"x"))</f>
        <v/>
      </c>
      <c r="O151" s="3759">
        <f>IF(((COUNTIF($O$5:O46,"x"))-(COUNTIF($O$5:O45,"x")))=0,"",COUNTIF($O$5:O46,"x"))</f>
        <v>8</v>
      </c>
      <c r="P151" s="3759">
        <f>IF(((COUNTIF($P$5:P46,"x"))-(COUNTIF($P$5:P45,"x")))=0,"",COUNTIF($P$5:P46,"x"))</f>
        <v>6</v>
      </c>
      <c r="Q151" s="3759" t="str">
        <f>IF(((COUNTIF($Q$5:Q46,"x"))-(COUNTIF($Q$5:Q45,"x")))=0,"",COUNTIF($Q$5:Q46,"x"))</f>
        <v/>
      </c>
      <c r="R151" s="3759" t="str">
        <f>IF(((COUNTIF($R$5:R46,"x"))-(COUNTIF($R$5:R45,"x")))=0,"",COUNTIF($R$5:R46,"x"))</f>
        <v/>
      </c>
      <c r="S151" s="3759" t="str">
        <f>IF(((COUNTIF($S$5:S46,"x"))-(COUNTIF($S$5:S45,"x")))=0,"",COUNTIF($S$5:S46,"x"))</f>
        <v/>
      </c>
      <c r="T151" s="3759" t="str">
        <f>IF(((COUNTIF($T$5:T46,"x"))-(COUNTIF($T$5:T45,"x")))=0,"",COUNTIF($T$5:T46,"x"))</f>
        <v/>
      </c>
      <c r="U151" s="3759" t="str">
        <f>IF(((COUNTIF($U$5:U46,"x"))-(COUNTIF($U$5:U45,"x")))=0,"",COUNTIF($U$5:U46,"x"))</f>
        <v/>
      </c>
      <c r="V151" s="3759" t="str">
        <f>IF(((COUNTIF($V$5:V46,"x"))-(COUNTIF($V$5:V45,"x")))=0,"",COUNTIF($V$5:V46,"x"))</f>
        <v/>
      </c>
      <c r="W151" s="3759" t="str">
        <f>IF(((COUNTIF($W$5:W46,"x"))-(COUNTIF($W$5:W45,"x")))=0,"",COUNTIF($W$5:W46,"x"))</f>
        <v/>
      </c>
      <c r="X151" s="3759" t="str">
        <f>IF(((COUNTIF($X$5:X46,"x"))-(COUNTIF($X$5:X45,"x")))=0,"",COUNTIF($X$5:X46,"x"))</f>
        <v/>
      </c>
      <c r="Y151" s="3759" t="str">
        <f>IF(((COUNTIF($Y$5:Y46,"x"))-(COUNTIF($Y$5:Y45,"x")))=0,"",COUNTIF($Y$5:Y46,"x"))</f>
        <v/>
      </c>
      <c r="Z151" s="3759" t="str">
        <f>IF(((COUNTIF($Z$5:Z46,"x"))-(COUNTIF($Z$5:Z45,"x")))=0,"",COUNTIF($Z$5:Z46,"x"))</f>
        <v/>
      </c>
      <c r="AA151" s="3759" t="str">
        <f>IF(((COUNTIF($AA$5:AA46,"x"))-(COUNTIF($AA$5:AA45,"x")))=0,"",COUNTIF($AA$5:AA46,"x"))</f>
        <v/>
      </c>
      <c r="AB151" s="3759" t="str">
        <f>IF(((COUNTIF($AB$5:AB46,"x"))-(COUNTIF($AB$5:AB45,"x")))=0,"",COUNTIF($AB$5:AB46,"x"))</f>
        <v/>
      </c>
      <c r="AC151" s="3759" t="str">
        <f>IF(((COUNTIF($AC$5:AC46,"x"))-(COUNTIF($AC$5:AC45,"x")))=0,"",COUNTIF($AC$5:AC46,"x"))</f>
        <v/>
      </c>
      <c r="AD151" s="3759">
        <f>IF(((COUNTIF($AD$5:AD46,"x"))-(COUNTIF($AD$5:AD45,"x")))=0,"",COUNTIF($AD$5:AD46,"x"))</f>
        <v>38</v>
      </c>
      <c r="AE151" s="3759" t="str">
        <f>IF(((COUNTIF($AE$5:AE46,"x"))-(COUNTIF($AE$5:AE45,"x")))=0,"",COUNTIF($AE$5:AE46,"x"))</f>
        <v/>
      </c>
      <c r="AF151" s="3760" t="str">
        <f>IF(((COUNTIF($AF$5:AF46,"x"))-(COUNTIF($AF$5:AF45,"x")))=0,"",COUNTIF($AF$5:AF46,"x"))</f>
        <v/>
      </c>
      <c r="AG151" s="2152" t="str">
        <f t="shared" si="15"/>
        <v>Hoestar Super</v>
      </c>
    </row>
    <row r="152" spans="2:33" ht="18">
      <c r="B152" s="2168">
        <f t="shared" si="16"/>
        <v>43</v>
      </c>
      <c r="C152" s="3763" t="str">
        <f t="shared" si="13"/>
        <v>Infinito</v>
      </c>
      <c r="D152" s="3707"/>
      <c r="E152" s="3762"/>
      <c r="F152" s="3758" t="str">
        <f>IF(((COUNTIF($F$5:$F47,"x"))-(COUNTIF($F$5:$F46,"x")))=0,"",COUNTIF($F$5:$F47,"x"))</f>
        <v/>
      </c>
      <c r="G152" s="3759" t="str">
        <f>IF(((COUNTIF($G$5:$G47,"x"))-(COUNTIF($G$5:$G46,"x")))=0,"",COUNTIF($G$5:$G47,"x"))</f>
        <v/>
      </c>
      <c r="H152" s="3759" t="str">
        <f>IF(((COUNTIF($H$5:$H47,"x"))-(COUNTIF($H$5:$H46,"x")))=0,"",COUNTIF($H$5:$H47,"x"))</f>
        <v/>
      </c>
      <c r="I152" s="3759" t="str">
        <f>IF(((COUNTIF($I$5:I47,"x"))-(COUNTIF($I$5:I46,"x")))=0,"",COUNTIF($I$5:I47,"x"))</f>
        <v/>
      </c>
      <c r="J152" s="3759" t="str">
        <f>IF(((COUNTIF($J$5:J47,"x"))-(COUNTIF($J$5:J46,"x")))=0,"",COUNTIF($J$5:J47,"x"))</f>
        <v/>
      </c>
      <c r="K152" s="3759" t="str">
        <f>IF(((COUNTIF($K$5:K47,"x"))-(COUNTIF($K$5:K46,"x")))=0,"",COUNTIF($K$5:K47,"x"))</f>
        <v/>
      </c>
      <c r="L152" s="3759" t="str">
        <f>IF(((COUNTIF($L$5:L47,"x"))-(COUNTIF($L$5:L46,"x")))=0,"",COUNTIF($L$5:L47,"x"))</f>
        <v/>
      </c>
      <c r="M152" s="3759" t="str">
        <f>IF(((COUNTIF($M$5:M47,"x"))-(COUNTIF($M$5:M46,"x")))=0,"",COUNTIF($M$5:M47,"x"))</f>
        <v/>
      </c>
      <c r="N152" s="3759" t="str">
        <f>IF(((COUNTIF($N$5:N47,"x"))-(COUNTIF($N$5:N46,"x")))=0,"",COUNTIF($N$5:N47,"x"))</f>
        <v/>
      </c>
      <c r="O152" s="3759" t="str">
        <f>IF(((COUNTIF($O$5:O47,"x"))-(COUNTIF($O$5:O46,"x")))=0,"",COUNTIF($O$5:O47,"x"))</f>
        <v/>
      </c>
      <c r="P152" s="3759" t="str">
        <f>IF(((COUNTIF($P$5:P47,"x"))-(COUNTIF($P$5:P46,"x")))=0,"",COUNTIF($P$5:P47,"x"))</f>
        <v/>
      </c>
      <c r="Q152" s="3759" t="str">
        <f>IF(((COUNTIF($Q$5:Q47,"x"))-(COUNTIF($Q$5:Q46,"x")))=0,"",COUNTIF($Q$5:Q47,"x"))</f>
        <v/>
      </c>
      <c r="R152" s="3759" t="str">
        <f>IF(((COUNTIF($R$5:R47,"x"))-(COUNTIF($R$5:R46,"x")))=0,"",COUNTIF($R$5:R47,"x"))</f>
        <v/>
      </c>
      <c r="S152" s="3759" t="str">
        <f>IF(((COUNTIF($S$5:S47,"x"))-(COUNTIF($S$5:S46,"x")))=0,"",COUNTIF($S$5:S47,"x"))</f>
        <v/>
      </c>
      <c r="T152" s="3759" t="str">
        <f>IF(((COUNTIF($T$5:T47,"x"))-(COUNTIF($T$5:T46,"x")))=0,"",COUNTIF($T$5:T47,"x"))</f>
        <v/>
      </c>
      <c r="U152" s="3759" t="str">
        <f>IF(((COUNTIF($U$5:U47,"x"))-(COUNTIF($U$5:U46,"x")))=0,"",COUNTIF($U$5:U47,"x"))</f>
        <v/>
      </c>
      <c r="V152" s="3759" t="str">
        <f>IF(((COUNTIF($V$5:V47,"x"))-(COUNTIF($V$5:V46,"x")))=0,"",COUNTIF($V$5:V47,"x"))</f>
        <v/>
      </c>
      <c r="W152" s="3759" t="str">
        <f>IF(((COUNTIF($W$5:W47,"x"))-(COUNTIF($W$5:W46,"x")))=0,"",COUNTIF($W$5:W47,"x"))</f>
        <v/>
      </c>
      <c r="X152" s="3759" t="str">
        <f>IF(((COUNTIF($X$5:X47,"x"))-(COUNTIF($X$5:X46,"x")))=0,"",COUNTIF($X$5:X47,"x"))</f>
        <v/>
      </c>
      <c r="Y152" s="3759" t="str">
        <f>IF(((COUNTIF($Y$5:Y47,"x"))-(COUNTIF($Y$5:Y46,"x")))=0,"",COUNTIF($Y$5:Y47,"x"))</f>
        <v/>
      </c>
      <c r="Z152" s="3759" t="str">
        <f>IF(((COUNTIF($Z$5:Z47,"x"))-(COUNTIF($Z$5:Z46,"x")))=0,"",COUNTIF($Z$5:Z47,"x"))</f>
        <v/>
      </c>
      <c r="AA152" s="3759" t="str">
        <f>IF(((COUNTIF($AA$5:AA47,"x"))-(COUNTIF($AA$5:AA46,"x")))=0,"",COUNTIF($AA$5:AA47,"x"))</f>
        <v/>
      </c>
      <c r="AB152" s="3759">
        <f>IF(((COUNTIF($AB$5:AB47,"x"))-(COUNTIF($AB$5:AB46,"x")))=0,"",COUNTIF($AB$5:AB47,"x"))</f>
        <v>9</v>
      </c>
      <c r="AC152" s="3759" t="str">
        <f>IF(((COUNTIF($AC$5:AC47,"x"))-(COUNTIF($AC$5:AC46,"x")))=0,"",COUNTIF($AC$5:AC47,"x"))</f>
        <v/>
      </c>
      <c r="AD152" s="3759">
        <f>IF(((COUNTIF($AD$5:AD47,"x"))-(COUNTIF($AD$5:AD46,"x")))=0,"",COUNTIF($AD$5:AD47,"x"))</f>
        <v>39</v>
      </c>
      <c r="AE152" s="3759" t="str">
        <f>IF(((COUNTIF($AE$5:AE47,"x"))-(COUNTIF($AE$5:AE46,"x")))=0,"",COUNTIF($AE$5:AE47,"x"))</f>
        <v/>
      </c>
      <c r="AF152" s="3760" t="str">
        <f>IF(((COUNTIF($AF$5:AF47,"x"))-(COUNTIF($AF$5:AF46,"x")))=0,"",COUNTIF($AF$5:AF47,"x"))</f>
        <v/>
      </c>
      <c r="AG152" s="2152" t="str">
        <f t="shared" si="15"/>
        <v>Infinito</v>
      </c>
    </row>
    <row r="153" spans="2:33" ht="18">
      <c r="B153" s="2168">
        <f t="shared" si="16"/>
        <v>44</v>
      </c>
      <c r="C153" s="3763" t="str">
        <f t="shared" si="13"/>
        <v>Input Classic</v>
      </c>
      <c r="D153" s="3707"/>
      <c r="E153" s="3762"/>
      <c r="F153" s="3758">
        <f>IF(((COUNTIF($F$5:$F48,"x"))-(COUNTIF($F$5:$F47,"x")))=0,"",COUNTIF($F$5:$F48,"x"))</f>
        <v>17</v>
      </c>
      <c r="G153" s="3759">
        <f>IF(((COUNTIF($G$5:$G48,"x"))-(COUNTIF($G$5:$G47,"x")))=0,"",COUNTIF($G$5:$G48,"x"))</f>
        <v>13</v>
      </c>
      <c r="H153" s="3759">
        <f>IF(((COUNTIF($H$5:$H48,"x"))-(COUNTIF($H$5:$H47,"x")))=0,"",COUNTIF($H$5:$H48,"x"))</f>
        <v>17</v>
      </c>
      <c r="I153" s="3759">
        <f>IF(((COUNTIF($I$5:I48,"x"))-(COUNTIF($I$5:I47,"x")))=0,"",COUNTIF($I$5:I48,"x"))</f>
        <v>15</v>
      </c>
      <c r="J153" s="3759">
        <f>IF(((COUNTIF($J$5:J48,"x"))-(COUNTIF($J$5:J47,"x")))=0,"",COUNTIF($J$5:J48,"x"))</f>
        <v>14</v>
      </c>
      <c r="K153" s="3759">
        <f>IF(((COUNTIF($K$5:K48,"x"))-(COUNTIF($K$5:K47,"x")))=0,"",COUNTIF($K$5:K48,"x"))</f>
        <v>13</v>
      </c>
      <c r="L153" s="3759">
        <f>IF(((COUNTIF($L$5:L48,"x"))-(COUNTIF($L$5:L47,"x")))=0,"",COUNTIF($L$5:L48,"x"))</f>
        <v>13</v>
      </c>
      <c r="M153" s="3759">
        <f>IF(((COUNTIF($M$5:M48,"x"))-(COUNTIF($M$5:M47,"x")))=0,"",COUNTIF($M$5:M48,"x"))</f>
        <v>13</v>
      </c>
      <c r="N153" s="3759" t="str">
        <f>IF(((COUNTIF($N$5:N48,"x"))-(COUNTIF($N$5:N47,"x")))=0,"",COUNTIF($N$5:N48,"x"))</f>
        <v/>
      </c>
      <c r="O153" s="3759">
        <f>IF(((COUNTIF($O$5:O48,"x"))-(COUNTIF($O$5:O47,"x")))=0,"",COUNTIF($O$5:O48,"x"))</f>
        <v>9</v>
      </c>
      <c r="P153" s="3759">
        <f>IF(((COUNTIF($P$5:P48,"x"))-(COUNTIF($P$5:P47,"x")))=0,"",COUNTIF($P$5:P48,"x"))</f>
        <v>7</v>
      </c>
      <c r="Q153" s="3759" t="str">
        <f>IF(((COUNTIF($Q$5:Q48,"x"))-(COUNTIF($Q$5:Q47,"x")))=0,"",COUNTIF($Q$5:Q48,"x"))</f>
        <v/>
      </c>
      <c r="R153" s="3759" t="str">
        <f>IF(((COUNTIF($R$5:R48,"x"))-(COUNTIF($R$5:R47,"x")))=0,"",COUNTIF($R$5:R48,"x"))</f>
        <v/>
      </c>
      <c r="S153" s="3759" t="str">
        <f>IF(((COUNTIF($S$5:S48,"x"))-(COUNTIF($S$5:S47,"x")))=0,"",COUNTIF($S$5:S48,"x"))</f>
        <v/>
      </c>
      <c r="T153" s="3759" t="str">
        <f>IF(((COUNTIF($T$5:T48,"x"))-(COUNTIF($T$5:T47,"x")))=0,"",COUNTIF($T$5:T48,"x"))</f>
        <v/>
      </c>
      <c r="U153" s="3759" t="str">
        <f>IF(((COUNTIF($U$5:U48,"x"))-(COUNTIF($U$5:U47,"x")))=0,"",COUNTIF($U$5:U48,"x"))</f>
        <v/>
      </c>
      <c r="V153" s="3759" t="str">
        <f>IF(((COUNTIF($V$5:V48,"x"))-(COUNTIF($V$5:V47,"x")))=0,"",COUNTIF($V$5:V48,"x"))</f>
        <v/>
      </c>
      <c r="W153" s="3759" t="str">
        <f>IF(((COUNTIF($W$5:W48,"x"))-(COUNTIF($W$5:W47,"x")))=0,"",COUNTIF($W$5:W48,"x"))</f>
        <v/>
      </c>
      <c r="X153" s="3759" t="str">
        <f>IF(((COUNTIF($X$5:X48,"x"))-(COUNTIF($X$5:X47,"x")))=0,"",COUNTIF($X$5:X48,"x"))</f>
        <v/>
      </c>
      <c r="Y153" s="3759" t="str">
        <f>IF(((COUNTIF($Y$5:Y48,"x"))-(COUNTIF($Y$5:Y47,"x")))=0,"",COUNTIF($Y$5:Y48,"x"))</f>
        <v/>
      </c>
      <c r="Z153" s="3759" t="str">
        <f>IF(((COUNTIF($Z$5:Z48,"x"))-(COUNTIF($Z$5:Z47,"x")))=0,"",COUNTIF($Z$5:Z48,"x"))</f>
        <v/>
      </c>
      <c r="AA153" s="3759" t="str">
        <f>IF(((COUNTIF($AA$5:AA48,"x"))-(COUNTIF($AA$5:AA47,"x")))=0,"",COUNTIF($AA$5:AA48,"x"))</f>
        <v/>
      </c>
      <c r="AB153" s="3759" t="str">
        <f>IF(((COUNTIF($AB$5:AB48,"x"))-(COUNTIF($AB$5:AB47,"x")))=0,"",COUNTIF($AB$5:AB48,"x"))</f>
        <v/>
      </c>
      <c r="AC153" s="3759" t="str">
        <f>IF(((COUNTIF($AC$5:AC48,"x"))-(COUNTIF($AC$5:AC47,"x")))=0,"",COUNTIF($AC$5:AC48,"x"))</f>
        <v/>
      </c>
      <c r="AD153" s="3759">
        <f>IF(((COUNTIF($AD$5:AD48,"x"))-(COUNTIF($AD$5:AD47,"x")))=0,"",COUNTIF($AD$5:AD48,"x"))</f>
        <v>40</v>
      </c>
      <c r="AE153" s="3759" t="str">
        <f>IF(((COUNTIF($AE$5:AE48,"x"))-(COUNTIF($AE$5:AE47,"x")))=0,"",COUNTIF($AE$5:AE48,"x"))</f>
        <v/>
      </c>
      <c r="AF153" s="3760" t="str">
        <f>IF(((COUNTIF($AF$5:AF48,"x"))-(COUNTIF($AF$5:AF47,"x")))=0,"",COUNTIF($AF$5:AF48,"x"))</f>
        <v/>
      </c>
      <c r="AG153" s="2152" t="str">
        <f t="shared" si="15"/>
        <v>Input Classic</v>
      </c>
    </row>
    <row r="154" spans="2:33" ht="18">
      <c r="B154" s="2168">
        <f t="shared" si="16"/>
        <v>45</v>
      </c>
      <c r="C154" s="3763" t="str">
        <f t="shared" si="13"/>
        <v>Input Xpro</v>
      </c>
      <c r="D154" s="3707"/>
      <c r="E154" s="3762"/>
      <c r="F154" s="3758">
        <f>IF(((COUNTIF($F$5:$F49,"x"))-(COUNTIF($F$5:$F48,"x")))=0,"",COUNTIF($F$5:$F49,"x"))</f>
        <v>18</v>
      </c>
      <c r="G154" s="3759">
        <f>IF(((COUNTIF($G$5:$G49,"x"))-(COUNTIF($G$5:$G48,"x")))=0,"",COUNTIF($G$5:$G49,"x"))</f>
        <v>14</v>
      </c>
      <c r="H154" s="3759">
        <f>IF(((COUNTIF($H$5:$H49,"x"))-(COUNTIF($H$5:$H48,"x")))=0,"",COUNTIF($H$5:$H49,"x"))</f>
        <v>18</v>
      </c>
      <c r="I154" s="3759">
        <f>IF(((COUNTIF($I$5:I49,"x"))-(COUNTIF($I$5:I48,"x")))=0,"",COUNTIF($I$5:I49,"x"))</f>
        <v>16</v>
      </c>
      <c r="J154" s="3759">
        <f>IF(((COUNTIF($J$5:J49,"x"))-(COUNTIF($J$5:J48,"x")))=0,"",COUNTIF($J$5:J49,"x"))</f>
        <v>15</v>
      </c>
      <c r="K154" s="3759">
        <f>IF(((COUNTIF($K$5:K49,"x"))-(COUNTIF($K$5:K48,"x")))=0,"",COUNTIF($K$5:K49,"x"))</f>
        <v>14</v>
      </c>
      <c r="L154" s="3759">
        <f>IF(((COUNTIF($L$5:L49,"x"))-(COUNTIF($L$5:L48,"x")))=0,"",COUNTIF($L$5:L49,"x"))</f>
        <v>14</v>
      </c>
      <c r="M154" s="3759">
        <f>IF(((COUNTIF($M$5:M49,"x"))-(COUNTIF($M$5:M48,"x")))=0,"",COUNTIF($M$5:M49,"x"))</f>
        <v>14</v>
      </c>
      <c r="N154" s="3759" t="str">
        <f>IF(((COUNTIF($N$5:N49,"x"))-(COUNTIF($N$5:N48,"x")))=0,"",COUNTIF($N$5:N49,"x"))</f>
        <v/>
      </c>
      <c r="O154" s="3759">
        <f>IF(((COUNTIF($O$5:O49,"x"))-(COUNTIF($O$5:O48,"x")))=0,"",COUNTIF($O$5:O49,"x"))</f>
        <v>10</v>
      </c>
      <c r="P154" s="3759">
        <f>IF(((COUNTIF($P$5:P49,"x"))-(COUNTIF($P$5:P48,"x")))=0,"",COUNTIF($P$5:P49,"x"))</f>
        <v>8</v>
      </c>
      <c r="Q154" s="3759" t="str">
        <f>IF(((COUNTIF($Q$5:Q49,"x"))-(COUNTIF($Q$5:Q48,"x")))=0,"",COUNTIF($Q$5:Q49,"x"))</f>
        <v/>
      </c>
      <c r="R154" s="3759" t="str">
        <f>IF(((COUNTIF($R$5:R49,"x"))-(COUNTIF($R$5:R48,"x")))=0,"",COUNTIF($R$5:R49,"x"))</f>
        <v/>
      </c>
      <c r="S154" s="3759" t="str">
        <f>IF(((COUNTIF($S$5:S49,"x"))-(COUNTIF($S$5:S48,"x")))=0,"",COUNTIF($S$5:S49,"x"))</f>
        <v/>
      </c>
      <c r="T154" s="3759" t="str">
        <f>IF(((COUNTIF($T$5:T49,"x"))-(COUNTIF($T$5:T48,"x")))=0,"",COUNTIF($T$5:T49,"x"))</f>
        <v/>
      </c>
      <c r="U154" s="3759" t="str">
        <f>IF(((COUNTIF($U$5:U49,"x"))-(COUNTIF($U$5:U48,"x")))=0,"",COUNTIF($U$5:U49,"x"))</f>
        <v/>
      </c>
      <c r="V154" s="3759" t="str">
        <f>IF(((COUNTIF($V$5:V49,"x"))-(COUNTIF($V$5:V48,"x")))=0,"",COUNTIF($V$5:V49,"x"))</f>
        <v/>
      </c>
      <c r="W154" s="3759" t="str">
        <f>IF(((COUNTIF($W$5:W49,"x"))-(COUNTIF($W$5:W48,"x")))=0,"",COUNTIF($W$5:W49,"x"))</f>
        <v/>
      </c>
      <c r="X154" s="3759" t="str">
        <f>IF(((COUNTIF($X$5:X49,"x"))-(COUNTIF($X$5:X48,"x")))=0,"",COUNTIF($X$5:X49,"x"))</f>
        <v/>
      </c>
      <c r="Y154" s="3759" t="str">
        <f>IF(((COUNTIF($Y$5:Y49,"x"))-(COUNTIF($Y$5:Y48,"x")))=0,"",COUNTIF($Y$5:Y49,"x"))</f>
        <v/>
      </c>
      <c r="Z154" s="3759" t="str">
        <f>IF(((COUNTIF($Z$5:Z49,"x"))-(COUNTIF($Z$5:Z48,"x")))=0,"",COUNTIF($Z$5:Z49,"x"))</f>
        <v/>
      </c>
      <c r="AA154" s="3759" t="str">
        <f>IF(((COUNTIF($AA$5:AA49,"x"))-(COUNTIF($AA$5:AA48,"x")))=0,"",COUNTIF($AA$5:AA49,"x"))</f>
        <v/>
      </c>
      <c r="AB154" s="3759" t="str">
        <f>IF(((COUNTIF($AB$5:AB49,"x"))-(COUNTIF($AB$5:AB48,"x")))=0,"",COUNTIF($AB$5:AB49,"x"))</f>
        <v/>
      </c>
      <c r="AC154" s="3759" t="str">
        <f>IF(((COUNTIF($AC$5:AC49,"x"))-(COUNTIF($AC$5:AC48,"x")))=0,"",COUNTIF($AC$5:AC49,"x"))</f>
        <v/>
      </c>
      <c r="AD154" s="3759">
        <f>IF(((COUNTIF($AD$5:AD49,"x"))-(COUNTIF($AD$5:AD48,"x")))=0,"",COUNTIF($AD$5:AD49,"x"))</f>
        <v>41</v>
      </c>
      <c r="AE154" s="3759" t="str">
        <f>IF(((COUNTIF($AE$5:AE49,"x"))-(COUNTIF($AE$5:AE48,"x")))=0,"",COUNTIF($AE$5:AE49,"x"))</f>
        <v/>
      </c>
      <c r="AF154" s="3760" t="str">
        <f>IF(((COUNTIF($AF$5:AF49,"x"))-(COUNTIF($AF$5:AF48,"x")))=0,"",COUNTIF($AF$5:AF49,"x"))</f>
        <v/>
      </c>
      <c r="AG154" s="2152" t="str">
        <f t="shared" si="15"/>
        <v>Input Xpro</v>
      </c>
    </row>
    <row r="155" spans="2:33" ht="18">
      <c r="B155" s="2168">
        <f t="shared" si="16"/>
        <v>46</v>
      </c>
      <c r="C155" s="3763" t="str">
        <f t="shared" si="13"/>
        <v>Metafol SC</v>
      </c>
      <c r="D155" s="3707"/>
      <c r="E155" s="3762"/>
      <c r="F155" s="3758" t="str">
        <f>IF(((COUNTIF($F$5:$F50,"x"))-(COUNTIF($F$5:$F49,"x")))=0,"",COUNTIF($F$5:$F50,"x"))</f>
        <v/>
      </c>
      <c r="G155" s="3759" t="str">
        <f>IF(((COUNTIF($G$5:$G50,"x"))-(COUNTIF($G$5:$G49,"x")))=0,"",COUNTIF($G$5:$G50,"x"))</f>
        <v/>
      </c>
      <c r="H155" s="3759" t="str">
        <f>IF(((COUNTIF($H$5:$H50,"x"))-(COUNTIF($H$5:$H49,"x")))=0,"",COUNTIF($H$5:$H50,"x"))</f>
        <v/>
      </c>
      <c r="I155" s="3759" t="str">
        <f>IF(((COUNTIF($I$5:I50,"x"))-(COUNTIF($I$5:I49,"x")))=0,"",COUNTIF($I$5:I50,"x"))</f>
        <v/>
      </c>
      <c r="J155" s="3759" t="str">
        <f>IF(((COUNTIF($J$5:J50,"x"))-(COUNTIF($J$5:J49,"x")))=0,"",COUNTIF($J$5:J50,"x"))</f>
        <v/>
      </c>
      <c r="K155" s="3759" t="str">
        <f>IF(((COUNTIF($K$5:K50,"x"))-(COUNTIF($K$5:K49,"x")))=0,"",COUNTIF($K$5:K50,"x"))</f>
        <v/>
      </c>
      <c r="L155" s="3759" t="str">
        <f>IF(((COUNTIF($L$5:L50,"x"))-(COUNTIF($L$5:L49,"x")))=0,"",COUNTIF($L$5:L50,"x"))</f>
        <v/>
      </c>
      <c r="M155" s="3759" t="str">
        <f>IF(((COUNTIF($M$5:M50,"x"))-(COUNTIF($M$5:M49,"x")))=0,"",COUNTIF($M$5:M50,"x"))</f>
        <v/>
      </c>
      <c r="N155" s="3759" t="str">
        <f>IF(((COUNTIF($N$5:N50,"x"))-(COUNTIF($N$5:N49,"x")))=0,"",COUNTIF($N$5:N50,"x"))</f>
        <v/>
      </c>
      <c r="O155" s="3759" t="str">
        <f>IF(((COUNTIF($O$5:O50,"x"))-(COUNTIF($O$5:O49,"x")))=0,"",COUNTIF($O$5:O50,"x"))</f>
        <v/>
      </c>
      <c r="P155" s="3759" t="str">
        <f>IF(((COUNTIF($P$5:P50,"x"))-(COUNTIF($P$5:P49,"x")))=0,"",COUNTIF($P$5:P50,"x"))</f>
        <v/>
      </c>
      <c r="Q155" s="3759" t="str">
        <f>IF(((COUNTIF($Q$5:Q50,"x"))-(COUNTIF($Q$5:Q49,"x")))=0,"",COUNTIF($Q$5:Q50,"x"))</f>
        <v/>
      </c>
      <c r="R155" s="3759" t="str">
        <f>IF(((COUNTIF($R$5:R50,"x"))-(COUNTIF($R$5:R49,"x")))=0,"",COUNTIF($R$5:R50,"x"))</f>
        <v/>
      </c>
      <c r="S155" s="3759" t="str">
        <f>IF(((COUNTIF($S$5:S50,"x"))-(COUNTIF($S$5:S49,"x")))=0,"",COUNTIF($S$5:S50,"x"))</f>
        <v/>
      </c>
      <c r="T155" s="3759" t="str">
        <f>IF(((COUNTIF($T$5:T50,"x"))-(COUNTIF($T$5:T49,"x")))=0,"",COUNTIF($T$5:T50,"x"))</f>
        <v/>
      </c>
      <c r="U155" s="3759" t="str">
        <f>IF(((COUNTIF($U$5:U50,"x"))-(COUNTIF($U$5:U49,"x")))=0,"",COUNTIF($U$5:U50,"x"))</f>
        <v/>
      </c>
      <c r="V155" s="3759" t="str">
        <f>IF(((COUNTIF($V$5:V50,"x"))-(COUNTIF($V$5:V49,"x")))=0,"",COUNTIF($V$5:V50,"x"))</f>
        <v/>
      </c>
      <c r="W155" s="3759" t="str">
        <f>IF(((COUNTIF($W$5:W50,"x"))-(COUNTIF($W$5:W49,"x")))=0,"",COUNTIF($W$5:W50,"x"))</f>
        <v/>
      </c>
      <c r="X155" s="3759" t="str">
        <f>IF(((COUNTIF($X$5:X50,"x"))-(COUNTIF($X$5:X49,"x")))=0,"",COUNTIF($X$5:X50,"x"))</f>
        <v/>
      </c>
      <c r="Y155" s="3759" t="str">
        <f>IF(((COUNTIF($Y$5:Y50,"x"))-(COUNTIF($Y$5:Y49,"x")))=0,"",COUNTIF($Y$5:Y50,"x"))</f>
        <v/>
      </c>
      <c r="Z155" s="3759" t="str">
        <f>IF(((COUNTIF($Z$5:Z50,"x"))-(COUNTIF($Z$5:Z49,"x")))=0,"",COUNTIF($Z$5:Z50,"x"))</f>
        <v/>
      </c>
      <c r="AA155" s="3759">
        <f>IF(((COUNTIF($AA$5:AA50,"x"))-(COUNTIF($AA$5:AA49,"x")))=0,"",COUNTIF($AA$5:AA50,"x"))</f>
        <v>9</v>
      </c>
      <c r="AB155" s="3759" t="str">
        <f>IF(((COUNTIF($AB$5:AB50,"x"))-(COUNTIF($AB$5:AB49,"x")))=0,"",COUNTIF($AB$5:AB50,"x"))</f>
        <v/>
      </c>
      <c r="AC155" s="3759" t="str">
        <f>IF(((COUNTIF($AC$5:AC50,"x"))-(COUNTIF($AC$5:AC49,"x")))=0,"",COUNTIF($AC$5:AC50,"x"))</f>
        <v/>
      </c>
      <c r="AD155" s="3759">
        <f>IF(((COUNTIF($AD$5:AD50,"x"))-(COUNTIF($AD$5:AD49,"x")))=0,"",COUNTIF($AD$5:AD50,"x"))</f>
        <v>42</v>
      </c>
      <c r="AE155" s="3759" t="str">
        <f>IF(((COUNTIF($AE$5:AE50,"x"))-(COUNTIF($AE$5:AE49,"x")))=0,"",COUNTIF($AE$5:AE50,"x"))</f>
        <v/>
      </c>
      <c r="AF155" s="3760" t="str">
        <f>IF(((COUNTIF($AF$5:AF50,"x"))-(COUNTIF($AF$5:AF49,"x")))=0,"",COUNTIF($AF$5:AF50,"x"))</f>
        <v/>
      </c>
      <c r="AG155" s="2152" t="str">
        <f t="shared" si="15"/>
        <v>Metafol SC</v>
      </c>
    </row>
    <row r="156" spans="2:33" ht="18">
      <c r="B156" s="2168">
        <f t="shared" si="16"/>
        <v>47</v>
      </c>
      <c r="C156" s="3706" t="str">
        <f t="shared" si="13"/>
        <v>Karate Zeon</v>
      </c>
      <c r="D156" s="3707"/>
      <c r="E156" s="3761"/>
      <c r="F156" s="3758">
        <f>IF(((COUNTIF($F$5:$F51,"x"))-(COUNTIF($F$5:$F50,"x")))=0,"",COUNTIF($F$5:$F51,"x"))</f>
        <v>19</v>
      </c>
      <c r="G156" s="3759">
        <f>IF(((COUNTIF($G$5:$G51,"x"))-(COUNTIF($G$5:$G50,"x")))=0,"",COUNTIF($G$5:$G51,"x"))</f>
        <v>15</v>
      </c>
      <c r="H156" s="3759">
        <f>IF(((COUNTIF($H$5:$H51,"x"))-(COUNTIF($H$5:$H50,"x")))=0,"",COUNTIF($H$5:$H51,"x"))</f>
        <v>19</v>
      </c>
      <c r="I156" s="3759">
        <f>IF(((COUNTIF($I$5:I51,"x"))-(COUNTIF($I$5:I50,"x")))=0,"",COUNTIF($I$5:I51,"x"))</f>
        <v>17</v>
      </c>
      <c r="J156" s="3759">
        <f>IF(((COUNTIF($J$5:J51,"x"))-(COUNTIF($J$5:J50,"x")))=0,"",COUNTIF($J$5:J51,"x"))</f>
        <v>16</v>
      </c>
      <c r="K156" s="3759">
        <f>IF(((COUNTIF($K$5:K51,"x"))-(COUNTIF($K$5:K50,"x")))=0,"",COUNTIF($K$5:K51,"x"))</f>
        <v>15</v>
      </c>
      <c r="L156" s="3759">
        <f>IF(((COUNTIF($L$5:L51,"x"))-(COUNTIF($L$5:L50,"x")))=0,"",COUNTIF($L$5:L51,"x"))</f>
        <v>15</v>
      </c>
      <c r="M156" s="3759">
        <f>IF(((COUNTIF($M$5:M51,"x"))-(COUNTIF($M$5:M50,"x")))=0,"",COUNTIF($M$5:M51,"x"))</f>
        <v>15</v>
      </c>
      <c r="N156" s="3759">
        <f>IF(((COUNTIF($N$5:N51,"x"))-(COUNTIF($N$5:N50,"x")))=0,"",COUNTIF($N$5:N51,"x"))</f>
        <v>6</v>
      </c>
      <c r="O156" s="3759">
        <f>IF(((COUNTIF($O$5:O51,"x"))-(COUNTIF($O$5:O50,"x")))=0,"",COUNTIF($O$5:O51,"x"))</f>
        <v>11</v>
      </c>
      <c r="P156" s="3759">
        <f>IF(((COUNTIF($P$5:P51,"x"))-(COUNTIF($P$5:P50,"x")))=0,"",COUNTIF($P$5:P51,"x"))</f>
        <v>9</v>
      </c>
      <c r="Q156" s="3759" t="str">
        <f>IF(((COUNTIF($Q$5:Q51,"x"))-(COUNTIF($Q$5:Q50,"x")))=0,"",COUNTIF($Q$5:Q51,"x"))</f>
        <v/>
      </c>
      <c r="R156" s="3759">
        <f>IF(((COUNTIF($R$5:R51,"x"))-(COUNTIF($R$5:R50,"x")))=0,"",COUNTIF($R$5:R51,"x"))</f>
        <v>9</v>
      </c>
      <c r="S156" s="3759">
        <f>IF(((COUNTIF($S$5:S51,"x"))-(COUNTIF($S$5:S50,"x")))=0,"",COUNTIF($S$5:S51,"x"))</f>
        <v>12</v>
      </c>
      <c r="T156" s="3759">
        <f>IF(((COUNTIF($T$5:T51,"x"))-(COUNTIF($T$5:T50,"x")))=0,"",COUNTIF($T$5:T51,"x"))</f>
        <v>5</v>
      </c>
      <c r="U156" s="3759">
        <f>IF(((COUNTIF($U$5:U51,"x"))-(COUNTIF($U$5:U50,"x")))=0,"",COUNTIF($U$5:U51,"x"))</f>
        <v>7</v>
      </c>
      <c r="V156" s="3759" t="str">
        <f>IF(((COUNTIF($V$5:V51,"x"))-(COUNTIF($V$5:V50,"x")))=0,"",COUNTIF($V$5:V51,"x"))</f>
        <v/>
      </c>
      <c r="W156" s="3759" t="str">
        <f>IF(((COUNTIF($W$5:W51,"x"))-(COUNTIF($W$5:W50,"x")))=0,"",COUNTIF($W$5:W51,"x"))</f>
        <v/>
      </c>
      <c r="X156" s="3759">
        <f>IF(((COUNTIF($X$5:X51,"x"))-(COUNTIF($X$5:X50,"x")))=0,"",COUNTIF($X$5:X51,"x"))</f>
        <v>7</v>
      </c>
      <c r="Y156" s="3759">
        <f>IF(((COUNTIF($Y$5:Y51,"x"))-(COUNTIF($Y$5:Y50,"x")))=0,"",COUNTIF($Y$5:Y51,"x"))</f>
        <v>7</v>
      </c>
      <c r="Z156" s="3759" t="str">
        <f>IF(((COUNTIF($Z$5:Z51,"x"))-(COUNTIF($Z$5:Z50,"x")))=0,"",COUNTIF($Z$5:Z51,"x"))</f>
        <v/>
      </c>
      <c r="AA156" s="3759">
        <f>IF(((COUNTIF($AA$5:AA51,"x"))-(COUNTIF($AA$5:AA50,"x")))=0,"",COUNTIF($AA$5:AA51,"x"))</f>
        <v>10</v>
      </c>
      <c r="AB156" s="3759">
        <f>IF(((COUNTIF($AB$5:AB51,"x"))-(COUNTIF($AB$5:AB50,"x")))=0,"",COUNTIF($AB$5:AB51,"x"))</f>
        <v>10</v>
      </c>
      <c r="AC156" s="3759" t="str">
        <f>IF(((COUNTIF($AC$5:AC51,"x"))-(COUNTIF($AC$5:AC50,"x")))=0,"",COUNTIF($AC$5:AC51,"x"))</f>
        <v/>
      </c>
      <c r="AD156" s="3759">
        <f>IF(((COUNTIF($AD$5:AD51,"x"))-(COUNTIF($AD$5:AD50,"x")))=0,"",COUNTIF($AD$5:AD51,"x"))</f>
        <v>43</v>
      </c>
      <c r="AE156" s="3759" t="str">
        <f>IF(((COUNTIF($AE$5:AE51,"x"))-(COUNTIF($AE$5:AE50,"x")))=0,"",COUNTIF($AE$5:AE51,"x"))</f>
        <v/>
      </c>
      <c r="AF156" s="3760" t="str">
        <f>IF(((COUNTIF($AF$5:AF51,"x"))-(COUNTIF($AF$5:AF50,"x")))=0,"",COUNTIF($AF$5:AF51,"x"))</f>
        <v/>
      </c>
      <c r="AG156" s="2152" t="str">
        <f t="shared" si="15"/>
        <v>Karate Zeon</v>
      </c>
    </row>
    <row r="157" spans="2:33" ht="18">
      <c r="B157" s="2168">
        <f t="shared" si="16"/>
        <v>48</v>
      </c>
      <c r="C157" s="3706" t="str">
        <f t="shared" si="13"/>
        <v>Mais Banvel WG</v>
      </c>
      <c r="D157" s="3707"/>
      <c r="E157" s="3762"/>
      <c r="F157" s="3758" t="str">
        <f>IF(((COUNTIF($F$5:$F52,"x"))-(COUNTIF($F$5:$F51,"x")))=0,"",COUNTIF($F$5:$F52,"x"))</f>
        <v/>
      </c>
      <c r="G157" s="3759" t="str">
        <f>IF(((COUNTIF($G$5:$G52,"x"))-(COUNTIF($G$5:$G51,"x")))=0,"",COUNTIF($G$5:$G52,"x"))</f>
        <v/>
      </c>
      <c r="H157" s="3759" t="str">
        <f>IF(((COUNTIF($H$5:$H52,"x"))-(COUNTIF($H$5:$H51,"x")))=0,"",COUNTIF($H$5:$H52,"x"))</f>
        <v/>
      </c>
      <c r="I157" s="3759" t="str">
        <f>IF(((COUNTIF($I$5:I52,"x"))-(COUNTIF($I$5:I51,"x")))=0,"",COUNTIF($I$5:I52,"x"))</f>
        <v/>
      </c>
      <c r="J157" s="3759" t="str">
        <f>IF(((COUNTIF($J$5:J52,"x"))-(COUNTIF($J$5:J51,"x")))=0,"",COUNTIF($J$5:J52,"x"))</f>
        <v/>
      </c>
      <c r="K157" s="3759" t="str">
        <f>IF(((COUNTIF($K$5:K52,"x"))-(COUNTIF($K$5:K51,"x")))=0,"",COUNTIF($K$5:K52,"x"))</f>
        <v/>
      </c>
      <c r="L157" s="3759" t="str">
        <f>IF(((COUNTIF($L$5:L52,"x"))-(COUNTIF($L$5:L51,"x")))=0,"",COUNTIF($L$5:L52,"x"))</f>
        <v/>
      </c>
      <c r="M157" s="3759" t="str">
        <f>IF(((COUNTIF($M$5:M52,"x"))-(COUNTIF($M$5:M51,"x")))=0,"",COUNTIF($M$5:M52,"x"))</f>
        <v/>
      </c>
      <c r="N157" s="3759" t="str">
        <f>IF(((COUNTIF($N$5:N52,"x"))-(COUNTIF($N$5:N51,"x")))=0,"",COUNTIF($N$5:N52,"x"))</f>
        <v/>
      </c>
      <c r="O157" s="3759" t="str">
        <f>IF(((COUNTIF($O$5:O52,"x"))-(COUNTIF($O$5:O51,"x")))=0,"",COUNTIF($O$5:O52,"x"))</f>
        <v/>
      </c>
      <c r="P157" s="3759" t="str">
        <f>IF(((COUNTIF($P$5:P52,"x"))-(COUNTIF($P$5:P51,"x")))=0,"",COUNTIF($P$5:P52,"x"))</f>
        <v/>
      </c>
      <c r="Q157" s="3759">
        <f>IF(((COUNTIF($Q$5:Q52,"x"))-(COUNTIF($Q$5:Q51,"x")))=0,"",COUNTIF($Q$5:Q52,"x"))</f>
        <v>2</v>
      </c>
      <c r="R157" s="3759">
        <f>IF(((COUNTIF($R$5:R52,"x"))-(COUNTIF($R$5:R51,"x")))=0,"",COUNTIF($R$5:R52,"x"))</f>
        <v>10</v>
      </c>
      <c r="S157" s="3759" t="str">
        <f>IF(((COUNTIF($S$5:S52,"x"))-(COUNTIF($S$5:S51,"x")))=0,"",COUNTIF($S$5:S52,"x"))</f>
        <v/>
      </c>
      <c r="T157" s="3759" t="str">
        <f>IF(((COUNTIF($T$5:T52,"x"))-(COUNTIF($T$5:T51,"x")))=0,"",COUNTIF($T$5:T52,"x"))</f>
        <v/>
      </c>
      <c r="U157" s="3759" t="str">
        <f>IF(((COUNTIF($U$5:U52,"x"))-(COUNTIF($U$5:U51,"x")))=0,"",COUNTIF($U$5:U52,"x"))</f>
        <v/>
      </c>
      <c r="V157" s="3759" t="str">
        <f>IF(((COUNTIF($V$5:V52,"x"))-(COUNTIF($V$5:V51,"x")))=0,"",COUNTIF($V$5:V52,"x"))</f>
        <v/>
      </c>
      <c r="W157" s="3759" t="str">
        <f>IF(((COUNTIF($W$5:W52,"x"))-(COUNTIF($W$5:W51,"x")))=0,"",COUNTIF($W$5:W52,"x"))</f>
        <v/>
      </c>
      <c r="X157" s="3759" t="str">
        <f>IF(((COUNTIF($X$5:X52,"x"))-(COUNTIF($X$5:X51,"x")))=0,"",COUNTIF($X$5:X52,"x"))</f>
        <v/>
      </c>
      <c r="Y157" s="3759" t="str">
        <f>IF(((COUNTIF($Y$5:Y52,"x"))-(COUNTIF($Y$5:Y51,"x")))=0,"",COUNTIF($Y$5:Y52,"x"))</f>
        <v/>
      </c>
      <c r="Z157" s="3759" t="str">
        <f>IF(((COUNTIF($Z$5:Z52,"x"))-(COUNTIF($Z$5:Z51,"x")))=0,"",COUNTIF($Z$5:Z52,"x"))</f>
        <v/>
      </c>
      <c r="AA157" s="3759" t="str">
        <f>IF(((COUNTIF($AA$5:AA52,"x"))-(COUNTIF($AA$5:AA51,"x")))=0,"",COUNTIF($AA$5:AA52,"x"))</f>
        <v/>
      </c>
      <c r="AB157" s="3759" t="str">
        <f>IF(((COUNTIF($AB$5:AB52,"x"))-(COUNTIF($AB$5:AB51,"x")))=0,"",COUNTIF($AB$5:AB52,"x"))</f>
        <v/>
      </c>
      <c r="AC157" s="3759" t="str">
        <f>IF(((COUNTIF($AC$5:AC52,"x"))-(COUNTIF($AC$5:AC51,"x")))=0,"",COUNTIF($AC$5:AC52,"x"))</f>
        <v/>
      </c>
      <c r="AD157" s="3759">
        <f>IF(((COUNTIF($AD$5:AD52,"x"))-(COUNTIF($AD$5:AD51,"x")))=0,"",COUNTIF($AD$5:AD52,"x"))</f>
        <v>44</v>
      </c>
      <c r="AE157" s="3759" t="str">
        <f>IF(((COUNTIF($AE$5:AE52,"x"))-(COUNTIF($AE$5:AE51,"x")))=0,"",COUNTIF($AE$5:AE52,"x"))</f>
        <v/>
      </c>
      <c r="AF157" s="3760" t="str">
        <f>IF(((COUNTIF($AF$5:AF52,"x"))-(COUNTIF($AF$5:AF51,"x")))=0,"",COUNTIF($AF$5:AF52,"x"))</f>
        <v/>
      </c>
      <c r="AG157" s="2152" t="str">
        <f t="shared" si="15"/>
        <v>Mais Banvel WG</v>
      </c>
    </row>
    <row r="158" spans="2:33" ht="18">
      <c r="B158" s="2168">
        <f t="shared" si="16"/>
        <v>49</v>
      </c>
      <c r="C158" s="3763" t="str">
        <f t="shared" si="13"/>
        <v>MaisTer Power</v>
      </c>
      <c r="D158" s="3707"/>
      <c r="E158" s="3762"/>
      <c r="F158" s="3758" t="str">
        <f>IF(((COUNTIF($F$5:$F53,"x"))-(COUNTIF($F$5:$F52,"x")))=0,"",COUNTIF($F$5:$F53,"x"))</f>
        <v/>
      </c>
      <c r="G158" s="3759" t="str">
        <f>IF(((COUNTIF($G$5:$G53,"x"))-(COUNTIF($G$5:$G52,"x")))=0,"",COUNTIF($G$5:$G53,"x"))</f>
        <v/>
      </c>
      <c r="H158" s="3759" t="str">
        <f>IF(((COUNTIF($H$5:$H53,"x"))-(COUNTIF($H$5:$H52,"x")))=0,"",COUNTIF($H$5:$H53,"x"))</f>
        <v/>
      </c>
      <c r="I158" s="3759" t="str">
        <f>IF(((COUNTIF($I$5:I53,"x"))-(COUNTIF($I$5:I52,"x")))=0,"",COUNTIF($I$5:I53,"x"))</f>
        <v/>
      </c>
      <c r="J158" s="3759" t="str">
        <f>IF(((COUNTIF($J$5:J53,"x"))-(COUNTIF($J$5:J52,"x")))=0,"",COUNTIF($J$5:J53,"x"))</f>
        <v/>
      </c>
      <c r="K158" s="3759" t="str">
        <f>IF(((COUNTIF($K$5:K53,"x"))-(COUNTIF($K$5:K52,"x")))=0,"",COUNTIF($K$5:K53,"x"))</f>
        <v/>
      </c>
      <c r="L158" s="3759" t="str">
        <f>IF(((COUNTIF($L$5:L53,"x"))-(COUNTIF($L$5:L52,"x")))=0,"",COUNTIF($L$5:L53,"x"))</f>
        <v/>
      </c>
      <c r="M158" s="3759" t="str">
        <f>IF(((COUNTIF($M$5:M53,"x"))-(COUNTIF($M$5:M52,"x")))=0,"",COUNTIF($M$5:M53,"x"))</f>
        <v/>
      </c>
      <c r="N158" s="3759" t="str">
        <f>IF(((COUNTIF($N$5:N53,"x"))-(COUNTIF($N$5:N52,"x")))=0,"",COUNTIF($N$5:N53,"x"))</f>
        <v/>
      </c>
      <c r="O158" s="3759" t="str">
        <f>IF(((COUNTIF($O$5:O53,"x"))-(COUNTIF($O$5:O52,"x")))=0,"",COUNTIF($O$5:O53,"x"))</f>
        <v/>
      </c>
      <c r="P158" s="3759" t="str">
        <f>IF(((COUNTIF($P$5:P53,"x"))-(COUNTIF($P$5:P52,"x")))=0,"",COUNTIF($P$5:P53,"x"))</f>
        <v/>
      </c>
      <c r="Q158" s="3759" t="str">
        <f>IF(((COUNTIF($Q$5:Q53,"x"))-(COUNTIF($Q$5:Q52,"x")))=0,"",COUNTIF($Q$5:Q53,"x"))</f>
        <v/>
      </c>
      <c r="R158" s="3759">
        <f>IF(((COUNTIF($R$5:R53,"x"))-(COUNTIF($R$5:R52,"x")))=0,"",COUNTIF($R$5:R53,"x"))</f>
        <v>11</v>
      </c>
      <c r="S158" s="3759" t="str">
        <f>IF(((COUNTIF($S$5:S53,"x"))-(COUNTIF($S$5:S52,"x")))=0,"",COUNTIF($S$5:S53,"x"))</f>
        <v/>
      </c>
      <c r="T158" s="3759" t="str">
        <f>IF(((COUNTIF($T$5:T53,"x"))-(COUNTIF($T$5:T52,"x")))=0,"",COUNTIF($T$5:T53,"x"))</f>
        <v/>
      </c>
      <c r="U158" s="3759" t="str">
        <f>IF(((COUNTIF($U$5:U53,"x"))-(COUNTIF($U$5:U52,"x")))=0,"",COUNTIF($U$5:U53,"x"))</f>
        <v/>
      </c>
      <c r="V158" s="3759" t="str">
        <f>IF(((COUNTIF($V$5:V53,"x"))-(COUNTIF($V$5:V52,"x")))=0,"",COUNTIF($V$5:V53,"x"))</f>
        <v/>
      </c>
      <c r="W158" s="3759" t="str">
        <f>IF(((COUNTIF($W$5:W53,"x"))-(COUNTIF($W$5:W52,"x")))=0,"",COUNTIF($W$5:W53,"x"))</f>
        <v/>
      </c>
      <c r="X158" s="3759" t="str">
        <f>IF(((COUNTIF($X$5:X53,"x"))-(COUNTIF($X$5:X52,"x")))=0,"",COUNTIF($X$5:X53,"x"))</f>
        <v/>
      </c>
      <c r="Y158" s="3759" t="str">
        <f>IF(((COUNTIF($Y$5:Y53,"x"))-(COUNTIF($Y$5:Y52,"x")))=0,"",COUNTIF($Y$5:Y53,"x"))</f>
        <v/>
      </c>
      <c r="Z158" s="3759" t="str">
        <f>IF(((COUNTIF($Z$5:Z53,"x"))-(COUNTIF($Z$5:Z52,"x")))=0,"",COUNTIF($Z$5:Z53,"x"))</f>
        <v/>
      </c>
      <c r="AA158" s="3759" t="str">
        <f>IF(((COUNTIF($AA$5:AA53,"x"))-(COUNTIF($AA$5:AA52,"x")))=0,"",COUNTIF($AA$5:AA53,"x"))</f>
        <v/>
      </c>
      <c r="AB158" s="3759" t="str">
        <f>IF(((COUNTIF($AB$5:AB53,"x"))-(COUNTIF($AB$5:AB52,"x")))=0,"",COUNTIF($AB$5:AB53,"x"))</f>
        <v/>
      </c>
      <c r="AC158" s="3759" t="str">
        <f>IF(((COUNTIF($AC$5:AC53,"x"))-(COUNTIF($AC$5:AC52,"x")))=0,"",COUNTIF($AC$5:AC53,"x"))</f>
        <v/>
      </c>
      <c r="AD158" s="3759">
        <f>IF(((COUNTIF($AD$5:AD53,"x"))-(COUNTIF($AD$5:AD52,"x")))=0,"",COUNTIF($AD$5:AD53,"x"))</f>
        <v>45</v>
      </c>
      <c r="AE158" s="3759" t="str">
        <f>IF(((COUNTIF($AE$5:AE53,"x"))-(COUNTIF($AE$5:AE52,"x")))=0,"",COUNTIF($AE$5:AE53,"x"))</f>
        <v/>
      </c>
      <c r="AF158" s="3760" t="str">
        <f>IF(((COUNTIF($AF$5:AF53,"x"))-(COUNTIF($AF$5:AF52,"x")))=0,"",COUNTIF($AF$5:AF53,"x"))</f>
        <v/>
      </c>
      <c r="AG158" s="2152" t="str">
        <f t="shared" si="15"/>
        <v>MaisTer Power</v>
      </c>
    </row>
    <row r="159" spans="2:33" ht="18">
      <c r="B159" s="2168">
        <f t="shared" si="16"/>
        <v>50</v>
      </c>
      <c r="C159" s="3706" t="str">
        <f t="shared" si="13"/>
        <v>Malibu</v>
      </c>
      <c r="D159" s="3707"/>
      <c r="E159" s="3761"/>
      <c r="F159" s="3758">
        <f>IF(((COUNTIF($F$5:$F54,"x"))-(COUNTIF($F$5:$F53,"x")))=0,"",COUNTIF($F$5:$F54,"x"))</f>
        <v>20</v>
      </c>
      <c r="G159" s="3759" t="str">
        <f>IF(((COUNTIF($G$5:$G54,"x"))-(COUNTIF($G$5:$G53,"x")))=0,"",COUNTIF($G$5:$G54,"x"))</f>
        <v/>
      </c>
      <c r="H159" s="3759">
        <f>IF(((COUNTIF($H$5:$H54,"x"))-(COUNTIF($H$5:$H53,"x")))=0,"",COUNTIF($H$5:$H54,"x"))</f>
        <v>20</v>
      </c>
      <c r="I159" s="3759">
        <f>IF(((COUNTIF($I$5:I54,"x"))-(COUNTIF($I$5:I53,"x")))=0,"",COUNTIF($I$5:I54,"x"))</f>
        <v>18</v>
      </c>
      <c r="J159" s="3759">
        <f>IF(((COUNTIF($J$5:J54,"x"))-(COUNTIF($J$5:J53,"x")))=0,"",COUNTIF($J$5:J54,"x"))</f>
        <v>17</v>
      </c>
      <c r="K159" s="3759" t="str">
        <f>IF(((COUNTIF($K$5:K54,"x"))-(COUNTIF($K$5:K53,"x")))=0,"",COUNTIF($K$5:K54,"x"))</f>
        <v/>
      </c>
      <c r="L159" s="3759" t="str">
        <f>IF(((COUNTIF($L$5:L54,"x"))-(COUNTIF($L$5:L53,"x")))=0,"",COUNTIF($L$5:L54,"x"))</f>
        <v/>
      </c>
      <c r="M159" s="3759" t="str">
        <f>IF(((COUNTIF($M$5:M54,"x"))-(COUNTIF($M$5:M53,"x")))=0,"",COUNTIF($M$5:M54,"x"))</f>
        <v/>
      </c>
      <c r="N159" s="3759" t="str">
        <f>IF(((COUNTIF($N$5:N54,"x"))-(COUNTIF($N$5:N53,"x")))=0,"",COUNTIF($N$5:N54,"x"))</f>
        <v/>
      </c>
      <c r="O159" s="3759" t="str">
        <f>IF(((COUNTIF($O$5:O54,"x"))-(COUNTIF($O$5:O53,"x")))=0,"",COUNTIF($O$5:O54,"x"))</f>
        <v/>
      </c>
      <c r="P159" s="3759" t="str">
        <f>IF(((COUNTIF($P$5:P54,"x"))-(COUNTIF($P$5:P53,"x")))=0,"",COUNTIF($P$5:P54,"x"))</f>
        <v/>
      </c>
      <c r="Q159" s="3759" t="str">
        <f>IF(((COUNTIF($Q$5:Q54,"x"))-(COUNTIF($Q$5:Q53,"x")))=0,"",COUNTIF($Q$5:Q54,"x"))</f>
        <v/>
      </c>
      <c r="R159" s="3759" t="str">
        <f>IF(((COUNTIF($R$5:R54,"x"))-(COUNTIF($R$5:R53,"x")))=0,"",COUNTIF($R$5:R54,"x"))</f>
        <v/>
      </c>
      <c r="S159" s="3759" t="str">
        <f>IF(((COUNTIF($S$5:S54,"x"))-(COUNTIF($S$5:S53,"x")))=0,"",COUNTIF($S$5:S54,"x"))</f>
        <v/>
      </c>
      <c r="T159" s="3759" t="str">
        <f>IF(((COUNTIF($T$5:T54,"x"))-(COUNTIF($T$5:T53,"x")))=0,"",COUNTIF($T$5:T54,"x"))</f>
        <v/>
      </c>
      <c r="U159" s="3759" t="str">
        <f>IF(((COUNTIF($U$5:U54,"x"))-(COUNTIF($U$5:U53,"x")))=0,"",COUNTIF($U$5:U54,"x"))</f>
        <v/>
      </c>
      <c r="V159" s="3759" t="str">
        <f>IF(((COUNTIF($V$5:V54,"x"))-(COUNTIF($V$5:V53,"x")))=0,"",COUNTIF($V$5:V54,"x"))</f>
        <v/>
      </c>
      <c r="W159" s="3759" t="str">
        <f>IF(((COUNTIF($W$5:W54,"x"))-(COUNTIF($W$5:W53,"x")))=0,"",COUNTIF($W$5:W54,"x"))</f>
        <v/>
      </c>
      <c r="X159" s="3759" t="str">
        <f>IF(((COUNTIF($X$5:X54,"x"))-(COUNTIF($X$5:X53,"x")))=0,"",COUNTIF($X$5:X54,"x"))</f>
        <v/>
      </c>
      <c r="Y159" s="3759" t="str">
        <f>IF(((COUNTIF($Y$5:Y54,"x"))-(COUNTIF($Y$5:Y53,"x")))=0,"",COUNTIF($Y$5:Y54,"x"))</f>
        <v/>
      </c>
      <c r="Z159" s="3759" t="str">
        <f>IF(((COUNTIF($Z$5:Z54,"x"))-(COUNTIF($Z$5:Z53,"x")))=0,"",COUNTIF($Z$5:Z54,"x"))</f>
        <v/>
      </c>
      <c r="AA159" s="3759" t="str">
        <f>IF(((COUNTIF($AA$5:AA54,"x"))-(COUNTIF($AA$5:AA53,"x")))=0,"",COUNTIF($AA$5:AA54,"x"))</f>
        <v/>
      </c>
      <c r="AB159" s="3759" t="str">
        <f>IF(((COUNTIF($AB$5:AB54,"x"))-(COUNTIF($AB$5:AB53,"x")))=0,"",COUNTIF($AB$5:AB54,"x"))</f>
        <v/>
      </c>
      <c r="AC159" s="3759" t="str">
        <f>IF(((COUNTIF($AC$5:AC54,"x"))-(COUNTIF($AC$5:AC53,"x")))=0,"",COUNTIF($AC$5:AC54,"x"))</f>
        <v/>
      </c>
      <c r="AD159" s="3759">
        <f>IF(((COUNTIF($AD$5:AD54,"x"))-(COUNTIF($AD$5:AD53,"x")))=0,"",COUNTIF($AD$5:AD54,"x"))</f>
        <v>46</v>
      </c>
      <c r="AE159" s="3759" t="str">
        <f>IF(((COUNTIF($AE$5:AE54,"x"))-(COUNTIF($AE$5:AE53,"x")))=0,"",COUNTIF($AE$5:AE54,"x"))</f>
        <v/>
      </c>
      <c r="AF159" s="3760" t="str">
        <f>IF(((COUNTIF($AF$5:AF54,"x"))-(COUNTIF($AF$5:AF53,"x")))=0,"",COUNTIF($AF$5:AF54,"x"))</f>
        <v/>
      </c>
      <c r="AG159" s="2152" t="str">
        <f t="shared" si="15"/>
        <v>Malibu</v>
      </c>
    </row>
    <row r="160" spans="2:33" ht="18">
      <c r="B160" s="2168">
        <f t="shared" si="16"/>
        <v>51</v>
      </c>
      <c r="C160" s="3763" t="str">
        <f t="shared" si="13"/>
        <v>Moddus</v>
      </c>
      <c r="D160" s="3707"/>
      <c r="E160" s="3762"/>
      <c r="F160" s="3758">
        <f>IF(((COUNTIF($F$5:$F55,"x"))-(COUNTIF($F$5:$F54,"x")))=0,"",COUNTIF($F$5:$F55,"x"))</f>
        <v>21</v>
      </c>
      <c r="G160" s="3759">
        <f>IF(((COUNTIF($G$5:$G55,"x"))-(COUNTIF($G$5:$G54,"x")))=0,"",COUNTIF($G$5:$G55,"x"))</f>
        <v>16</v>
      </c>
      <c r="H160" s="3759">
        <f>IF(((COUNTIF($H$5:$H55,"x"))-(COUNTIF($H$5:$H54,"x")))=0,"",COUNTIF($H$5:$H55,"x"))</f>
        <v>21</v>
      </c>
      <c r="I160" s="3759">
        <f>IF(((COUNTIF($I$5:I55,"x"))-(COUNTIF($I$5:I54,"x")))=0,"",COUNTIF($I$5:I55,"x"))</f>
        <v>19</v>
      </c>
      <c r="J160" s="3759">
        <f>IF(((COUNTIF($J$5:J55,"x"))-(COUNTIF($J$5:J54,"x")))=0,"",COUNTIF($J$5:J55,"x"))</f>
        <v>18</v>
      </c>
      <c r="K160" s="3759" t="str">
        <f>IF(((COUNTIF($K$5:K55,"x"))-(COUNTIF($K$5:K54,"x")))=0,"",COUNTIF($K$5:K55,"x"))</f>
        <v/>
      </c>
      <c r="L160" s="3759">
        <f>IF(((COUNTIF($L$5:L55,"x"))-(COUNTIF($L$5:L54,"x")))=0,"",COUNTIF($L$5:L55,"x"))</f>
        <v>16</v>
      </c>
      <c r="M160" s="3759">
        <f>IF(((COUNTIF($M$5:M55,"x"))-(COUNTIF($M$5:M54,"x")))=0,"",COUNTIF($M$5:M55,"x"))</f>
        <v>16</v>
      </c>
      <c r="N160" s="3759">
        <f>IF(((COUNTIF($N$5:N55,"x"))-(COUNTIF($N$5:N54,"x")))=0,"",COUNTIF($N$5:N55,"x"))</f>
        <v>7</v>
      </c>
      <c r="O160" s="3759" t="str">
        <f>IF(((COUNTIF($O$5:O55,"x"))-(COUNTIF($O$5:O54,"x")))=0,"",COUNTIF($O$5:O55,"x"))</f>
        <v/>
      </c>
      <c r="P160" s="3759" t="str">
        <f>IF(((COUNTIF($P$5:P55,"x"))-(COUNTIF($P$5:P54,"x")))=0,"",COUNTIF($P$5:P55,"x"))</f>
        <v/>
      </c>
      <c r="Q160" s="3759" t="str">
        <f>IF(((COUNTIF($Q$5:Q55,"x"))-(COUNTIF($Q$5:Q54,"x")))=0,"",COUNTIF($Q$5:Q55,"x"))</f>
        <v/>
      </c>
      <c r="R160" s="3759" t="str">
        <f>IF(((COUNTIF($R$5:R55,"x"))-(COUNTIF($R$5:R54,"x")))=0,"",COUNTIF($R$5:R55,"x"))</f>
        <v/>
      </c>
      <c r="S160" s="3759" t="str">
        <f>IF(((COUNTIF($S$5:S55,"x"))-(COUNTIF($S$5:S54,"x")))=0,"",COUNTIF($S$5:S55,"x"))</f>
        <v/>
      </c>
      <c r="T160" s="3759" t="str">
        <f>IF(((COUNTIF($T$5:T55,"x"))-(COUNTIF($T$5:T54,"x")))=0,"",COUNTIF($T$5:T55,"x"))</f>
        <v/>
      </c>
      <c r="U160" s="3759" t="str">
        <f>IF(((COUNTIF($U$5:U55,"x"))-(COUNTIF($U$5:U54,"x")))=0,"",COUNTIF($U$5:U55,"x"))</f>
        <v/>
      </c>
      <c r="V160" s="3759" t="str">
        <f>IF(((COUNTIF($V$5:V55,"x"))-(COUNTIF($V$5:V54,"x")))=0,"",COUNTIF($V$5:V55,"x"))</f>
        <v/>
      </c>
      <c r="W160" s="3759" t="str">
        <f>IF(((COUNTIF($W$5:W55,"x"))-(COUNTIF($W$5:W54,"x")))=0,"",COUNTIF($W$5:W55,"x"))</f>
        <v/>
      </c>
      <c r="X160" s="3759" t="str">
        <f>IF(((COUNTIF($X$5:X55,"x"))-(COUNTIF($X$5:X54,"x")))=0,"",COUNTIF($X$5:X55,"x"))</f>
        <v/>
      </c>
      <c r="Y160" s="3759" t="str">
        <f>IF(((COUNTIF($Y$5:Y55,"x"))-(COUNTIF($Y$5:Y54,"x")))=0,"",COUNTIF($Y$5:Y55,"x"))</f>
        <v/>
      </c>
      <c r="Z160" s="3759" t="str">
        <f>IF(((COUNTIF($Z$5:Z55,"x"))-(COUNTIF($Z$5:Z54,"x")))=0,"",COUNTIF($Z$5:Z55,"x"))</f>
        <v/>
      </c>
      <c r="AA160" s="3759" t="str">
        <f>IF(((COUNTIF($AA$5:AA55,"x"))-(COUNTIF($AA$5:AA54,"x")))=0,"",COUNTIF($AA$5:AA55,"x"))</f>
        <v/>
      </c>
      <c r="AB160" s="3759" t="str">
        <f>IF(((COUNTIF($AB$5:AB55,"x"))-(COUNTIF($AB$5:AB54,"x")))=0,"",COUNTIF($AB$5:AB55,"x"))</f>
        <v/>
      </c>
      <c r="AC160" s="3759" t="str">
        <f>IF(((COUNTIF($AC$5:AC55,"x"))-(COUNTIF($AC$5:AC54,"x")))=0,"",COUNTIF($AC$5:AC55,"x"))</f>
        <v/>
      </c>
      <c r="AD160" s="3759">
        <f>IF(((COUNTIF($AD$5:AD55,"x"))-(COUNTIF($AD$5:AD54,"x")))=0,"",COUNTIF($AD$5:AD55,"x"))</f>
        <v>47</v>
      </c>
      <c r="AE160" s="3759" t="str">
        <f>IF(((COUNTIF($AE$5:AE55,"x"))-(COUNTIF($AE$5:AE54,"x")))=0,"",COUNTIF($AE$5:AE55,"x"))</f>
        <v/>
      </c>
      <c r="AF160" s="3760" t="str">
        <f>IF(((COUNTIF($AF$5:AF55,"x"))-(COUNTIF($AF$5:AF54,"x")))=0,"",COUNTIF($AF$5:AF55,"x"))</f>
        <v/>
      </c>
      <c r="AG160" s="2152" t="str">
        <f t="shared" si="15"/>
        <v>Moddus</v>
      </c>
    </row>
    <row r="161" spans="2:33" ht="18">
      <c r="B161" s="2168">
        <f t="shared" si="16"/>
        <v>52</v>
      </c>
      <c r="C161" s="3764" t="str">
        <f t="shared" si="13"/>
        <v>Ortiva</v>
      </c>
      <c r="D161" s="3765"/>
      <c r="E161" s="3766"/>
      <c r="F161" s="3758" t="str">
        <f>IF(((COUNTIF($F$5:$F56,"x"))-(COUNTIF($F$5:$F55,"x")))=0,"",COUNTIF($F$5:$F56,"x"))</f>
        <v/>
      </c>
      <c r="G161" s="3759" t="str">
        <f>IF(((COUNTIF($G$5:$G56,"x"))-(COUNTIF($G$5:$G55,"x")))=0,"",COUNTIF($G$5:$G56,"x"))</f>
        <v/>
      </c>
      <c r="H161" s="3759" t="str">
        <f>IF(((COUNTIF($H$5:$H56,"x"))-(COUNTIF($H$5:$H55,"x")))=0,"",COUNTIF($H$5:$H56,"x"))</f>
        <v/>
      </c>
      <c r="I161" s="3759" t="str">
        <f>IF(((COUNTIF($I$5:I56,"x"))-(COUNTIF($I$5:I55,"x")))=0,"",COUNTIF($I$5:I56,"x"))</f>
        <v/>
      </c>
      <c r="J161" s="3767" t="str">
        <f>IF(((COUNTIF($J$5:J56,"x"))-(COUNTIF($J$5:J55,"x")))=0,"",COUNTIF($J$5:J56,"x"))</f>
        <v/>
      </c>
      <c r="K161" s="3767" t="str">
        <f>IF(((COUNTIF($K$5:K56,"x"))-(COUNTIF($K$5:K55,"x")))=0,"",COUNTIF($K$5:K56,"x"))</f>
        <v/>
      </c>
      <c r="L161" s="3767" t="str">
        <f>IF(((COUNTIF($L$5:L56,"x"))-(COUNTIF($L$5:L55,"x")))=0,"",COUNTIF($L$5:L56,"x"))</f>
        <v/>
      </c>
      <c r="M161" s="3767" t="str">
        <f>IF(((COUNTIF($M$5:M56,"x"))-(COUNTIF($M$5:M55,"x")))=0,"",COUNTIF($M$5:M56,"x"))</f>
        <v/>
      </c>
      <c r="N161" s="3767" t="str">
        <f>IF(((COUNTIF($N$5:N56,"x"))-(COUNTIF($N$5:N55,"x")))=0,"",COUNTIF($N$5:N56,"x"))</f>
        <v/>
      </c>
      <c r="O161" s="3767" t="str">
        <f>IF(((COUNTIF($O$5:O56,"x"))-(COUNTIF($O$5:O55,"x")))=0,"",COUNTIF($O$5:O56,"x"))</f>
        <v/>
      </c>
      <c r="P161" s="3759" t="str">
        <f>IF(((COUNTIF($P$5:P56,"x"))-(COUNTIF($P$5:P55,"x")))=0,"",COUNTIF($P$5:P56,"x"))</f>
        <v/>
      </c>
      <c r="Q161" s="3767" t="str">
        <f>IF(((COUNTIF($Q$5:Q56,"x"))-(COUNTIF($Q$5:Q55,"x")))=0,"",COUNTIF($Q$5:Q56,"x"))</f>
        <v/>
      </c>
      <c r="R161" s="3767" t="str">
        <f>IF(((COUNTIF($R$5:R56,"x"))-(COUNTIF($R$5:R55,"x")))=0,"",COUNTIF($R$5:R56,"x"))</f>
        <v/>
      </c>
      <c r="S161" s="3767">
        <f>IF(((COUNTIF($S$5:S56,"x"))-(COUNTIF($S$5:S55,"x")))=0,"",COUNTIF($S$5:S56,"x"))</f>
        <v>13</v>
      </c>
      <c r="T161" s="3767">
        <f>IF(((COUNTIF($T$5:T56,"x"))-(COUNTIF($T$5:T55,"x")))=0,"",COUNTIF($T$5:T56,"x"))</f>
        <v>6</v>
      </c>
      <c r="U161" s="3767" t="str">
        <f>IF(((COUNTIF($U$5:U56,"x"))-(COUNTIF($U$5:U55,"x")))=0,"",COUNTIF($U$5:U56,"x"))</f>
        <v/>
      </c>
      <c r="V161" s="3767" t="str">
        <f>IF(((COUNTIF($V$5:V56,"x"))-(COUNTIF($V$5:V55,"x")))=0,"",COUNTIF($V$5:V56,"x"))</f>
        <v/>
      </c>
      <c r="W161" s="3767" t="str">
        <f>IF(((COUNTIF($W$5:W56,"x"))-(COUNTIF($W$5:W55,"x")))=0,"",COUNTIF($W$5:W56,"x"))</f>
        <v/>
      </c>
      <c r="X161" s="3767" t="str">
        <f>IF(((COUNTIF($X$5:X56,"x"))-(COUNTIF($X$5:X55,"x")))=0,"",COUNTIF($X$5:X56,"x"))</f>
        <v/>
      </c>
      <c r="Y161" s="3767" t="str">
        <f>IF(((COUNTIF($Y$5:Y56,"x"))-(COUNTIF($Y$5:Y55,"x")))=0,"",COUNTIF($Y$5:Y56,"x"))</f>
        <v/>
      </c>
      <c r="Z161" s="3767" t="str">
        <f>IF(((COUNTIF($Z$5:Z56,"x"))-(COUNTIF($Z$5:Z55,"x")))=0,"",COUNTIF($Z$5:Z56,"x"))</f>
        <v/>
      </c>
      <c r="AA161" s="3767">
        <f>IF(((COUNTIF($AA$5:AA56,"x"))-(COUNTIF($AA$5:AA55,"x")))=0,"",COUNTIF($AA$5:AA56,"x"))</f>
        <v>11</v>
      </c>
      <c r="AB161" s="3767">
        <f>IF(((COUNTIF($AB$5:AB56,"x"))-(COUNTIF($AB$5:AB55,"x")))=0,"",COUNTIF($AB$5:AB56,"x"))</f>
        <v>11</v>
      </c>
      <c r="AC161" s="3767" t="str">
        <f>IF(((COUNTIF($AC$5:AC56,"x"))-(COUNTIF($AC$5:AC55,"x")))=0,"",COUNTIF($AC$5:AC56,"x"))</f>
        <v/>
      </c>
      <c r="AD161" s="3759">
        <f>IF(((COUNTIF($AD$5:AD56,"x"))-(COUNTIF($AD$5:AD55,"x")))=0,"",COUNTIF($AD$5:AD56,"x"))</f>
        <v>48</v>
      </c>
      <c r="AE161" s="3767" t="str">
        <f>IF(((COUNTIF($AE$5:AE56,"x"))-(COUNTIF($AE$5:AE55,"x")))=0,"",COUNTIF($AE$5:AE56,"x"))</f>
        <v/>
      </c>
      <c r="AF161" s="3768" t="str">
        <f>IF(((COUNTIF($AF$5:AF56,"x"))-(COUNTIF($AF$5:AF55,"x")))=0,"",COUNTIF($AF$5:AF56,"x"))</f>
        <v/>
      </c>
      <c r="AG161" s="2152" t="str">
        <f t="shared" si="15"/>
        <v>Ortiva</v>
      </c>
    </row>
    <row r="162" spans="2:33" ht="18">
      <c r="B162" s="2168">
        <f t="shared" si="16"/>
        <v>53</v>
      </c>
      <c r="C162" s="3764" t="str">
        <f t="shared" si="13"/>
        <v>Mospilan SG</v>
      </c>
      <c r="D162" s="3765"/>
      <c r="E162" s="3766"/>
      <c r="F162" s="3758" t="str">
        <f>IF(((COUNTIF($F$5:$F57,"x"))-(COUNTIF($F$5:$F56,"x")))=0,"",COUNTIF($F$5:$F57,"x"))</f>
        <v/>
      </c>
      <c r="G162" s="3759" t="str">
        <f>IF(((COUNTIF($G$5:$G57,"x"))-(COUNTIF($G$5:$G56,"x")))=0,"",COUNTIF($G$5:$G57,"x"))</f>
        <v/>
      </c>
      <c r="H162" s="3759" t="str">
        <f>IF(((COUNTIF($H$5:$H57,"x"))-(COUNTIF($H$5:$H56,"x")))=0,"",COUNTIF($H$5:$H57,"x"))</f>
        <v/>
      </c>
      <c r="I162" s="3759" t="str">
        <f>IF(((COUNTIF($I$5:I57,"x"))-(COUNTIF($I$5:I56,"x")))=0,"",COUNTIF($I$5:I57,"x"))</f>
        <v/>
      </c>
      <c r="J162" s="3767" t="str">
        <f>IF(((COUNTIF($J$5:J57,"x"))-(COUNTIF($J$5:J56,"x")))=0,"",COUNTIF($J$5:J57,"x"))</f>
        <v/>
      </c>
      <c r="K162" s="3767" t="str">
        <f>IF(((COUNTIF($K$5:K57,"x"))-(COUNTIF($K$5:K56,"x")))=0,"",COUNTIF($K$5:K57,"x"))</f>
        <v/>
      </c>
      <c r="L162" s="3767" t="str">
        <f>IF(((COUNTIF($L$5:L57,"x"))-(COUNTIF($L$5:L56,"x")))=0,"",COUNTIF($L$5:L57,"x"))</f>
        <v/>
      </c>
      <c r="M162" s="3767" t="str">
        <f>IF(((COUNTIF($M$5:M57,"x"))-(COUNTIF($M$5:M56,"x")))=0,"",COUNTIF($M$5:M57,"x"))</f>
        <v/>
      </c>
      <c r="N162" s="3767" t="str">
        <f>IF(((COUNTIF($N$5:N57,"x"))-(COUNTIF($N$5:N56,"x")))=0,"",COUNTIF($N$5:N57,"x"))</f>
        <v/>
      </c>
      <c r="O162" s="3767" t="str">
        <f>IF(((COUNTIF($O$5:O57,"x"))-(COUNTIF($O$5:O56,"x")))=0,"",COUNTIF($O$5:O57,"x"))</f>
        <v/>
      </c>
      <c r="P162" s="3759">
        <f>IF(((COUNTIF($P$5:P57,"x"))-(COUNTIF($P$5:P56,"x")))=0,"",COUNTIF($P$5:P57,"x"))</f>
        <v>10</v>
      </c>
      <c r="Q162" s="3767" t="str">
        <f>IF(((COUNTIF($Q$5:Q57,"x"))-(COUNTIF($Q$5:Q56,"x")))=0,"",COUNTIF($Q$5:Q57,"x"))</f>
        <v/>
      </c>
      <c r="R162" s="3767" t="str">
        <f>IF(((COUNTIF($R$5:R57,"x"))-(COUNTIF($R$5:R56,"x")))=0,"",COUNTIF($R$5:R57,"x"))</f>
        <v/>
      </c>
      <c r="S162" s="3767">
        <f>IF(((COUNTIF($S$5:S57,"x"))-(COUNTIF($S$5:S56,"x")))=0,"",COUNTIF($S$5:S57,"x"))</f>
        <v>14</v>
      </c>
      <c r="T162" s="3767">
        <f>IF(((COUNTIF($T$5:T57,"x"))-(COUNTIF($T$5:T56,"x")))=0,"",COUNTIF($T$5:T57,"x"))</f>
        <v>7</v>
      </c>
      <c r="U162" s="3767" t="str">
        <f>IF(((COUNTIF($U$5:U57,"x"))-(COUNTIF($U$5:U56,"x")))=0,"",COUNTIF($U$5:U57,"x"))</f>
        <v/>
      </c>
      <c r="V162" s="3767" t="str">
        <f>IF(((COUNTIF($V$5:V57,"x"))-(COUNTIF($V$5:V56,"x")))=0,"",COUNTIF($V$5:V57,"x"))</f>
        <v/>
      </c>
      <c r="W162" s="3767" t="str">
        <f>IF(((COUNTIF($W$5:W57,"x"))-(COUNTIF($W$5:W56,"x")))=0,"",COUNTIF($W$5:W57,"x"))</f>
        <v/>
      </c>
      <c r="X162" s="3767" t="str">
        <f>IF(((COUNTIF($X$5:X57,"x"))-(COUNTIF($X$5:X56,"x")))=0,"",COUNTIF($X$5:X57,"x"))</f>
        <v/>
      </c>
      <c r="Y162" s="3767" t="str">
        <f>IF(((COUNTIF($Y$5:Y57,"x"))-(COUNTIF($Y$5:Y56,"x")))=0,"",COUNTIF($Y$5:Y57,"x"))</f>
        <v/>
      </c>
      <c r="Z162" s="3767" t="str">
        <f>IF(((COUNTIF($Z$5:Z57,"x"))-(COUNTIF($Z$5:Z56,"x")))=0,"",COUNTIF($Z$5:Z57,"x"))</f>
        <v/>
      </c>
      <c r="AA162" s="3767" t="str">
        <f>IF(((COUNTIF($AA$5:AA57,"x"))-(COUNTIF($AA$5:AA56,"x")))=0,"",COUNTIF($AA$5:AA57,"x"))</f>
        <v/>
      </c>
      <c r="AB162" s="3767" t="str">
        <f>IF(((COUNTIF($AB$5:AB57,"x"))-(COUNTIF($AB$5:AB56,"x")))=0,"",COUNTIF($AB$5:AB57,"x"))</f>
        <v/>
      </c>
      <c r="AC162" s="3767" t="str">
        <f>IF(((COUNTIF($AC$5:AC57,"x"))-(COUNTIF($AC$5:AC56,"x")))=0,"",COUNTIF($AC$5:AC57,"x"))</f>
        <v/>
      </c>
      <c r="AD162" s="3759">
        <f>IF(((COUNTIF($AD$5:AD57,"x"))-(COUNTIF($AD$5:AD56,"x")))=0,"",COUNTIF($AD$5:AD57,"x"))</f>
        <v>49</v>
      </c>
      <c r="AE162" s="3767" t="str">
        <f>IF(((COUNTIF($AE$5:AE57,"x"))-(COUNTIF($AE$5:AE56,"x")))=0,"",COUNTIF($AE$5:AE57,"x"))</f>
        <v/>
      </c>
      <c r="AF162" s="3768" t="str">
        <f>IF(((COUNTIF($AF$5:AF57,"x"))-(COUNTIF($AF$5:AF56,"x")))=0,"",COUNTIF($AF$5:AF57,"x"))</f>
        <v/>
      </c>
      <c r="AG162" s="2152" t="str">
        <f t="shared" si="15"/>
        <v>Mospilan SG</v>
      </c>
    </row>
    <row r="163" spans="2:33" ht="18">
      <c r="B163" s="2168">
        <f t="shared" si="16"/>
        <v>54</v>
      </c>
      <c r="C163" s="3764" t="str">
        <f t="shared" si="13"/>
        <v>Pointer Plus</v>
      </c>
      <c r="D163" s="3765"/>
      <c r="E163" s="3766"/>
      <c r="F163" s="3758">
        <f>IF(((COUNTIF($F$5:$F58,"x"))-(COUNTIF($F$5:$F57,"x")))=0,"",COUNTIF($F$5:$F58,"x"))</f>
        <v>22</v>
      </c>
      <c r="G163" s="3759" t="str">
        <f>IF(((COUNTIF($G$5:$G58,"x"))-(COUNTIF($G$5:$G57,"x")))=0,"",COUNTIF($G$5:$G58,"x"))</f>
        <v/>
      </c>
      <c r="H163" s="3759">
        <f>IF(((COUNTIF($H$5:$H58,"x"))-(COUNTIF($H$5:$H57,"x")))=0,"",COUNTIF($H$5:$H58,"x"))</f>
        <v>22</v>
      </c>
      <c r="I163" s="3759">
        <f>IF(((COUNTIF($I$5:I58,"x"))-(COUNTIF($I$5:I57,"x")))=0,"",COUNTIF($I$5:I58,"x"))</f>
        <v>20</v>
      </c>
      <c r="J163" s="3767">
        <f>IF(((COUNTIF($J$5:J58,"x"))-(COUNTIF($J$5:J57,"x")))=0,"",COUNTIF($J$5:J58,"x"))</f>
        <v>19</v>
      </c>
      <c r="K163" s="3767">
        <f>IF(((COUNTIF($K$5:K58,"x"))-(COUNTIF($K$5:K57,"x")))=0,"",COUNTIF($K$5:K58,"x"))</f>
        <v>16</v>
      </c>
      <c r="L163" s="3767">
        <f>IF(((COUNTIF($L$5:L58,"x"))-(COUNTIF($L$5:L57,"x")))=0,"",COUNTIF($L$5:L58,"x"))</f>
        <v>17</v>
      </c>
      <c r="M163" s="3767">
        <f>IF(((COUNTIF($M$5:M58,"x"))-(COUNTIF($M$5:M57,"x")))=0,"",COUNTIF($M$5:M58,"x"))</f>
        <v>17</v>
      </c>
      <c r="N163" s="3767">
        <f>IF(((COUNTIF($N$5:N58,"x"))-(COUNTIF($N$5:N57,"x")))=0,"",COUNTIF($N$5:N58,"x"))</f>
        <v>8</v>
      </c>
      <c r="O163" s="3767" t="str">
        <f>IF(((COUNTIF($O$5:O58,"x"))-(COUNTIF($O$5:O57,"x")))=0,"",COUNTIF($O$5:O58,"x"))</f>
        <v/>
      </c>
      <c r="P163" s="3759" t="str">
        <f>IF(((COUNTIF($P$5:P58,"x"))-(COUNTIF($P$5:P57,"x")))=0,"",COUNTIF($P$5:P58,"x"))</f>
        <v/>
      </c>
      <c r="Q163" s="3767" t="str">
        <f>IF(((COUNTIF($Q$5:Q58,"x"))-(COUNTIF($Q$5:Q57,"x")))=0,"",COUNTIF($Q$5:Q58,"x"))</f>
        <v/>
      </c>
      <c r="R163" s="3767" t="str">
        <f>IF(((COUNTIF($R$5:R58,"x"))-(COUNTIF($R$5:R57,"x")))=0,"",COUNTIF($R$5:R58,"x"))</f>
        <v/>
      </c>
      <c r="S163" s="3767" t="str">
        <f>IF(((COUNTIF($S$5:S58,"x"))-(COUNTIF($S$5:S57,"x")))=0,"",COUNTIF($S$5:S58,"x"))</f>
        <v/>
      </c>
      <c r="T163" s="3767" t="str">
        <f>IF(((COUNTIF($T$5:T58,"x"))-(COUNTIF($T$5:T57,"x")))=0,"",COUNTIF($T$5:T58,"x"))</f>
        <v/>
      </c>
      <c r="U163" s="3767" t="str">
        <f>IF(((COUNTIF($U$5:U58,"x"))-(COUNTIF($U$5:U57,"x")))=0,"",COUNTIF($U$5:U58,"x"))</f>
        <v/>
      </c>
      <c r="V163" s="3767" t="str">
        <f>IF(((COUNTIF($V$5:V58,"x"))-(COUNTIF($V$5:V57,"x")))=0,"",COUNTIF($V$5:V58,"x"))</f>
        <v/>
      </c>
      <c r="W163" s="3767" t="str">
        <f>IF(((COUNTIF($W$5:W58,"x"))-(COUNTIF($W$5:W57,"x")))=0,"",COUNTIF($W$5:W58,"x"))</f>
        <v/>
      </c>
      <c r="X163" s="3767" t="str">
        <f>IF(((COUNTIF($X$5:X58,"x"))-(COUNTIF($X$5:X57,"x")))=0,"",COUNTIF($X$5:X58,"x"))</f>
        <v/>
      </c>
      <c r="Y163" s="3767" t="str">
        <f>IF(((COUNTIF($Y$5:Y58,"x"))-(COUNTIF($Y$5:Y57,"x")))=0,"",COUNTIF($Y$5:Y58,"x"))</f>
        <v/>
      </c>
      <c r="Z163" s="3767" t="str">
        <f>IF(((COUNTIF($Z$5:Z58,"x"))-(COUNTIF($Z$5:Z57,"x")))=0,"",COUNTIF($Z$5:Z58,"x"))</f>
        <v/>
      </c>
      <c r="AA163" s="3767" t="str">
        <f>IF(((COUNTIF($AA$5:AA58,"x"))-(COUNTIF($AA$5:AA57,"x")))=0,"",COUNTIF($AA$5:AA58,"x"))</f>
        <v/>
      </c>
      <c r="AB163" s="3767" t="str">
        <f>IF(((COUNTIF($AB$5:AB58,"x"))-(COUNTIF($AB$5:AB57,"x")))=0,"",COUNTIF($AB$5:AB58,"x"))</f>
        <v/>
      </c>
      <c r="AC163" s="3767" t="str">
        <f>IF(((COUNTIF($AC$5:AC58,"x"))-(COUNTIF($AC$5:AC57,"x")))=0,"",COUNTIF($AC$5:AC58,"x"))</f>
        <v/>
      </c>
      <c r="AD163" s="3759">
        <f>IF(((COUNTIF($AD$5:AD58,"x"))-(COUNTIF($AD$5:AD57,"x")))=0,"",COUNTIF($AD$5:AD58,"x"))</f>
        <v>50</v>
      </c>
      <c r="AE163" s="3767">
        <f>IF(((COUNTIF($AE$5:AE58,"x"))-(COUNTIF($AE$5:AE57,"x")))=0,"",COUNTIF($AE$5:AE58,"x"))</f>
        <v>1</v>
      </c>
      <c r="AF163" s="3768" t="str">
        <f>IF(((COUNTIF($AF$5:AF58,"x"))-(COUNTIF($AF$5:AF57,"x")))=0,"",COUNTIF($AF$5:AF58,"x"))</f>
        <v/>
      </c>
      <c r="AG163" s="2152" t="str">
        <f t="shared" si="15"/>
        <v>Pointer Plus</v>
      </c>
    </row>
    <row r="164" spans="2:33" ht="18">
      <c r="B164" s="2168">
        <f t="shared" si="16"/>
        <v>55</v>
      </c>
      <c r="C164" s="3764" t="str">
        <f t="shared" si="13"/>
        <v>Polyram WG</v>
      </c>
      <c r="D164" s="3765"/>
      <c r="E164" s="3766"/>
      <c r="F164" s="3758" t="str">
        <f>IF(((COUNTIF($F$5:$F59,"x"))-(COUNTIF($F$5:$F58,"x")))=0,"",COUNTIF($F$5:$F59,"x"))</f>
        <v/>
      </c>
      <c r="G164" s="3759" t="str">
        <f>IF(((COUNTIF($G$5:$G59,"x"))-(COUNTIF($G$5:$G58,"x")))=0,"",COUNTIF($G$5:$G59,"x"))</f>
        <v/>
      </c>
      <c r="H164" s="3759" t="str">
        <f>IF(((COUNTIF($H$5:$H59,"x"))-(COUNTIF($H$5:$H58,"x")))=0,"",COUNTIF($H$5:$H59,"x"))</f>
        <v/>
      </c>
      <c r="I164" s="3759" t="str">
        <f>IF(((COUNTIF($I$5:I59,"x"))-(COUNTIF($I$5:I58,"x")))=0,"",COUNTIF($I$5:I59,"x"))</f>
        <v/>
      </c>
      <c r="J164" s="3767" t="str">
        <f>IF(((COUNTIF($J$5:J59,"x"))-(COUNTIF($J$5:J58,"x")))=0,"",COUNTIF($J$5:J59,"x"))</f>
        <v/>
      </c>
      <c r="K164" s="3767" t="str">
        <f>IF(((COUNTIF($K$5:K59,"x"))-(COUNTIF($K$5:K58,"x")))=0,"",COUNTIF($K$5:K59,"x"))</f>
        <v/>
      </c>
      <c r="L164" s="3767" t="str">
        <f>IF(((COUNTIF($L$5:L59,"x"))-(COUNTIF($L$5:L58,"x")))=0,"",COUNTIF($L$5:L59,"x"))</f>
        <v/>
      </c>
      <c r="M164" s="3767" t="str">
        <f>IF(((COUNTIF($M$5:M59,"x"))-(COUNTIF($M$5:M58,"x")))=0,"",COUNTIF($M$5:M59,"x"))</f>
        <v/>
      </c>
      <c r="N164" s="3767" t="str">
        <f>IF(((COUNTIF($N$5:N59,"x"))-(COUNTIF($N$5:N58,"x")))=0,"",COUNTIF($N$5:N59,"x"))</f>
        <v/>
      </c>
      <c r="O164" s="3767" t="str">
        <f>IF(((COUNTIF($O$5:O59,"x"))-(COUNTIF($O$5:O58,"x")))=0,"",COUNTIF($O$5:O59,"x"))</f>
        <v/>
      </c>
      <c r="P164" s="3759" t="str">
        <f>IF(((COUNTIF($P$5:P59,"x"))-(COUNTIF($P$5:P58,"x")))=0,"",COUNTIF($P$5:P59,"x"))</f>
        <v/>
      </c>
      <c r="Q164" s="3767" t="str">
        <f>IF(((COUNTIF($Q$5:Q59,"x"))-(COUNTIF($Q$5:Q58,"x")))=0,"",COUNTIF($Q$5:Q59,"x"))</f>
        <v/>
      </c>
      <c r="R164" s="3767" t="str">
        <f>IF(((COUNTIF($R$5:R59,"x"))-(COUNTIF($R$5:R58,"x")))=0,"",COUNTIF($R$5:R59,"x"))</f>
        <v/>
      </c>
      <c r="S164" s="3767" t="str">
        <f>IF(((COUNTIF($S$5:S59,"x"))-(COUNTIF($S$5:S58,"x")))=0,"",COUNTIF($S$5:S59,"x"))</f>
        <v/>
      </c>
      <c r="T164" s="3767" t="str">
        <f>IF(((COUNTIF($T$5:T59,"x"))-(COUNTIF($T$5:T58,"x")))=0,"",COUNTIF($T$5:T59,"x"))</f>
        <v/>
      </c>
      <c r="U164" s="3767" t="str">
        <f>IF(((COUNTIF($U$5:U59,"x"))-(COUNTIF($U$5:U58,"x")))=0,"",COUNTIF($U$5:U59,"x"))</f>
        <v/>
      </c>
      <c r="V164" s="3767" t="str">
        <f>IF(((COUNTIF($V$5:V59,"x"))-(COUNTIF($V$5:V58,"x")))=0,"",COUNTIF($V$5:V59,"x"))</f>
        <v/>
      </c>
      <c r="W164" s="3767" t="str">
        <f>IF(((COUNTIF($W$5:W59,"x"))-(COUNTIF($W$5:W58,"x")))=0,"",COUNTIF($W$5:W59,"x"))</f>
        <v/>
      </c>
      <c r="X164" s="3767" t="str">
        <f>IF(((COUNTIF($X$5:X59,"x"))-(COUNTIF($X$5:X58,"x")))=0,"",COUNTIF($X$5:X59,"x"))</f>
        <v/>
      </c>
      <c r="Y164" s="3767" t="str">
        <f>IF(((COUNTIF($Y$5:Y59,"x"))-(COUNTIF($Y$5:Y58,"x")))=0,"",COUNTIF($Y$5:Y59,"x"))</f>
        <v/>
      </c>
      <c r="Z164" s="3767" t="str">
        <f>IF(((COUNTIF($Z$5:Z59,"x"))-(COUNTIF($Z$5:Z58,"x")))=0,"",COUNTIF($Z$5:Z59,"x"))</f>
        <v/>
      </c>
      <c r="AA164" s="3767" t="str">
        <f>IF(((COUNTIF($AA$5:AA59,"x"))-(COUNTIF($AA$5:AA58,"x")))=0,"",COUNTIF($AA$5:AA59,"x"))</f>
        <v/>
      </c>
      <c r="AB164" s="3767">
        <f>IF(((COUNTIF($AB$5:AB59,"x"))-(COUNTIF($AB$5:AB58,"x")))=0,"",COUNTIF($AB$5:AB59,"x"))</f>
        <v>12</v>
      </c>
      <c r="AC164" s="3767" t="str">
        <f>IF(((COUNTIF($AC$5:AC59,"x"))-(COUNTIF($AC$5:AC58,"x")))=0,"",COUNTIF($AC$5:AC59,"x"))</f>
        <v/>
      </c>
      <c r="AD164" s="3759">
        <f>IF(((COUNTIF($AD$5:AD59,"x"))-(COUNTIF($AD$5:AD58,"x")))=0,"",COUNTIF($AD$5:AD59,"x"))</f>
        <v>51</v>
      </c>
      <c r="AE164" s="3767" t="str">
        <f>IF(((COUNTIF($AE$5:AE59,"x"))-(COUNTIF($AE$5:AE58,"x")))=0,"",COUNTIF($AE$5:AE59,"x"))</f>
        <v/>
      </c>
      <c r="AF164" s="3768" t="str">
        <f>IF(((COUNTIF($AF$5:AF59,"x"))-(COUNTIF($AF$5:AF58,"x")))=0,"",COUNTIF($AF$5:AF59,"x"))</f>
        <v/>
      </c>
      <c r="AG164" s="2152" t="str">
        <f t="shared" si="15"/>
        <v>Polyram WG</v>
      </c>
    </row>
    <row r="165" spans="2:33" ht="18">
      <c r="B165" s="2168">
        <f t="shared" si="16"/>
        <v>56</v>
      </c>
      <c r="C165" s="3764" t="str">
        <f t="shared" si="13"/>
        <v>Primus Perfect</v>
      </c>
      <c r="D165" s="3765"/>
      <c r="E165" s="3766"/>
      <c r="F165" s="3758">
        <f>IF(((COUNTIF($F$5:$F60,"x"))-(COUNTIF($F$5:$F59,"x")))=0,"",COUNTIF($F$5:$F60,"x"))</f>
        <v>23</v>
      </c>
      <c r="G165" s="3759">
        <f>IF(((COUNTIF($G$5:$G60,"x"))-(COUNTIF($G$5:$G59,"x")))=0,"",COUNTIF($G$5:$G60,"x"))</f>
        <v>17</v>
      </c>
      <c r="H165" s="3759">
        <f>IF(((COUNTIF($H$5:$H60,"x"))-(COUNTIF($H$5:$H59,"x")))=0,"",COUNTIF($H$5:$H60,"x"))</f>
        <v>23</v>
      </c>
      <c r="I165" s="3759">
        <f>IF(((COUNTIF($I$5:I60,"x"))-(COUNTIF($I$5:I59,"x")))=0,"",COUNTIF($I$5:I60,"x"))</f>
        <v>21</v>
      </c>
      <c r="J165" s="3767">
        <f>IF(((COUNTIF($J$5:J60,"x"))-(COUNTIF($J$5:J59,"x")))=0,"",COUNTIF($J$5:J60,"x"))</f>
        <v>20</v>
      </c>
      <c r="K165" s="3767">
        <f>IF(((COUNTIF($K$5:K60,"x"))-(COUNTIF($K$5:K59,"x")))=0,"",COUNTIF($K$5:K60,"x"))</f>
        <v>17</v>
      </c>
      <c r="L165" s="3767">
        <f>IF(((COUNTIF($L$5:L60,"x"))-(COUNTIF($L$5:L59,"x")))=0,"",COUNTIF($L$5:L60,"x"))</f>
        <v>18</v>
      </c>
      <c r="M165" s="3767">
        <f>IF(((COUNTIF($M$5:M60,"x"))-(COUNTIF($M$5:M59,"x")))=0,"",COUNTIF($M$5:M60,"x"))</f>
        <v>18</v>
      </c>
      <c r="N165" s="3767">
        <f>IF(((COUNTIF($N$5:N60,"x"))-(COUNTIF($N$5:N59,"x")))=0,"",COUNTIF($N$5:N60,"x"))</f>
        <v>9</v>
      </c>
      <c r="O165" s="3767">
        <f>IF(((COUNTIF($O$5:O60,"x"))-(COUNTIF($O$5:O59,"x")))=0,"",COUNTIF($O$5:O60,"x"))</f>
        <v>12</v>
      </c>
      <c r="P165" s="3759" t="str">
        <f>IF(((COUNTIF($P$5:P60,"x"))-(COUNTIF($P$5:P59,"x")))=0,"",COUNTIF($P$5:P60,"x"))</f>
        <v/>
      </c>
      <c r="Q165" s="3767" t="str">
        <f>IF(((COUNTIF($Q$5:Q60,"x"))-(COUNTIF($Q$5:Q59,"x")))=0,"",COUNTIF($Q$5:Q60,"x"))</f>
        <v/>
      </c>
      <c r="R165" s="3767" t="str">
        <f>IF(((COUNTIF($R$5:R60,"x"))-(COUNTIF($R$5:R59,"x")))=0,"",COUNTIF($R$5:R60,"x"))</f>
        <v/>
      </c>
      <c r="S165" s="3767" t="str">
        <f>IF(((COUNTIF($S$5:S60,"x"))-(COUNTIF($S$5:S59,"x")))=0,"",COUNTIF($S$5:S60,"x"))</f>
        <v/>
      </c>
      <c r="T165" s="3767" t="str">
        <f>IF(((COUNTIF($T$5:T60,"x"))-(COUNTIF($T$5:T59,"x")))=0,"",COUNTIF($T$5:T60,"x"))</f>
        <v/>
      </c>
      <c r="U165" s="3767" t="str">
        <f>IF(((COUNTIF($U$5:U60,"x"))-(COUNTIF($U$5:U59,"x")))=0,"",COUNTIF($U$5:U60,"x"))</f>
        <v/>
      </c>
      <c r="V165" s="3767" t="str">
        <f>IF(((COUNTIF($V$5:V60,"x"))-(COUNTIF($V$5:V59,"x")))=0,"",COUNTIF($V$5:V60,"x"))</f>
        <v/>
      </c>
      <c r="W165" s="3767" t="str">
        <f>IF(((COUNTIF($W$5:W60,"x"))-(COUNTIF($W$5:W59,"x")))=0,"",COUNTIF($W$5:W60,"x"))</f>
        <v/>
      </c>
      <c r="X165" s="3767" t="str">
        <f>IF(((COUNTIF($X$5:X60,"x"))-(COUNTIF($X$5:X59,"x")))=0,"",COUNTIF($X$5:X60,"x"))</f>
        <v/>
      </c>
      <c r="Y165" s="3767" t="str">
        <f>IF(((COUNTIF($Y$5:Y60,"x"))-(COUNTIF($Y$5:Y59,"x")))=0,"",COUNTIF($Y$5:Y60,"x"))</f>
        <v/>
      </c>
      <c r="Z165" s="3767" t="str">
        <f>IF(((COUNTIF($Z$5:Z60,"x"))-(COUNTIF($Z$5:Z59,"x")))=0,"",COUNTIF($Z$5:Z60,"x"))</f>
        <v/>
      </c>
      <c r="AA165" s="3767" t="str">
        <f>IF(((COUNTIF($AA$5:AA60,"x"))-(COUNTIF($AA$5:AA59,"x")))=0,"",COUNTIF($AA$5:AA60,"x"))</f>
        <v/>
      </c>
      <c r="AB165" s="3767" t="str">
        <f>IF(((COUNTIF($AB$5:AB60,"x"))-(COUNTIF($AB$5:AB59,"x")))=0,"",COUNTIF($AB$5:AB60,"x"))</f>
        <v/>
      </c>
      <c r="AC165" s="3767" t="str">
        <f>IF(((COUNTIF($AC$5:AC60,"x"))-(COUNTIF($AC$5:AC59,"x")))=0,"",COUNTIF($AC$5:AC60,"x"))</f>
        <v/>
      </c>
      <c r="AD165" s="3759">
        <f>IF(((COUNTIF($AD$5:AD60,"x"))-(COUNTIF($AD$5:AD59,"x")))=0,"",COUNTIF($AD$5:AD60,"x"))</f>
        <v>52</v>
      </c>
      <c r="AE165" s="3767" t="str">
        <f>IF(((COUNTIF($AE$5:AE60,"x"))-(COUNTIF($AE$5:AE59,"x")))=0,"",COUNTIF($AE$5:AE60,"x"))</f>
        <v/>
      </c>
      <c r="AF165" s="3768" t="str">
        <f>IF(((COUNTIF($AF$5:AF60,"x"))-(COUNTIF($AF$5:AF59,"x")))=0,"",COUNTIF($AF$5:AF60,"x"))</f>
        <v/>
      </c>
      <c r="AG165" s="2152" t="str">
        <f t="shared" si="15"/>
        <v>Primus Perfect</v>
      </c>
    </row>
    <row r="166" spans="2:33" ht="18">
      <c r="B166" s="2168">
        <f t="shared" si="16"/>
        <v>57</v>
      </c>
      <c r="C166" s="3764" t="str">
        <f t="shared" si="13"/>
        <v>Proline</v>
      </c>
      <c r="D166" s="3765"/>
      <c r="E166" s="3766"/>
      <c r="F166" s="3758" t="str">
        <f>IF(((COUNTIF($F$5:$F61,"x"))-(COUNTIF($F$5:$F60,"x")))=0,"",COUNTIF($F$5:$F61,"x"))</f>
        <v/>
      </c>
      <c r="G166" s="3759" t="str">
        <f>IF(((COUNTIF($G$5:$G61,"x"))-(COUNTIF($G$5:$G60,"x")))=0,"",COUNTIF($G$5:$G61,"x"))</f>
        <v/>
      </c>
      <c r="H166" s="3759" t="str">
        <f>IF(((COUNTIF($H$5:$H61,"x"))-(COUNTIF($H$5:$H60,"x")))=0,"",COUNTIF($H$5:$H61,"x"))</f>
        <v/>
      </c>
      <c r="I166" s="3759" t="str">
        <f>IF(((COUNTIF($I$5:I61,"x"))-(COUNTIF($I$5:I60,"x")))=0,"",COUNTIF($I$5:I61,"x"))</f>
        <v/>
      </c>
      <c r="J166" s="3767" t="str">
        <f>IF(((COUNTIF($J$5:J61,"x"))-(COUNTIF($J$5:J60,"x")))=0,"",COUNTIF($J$5:J61,"x"))</f>
        <v/>
      </c>
      <c r="K166" s="3767" t="str">
        <f>IF(((COUNTIF($K$5:K61,"x"))-(COUNTIF($K$5:K60,"x")))=0,"",COUNTIF($K$5:K61,"x"))</f>
        <v/>
      </c>
      <c r="L166" s="3767" t="str">
        <f>IF(((COUNTIF($L$5:L61,"x"))-(COUNTIF($L$5:L60,"x")))=0,"",COUNTIF($L$5:L61,"x"))</f>
        <v/>
      </c>
      <c r="M166" s="3767" t="str">
        <f>IF(((COUNTIF($M$5:M61,"x"))-(COUNTIF($M$5:M60,"x")))=0,"",COUNTIF($M$5:M61,"x"))</f>
        <v/>
      </c>
      <c r="N166" s="3767" t="str">
        <f>IF(((COUNTIF($N$5:N61,"x"))-(COUNTIF($N$5:N60,"x")))=0,"",COUNTIF($N$5:N61,"x"))</f>
        <v/>
      </c>
      <c r="O166" s="3767" t="str">
        <f>IF(((COUNTIF($O$5:O61,"x"))-(COUNTIF($O$5:O60,"x")))=0,"",COUNTIF($O$5:O61,"x"))</f>
        <v/>
      </c>
      <c r="P166" s="3759" t="str">
        <f>IF(((COUNTIF($P$5:P61,"x"))-(COUNTIF($P$5:P60,"x")))=0,"",COUNTIF($P$5:P61,"x"))</f>
        <v/>
      </c>
      <c r="Q166" s="3767" t="str">
        <f>IF(((COUNTIF($Q$5:Q61,"x"))-(COUNTIF($Q$5:Q60,"x")))=0,"",COUNTIF($Q$5:Q61,"x"))</f>
        <v/>
      </c>
      <c r="R166" s="3767" t="str">
        <f>IF(((COUNTIF($R$5:R61,"x"))-(COUNTIF($R$5:R60,"x")))=0,"",COUNTIF($R$5:R61,"x"))</f>
        <v/>
      </c>
      <c r="S166" s="3767">
        <f>IF(((COUNTIF($S$5:S61,"x"))-(COUNTIF($S$5:S60,"x")))=0,"",COUNTIF($S$5:S61,"x"))</f>
        <v>15</v>
      </c>
      <c r="T166" s="3767">
        <f>IF(((COUNTIF($T$5:T61,"x"))-(COUNTIF($T$5:T60,"x")))=0,"",COUNTIF($T$5:T61,"x"))</f>
        <v>8</v>
      </c>
      <c r="U166" s="3767" t="str">
        <f>IF(((COUNTIF($U$5:U61,"x"))-(COUNTIF($U$5:U60,"x")))=0,"",COUNTIF($U$5:U61,"x"))</f>
        <v/>
      </c>
      <c r="V166" s="3767" t="str">
        <f>IF(((COUNTIF($V$5:V61,"x"))-(COUNTIF($V$5:V60,"x")))=0,"",COUNTIF($V$5:V61,"x"))</f>
        <v/>
      </c>
      <c r="W166" s="3767" t="str">
        <f>IF(((COUNTIF($W$5:W61,"x"))-(COUNTIF($W$5:W60,"x")))=0,"",COUNTIF($W$5:W61,"x"))</f>
        <v/>
      </c>
      <c r="X166" s="3767" t="str">
        <f>IF(((COUNTIF($X$5:X61,"x"))-(COUNTIF($X$5:X60,"x")))=0,"",COUNTIF($X$5:X61,"x"))</f>
        <v/>
      </c>
      <c r="Y166" s="3767" t="str">
        <f>IF(((COUNTIF($Y$5:Y61,"x"))-(COUNTIF($Y$5:Y60,"x")))=0,"",COUNTIF($Y$5:Y61,"x"))</f>
        <v/>
      </c>
      <c r="Z166" s="3767" t="str">
        <f>IF(((COUNTIF($Z$5:Z61,"x"))-(COUNTIF($Z$5:Z60,"x")))=0,"",COUNTIF($Z$5:Z61,"x"))</f>
        <v/>
      </c>
      <c r="AA166" s="3767" t="str">
        <f>IF(((COUNTIF($AA$5:AA61,"x"))-(COUNTIF($AA$5:AA60,"x")))=0,"",COUNTIF($AA$5:AA61,"x"))</f>
        <v/>
      </c>
      <c r="AB166" s="3767" t="str">
        <f>IF(((COUNTIF($AB$5:AB61,"x"))-(COUNTIF($AB$5:AB60,"x")))=0,"",COUNTIF($AB$5:AB61,"x"))</f>
        <v/>
      </c>
      <c r="AC166" s="3767" t="str">
        <f>IF(((COUNTIF($AC$5:AC61,"x"))-(COUNTIF($AC$5:AC60,"x")))=0,"",COUNTIF($AC$5:AC61,"x"))</f>
        <v/>
      </c>
      <c r="AD166" s="3759">
        <f>IF(((COUNTIF($AD$5:AD61,"x"))-(COUNTIF($AD$5:AD60,"x")))=0,"",COUNTIF($AD$5:AD61,"x"))</f>
        <v>53</v>
      </c>
      <c r="AE166" s="3767" t="str">
        <f>IF(((COUNTIF($AE$5:AE61,"x"))-(COUNTIF($AE$5:AE60,"x")))=0,"",COUNTIF($AE$5:AE61,"x"))</f>
        <v/>
      </c>
      <c r="AF166" s="3768" t="str">
        <f>IF(((COUNTIF($AF$5:AF61,"x"))-(COUNTIF($AF$5:AF60,"x")))=0,"",COUNTIF($AF$5:AF61,"x"))</f>
        <v/>
      </c>
      <c r="AG166" s="2152" t="str">
        <f t="shared" si="15"/>
        <v>Proline</v>
      </c>
    </row>
    <row r="167" spans="2:33" ht="18">
      <c r="B167" s="2168">
        <f t="shared" si="16"/>
        <v>58</v>
      </c>
      <c r="C167" s="3764" t="str">
        <f t="shared" si="13"/>
        <v>Propulse</v>
      </c>
      <c r="D167" s="3765"/>
      <c r="E167" s="3769"/>
      <c r="F167" s="3758" t="str">
        <f>IF(((COUNTIF($F$5:$F62,"x"))-(COUNTIF($F$5:$F61,"x")))=0,"",COUNTIF($F$5:$F62,"x"))</f>
        <v/>
      </c>
      <c r="G167" s="3759" t="str">
        <f>IF(((COUNTIF($G$5:$G62,"x"))-(COUNTIF($G$5:$G61,"x")))=0,"",COUNTIF($G$5:$G62,"x"))</f>
        <v/>
      </c>
      <c r="H167" s="3759" t="str">
        <f>IF(((COUNTIF($H$5:$H62,"x"))-(COUNTIF($H$5:$H61,"x")))=0,"",COUNTIF($H$5:$H62,"x"))</f>
        <v/>
      </c>
      <c r="I167" s="3759" t="str">
        <f>IF(((COUNTIF($I$5:I62,"x"))-(COUNTIF($I$5:I61,"x")))=0,"",COUNTIF($I$5:I62,"x"))</f>
        <v/>
      </c>
      <c r="J167" s="3767" t="str">
        <f>IF(((COUNTIF($J$5:J62,"x"))-(COUNTIF($J$5:J61,"x")))=0,"",COUNTIF($J$5:J62,"x"))</f>
        <v/>
      </c>
      <c r="K167" s="3767" t="str">
        <f>IF(((COUNTIF($K$5:K62,"x"))-(COUNTIF($K$5:K61,"x")))=0,"",COUNTIF($K$5:K62,"x"))</f>
        <v/>
      </c>
      <c r="L167" s="3767" t="str">
        <f>IF(((COUNTIF($L$5:L62,"x"))-(COUNTIF($L$5:L61,"x")))=0,"",COUNTIF($L$5:L62,"x"))</f>
        <v/>
      </c>
      <c r="M167" s="3767" t="str">
        <f>IF(((COUNTIF($M$5:M62,"x"))-(COUNTIF($M$5:M61,"x")))=0,"",COUNTIF($M$5:M62,"x"))</f>
        <v/>
      </c>
      <c r="N167" s="3767" t="str">
        <f>IF(((COUNTIF($N$5:N62,"x"))-(COUNTIF($N$5:N61,"x")))=0,"",COUNTIF($N$5:N62,"x"))</f>
        <v/>
      </c>
      <c r="O167" s="3767" t="str">
        <f>IF(((COUNTIF($O$5:O62,"x"))-(COUNTIF($O$5:O61,"x")))=0,"",COUNTIF($O$5:O62,"x"))</f>
        <v/>
      </c>
      <c r="P167" s="3759" t="str">
        <f>IF(((COUNTIF($P$5:P62,"x"))-(COUNTIF($P$5:P61,"x")))=0,"",COUNTIF($P$5:P62,"x"))</f>
        <v/>
      </c>
      <c r="Q167" s="3767" t="str">
        <f>IF(((COUNTIF($Q$5:Q62,"x"))-(COUNTIF($Q$5:Q61,"x")))=0,"",COUNTIF($Q$5:Q62,"x"))</f>
        <v/>
      </c>
      <c r="R167" s="3767" t="str">
        <f>IF(((COUNTIF($R$5:R62,"x"))-(COUNTIF($R$5:R61,"x")))=0,"",COUNTIF($R$5:R62,"x"))</f>
        <v/>
      </c>
      <c r="S167" s="3767">
        <f>IF(((COUNTIF($S$5:S62,"x"))-(COUNTIF($S$5:S61,"x")))=0,"",COUNTIF($S$5:S62,"x"))</f>
        <v>16</v>
      </c>
      <c r="T167" s="3767">
        <f>IF(((COUNTIF($T$5:T62,"x"))-(COUNTIF($T$5:T61,"x")))=0,"",COUNTIF($T$5:T62,"x"))</f>
        <v>9</v>
      </c>
      <c r="U167" s="3767" t="str">
        <f>IF(((COUNTIF($U$5:U62,"x"))-(COUNTIF($U$5:U61,"x")))=0,"",COUNTIF($U$5:U62,"x"))</f>
        <v/>
      </c>
      <c r="V167" s="3767" t="str">
        <f>IF(((COUNTIF($V$5:V62,"x"))-(COUNTIF($V$5:V61,"x")))=0,"",COUNTIF($V$5:V62,"x"))</f>
        <v/>
      </c>
      <c r="W167" s="3767" t="str">
        <f>IF(((COUNTIF($W$5:W62,"x"))-(COUNTIF($W$5:W61,"x")))=0,"",COUNTIF($W$5:W62,"x"))</f>
        <v/>
      </c>
      <c r="X167" s="3767" t="str">
        <f>IF(((COUNTIF($X$5:X62,"x"))-(COUNTIF($X$5:X61,"x")))=0,"",COUNTIF($X$5:X62,"x"))</f>
        <v/>
      </c>
      <c r="Y167" s="3767" t="str">
        <f>IF(((COUNTIF($Y$5:Y62,"x"))-(COUNTIF($Y$5:Y61,"x")))=0,"",COUNTIF($Y$5:Y62,"x"))</f>
        <v/>
      </c>
      <c r="Z167" s="3767" t="str">
        <f>IF(((COUNTIF($Z$5:Z62,"x"))-(COUNTIF($Z$5:Z61,"x")))=0,"",COUNTIF($Z$5:Z62,"x"))</f>
        <v/>
      </c>
      <c r="AA167" s="3767" t="str">
        <f>IF(((COUNTIF($AA$5:AA62,"x"))-(COUNTIF($AA$5:AA61,"x")))=0,"",COUNTIF($AA$5:AA62,"x"))</f>
        <v/>
      </c>
      <c r="AB167" s="3767" t="str">
        <f>IF(((COUNTIF($AB$5:AB62,"x"))-(COUNTIF($AB$5:AB61,"x")))=0,"",COUNTIF($AB$5:AB62,"x"))</f>
        <v/>
      </c>
      <c r="AC167" s="3767" t="str">
        <f>IF(((COUNTIF($AC$5:AC62,"x"))-(COUNTIF($AC$5:AC61,"x")))=0,"",COUNTIF($AC$5:AC62,"x"))</f>
        <v/>
      </c>
      <c r="AD167" s="3759">
        <f>IF(((COUNTIF($AD$5:AD62,"x"))-(COUNTIF($AD$5:AD61,"x")))=0,"",COUNTIF($AD$5:AD62,"x"))</f>
        <v>54</v>
      </c>
      <c r="AE167" s="3767" t="str">
        <f>IF(((COUNTIF($AE$5:AE62,"x"))-(COUNTIF($AE$5:AE61,"x")))=0,"",COUNTIF($AE$5:AE62,"x"))</f>
        <v/>
      </c>
      <c r="AF167" s="3768" t="str">
        <f>IF(((COUNTIF($AF$5:AF62,"x"))-(COUNTIF($AF$5:AF61,"x")))=0,"",COUNTIF($AF$5:AF62,"x"))</f>
        <v/>
      </c>
      <c r="AG167" s="2152" t="str">
        <f t="shared" si="15"/>
        <v>Propulse</v>
      </c>
    </row>
    <row r="168" spans="2:33" ht="18">
      <c r="B168" s="2168">
        <f t="shared" si="16"/>
        <v>59</v>
      </c>
      <c r="C168" s="3764" t="str">
        <f t="shared" si="13"/>
        <v>Prosaro</v>
      </c>
      <c r="D168" s="3765"/>
      <c r="E168" s="3769"/>
      <c r="F168" s="3758">
        <f>IF(((COUNTIF($F$5:$F63,"x"))-(COUNTIF($F$5:$F62,"x")))=0,"",COUNTIF($F$5:$F63,"x"))</f>
        <v>24</v>
      </c>
      <c r="G168" s="3759">
        <f>IF(((COUNTIF($G$5:$G63,"x"))-(COUNTIF($G$5:$G62,"x")))=0,"",COUNTIF($G$5:$G63,"x"))</f>
        <v>18</v>
      </c>
      <c r="H168" s="3759">
        <f>IF(((COUNTIF($H$5:$H63,"x"))-(COUNTIF($H$5:$H62,"x")))=0,"",COUNTIF($H$5:$H63,"x"))</f>
        <v>24</v>
      </c>
      <c r="I168" s="3759">
        <f>IF(((COUNTIF($I$5:I63,"x"))-(COUNTIF($I$5:I62,"x")))=0,"",COUNTIF($I$5:I63,"x"))</f>
        <v>22</v>
      </c>
      <c r="J168" s="3767">
        <f>IF(((COUNTIF($J$5:J63,"x"))-(COUNTIF($J$5:J62,"x")))=0,"",COUNTIF($J$5:J63,"x"))</f>
        <v>21</v>
      </c>
      <c r="K168" s="3767">
        <f>IF(((COUNTIF($K$5:K63,"x"))-(COUNTIF($K$5:K62,"x")))=0,"",COUNTIF($K$5:K63,"x"))</f>
        <v>18</v>
      </c>
      <c r="L168" s="3767">
        <f>IF(((COUNTIF($L$5:L63,"x"))-(COUNTIF($L$5:L62,"x")))=0,"",COUNTIF($L$5:L63,"x"))</f>
        <v>19</v>
      </c>
      <c r="M168" s="3767">
        <f>IF(((COUNTIF($M$5:M63,"x"))-(COUNTIF($M$5:M62,"x")))=0,"",COUNTIF($M$5:M63,"x"))</f>
        <v>19</v>
      </c>
      <c r="N168" s="3767" t="str">
        <f>IF(((COUNTIF($N$5:N63,"x"))-(COUNTIF($N$5:N62,"x")))=0,"",COUNTIF($N$5:N63,"x"))</f>
        <v/>
      </c>
      <c r="O168" s="3767">
        <f>IF(((COUNTIF($O$5:O63,"x"))-(COUNTIF($O$5:O62,"x")))=0,"",COUNTIF($O$5:O63,"x"))</f>
        <v>13</v>
      </c>
      <c r="P168" s="3759">
        <f>IF(((COUNTIF($P$5:P63,"x"))-(COUNTIF($P$5:P62,"x")))=0,"",COUNTIF($P$5:P63,"x"))</f>
        <v>11</v>
      </c>
      <c r="Q168" s="3767" t="str">
        <f>IF(((COUNTIF($Q$5:Q63,"x"))-(COUNTIF($Q$5:Q62,"x")))=0,"",COUNTIF($Q$5:Q63,"x"))</f>
        <v/>
      </c>
      <c r="R168" s="3767" t="str">
        <f>IF(((COUNTIF($R$5:R63,"x"))-(COUNTIF($R$5:R62,"x")))=0,"",COUNTIF($R$5:R63,"x"))</f>
        <v/>
      </c>
      <c r="S168" s="3767">
        <f>IF(((COUNTIF($S$5:S63,"x"))-(COUNTIF($S$5:S62,"x")))=0,"",COUNTIF($S$5:S63,"x"))</f>
        <v>17</v>
      </c>
      <c r="T168" s="3767">
        <f>IF(((COUNTIF($T$5:T63,"x"))-(COUNTIF($T$5:T62,"x")))=0,"",COUNTIF($T$5:T63,"x"))</f>
        <v>10</v>
      </c>
      <c r="U168" s="3767" t="str">
        <f>IF(((COUNTIF($U$5:U63,"x"))-(COUNTIF($U$5:U62,"x")))=0,"",COUNTIF($U$5:U63,"x"))</f>
        <v/>
      </c>
      <c r="V168" s="3767" t="str">
        <f>IF(((COUNTIF($V$5:V63,"x"))-(COUNTIF($V$5:V62,"x")))=0,"",COUNTIF($V$5:V63,"x"))</f>
        <v/>
      </c>
      <c r="W168" s="3767" t="str">
        <f>IF(((COUNTIF($W$5:W63,"x"))-(COUNTIF($W$5:W62,"x")))=0,"",COUNTIF($W$5:W63,"x"))</f>
        <v/>
      </c>
      <c r="X168" s="3767" t="str">
        <f>IF(((COUNTIF($X$5:X63,"x"))-(COUNTIF($X$5:X62,"x")))=0,"",COUNTIF($X$5:X63,"x"))</f>
        <v/>
      </c>
      <c r="Y168" s="3767" t="str">
        <f>IF(((COUNTIF($Y$5:Y63,"x"))-(COUNTIF($Y$5:Y62,"x")))=0,"",COUNTIF($Y$5:Y63,"x"))</f>
        <v/>
      </c>
      <c r="Z168" s="3767" t="str">
        <f>IF(((COUNTIF($Z$5:Z63,"x"))-(COUNTIF($Z$5:Z62,"x")))=0,"",COUNTIF($Z$5:Z63,"x"))</f>
        <v/>
      </c>
      <c r="AA168" s="3767" t="str">
        <f>IF(((COUNTIF($AA$5:AA63,"x"))-(COUNTIF($AA$5:AA62,"x")))=0,"",COUNTIF($AA$5:AA63,"x"))</f>
        <v/>
      </c>
      <c r="AB168" s="3767" t="str">
        <f>IF(((COUNTIF($AB$5:AB63,"x"))-(COUNTIF($AB$5:AB62,"x")))=0,"",COUNTIF($AB$5:AB63,"x"))</f>
        <v/>
      </c>
      <c r="AC168" s="3767" t="str">
        <f>IF(((COUNTIF($AC$5:AC63,"x"))-(COUNTIF($AC$5:AC62,"x")))=0,"",COUNTIF($AC$5:AC63,"x"))</f>
        <v/>
      </c>
      <c r="AD168" s="3759">
        <f>IF(((COUNTIF($AD$5:AD63,"x"))-(COUNTIF($AD$5:AD62,"x")))=0,"",COUNTIF($AD$5:AD63,"x"))</f>
        <v>55</v>
      </c>
      <c r="AE168" s="3767" t="str">
        <f>IF(((COUNTIF($AE$5:AE63,"x"))-(COUNTIF($AE$5:AE62,"x")))=0,"",COUNTIF($AE$5:AE63,"x"))</f>
        <v/>
      </c>
      <c r="AF168" s="3768" t="str">
        <f>IF(((COUNTIF($AF$5:AF63,"x"))-(COUNTIF($AF$5:AF62,"x")))=0,"",COUNTIF($AF$5:AF63,"x"))</f>
        <v/>
      </c>
      <c r="AG168" s="2152" t="str">
        <f t="shared" si="15"/>
        <v>Prosaro</v>
      </c>
    </row>
    <row r="169" spans="2:33" ht="18">
      <c r="B169" s="2168">
        <f t="shared" si="16"/>
        <v>60</v>
      </c>
      <c r="C169" s="3764" t="str">
        <f t="shared" si="13"/>
        <v>Ranman Top</v>
      </c>
      <c r="D169" s="3765"/>
      <c r="E169" s="3769"/>
      <c r="F169" s="3758" t="str">
        <f>IF(((COUNTIF($F$5:$F64,"x"))-(COUNTIF($F$5:$F63,"x")))=0,"",COUNTIF($F$5:$F64,"x"))</f>
        <v/>
      </c>
      <c r="G169" s="3759" t="str">
        <f>IF(((COUNTIF($G$5:$G64,"x"))-(COUNTIF($G$5:$G63,"x")))=0,"",COUNTIF($G$5:$G64,"x"))</f>
        <v/>
      </c>
      <c r="H169" s="3759" t="str">
        <f>IF(((COUNTIF($H$5:$H64,"x"))-(COUNTIF($H$5:$H63,"x")))=0,"",COUNTIF($H$5:$H64,"x"))</f>
        <v/>
      </c>
      <c r="I169" s="3759" t="str">
        <f>IF(((COUNTIF($I$5:I64,"x"))-(COUNTIF($I$5:I63,"x")))=0,"",COUNTIF($I$5:I64,"x"))</f>
        <v/>
      </c>
      <c r="J169" s="3767" t="str">
        <f>IF(((COUNTIF($J$5:J64,"x"))-(COUNTIF($J$5:J63,"x")))=0,"",COUNTIF($J$5:J64,"x"))</f>
        <v/>
      </c>
      <c r="K169" s="3767" t="str">
        <f>IF(((COUNTIF($K$5:K64,"x"))-(COUNTIF($K$5:K63,"x")))=0,"",COUNTIF($K$5:K64,"x"))</f>
        <v/>
      </c>
      <c r="L169" s="3767" t="str">
        <f>IF(((COUNTIF($L$5:L64,"x"))-(COUNTIF($L$5:L63,"x")))=0,"",COUNTIF($L$5:L64,"x"))</f>
        <v/>
      </c>
      <c r="M169" s="3767" t="str">
        <f>IF(((COUNTIF($M$5:M64,"x"))-(COUNTIF($M$5:M63,"x")))=0,"",COUNTIF($M$5:M64,"x"))</f>
        <v/>
      </c>
      <c r="N169" s="3767" t="str">
        <f>IF(((COUNTIF($N$5:N64,"x"))-(COUNTIF($N$5:N63,"x")))=0,"",COUNTIF($N$5:N64,"x"))</f>
        <v/>
      </c>
      <c r="O169" s="3767" t="str">
        <f>IF(((COUNTIF($O$5:O64,"x"))-(COUNTIF($O$5:O63,"x")))=0,"",COUNTIF($O$5:O64,"x"))</f>
        <v/>
      </c>
      <c r="P169" s="3759" t="str">
        <f>IF(((COUNTIF($P$5:P64,"x"))-(COUNTIF($P$5:P63,"x")))=0,"",COUNTIF($P$5:P64,"x"))</f>
        <v/>
      </c>
      <c r="Q169" s="3767" t="str">
        <f>IF(((COUNTIF($Q$5:Q64,"x"))-(COUNTIF($Q$5:Q63,"x")))=0,"",COUNTIF($Q$5:Q64,"x"))</f>
        <v/>
      </c>
      <c r="R169" s="3767" t="str">
        <f>IF(((COUNTIF($R$5:R64,"x"))-(COUNTIF($R$5:R63,"x")))=0,"",COUNTIF($R$5:R64,"x"))</f>
        <v/>
      </c>
      <c r="S169" s="3767" t="str">
        <f>IF(((COUNTIF($S$5:S64,"x"))-(COUNTIF($S$5:S63,"x")))=0,"",COUNTIF($S$5:S64,"x"))</f>
        <v/>
      </c>
      <c r="T169" s="3767" t="str">
        <f>IF(((COUNTIF($T$5:T64,"x"))-(COUNTIF($T$5:T63,"x")))=0,"",COUNTIF($T$5:T64,"x"))</f>
        <v/>
      </c>
      <c r="U169" s="3767" t="str">
        <f>IF(((COUNTIF($U$5:U64,"x"))-(COUNTIF($U$5:U63,"x")))=0,"",COUNTIF($U$5:U64,"x"))</f>
        <v/>
      </c>
      <c r="V169" s="3767" t="str">
        <f>IF(((COUNTIF($V$5:V64,"x"))-(COUNTIF($V$5:V63,"x")))=0,"",COUNTIF($V$5:V64,"x"))</f>
        <v/>
      </c>
      <c r="W169" s="3767" t="str">
        <f>IF(((COUNTIF($W$5:W64,"x"))-(COUNTIF($W$5:W63,"x")))=0,"",COUNTIF($W$5:W64,"x"))</f>
        <v/>
      </c>
      <c r="X169" s="3767" t="str">
        <f>IF(((COUNTIF($X$5:X64,"x"))-(COUNTIF($X$5:X63,"x")))=0,"",COUNTIF($X$5:X64,"x"))</f>
        <v/>
      </c>
      <c r="Y169" s="3767" t="str">
        <f>IF(((COUNTIF($Y$5:Y64,"x"))-(COUNTIF($Y$5:Y63,"x")))=0,"",COUNTIF($Y$5:Y64,"x"))</f>
        <v/>
      </c>
      <c r="Z169" s="3767" t="str">
        <f>IF(((COUNTIF($Z$5:Z64,"x"))-(COUNTIF($Z$5:Z63,"x")))=0,"",COUNTIF($Z$5:Z64,"x"))</f>
        <v/>
      </c>
      <c r="AA169" s="3767" t="str">
        <f>IF(((COUNTIF($AA$5:AA64,"x"))-(COUNTIF($AA$5:AA63,"x")))=0,"",COUNTIF($AA$5:AA64,"x"))</f>
        <v/>
      </c>
      <c r="AB169" s="3767">
        <f>IF(((COUNTIF($AB$5:AB64,"x"))-(COUNTIF($AB$5:AB63,"x")))=0,"",COUNTIF($AB$5:AB64,"x"))</f>
        <v>13</v>
      </c>
      <c r="AC169" s="3767" t="str">
        <f>IF(((COUNTIF($AC$5:AC64,"x"))-(COUNTIF($AC$5:AC63,"x")))=0,"",COUNTIF($AC$5:AC64,"x"))</f>
        <v/>
      </c>
      <c r="AD169" s="3759">
        <f>IF(((COUNTIF($AD$5:AD64,"x"))-(COUNTIF($AD$5:AD63,"x")))=0,"",COUNTIF($AD$5:AD64,"x"))</f>
        <v>56</v>
      </c>
      <c r="AE169" s="3767" t="str">
        <f>IF(((COUNTIF($AE$5:AE64,"x"))-(COUNTIF($AE$5:AE63,"x")))=0,"",COUNTIF($AE$5:AE64,"x"))</f>
        <v/>
      </c>
      <c r="AF169" s="3768" t="str">
        <f>IF(((COUNTIF($AF$5:AF64,"x"))-(COUNTIF($AF$5:AF63,"x")))=0,"",COUNTIF($AF$5:AF64,"x"))</f>
        <v/>
      </c>
      <c r="AG169" s="2152" t="str">
        <f t="shared" si="15"/>
        <v>Ranman Top</v>
      </c>
    </row>
    <row r="170" spans="2:33" ht="18">
      <c r="B170" s="2168">
        <f t="shared" si="16"/>
        <v>61</v>
      </c>
      <c r="C170" s="3764" t="str">
        <f t="shared" si="13"/>
        <v>Revus</v>
      </c>
      <c r="D170" s="3765"/>
      <c r="E170" s="3769"/>
      <c r="F170" s="3758" t="str">
        <f>IF(((COUNTIF($F$5:$F65,"x"))-(COUNTIF($F$5:$F64,"x")))=0,"",COUNTIF($F$5:$F65,"x"))</f>
        <v/>
      </c>
      <c r="G170" s="3759" t="str">
        <f>IF(((COUNTIF($G$5:$G65,"x"))-(COUNTIF($G$5:$G64,"x")))=0,"",COUNTIF($G$5:$G65,"x"))</f>
        <v/>
      </c>
      <c r="H170" s="3759" t="str">
        <f>IF(((COUNTIF($H$5:$H65,"x"))-(COUNTIF($H$5:$H64,"x")))=0,"",COUNTIF($H$5:$H65,"x"))</f>
        <v/>
      </c>
      <c r="I170" s="3759" t="str">
        <f>IF(((COUNTIF($I$5:I65,"x"))-(COUNTIF($I$5:I64,"x")))=0,"",COUNTIF($I$5:I65,"x"))</f>
        <v/>
      </c>
      <c r="J170" s="3767" t="str">
        <f>IF(((COUNTIF($J$5:J65,"x"))-(COUNTIF($J$5:J64,"x")))=0,"",COUNTIF($J$5:J65,"x"))</f>
        <v/>
      </c>
      <c r="K170" s="3767" t="str">
        <f>IF(((COUNTIF($K$5:K65,"x"))-(COUNTIF($K$5:K64,"x")))=0,"",COUNTIF($K$5:K65,"x"))</f>
        <v/>
      </c>
      <c r="L170" s="3767" t="str">
        <f>IF(((COUNTIF($L$5:L65,"x"))-(COUNTIF($L$5:L64,"x")))=0,"",COUNTIF($L$5:L65,"x"))</f>
        <v/>
      </c>
      <c r="M170" s="3767" t="str">
        <f>IF(((COUNTIF($M$5:M65,"x"))-(COUNTIF($M$5:M64,"x")))=0,"",COUNTIF($M$5:M65,"x"))</f>
        <v/>
      </c>
      <c r="N170" s="3767" t="str">
        <f>IF(((COUNTIF($N$5:N65,"x"))-(COUNTIF($N$5:N64,"x")))=0,"",COUNTIF($N$5:N65,"x"))</f>
        <v/>
      </c>
      <c r="O170" s="3767" t="str">
        <f>IF(((COUNTIF($O$5:O65,"x"))-(COUNTIF($O$5:O64,"x")))=0,"",COUNTIF($O$5:O65,"x"))</f>
        <v/>
      </c>
      <c r="P170" s="3759" t="str">
        <f>IF(((COUNTIF($P$5:P65,"x"))-(COUNTIF($P$5:P64,"x")))=0,"",COUNTIF($P$5:P65,"x"))</f>
        <v/>
      </c>
      <c r="Q170" s="3767" t="str">
        <f>IF(((COUNTIF($Q$5:Q65,"x"))-(COUNTIF($Q$5:Q64,"x")))=0,"",COUNTIF($Q$5:Q65,"x"))</f>
        <v/>
      </c>
      <c r="R170" s="3767" t="str">
        <f>IF(((COUNTIF($R$5:R65,"x"))-(COUNTIF($R$5:R64,"x")))=0,"",COUNTIF($R$5:R65,"x"))</f>
        <v/>
      </c>
      <c r="S170" s="3767" t="str">
        <f>IF(((COUNTIF($S$5:S65,"x"))-(COUNTIF($S$5:S64,"x")))=0,"",COUNTIF($S$5:S65,"x"))</f>
        <v/>
      </c>
      <c r="T170" s="3767" t="str">
        <f>IF(((COUNTIF($T$5:T65,"x"))-(COUNTIF($T$5:T64,"x")))=0,"",COUNTIF($T$5:T65,"x"))</f>
        <v/>
      </c>
      <c r="U170" s="3767" t="str">
        <f>IF(((COUNTIF($U$5:U65,"x"))-(COUNTIF($U$5:U64,"x")))=0,"",COUNTIF($U$5:U65,"x"))</f>
        <v/>
      </c>
      <c r="V170" s="3767" t="str">
        <f>IF(((COUNTIF($V$5:V65,"x"))-(COUNTIF($V$5:V64,"x")))=0,"",COUNTIF($V$5:V65,"x"))</f>
        <v/>
      </c>
      <c r="W170" s="3767" t="str">
        <f>IF(((COUNTIF($W$5:W65,"x"))-(COUNTIF($W$5:W64,"x")))=0,"",COUNTIF($W$5:W65,"x"))</f>
        <v/>
      </c>
      <c r="X170" s="3767" t="str">
        <f>IF(((COUNTIF($X$5:X65,"x"))-(COUNTIF($X$5:X64,"x")))=0,"",COUNTIF($X$5:X65,"x"))</f>
        <v/>
      </c>
      <c r="Y170" s="3767">
        <f>IF(((COUNTIF($Y$5:Y65,"x"))-(COUNTIF($Y$5:Y64,"x")))=0,"",COUNTIF($Y$5:Y65,"x"))</f>
        <v>8</v>
      </c>
      <c r="Z170" s="3767" t="str">
        <f>IF(((COUNTIF($Z$5:Z65,"x"))-(COUNTIF($Z$5:Z64,"x")))=0,"",COUNTIF($Z$5:Z65,"x"))</f>
        <v/>
      </c>
      <c r="AA170" s="3767" t="str">
        <f>IF(((COUNTIF($AA$5:AA65,"x"))-(COUNTIF($AA$5:AA64,"x")))=0,"",COUNTIF($AA$5:AA65,"x"))</f>
        <v/>
      </c>
      <c r="AB170" s="3767">
        <f>IF(((COUNTIF($AB$5:AB65,"x"))-(COUNTIF($AB$5:AB64,"x")))=0,"",COUNTIF($AB$5:AB65,"x"))</f>
        <v>14</v>
      </c>
      <c r="AC170" s="3767" t="str">
        <f>IF(((COUNTIF($AC$5:AC65,"x"))-(COUNTIF($AC$5:AC64,"x")))=0,"",COUNTIF($AC$5:AC65,"x"))</f>
        <v/>
      </c>
      <c r="AD170" s="3759">
        <f>IF(((COUNTIF($AD$5:AD65,"x"))-(COUNTIF($AD$5:AD64,"x")))=0,"",COUNTIF($AD$5:AD65,"x"))</f>
        <v>57</v>
      </c>
      <c r="AE170" s="3767" t="str">
        <f>IF(((COUNTIF($AE$5:AE65,"x"))-(COUNTIF($AE$5:AE64,"x")))=0,"",COUNTIF($AE$5:AE65,"x"))</f>
        <v/>
      </c>
      <c r="AF170" s="3768" t="str">
        <f>IF(((COUNTIF($AF$5:AF65,"x"))-(COUNTIF($AF$5:AF64,"x")))=0,"",COUNTIF($AF$5:AF65,"x"))</f>
        <v/>
      </c>
      <c r="AG170" s="2152" t="str">
        <f t="shared" si="15"/>
        <v>Revus</v>
      </c>
    </row>
    <row r="171" spans="2:33" ht="18">
      <c r="B171" s="2168">
        <f t="shared" si="16"/>
        <v>62</v>
      </c>
      <c r="C171" s="3764" t="str">
        <f t="shared" si="13"/>
        <v>Roundup Power Flex</v>
      </c>
      <c r="D171" s="3765"/>
      <c r="E171" s="3769"/>
      <c r="F171" s="3758" t="str">
        <f>IF(((COUNTIF($F$5:$F66,"x"))-(COUNTIF($F$5:$F65,"x")))=0,"",COUNTIF($F$5:$F66,"x"))</f>
        <v/>
      </c>
      <c r="G171" s="3759" t="str">
        <f>IF(((COUNTIF($G$5:$G66,"x"))-(COUNTIF($G$5:$G65,"x")))=0,"",COUNTIF($G$5:$G66,"x"))</f>
        <v/>
      </c>
      <c r="H171" s="3759" t="str">
        <f>IF(((COUNTIF($H$5:$H66,"x"))-(COUNTIF($H$5:$H65,"x")))=0,"",COUNTIF($H$5:$H66,"x"))</f>
        <v/>
      </c>
      <c r="I171" s="3759" t="str">
        <f>IF(((COUNTIF($I$5:I66,"x"))-(COUNTIF($I$5:I65,"x")))=0,"",COUNTIF($I$5:I66,"x"))</f>
        <v/>
      </c>
      <c r="J171" s="3767" t="str">
        <f>IF(((COUNTIF($J$5:J66,"x"))-(COUNTIF($J$5:J65,"x")))=0,"",COUNTIF($J$5:J66,"x"))</f>
        <v/>
      </c>
      <c r="K171" s="3767" t="str">
        <f>IF(((COUNTIF($K$5:K66,"x"))-(COUNTIF($K$5:K65,"x")))=0,"",COUNTIF($K$5:K66,"x"))</f>
        <v/>
      </c>
      <c r="L171" s="3767" t="str">
        <f>IF(((COUNTIF($L$5:L66,"x"))-(COUNTIF($L$5:L65,"x")))=0,"",COUNTIF($L$5:L66,"x"))</f>
        <v/>
      </c>
      <c r="M171" s="3767" t="str">
        <f>IF(((COUNTIF($M$5:M66,"x"))-(COUNTIF($M$5:M65,"x")))=0,"",COUNTIF($M$5:M66,"x"))</f>
        <v/>
      </c>
      <c r="N171" s="3767" t="str">
        <f>IF(((COUNTIF($N$5:N66,"x"))-(COUNTIF($N$5:N65,"x")))=0,"",COUNTIF($N$5:N66,"x"))</f>
        <v/>
      </c>
      <c r="O171" s="3767" t="str">
        <f>IF(((COUNTIF($O$5:O66,"x"))-(COUNTIF($O$5:O65,"x")))=0,"",COUNTIF($O$5:O66,"x"))</f>
        <v/>
      </c>
      <c r="P171" s="3759" t="str">
        <f>IF(((COUNTIF($P$5:P66,"x"))-(COUNTIF($P$5:P65,"x")))=0,"",COUNTIF($P$5:P66,"x"))</f>
        <v/>
      </c>
      <c r="Q171" s="3767" t="str">
        <f>IF(((COUNTIF($Q$5:Q66,"x"))-(COUNTIF($Q$5:Q65,"x")))=0,"",COUNTIF($Q$5:Q66,"x"))</f>
        <v/>
      </c>
      <c r="R171" s="3767" t="str">
        <f>IF(((COUNTIF($R$5:R66,"x"))-(COUNTIF($R$5:R65,"x")))=0,"",COUNTIF($R$5:R66,"x"))</f>
        <v/>
      </c>
      <c r="S171" s="3767" t="str">
        <f>IF(((COUNTIF($S$5:S66,"x"))-(COUNTIF($S$5:S65,"x")))=0,"",COUNTIF($S$5:S66,"x"))</f>
        <v/>
      </c>
      <c r="T171" s="3767" t="str">
        <f>IF(((COUNTIF($T$5:T66,"x"))-(COUNTIF($T$5:T65,"x")))=0,"",COUNTIF($T$5:T66,"x"))</f>
        <v/>
      </c>
      <c r="U171" s="3767" t="str">
        <f>IF(((COUNTIF($U$5:U66,"x"))-(COUNTIF($U$5:U65,"x")))=0,"",COUNTIF($U$5:U66,"x"))</f>
        <v/>
      </c>
      <c r="V171" s="3767">
        <f>IF(((COUNTIF($V$5:V66,"x"))-(COUNTIF($V$5:V65,"x")))=0,"",COUNTIF($V$5:V66,"x"))</f>
        <v>6</v>
      </c>
      <c r="W171" s="3767" t="str">
        <f>IF(((COUNTIF($W$5:W66,"x"))-(COUNTIF($W$5:W65,"x")))=0,"",COUNTIF($W$5:W66,"x"))</f>
        <v/>
      </c>
      <c r="X171" s="3767" t="str">
        <f>IF(((COUNTIF($X$5:X66,"x"))-(COUNTIF($X$5:X65,"x")))=0,"",COUNTIF($X$5:X66,"x"))</f>
        <v/>
      </c>
      <c r="Y171" s="3767">
        <f>IF(((COUNTIF($Y$5:Y66,"x"))-(COUNTIF($Y$5:Y65,"x")))=0,"",COUNTIF($Y$5:Y66,"x"))</f>
        <v>9</v>
      </c>
      <c r="Z171" s="3767" t="str">
        <f>IF(((COUNTIF($Z$5:Z66,"x"))-(COUNTIF($Z$5:Z65,"x")))=0,"",COUNTIF($Z$5:Z66,"x"))</f>
        <v/>
      </c>
      <c r="AA171" s="3767" t="str">
        <f>IF(((COUNTIF($AA$5:AA66,"x"))-(COUNTIF($AA$5:AA65,"x")))=0,"",COUNTIF($AA$5:AA66,"x"))</f>
        <v/>
      </c>
      <c r="AB171" s="3767" t="str">
        <f>IF(((COUNTIF($AB$5:AB66,"x"))-(COUNTIF($AB$5:AB65,"x")))=0,"",COUNTIF($AB$5:AB66,"x"))</f>
        <v/>
      </c>
      <c r="AC171" s="3767" t="str">
        <f>IF(((COUNTIF($AC$5:AC66,"x"))-(COUNTIF($AC$5:AC65,"x")))=0,"",COUNTIF($AC$5:AC66,"x"))</f>
        <v/>
      </c>
      <c r="AD171" s="3759">
        <f>IF(((COUNTIF($AD$5:AD66,"x"))-(COUNTIF($AD$5:AD65,"x")))=0,"",COUNTIF($AD$5:AD66,"x"))</f>
        <v>58</v>
      </c>
      <c r="AE171" s="3767" t="str">
        <f>IF(((COUNTIF($AE$5:AE66,"x"))-(COUNTIF($AE$5:AE65,"x")))=0,"",COUNTIF($AE$5:AE66,"x"))</f>
        <v/>
      </c>
      <c r="AF171" s="3768" t="str">
        <f>IF(((COUNTIF($AF$5:AF66,"x"))-(COUNTIF($AF$5:AF65,"x")))=0,"",COUNTIF($AF$5:AF66,"x"))</f>
        <v/>
      </c>
      <c r="AG171" s="2152" t="str">
        <f t="shared" si="15"/>
        <v>Roundup Power Flex</v>
      </c>
    </row>
    <row r="172" spans="2:33" ht="18">
      <c r="B172" s="2168">
        <f t="shared" si="16"/>
        <v>63</v>
      </c>
      <c r="C172" s="3764" t="str">
        <f t="shared" si="13"/>
        <v>Roundup Rekord</v>
      </c>
      <c r="D172" s="3765"/>
      <c r="E172" s="3769"/>
      <c r="F172" s="3758" t="str">
        <f>IF(((COUNTIF($F$5:$F67,"x"))-(COUNTIF($F$5:$F66,"x")))=0,"",COUNTIF($F$5:$F67,"x"))</f>
        <v/>
      </c>
      <c r="G172" s="3759" t="str">
        <f>IF(((COUNTIF($G$5:$G67,"x"))-(COUNTIF($G$5:$G66,"x")))=0,"",COUNTIF($G$5:$G67,"x"))</f>
        <v/>
      </c>
      <c r="H172" s="3759" t="str">
        <f>IF(((COUNTIF($H$5:$H67,"x"))-(COUNTIF($H$5:$H66,"x")))=0,"",COUNTIF($H$5:$H67,"x"))</f>
        <v/>
      </c>
      <c r="I172" s="3759" t="str">
        <f>IF(((COUNTIF($I$5:I67,"x"))-(COUNTIF($I$5:I66,"x")))=0,"",COUNTIF($I$5:I67,"x"))</f>
        <v/>
      </c>
      <c r="J172" s="3767" t="str">
        <f>IF(((COUNTIF($J$5:J67,"x"))-(COUNTIF($J$5:J66,"x")))=0,"",COUNTIF($J$5:J67,"x"))</f>
        <v/>
      </c>
      <c r="K172" s="3767" t="str">
        <f>IF(((COUNTIF($K$5:K67,"x"))-(COUNTIF($K$5:K66,"x")))=0,"",COUNTIF($K$5:K67,"x"))</f>
        <v/>
      </c>
      <c r="L172" s="3767" t="str">
        <f>IF(((COUNTIF($L$5:L67,"x"))-(COUNTIF($L$5:L66,"x")))=0,"",COUNTIF($L$5:L67,"x"))</f>
        <v/>
      </c>
      <c r="M172" s="3767" t="str">
        <f>IF(((COUNTIF($M$5:M67,"x"))-(COUNTIF($M$5:M66,"x")))=0,"",COUNTIF($M$5:M67,"x"))</f>
        <v/>
      </c>
      <c r="N172" s="3767" t="str">
        <f>IF(((COUNTIF($N$5:N67,"x"))-(COUNTIF($N$5:N66,"x")))=0,"",COUNTIF($N$5:N67,"x"))</f>
        <v/>
      </c>
      <c r="O172" s="3767" t="str">
        <f>IF(((COUNTIF($O$5:O67,"x"))-(COUNTIF($O$5:O66,"x")))=0,"",COUNTIF($O$5:O67,"x"))</f>
        <v/>
      </c>
      <c r="P172" s="3759" t="str">
        <f>IF(((COUNTIF($P$5:P67,"x"))-(COUNTIF($P$5:P66,"x")))=0,"",COUNTIF($P$5:P67,"x"))</f>
        <v/>
      </c>
      <c r="Q172" s="3767" t="str">
        <f>IF(((COUNTIF($Q$5:Q67,"x"))-(COUNTIF($Q$5:Q66,"x")))=0,"",COUNTIF($Q$5:Q67,"x"))</f>
        <v/>
      </c>
      <c r="R172" s="3767" t="str">
        <f>IF(((COUNTIF($R$5:R67,"x"))-(COUNTIF($R$5:R66,"x")))=0,"",COUNTIF($R$5:R67,"x"))</f>
        <v/>
      </c>
      <c r="S172" s="3767" t="str">
        <f>IF(((COUNTIF($S$5:S67,"x"))-(COUNTIF($S$5:S66,"x")))=0,"",COUNTIF($S$5:S67,"x"))</f>
        <v/>
      </c>
      <c r="T172" s="3767" t="str">
        <f>IF(((COUNTIF($T$5:T67,"x"))-(COUNTIF($T$5:T66,"x")))=0,"",COUNTIF($T$5:T67,"x"))</f>
        <v/>
      </c>
      <c r="U172" s="3767" t="str">
        <f>IF(((COUNTIF($U$5:U67,"x"))-(COUNTIF($U$5:U66,"x")))=0,"",COUNTIF($U$5:U67,"x"))</f>
        <v/>
      </c>
      <c r="V172" s="3767" t="str">
        <f>IF(((COUNTIF($V$5:V67,"x"))-(COUNTIF($V$5:V66,"x")))=0,"",COUNTIF($V$5:V67,"x"))</f>
        <v/>
      </c>
      <c r="W172" s="3767" t="str">
        <f>IF(((COUNTIF($W$5:W67,"x"))-(COUNTIF($W$5:W66,"x")))=0,"",COUNTIF($W$5:W67,"x"))</f>
        <v/>
      </c>
      <c r="X172" s="3767" t="str">
        <f>IF(((COUNTIF($X$5:X67,"x"))-(COUNTIF($X$5:X66,"x")))=0,"",COUNTIF($X$5:X67,"x"))</f>
        <v/>
      </c>
      <c r="Y172" s="3767" t="str">
        <f>IF(((COUNTIF($Y$5:Y67,"x"))-(COUNTIF($Y$5:Y66,"x")))=0,"",COUNTIF($Y$5:Y67,"x"))</f>
        <v/>
      </c>
      <c r="Z172" s="3767" t="str">
        <f>IF(((COUNTIF($Z$5:Z67,"x"))-(COUNTIF($Z$5:Z66,"x")))=0,"",COUNTIF($Z$5:Z67,"x"))</f>
        <v/>
      </c>
      <c r="AA172" s="3767" t="str">
        <f>IF(((COUNTIF($AA$5:AA67,"x"))-(COUNTIF($AA$5:AA66,"x")))=0,"",COUNTIF($AA$5:AA67,"x"))</f>
        <v/>
      </c>
      <c r="AB172" s="3767" t="str">
        <f>IF(((COUNTIF($AB$5:AB67,"x"))-(COUNTIF($AB$5:AB66,"x")))=0,"",COUNTIF($AB$5:AB67,"x"))</f>
        <v/>
      </c>
      <c r="AC172" s="3767" t="str">
        <f>IF(((COUNTIF($AC$5:AC67,"x"))-(COUNTIF($AC$5:AC66,"x")))=0,"",COUNTIF($AC$5:AC67,"x"))</f>
        <v/>
      </c>
      <c r="AD172" s="3759">
        <f>IF(((COUNTIF($AD$5:AD67,"x"))-(COUNTIF($AD$5:AD66,"x")))=0,"",COUNTIF($AD$5:AD67,"x"))</f>
        <v>59</v>
      </c>
      <c r="AE172" s="3767" t="str">
        <f>IF(((COUNTIF($AE$5:AE67,"x"))-(COUNTIF($AE$5:AE66,"x")))=0,"",COUNTIF($AE$5:AE67,"x"))</f>
        <v/>
      </c>
      <c r="AF172" s="3768" t="str">
        <f>IF(((COUNTIF($AF$5:AF67,"x"))-(COUNTIF($AF$5:AF66,"x")))=0,"",COUNTIF($AF$5:AF67,"x"))</f>
        <v/>
      </c>
      <c r="AG172" s="2152" t="str">
        <f t="shared" si="15"/>
        <v>Roundup Rekord</v>
      </c>
    </row>
    <row r="173" spans="2:33" ht="18">
      <c r="B173" s="2168">
        <f t="shared" si="16"/>
        <v>64</v>
      </c>
      <c r="C173" s="3764" t="str">
        <f t="shared" si="13"/>
        <v>Revytrex</v>
      </c>
      <c r="D173" s="3765"/>
      <c r="E173" s="3769"/>
      <c r="F173" s="3758">
        <f>IF(((COUNTIF($F$5:$F68,"x"))-(COUNTIF($F$5:$F67,"x")))=0,"",COUNTIF($F$5:$F68,"x"))</f>
        <v>25</v>
      </c>
      <c r="G173" s="3759">
        <f>IF(((COUNTIF($G$5:$G68,"x"))-(COUNTIF($G$5:$G67,"x")))=0,"",COUNTIF($G$5:$G68,"x"))</f>
        <v>19</v>
      </c>
      <c r="H173" s="3759">
        <f>IF(((COUNTIF($H$5:$H68,"x"))-(COUNTIF($H$5:$H67,"x")))=0,"",COUNTIF($H$5:$H68,"x"))</f>
        <v>25</v>
      </c>
      <c r="I173" s="3759">
        <f>IF(((COUNTIF($I$5:I68,"x"))-(COUNTIF($I$5:I67,"x")))=0,"",COUNTIF($I$5:I68,"x"))</f>
        <v>23</v>
      </c>
      <c r="J173" s="3767">
        <f>IF(((COUNTIF($J$5:J68,"x"))-(COUNTIF($J$5:J67,"x")))=0,"",COUNTIF($J$5:J68,"x"))</f>
        <v>22</v>
      </c>
      <c r="K173" s="3767">
        <f>IF(((COUNTIF($K$5:K68,"x"))-(COUNTIF($K$5:K67,"x")))=0,"",COUNTIF($K$5:K68,"x"))</f>
        <v>19</v>
      </c>
      <c r="L173" s="3767">
        <f>IF(((COUNTIF($L$5:L68,"x"))-(COUNTIF($L$5:L67,"x")))=0,"",COUNTIF($L$5:L68,"x"))</f>
        <v>20</v>
      </c>
      <c r="M173" s="3767">
        <f>IF(((COUNTIF($M$5:M68,"x"))-(COUNTIF($M$5:M67,"x")))=0,"",COUNTIF($M$5:M68,"x"))</f>
        <v>20</v>
      </c>
      <c r="N173" s="3767">
        <f>IF(((COUNTIF($N$5:N68,"x"))-(COUNTIF($N$5:N67,"x")))=0,"",COUNTIF($N$5:N68,"x"))</f>
        <v>10</v>
      </c>
      <c r="O173" s="3767">
        <f>IF(((COUNTIF($O$5:O68,"x"))-(COUNTIF($O$5:O67,"x")))=0,"",COUNTIF($O$5:O68,"x"))</f>
        <v>14</v>
      </c>
      <c r="P173" s="3759" t="str">
        <f>IF(((COUNTIF($P$5:P68,"x"))-(COUNTIF($P$5:P67,"x")))=0,"",COUNTIF($P$5:P68,"x"))</f>
        <v/>
      </c>
      <c r="Q173" s="3767" t="str">
        <f>IF(((COUNTIF($Q$5:Q68,"x"))-(COUNTIF($Q$5:Q67,"x")))=0,"",COUNTIF($Q$5:Q68,"x"))</f>
        <v/>
      </c>
      <c r="R173" s="3767" t="str">
        <f>IF(((COUNTIF($R$5:R68,"x"))-(COUNTIF($R$5:R67,"x")))=0,"",COUNTIF($R$5:R68,"x"))</f>
        <v/>
      </c>
      <c r="S173" s="3767" t="str">
        <f>IF(((COUNTIF($S$5:S68,"x"))-(COUNTIF($S$5:S67,"x")))=0,"",COUNTIF($S$5:S68,"x"))</f>
        <v/>
      </c>
      <c r="T173" s="3767" t="str">
        <f>IF(((COUNTIF($T$5:T68,"x"))-(COUNTIF($T$5:T67,"x")))=0,"",COUNTIF($T$5:T68,"x"))</f>
        <v/>
      </c>
      <c r="U173" s="3767" t="str">
        <f>IF(((COUNTIF($U$5:U68,"x"))-(COUNTIF($U$5:U67,"x")))=0,"",COUNTIF($U$5:U68,"x"))</f>
        <v/>
      </c>
      <c r="V173" s="3767" t="str">
        <f>IF(((COUNTIF($V$5:V68,"x"))-(COUNTIF($V$5:V67,"x")))=0,"",COUNTIF($V$5:V68,"x"))</f>
        <v/>
      </c>
      <c r="W173" s="3767" t="str">
        <f>IF(((COUNTIF($W$5:W68,"x"))-(COUNTIF($W$5:W67,"x")))=0,"",COUNTIF($W$5:W68,"x"))</f>
        <v/>
      </c>
      <c r="X173" s="3767" t="str">
        <f>IF(((COUNTIF($X$5:X68,"x"))-(COUNTIF($X$5:X67,"x")))=0,"",COUNTIF($X$5:X68,"x"))</f>
        <v/>
      </c>
      <c r="Y173" s="3767" t="str">
        <f>IF(((COUNTIF($Y$5:Y68,"x"))-(COUNTIF($Y$5:Y67,"x")))=0,"",COUNTIF($Y$5:Y68,"x"))</f>
        <v/>
      </c>
      <c r="Z173" s="3767" t="str">
        <f>IF(((COUNTIF($Z$5:Z68,"x"))-(COUNTIF($Z$5:Z67,"x")))=0,"",COUNTIF($Z$5:Z68,"x"))</f>
        <v/>
      </c>
      <c r="AA173" s="3767" t="str">
        <f>IF(((COUNTIF($AA$5:AA68,"x"))-(COUNTIF($AA$5:AA67,"x")))=0,"",COUNTIF($AA$5:AA68,"x"))</f>
        <v/>
      </c>
      <c r="AB173" s="3767" t="str">
        <f>IF(((COUNTIF($AB$5:AB68,"x"))-(COUNTIF($AB$5:AB67,"x")))=0,"",COUNTIF($AB$5:AB68,"x"))</f>
        <v/>
      </c>
      <c r="AC173" s="3767" t="str">
        <f>IF(((COUNTIF($AC$5:AC68,"x"))-(COUNTIF($AC$5:AC67,"x")))=0,"",COUNTIF($AC$5:AC68,"x"))</f>
        <v/>
      </c>
      <c r="AD173" s="3759">
        <f>IF(((COUNTIF($AD$5:AD68,"x"))-(COUNTIF($AD$5:AD67,"x")))=0,"",COUNTIF($AD$5:AD68,"x"))</f>
        <v>60</v>
      </c>
      <c r="AE173" s="3767" t="str">
        <f>IF(((COUNTIF($AE$5:AE68,"x"))-(COUNTIF($AE$5:AE67,"x")))=0,"",COUNTIF($AE$5:AE68,"x"))</f>
        <v/>
      </c>
      <c r="AF173" s="3768" t="str">
        <f>IF(((COUNTIF($AF$5:AF68,"x"))-(COUNTIF($AF$5:AF67,"x")))=0,"",COUNTIF($AF$5:AF68,"x"))</f>
        <v/>
      </c>
      <c r="AG173" s="2152" t="str">
        <f t="shared" si="15"/>
        <v>Revytrex</v>
      </c>
    </row>
    <row r="174" spans="2:33" ht="18">
      <c r="B174" s="2168">
        <f t="shared" si="16"/>
        <v>65</v>
      </c>
      <c r="C174" s="3764" t="str">
        <f t="shared" ref="C174:C208" si="17">C69</f>
        <v>Comet</v>
      </c>
      <c r="D174" s="3765"/>
      <c r="E174" s="3769"/>
      <c r="F174" s="3758">
        <f>IF(((COUNTIF($F$5:$F69,"x"))-(COUNTIF($F$5:$F68,"x")))=0,"",COUNTIF($F$5:$F69,"x"))</f>
        <v>26</v>
      </c>
      <c r="G174" s="3759">
        <f>IF(((COUNTIF($G$5:$G69,"x"))-(COUNTIF($G$5:$G68,"x")))=0,"",COUNTIF($G$5:$G69,"x"))</f>
        <v>20</v>
      </c>
      <c r="H174" s="3759">
        <f>IF(((COUNTIF($H$5:$H69,"x"))-(COUNTIF($H$5:$H68,"x")))=0,"",COUNTIF($H$5:$H69,"x"))</f>
        <v>26</v>
      </c>
      <c r="I174" s="3759">
        <f>IF(((COUNTIF($I$5:I69,"x"))-(COUNTIF($I$5:I68,"x")))=0,"",COUNTIF($I$5:I69,"x"))</f>
        <v>24</v>
      </c>
      <c r="J174" s="3767">
        <f>IF(((COUNTIF($J$5:J69,"x"))-(COUNTIF($J$5:J68,"x")))=0,"",COUNTIF($J$5:J69,"x"))</f>
        <v>23</v>
      </c>
      <c r="K174" s="3767">
        <f>IF(((COUNTIF($K$5:K69,"x"))-(COUNTIF($K$5:K68,"x")))=0,"",COUNTIF($K$5:K69,"x"))</f>
        <v>20</v>
      </c>
      <c r="L174" s="3767">
        <f>IF(((COUNTIF($L$5:L69,"x"))-(COUNTIF($L$5:L68,"x")))=0,"",COUNTIF($L$5:L69,"x"))</f>
        <v>21</v>
      </c>
      <c r="M174" s="3767">
        <f>IF(((COUNTIF($M$5:M69,"x"))-(COUNTIF($M$5:M68,"x")))=0,"",COUNTIF($M$5:M69,"x"))</f>
        <v>21</v>
      </c>
      <c r="N174" s="3767" t="str">
        <f>IF(((COUNTIF($N$5:N69,"x"))-(COUNTIF($N$5:N68,"x")))=0,"",COUNTIF($N$5:N69,"x"))</f>
        <v/>
      </c>
      <c r="O174" s="3767">
        <f>IF(((COUNTIF($O$5:O69,"x"))-(COUNTIF($O$5:O68,"x")))=0,"",COUNTIF($O$5:O69,"x"))</f>
        <v>15</v>
      </c>
      <c r="P174" s="3759" t="str">
        <f>IF(((COUNTIF($P$5:P69,"x"))-(COUNTIF($P$5:P68,"x")))=0,"",COUNTIF($P$5:P69,"x"))</f>
        <v/>
      </c>
      <c r="Q174" s="3767" t="str">
        <f>IF(((COUNTIF($Q$5:Q69,"x"))-(COUNTIF($Q$5:Q68,"x")))=0,"",COUNTIF($Q$5:Q69,"x"))</f>
        <v/>
      </c>
      <c r="R174" s="3767" t="str">
        <f>IF(((COUNTIF($R$5:R69,"x"))-(COUNTIF($R$5:R68,"x")))=0,"",COUNTIF($R$5:R69,"x"))</f>
        <v/>
      </c>
      <c r="S174" s="3767" t="str">
        <f>IF(((COUNTIF($S$5:S69,"x"))-(COUNTIF($S$5:S68,"x")))=0,"",COUNTIF($S$5:S69,"x"))</f>
        <v/>
      </c>
      <c r="T174" s="3767" t="str">
        <f>IF(((COUNTIF($T$5:T69,"x"))-(COUNTIF($T$5:T68,"x")))=0,"",COUNTIF($T$5:T69,"x"))</f>
        <v/>
      </c>
      <c r="U174" s="3767" t="str">
        <f>IF(((COUNTIF($U$5:U69,"x"))-(COUNTIF($U$5:U68,"x")))=0,"",COUNTIF($U$5:U69,"x"))</f>
        <v/>
      </c>
      <c r="V174" s="3767" t="str">
        <f>IF(((COUNTIF($V$5:V69,"x"))-(COUNTIF($V$5:V68,"x")))=0,"",COUNTIF($V$5:V69,"x"))</f>
        <v/>
      </c>
      <c r="W174" s="3767" t="str">
        <f>IF(((COUNTIF($W$5:W69,"x"))-(COUNTIF($W$5:W68,"x")))=0,"",COUNTIF($W$5:W69,"x"))</f>
        <v/>
      </c>
      <c r="X174" s="3767" t="str">
        <f>IF(((COUNTIF($X$5:X69,"x"))-(COUNTIF($X$5:X68,"x")))=0,"",COUNTIF($X$5:X69,"x"))</f>
        <v/>
      </c>
      <c r="Y174" s="3767" t="str">
        <f>IF(((COUNTIF($Y$5:Y69,"x"))-(COUNTIF($Y$5:Y68,"x")))=0,"",COUNTIF($Y$5:Y69,"x"))</f>
        <v/>
      </c>
      <c r="Z174" s="3767" t="str">
        <f>IF(((COUNTIF($Z$5:Z69,"x"))-(COUNTIF($Z$5:Z68,"x")))=0,"",COUNTIF($Z$5:Z69,"x"))</f>
        <v/>
      </c>
      <c r="AA174" s="3767" t="str">
        <f>IF(((COUNTIF($AA$5:AA69,"x"))-(COUNTIF($AA$5:AA68,"x")))=0,"",COUNTIF($AA$5:AA69,"x"))</f>
        <v/>
      </c>
      <c r="AB174" s="3767" t="str">
        <f>IF(((COUNTIF($AB$5:AB69,"x"))-(COUNTIF($AB$5:AB68,"x")))=0,"",COUNTIF($AB$5:AB69,"x"))</f>
        <v/>
      </c>
      <c r="AC174" s="3767" t="str">
        <f>IF(((COUNTIF($AC$5:AC69,"x"))-(COUNTIF($AC$5:AC68,"x")))=0,"",COUNTIF($AC$5:AC69,"x"))</f>
        <v/>
      </c>
      <c r="AD174" s="3759">
        <f>IF(((COUNTIF($AD$5:AD69,"x"))-(COUNTIF($AD$5:AD68,"x")))=0,"",COUNTIF($AD$5:AD69,"x"))</f>
        <v>61</v>
      </c>
      <c r="AE174" s="3767" t="str">
        <f>IF(((COUNTIF($AE$5:AE69,"x"))-(COUNTIF($AE$5:AE68,"x")))=0,"",COUNTIF($AE$5:AE69,"x"))</f>
        <v/>
      </c>
      <c r="AF174" s="3768" t="str">
        <f>IF(((COUNTIF($AF$5:AF69,"x"))-(COUNTIF($AF$5:AF68,"x")))=0,"",COUNTIF($AF$5:AF69,"x"))</f>
        <v/>
      </c>
      <c r="AG174" s="2152" t="str">
        <f t="shared" ref="AG174:AG208" si="18">C174</f>
        <v>Comet</v>
      </c>
    </row>
    <row r="175" spans="2:33" ht="18">
      <c r="B175" s="2168">
        <f t="shared" ref="B175:B208" si="19">B174+1</f>
        <v>66</v>
      </c>
      <c r="C175" s="3764" t="str">
        <f t="shared" si="17"/>
        <v>Select 240 EC</v>
      </c>
      <c r="D175" s="3765"/>
      <c r="E175" s="3769"/>
      <c r="F175" s="3758" t="str">
        <f>IF(((COUNTIF($F$5:$F70,"x"))-(COUNTIF($F$5:$F69,"x")))=0,"",COUNTIF($F$5:$F70,"x"))</f>
        <v/>
      </c>
      <c r="G175" s="3759" t="str">
        <f>IF(((COUNTIF($G$5:$G70,"x"))-(COUNTIF($G$5:$G69,"x")))=0,"",COUNTIF($G$5:$G70,"x"))</f>
        <v/>
      </c>
      <c r="H175" s="3759" t="str">
        <f>IF(((COUNTIF($H$5:$H70,"x"))-(COUNTIF($H$5:$H69,"x")))=0,"",COUNTIF($H$5:$H70,"x"))</f>
        <v/>
      </c>
      <c r="I175" s="3759" t="str">
        <f>IF(((COUNTIF($I$5:I70,"x"))-(COUNTIF($I$5:I69,"x")))=0,"",COUNTIF($I$5:I70,"x"))</f>
        <v/>
      </c>
      <c r="J175" s="3767" t="str">
        <f>IF(((COUNTIF($J$5:J70,"x"))-(COUNTIF($J$5:J69,"x")))=0,"",COUNTIF($J$5:J70,"x"))</f>
        <v/>
      </c>
      <c r="K175" s="3767" t="str">
        <f>IF(((COUNTIF($K$5:K70,"x"))-(COUNTIF($K$5:K69,"x")))=0,"",COUNTIF($K$5:K70,"x"))</f>
        <v/>
      </c>
      <c r="L175" s="3767" t="str">
        <f>IF(((COUNTIF($L$5:L70,"x"))-(COUNTIF($L$5:L69,"x")))=0,"",COUNTIF($L$5:L70,"x"))</f>
        <v/>
      </c>
      <c r="M175" s="3767" t="str">
        <f>IF(((COUNTIF($M$5:M70,"x"))-(COUNTIF($M$5:M69,"x")))=0,"",COUNTIF($M$5:M70,"x"))</f>
        <v/>
      </c>
      <c r="N175" s="3767" t="str">
        <f>IF(((COUNTIF($N$5:N70,"x"))-(COUNTIF($N$5:N69,"x")))=0,"",COUNTIF($N$5:N70,"x"))</f>
        <v/>
      </c>
      <c r="O175" s="3767" t="str">
        <f>IF(((COUNTIF($O$5:O70,"x"))-(COUNTIF($O$5:O69,"x")))=0,"",COUNTIF($O$5:O70,"x"))</f>
        <v/>
      </c>
      <c r="P175" s="3759" t="str">
        <f>IF(((COUNTIF($P$5:P70,"x"))-(COUNTIF($P$5:P69,"x")))=0,"",COUNTIF($P$5:P70,"x"))</f>
        <v/>
      </c>
      <c r="Q175" s="3767" t="str">
        <f>IF(((COUNTIF($Q$5:Q70,"x"))-(COUNTIF($Q$5:Q69,"x")))=0,"",COUNTIF($Q$5:Q70,"x"))</f>
        <v/>
      </c>
      <c r="R175" s="3767" t="str">
        <f>IF(((COUNTIF($R$5:R70,"x"))-(COUNTIF($R$5:R69,"x")))=0,"",COUNTIF($R$5:R70,"x"))</f>
        <v/>
      </c>
      <c r="S175" s="3767">
        <f>IF(((COUNTIF($S$5:S70,"x"))-(COUNTIF($S$5:S69,"x")))=0,"",COUNTIF($S$5:S70,"x"))</f>
        <v>18</v>
      </c>
      <c r="T175" s="3767" t="str">
        <f>IF(((COUNTIF($T$5:T70,"x"))-(COUNTIF($T$5:T69,"x")))=0,"",COUNTIF($T$5:T70,"x"))</f>
        <v/>
      </c>
      <c r="U175" s="3767" t="str">
        <f>IF(((COUNTIF($U$5:U70,"x"))-(COUNTIF($U$5:U69,"x")))=0,"",COUNTIF($U$5:U70,"x"))</f>
        <v/>
      </c>
      <c r="V175" s="3767" t="str">
        <f>IF(((COUNTIF($V$5:V70,"x"))-(COUNTIF($V$5:V69,"x")))=0,"",COUNTIF($V$5:V70,"x"))</f>
        <v/>
      </c>
      <c r="W175" s="3767" t="str">
        <f>IF(((COUNTIF($W$5:W70,"x"))-(COUNTIF($W$5:W69,"x")))=0,"",COUNTIF($W$5:W70,"x"))</f>
        <v/>
      </c>
      <c r="X175" s="3767">
        <f>IF(((COUNTIF($X$5:X70,"x"))-(COUNTIF($X$5:X69,"x")))=0,"",COUNTIF($X$5:X70,"x"))</f>
        <v>8</v>
      </c>
      <c r="Y175" s="3767" t="str">
        <f>IF(((COUNTIF($Y$5:Y70,"x"))-(COUNTIF($Y$5:Y69,"x")))=0,"",COUNTIF($Y$5:Y70,"x"))</f>
        <v/>
      </c>
      <c r="Z175" s="3767" t="str">
        <f>IF(((COUNTIF($Z$5:Z70,"x"))-(COUNTIF($Z$5:Z69,"x")))=0,"",COUNTIF($Z$5:Z70,"x"))</f>
        <v/>
      </c>
      <c r="AA175" s="3767" t="str">
        <f>IF(((COUNTIF($AA$5:AA70,"x"))-(COUNTIF($AA$5:AA69,"x")))=0,"",COUNTIF($AA$5:AA70,"x"))</f>
        <v/>
      </c>
      <c r="AB175" s="3767" t="str">
        <f>IF(((COUNTIF($AB$5:AB70,"x"))-(COUNTIF($AB$5:AB69,"x")))=0,"",COUNTIF($AB$5:AB70,"x"))</f>
        <v/>
      </c>
      <c r="AC175" s="3767" t="str">
        <f>IF(((COUNTIF($AC$5:AC70,"x"))-(COUNTIF($AC$5:AC69,"x")))=0,"",COUNTIF($AC$5:AC70,"x"))</f>
        <v/>
      </c>
      <c r="AD175" s="3759">
        <f>IF(((COUNTIF($AD$5:AD70,"x"))-(COUNTIF($AD$5:AD69,"x")))=0,"",COUNTIF($AD$5:AD70,"x"))</f>
        <v>62</v>
      </c>
      <c r="AE175" s="3767" t="str">
        <f>IF(((COUNTIF($AE$5:AE70,"x"))-(COUNTIF($AE$5:AE69,"x")))=0,"",COUNTIF($AE$5:AE70,"x"))</f>
        <v/>
      </c>
      <c r="AF175" s="3768" t="str">
        <f>IF(((COUNTIF($AF$5:AF70,"x"))-(COUNTIF($AF$5:AF69,"x")))=0,"",COUNTIF($AF$5:AF70,"x"))</f>
        <v/>
      </c>
      <c r="AG175" s="2152" t="str">
        <f t="shared" si="18"/>
        <v>Select 240 EC</v>
      </c>
    </row>
    <row r="176" spans="2:33" ht="18">
      <c r="B176" s="2168">
        <f t="shared" si="19"/>
        <v>67</v>
      </c>
      <c r="C176" s="3764" t="str">
        <f t="shared" si="17"/>
        <v>Sencor Liquid</v>
      </c>
      <c r="D176" s="3765"/>
      <c r="E176" s="3769"/>
      <c r="F176" s="3758" t="str">
        <f>IF(((COUNTIF($F$5:$F71,"x"))-(COUNTIF($F$5:$F70,"x")))=0,"",COUNTIF($F$5:$F71,"x"))</f>
        <v/>
      </c>
      <c r="G176" s="3759" t="str">
        <f>IF(((COUNTIF($G$5:$G71,"x"))-(COUNTIF($G$5:$G70,"x")))=0,"",COUNTIF($G$5:$G71,"x"))</f>
        <v/>
      </c>
      <c r="H176" s="3759" t="str">
        <f>IF(((COUNTIF($H$5:$H71,"x"))-(COUNTIF($H$5:$H70,"x")))=0,"",COUNTIF($H$5:$H71,"x"))</f>
        <v/>
      </c>
      <c r="I176" s="3759" t="str">
        <f>IF(((COUNTIF($I$5:I71,"x"))-(COUNTIF($I$5:I70,"x")))=0,"",COUNTIF($I$5:I71,"x"))</f>
        <v/>
      </c>
      <c r="J176" s="3767" t="str">
        <f>IF(((COUNTIF($J$5:J71,"x"))-(COUNTIF($J$5:J70,"x")))=0,"",COUNTIF($J$5:J71,"x"))</f>
        <v/>
      </c>
      <c r="K176" s="3767" t="str">
        <f>IF(((COUNTIF($K$5:K71,"x"))-(COUNTIF($K$5:K70,"x")))=0,"",COUNTIF($K$5:K71,"x"))</f>
        <v/>
      </c>
      <c r="L176" s="3767" t="str">
        <f>IF(((COUNTIF($L$5:L71,"x"))-(COUNTIF($L$5:L70,"x")))=0,"",COUNTIF($L$5:L71,"x"))</f>
        <v/>
      </c>
      <c r="M176" s="3767" t="str">
        <f>IF(((COUNTIF($M$5:M71,"x"))-(COUNTIF($M$5:M70,"x")))=0,"",COUNTIF($M$5:M71,"x"))</f>
        <v/>
      </c>
      <c r="N176" s="3767" t="str">
        <f>IF(((COUNTIF($N$5:N71,"x"))-(COUNTIF($N$5:N70,"x")))=0,"",COUNTIF($N$5:N71,"x"))</f>
        <v/>
      </c>
      <c r="O176" s="3767" t="str">
        <f>IF(((COUNTIF($O$5:O71,"x"))-(COUNTIF($O$5:O70,"x")))=0,"",COUNTIF($O$5:O71,"x"))</f>
        <v/>
      </c>
      <c r="P176" s="3759" t="str">
        <f>IF(((COUNTIF($P$5:P71,"x"))-(COUNTIF($P$5:P70,"x")))=0,"",COUNTIF($P$5:P71,"x"))</f>
        <v/>
      </c>
      <c r="Q176" s="3767" t="str">
        <f>IF(((COUNTIF($Q$5:Q71,"x"))-(COUNTIF($Q$5:Q70,"x")))=0,"",COUNTIF($Q$5:Q71,"x"))</f>
        <v/>
      </c>
      <c r="R176" s="3767" t="str">
        <f>IF(((COUNTIF($R$5:R71,"x"))-(COUNTIF($R$5:R70,"x")))=0,"",COUNTIF($R$5:R71,"x"))</f>
        <v/>
      </c>
      <c r="S176" s="3767" t="str">
        <f>IF(((COUNTIF($S$5:S71,"x"))-(COUNTIF($S$5:S70,"x")))=0,"",COUNTIF($S$5:S71,"x"))</f>
        <v/>
      </c>
      <c r="T176" s="3767" t="str">
        <f>IF(((COUNTIF($T$5:T71,"x"))-(COUNTIF($T$5:T70,"x")))=0,"",COUNTIF($T$5:T71,"x"))</f>
        <v/>
      </c>
      <c r="U176" s="3767" t="str">
        <f>IF(((COUNTIF($U$5:U71,"x"))-(COUNTIF($U$5:U70,"x")))=0,"",COUNTIF($U$5:U71,"x"))</f>
        <v/>
      </c>
      <c r="V176" s="3767">
        <f>IF(((COUNTIF($V$5:V71,"x"))-(COUNTIF($V$5:V70,"x")))=0,"",COUNTIF($V$5:V71,"x"))</f>
        <v>7</v>
      </c>
      <c r="W176" s="3767" t="str">
        <f>IF(((COUNTIF($W$5:W71,"x"))-(COUNTIF($W$5:W70,"x")))=0,"",COUNTIF($W$5:W71,"x"))</f>
        <v/>
      </c>
      <c r="X176" s="3767" t="str">
        <f>IF(((COUNTIF($X$5:X71,"x"))-(COUNTIF($X$5:X70,"x")))=0,"",COUNTIF($X$5:X71,"x"))</f>
        <v/>
      </c>
      <c r="Y176" s="3767" t="str">
        <f>IF(((COUNTIF($Y$5:Y71,"x"))-(COUNTIF($Y$5:Y70,"x")))=0,"",COUNTIF($Y$5:Y71,"x"))</f>
        <v/>
      </c>
      <c r="Z176" s="3767" t="str">
        <f>IF(((COUNTIF($Z$5:Z71,"x"))-(COUNTIF($Z$5:Z70,"x")))=0,"",COUNTIF($Z$5:Z71,"x"))</f>
        <v/>
      </c>
      <c r="AA176" s="3767" t="str">
        <f>IF(((COUNTIF($AA$5:AA71,"x"))-(COUNTIF($AA$5:AA70,"x")))=0,"",COUNTIF($AA$5:AA71,"x"))</f>
        <v/>
      </c>
      <c r="AB176" s="3767">
        <f>IF(((COUNTIF($AB$5:AB71,"x"))-(COUNTIF($AB$5:AB70,"x")))=0,"",COUNTIF($AB$5:AB71,"x"))</f>
        <v>15</v>
      </c>
      <c r="AC176" s="3767" t="str">
        <f>IF(((COUNTIF($AC$5:AC71,"x"))-(COUNTIF($AC$5:AC70,"x")))=0,"",COUNTIF($AC$5:AC71,"x"))</f>
        <v/>
      </c>
      <c r="AD176" s="3759">
        <f>IF(((COUNTIF($AD$5:AD71,"x"))-(COUNTIF($AD$5:AD70,"x")))=0,"",COUNTIF($AD$5:AD71,"x"))</f>
        <v>63</v>
      </c>
      <c r="AE176" s="3767" t="str">
        <f>IF(((COUNTIF($AE$5:AE71,"x"))-(COUNTIF($AE$5:AE70,"x")))=0,"",COUNTIF($AE$5:AE71,"x"))</f>
        <v/>
      </c>
      <c r="AF176" s="3768" t="str">
        <f>IF(((COUNTIF($AF$5:AF71,"x"))-(COUNTIF($AF$5:AF70,"x")))=0,"",COUNTIF($AF$5:AF71,"x"))</f>
        <v/>
      </c>
      <c r="AG176" s="2152" t="str">
        <f t="shared" si="18"/>
        <v>Sencor Liquid</v>
      </c>
    </row>
    <row r="177" spans="2:33" ht="18">
      <c r="B177" s="2168">
        <f t="shared" si="19"/>
        <v>68</v>
      </c>
      <c r="C177" s="3764" t="str">
        <f t="shared" si="17"/>
        <v>Shirlan</v>
      </c>
      <c r="D177" s="3765"/>
      <c r="E177" s="3769"/>
      <c r="F177" s="3758" t="str">
        <f>IF(((COUNTIF($F$5:$F72,"x"))-(COUNTIF($F$5:$F71,"x")))=0,"",COUNTIF($F$5:$F72,"x"))</f>
        <v/>
      </c>
      <c r="G177" s="3759" t="str">
        <f>IF(((COUNTIF($G$5:$G72,"x"))-(COUNTIF($G$5:$G71,"x")))=0,"",COUNTIF($G$5:$G72,"x"))</f>
        <v/>
      </c>
      <c r="H177" s="3759" t="str">
        <f>IF(((COUNTIF($H$5:$H72,"x"))-(COUNTIF($H$5:$H71,"x")))=0,"",COUNTIF($H$5:$H72,"x"))</f>
        <v/>
      </c>
      <c r="I177" s="3759" t="str">
        <f>IF(((COUNTIF($I$5:I72,"x"))-(COUNTIF($I$5:I71,"x")))=0,"",COUNTIF($I$5:I72,"x"))</f>
        <v/>
      </c>
      <c r="J177" s="3767" t="str">
        <f>IF(((COUNTIF($J$5:J72,"x"))-(COUNTIF($J$5:J71,"x")))=0,"",COUNTIF($J$5:J72,"x"))</f>
        <v/>
      </c>
      <c r="K177" s="3767" t="str">
        <f>IF(((COUNTIF($K$5:K72,"x"))-(COUNTIF($K$5:K71,"x")))=0,"",COUNTIF($K$5:K72,"x"))</f>
        <v/>
      </c>
      <c r="L177" s="3767" t="str">
        <f>IF(((COUNTIF($L$5:L72,"x"))-(COUNTIF($L$5:L71,"x")))=0,"",COUNTIF($L$5:L72,"x"))</f>
        <v/>
      </c>
      <c r="M177" s="3767" t="str">
        <f>IF(((COUNTIF($M$5:M72,"x"))-(COUNTIF($M$5:M71,"x")))=0,"",COUNTIF($M$5:M72,"x"))</f>
        <v/>
      </c>
      <c r="N177" s="3767" t="str">
        <f>IF(((COUNTIF($N$5:N72,"x"))-(COUNTIF($N$5:N71,"x")))=0,"",COUNTIF($N$5:N72,"x"))</f>
        <v/>
      </c>
      <c r="O177" s="3767" t="str">
        <f>IF(((COUNTIF($O$5:O72,"x"))-(COUNTIF($O$5:O71,"x")))=0,"",COUNTIF($O$5:O72,"x"))</f>
        <v/>
      </c>
      <c r="P177" s="3759" t="str">
        <f>IF(((COUNTIF($P$5:P72,"x"))-(COUNTIF($P$5:P71,"x")))=0,"",COUNTIF($P$5:P72,"x"))</f>
        <v/>
      </c>
      <c r="Q177" s="3767" t="str">
        <f>IF(((COUNTIF($Q$5:Q72,"x"))-(COUNTIF($Q$5:Q71,"x")))=0,"",COUNTIF($Q$5:Q72,"x"))</f>
        <v/>
      </c>
      <c r="R177" s="3767" t="str">
        <f>IF(((COUNTIF($R$5:R72,"x"))-(COUNTIF($R$5:R71,"x")))=0,"",COUNTIF($R$5:R72,"x"))</f>
        <v/>
      </c>
      <c r="S177" s="3767" t="str">
        <f>IF(((COUNTIF($S$5:S72,"x"))-(COUNTIF($S$5:S71,"x")))=0,"",COUNTIF($S$5:S72,"x"))</f>
        <v/>
      </c>
      <c r="T177" s="3767" t="str">
        <f>IF(((COUNTIF($T$5:T72,"x"))-(COUNTIF($T$5:T71,"x")))=0,"",COUNTIF($T$5:T72,"x"))</f>
        <v/>
      </c>
      <c r="U177" s="3767" t="str">
        <f>IF(((COUNTIF($U$5:U72,"x"))-(COUNTIF($U$5:U71,"x")))=0,"",COUNTIF($U$5:U72,"x"))</f>
        <v/>
      </c>
      <c r="V177" s="3767" t="str">
        <f>IF(((COUNTIF($V$5:V72,"x"))-(COUNTIF($V$5:V71,"x")))=0,"",COUNTIF($V$5:V72,"x"))</f>
        <v/>
      </c>
      <c r="W177" s="3767" t="str">
        <f>IF(((COUNTIF($W$5:W72,"x"))-(COUNTIF($W$5:W71,"x")))=0,"",COUNTIF($W$5:W72,"x"))</f>
        <v/>
      </c>
      <c r="X177" s="3767" t="str">
        <f>IF(((COUNTIF($X$5:X72,"x"))-(COUNTIF($X$5:X71,"x")))=0,"",COUNTIF($X$5:X72,"x"))</f>
        <v/>
      </c>
      <c r="Y177" s="3767" t="str">
        <f>IF(((COUNTIF($Y$5:Y72,"x"))-(COUNTIF($Y$5:Y71,"x")))=0,"",COUNTIF($Y$5:Y72,"x"))</f>
        <v/>
      </c>
      <c r="Z177" s="3767" t="str">
        <f>IF(((COUNTIF($Z$5:Z72,"x"))-(COUNTIF($Z$5:Z71,"x")))=0,"",COUNTIF($Z$5:Z72,"x"))</f>
        <v/>
      </c>
      <c r="AA177" s="3767" t="str">
        <f>IF(((COUNTIF($AA$5:AA72,"x"))-(COUNTIF($AA$5:AA71,"x")))=0,"",COUNTIF($AA$5:AA72,"x"))</f>
        <v/>
      </c>
      <c r="AB177" s="3767">
        <f>IF(((COUNTIF($AB$5:AB72,"x"))-(COUNTIF($AB$5:AB71,"x")))=0,"",COUNTIF($AB$5:AB72,"x"))</f>
        <v>16</v>
      </c>
      <c r="AC177" s="3767" t="str">
        <f>IF(((COUNTIF($AC$5:AC72,"x"))-(COUNTIF($AC$5:AC71,"x")))=0,"",COUNTIF($AC$5:AC72,"x"))</f>
        <v/>
      </c>
      <c r="AD177" s="3759">
        <f>IF(((COUNTIF($AD$5:AD72,"x"))-(COUNTIF($AD$5:AD71,"x")))=0,"",COUNTIF($AD$5:AD72,"x"))</f>
        <v>64</v>
      </c>
      <c r="AE177" s="3767" t="str">
        <f>IF(((COUNTIF($AE$5:AE72,"x"))-(COUNTIF($AE$5:AE71,"x")))=0,"",COUNTIF($AE$5:AE72,"x"))</f>
        <v/>
      </c>
      <c r="AF177" s="3768" t="str">
        <f>IF(((COUNTIF($AF$5:AF72,"x"))-(COUNTIF($AF$5:AF71,"x")))=0,"",COUNTIF($AF$5:AF72,"x"))</f>
        <v/>
      </c>
      <c r="AG177" s="2152" t="str">
        <f t="shared" si="18"/>
        <v>Shirlan</v>
      </c>
    </row>
    <row r="178" spans="2:33" ht="18">
      <c r="B178" s="2168">
        <f t="shared" si="19"/>
        <v>69</v>
      </c>
      <c r="C178" s="3764" t="str">
        <f t="shared" si="17"/>
        <v>Spectrum Plus</v>
      </c>
      <c r="D178" s="3765"/>
      <c r="E178" s="3769"/>
      <c r="F178" s="3758" t="str">
        <f>IF(((COUNTIF($F$5:$F73,"x"))-(COUNTIF($F$5:$F72,"x")))=0,"",COUNTIF($F$5:$F73,"x"))</f>
        <v/>
      </c>
      <c r="G178" s="3759" t="str">
        <f>IF(((COUNTIF($G$5:$G73,"x"))-(COUNTIF($G$5:$G72,"x")))=0,"",COUNTIF($G$5:$G73,"x"))</f>
        <v/>
      </c>
      <c r="H178" s="3759" t="str">
        <f>IF(((COUNTIF($H$5:$H73,"x"))-(COUNTIF($H$5:$H72,"x")))=0,"",COUNTIF($H$5:$H73,"x"))</f>
        <v/>
      </c>
      <c r="I178" s="3759" t="str">
        <f>IF(((COUNTIF($I$5:I73,"x"))-(COUNTIF($I$5:I72,"x")))=0,"",COUNTIF($I$5:I73,"x"))</f>
        <v/>
      </c>
      <c r="J178" s="3767" t="str">
        <f>IF(((COUNTIF($J$5:J73,"x"))-(COUNTIF($J$5:J72,"x")))=0,"",COUNTIF($J$5:J73,"x"))</f>
        <v/>
      </c>
      <c r="K178" s="3767" t="str">
        <f>IF(((COUNTIF($K$5:K73,"x"))-(COUNTIF($K$5:K72,"x")))=0,"",COUNTIF($K$5:K73,"x"))</f>
        <v/>
      </c>
      <c r="L178" s="3767" t="str">
        <f>IF(((COUNTIF($L$5:L73,"x"))-(COUNTIF($L$5:L72,"x")))=0,"",COUNTIF($L$5:L73,"x"))</f>
        <v/>
      </c>
      <c r="M178" s="3767" t="str">
        <f>IF(((COUNTIF($M$5:M73,"x"))-(COUNTIF($M$5:M72,"x")))=0,"",COUNTIF($M$5:M73,"x"))</f>
        <v/>
      </c>
      <c r="N178" s="3767" t="str">
        <f>IF(((COUNTIF($N$5:N73,"x"))-(COUNTIF($N$5:N72,"x")))=0,"",COUNTIF($N$5:N73,"x"))</f>
        <v/>
      </c>
      <c r="O178" s="3767" t="str">
        <f>IF(((COUNTIF($O$5:O73,"x"))-(COUNTIF($O$5:O72,"x")))=0,"",COUNTIF($O$5:O73,"x"))</f>
        <v/>
      </c>
      <c r="P178" s="3759" t="str">
        <f>IF(((COUNTIF($P$5:P73,"x"))-(COUNTIF($P$5:P72,"x")))=0,"",COUNTIF($P$5:P73,"x"))</f>
        <v/>
      </c>
      <c r="Q178" s="3767" t="str">
        <f>IF(((COUNTIF($Q$5:Q73,"x"))-(COUNTIF($Q$5:Q72,"x")))=0,"",COUNTIF($Q$5:Q73,"x"))</f>
        <v/>
      </c>
      <c r="R178" s="3767">
        <f>IF(((COUNTIF($R$5:R73,"x"))-(COUNTIF($R$5:R72,"x")))=0,"",COUNTIF($R$5:R73,"x"))</f>
        <v>12</v>
      </c>
      <c r="S178" s="3767" t="str">
        <f>IF(((COUNTIF($S$5:S73,"x"))-(COUNTIF($S$5:S72,"x")))=0,"",COUNTIF($S$5:S73,"x"))</f>
        <v/>
      </c>
      <c r="T178" s="3767" t="str">
        <f>IF(((COUNTIF($T$5:T73,"x"))-(COUNTIF($T$5:T72,"x")))=0,"",COUNTIF($T$5:T73,"x"))</f>
        <v/>
      </c>
      <c r="U178" s="3767">
        <f>IF(((COUNTIF($U$5:U73,"x"))-(COUNTIF($U$5:U72,"x")))=0,"",COUNTIF($U$5:U73,"x"))</f>
        <v>8</v>
      </c>
      <c r="V178" s="3767">
        <f>IF(((COUNTIF($V$5:V73,"x"))-(COUNTIF($V$5:V72,"x")))=0,"",COUNTIF($V$5:V73,"x"))</f>
        <v>8</v>
      </c>
      <c r="W178" s="3767" t="str">
        <f>IF(((COUNTIF($W$5:W73,"x"))-(COUNTIF($W$5:W72,"x")))=0,"",COUNTIF($W$5:W73,"x"))</f>
        <v/>
      </c>
      <c r="X178" s="3767">
        <f>IF(((COUNTIF($X$5:X73,"x"))-(COUNTIF($X$5:X72,"x")))=0,"",COUNTIF($X$5:X73,"x"))</f>
        <v>9</v>
      </c>
      <c r="Y178" s="3767">
        <f>IF(((COUNTIF($Y$5:Y73,"x"))-(COUNTIF($Y$5:Y72,"x")))=0,"",COUNTIF($Y$5:Y73,"x"))</f>
        <v>10</v>
      </c>
      <c r="Z178" s="3767">
        <f>IF(((COUNTIF($Z$5:Z73,"x"))-(COUNTIF($Z$5:Z72,"x")))=0,"",COUNTIF($Z$5:Z73,"x"))</f>
        <v>3</v>
      </c>
      <c r="AA178" s="3767" t="str">
        <f>IF(((COUNTIF($AA$5:AA73,"x"))-(COUNTIF($AA$5:AA72,"x")))=0,"",COUNTIF($AA$5:AA73,"x"))</f>
        <v/>
      </c>
      <c r="AB178" s="3767" t="str">
        <f>IF(((COUNTIF($AB$5:AB73,"x"))-(COUNTIF($AB$5:AB72,"x")))=0,"",COUNTIF($AB$5:AB73,"x"))</f>
        <v/>
      </c>
      <c r="AC178" s="3767" t="str">
        <f>IF(((COUNTIF($AC$5:AC73,"x"))-(COUNTIF($AC$5:AC72,"x")))=0,"",COUNTIF($AC$5:AC73,"x"))</f>
        <v/>
      </c>
      <c r="AD178" s="3759">
        <f>IF(((COUNTIF($AD$5:AD73,"x"))-(COUNTIF($AD$5:AD72,"x")))=0,"",COUNTIF($AD$5:AD73,"x"))</f>
        <v>65</v>
      </c>
      <c r="AE178" s="3767" t="str">
        <f>IF(((COUNTIF($AE$5:AE73,"x"))-(COUNTIF($AE$5:AE72,"x")))=0,"",COUNTIF($AE$5:AE73,"x"))</f>
        <v/>
      </c>
      <c r="AF178" s="3768" t="str">
        <f>IF(((COUNTIF($AF$5:AF73,"x"))-(COUNTIF($AF$5:AF72,"x")))=0,"",COUNTIF($AF$5:AF73,"x"))</f>
        <v/>
      </c>
      <c r="AG178" s="2152" t="str">
        <f t="shared" si="18"/>
        <v>Spectrum Plus</v>
      </c>
    </row>
    <row r="179" spans="2:33" ht="18">
      <c r="B179" s="2168">
        <f t="shared" si="19"/>
        <v>70</v>
      </c>
      <c r="C179" s="3764" t="str">
        <f t="shared" si="17"/>
        <v>Starane XL</v>
      </c>
      <c r="D179" s="3765"/>
      <c r="E179" s="3769"/>
      <c r="F179" s="3758">
        <f>IF(((COUNTIF($F$5:$F74,"x"))-(COUNTIF($F$5:$F73,"x")))=0,"",COUNTIF($F$5:$F74,"x"))</f>
        <v>27</v>
      </c>
      <c r="G179" s="3759" t="str">
        <f>IF(((COUNTIF($G$5:$G74,"x"))-(COUNTIF($G$5:$G73,"x")))=0,"",COUNTIF($G$5:$G74,"x"))</f>
        <v/>
      </c>
      <c r="H179" s="3759">
        <f>IF(((COUNTIF($H$5:$H74,"x"))-(COUNTIF($H$5:$H73,"x")))=0,"",COUNTIF($H$5:$H74,"x"))</f>
        <v>27</v>
      </c>
      <c r="I179" s="3759">
        <f>IF(((COUNTIF($I$5:I74,"x"))-(COUNTIF($I$5:I73,"x")))=0,"",COUNTIF($I$5:I74,"x"))</f>
        <v>25</v>
      </c>
      <c r="J179" s="3767">
        <f>IF(((COUNTIF($J$5:J74,"x"))-(COUNTIF($J$5:J73,"x")))=0,"",COUNTIF($J$5:J74,"x"))</f>
        <v>24</v>
      </c>
      <c r="K179" s="3767">
        <f>IF(((COUNTIF($K$5:K74,"x"))-(COUNTIF($K$5:K73,"x")))=0,"",COUNTIF($K$5:K74,"x"))</f>
        <v>21</v>
      </c>
      <c r="L179" s="3767">
        <f>IF(((COUNTIF($L$5:L74,"x"))-(COUNTIF($L$5:L73,"x")))=0,"",COUNTIF($L$5:L74,"x"))</f>
        <v>22</v>
      </c>
      <c r="M179" s="3767">
        <f>IF(((COUNTIF($M$5:M74,"x"))-(COUNTIF($M$5:M73,"x")))=0,"",COUNTIF($M$5:M74,"x"))</f>
        <v>22</v>
      </c>
      <c r="N179" s="3767">
        <f>IF(((COUNTIF($N$5:N74,"x"))-(COUNTIF($N$5:N73,"x")))=0,"",COUNTIF($N$5:N74,"x"))</f>
        <v>11</v>
      </c>
      <c r="O179" s="3767">
        <f>IF(((COUNTIF($O$5:O74,"x"))-(COUNTIF($O$5:O73,"x")))=0,"",COUNTIF($O$5:O74,"x"))</f>
        <v>16</v>
      </c>
      <c r="P179" s="3759">
        <f>IF(((COUNTIF($P$5:P74,"x"))-(COUNTIF($P$5:P73,"x")))=0,"",COUNTIF($P$5:P74,"x"))</f>
        <v>12</v>
      </c>
      <c r="Q179" s="3767" t="str">
        <f>IF(((COUNTIF($Q$5:Q74,"x"))-(COUNTIF($Q$5:Q73,"x")))=0,"",COUNTIF($Q$5:Q74,"x"))</f>
        <v/>
      </c>
      <c r="R179" s="3767" t="str">
        <f>IF(((COUNTIF($R$5:R74,"x"))-(COUNTIF($R$5:R73,"x")))=0,"",COUNTIF($R$5:R74,"x"))</f>
        <v/>
      </c>
      <c r="S179" s="3767" t="str">
        <f>IF(((COUNTIF($S$5:S74,"x"))-(COUNTIF($S$5:S73,"x")))=0,"",COUNTIF($S$5:S74,"x"))</f>
        <v/>
      </c>
      <c r="T179" s="3767" t="str">
        <f>IF(((COUNTIF($T$5:T74,"x"))-(COUNTIF($T$5:T73,"x")))=0,"",COUNTIF($T$5:T74,"x"))</f>
        <v/>
      </c>
      <c r="U179" s="3767" t="str">
        <f>IF(((COUNTIF($U$5:U74,"x"))-(COUNTIF($U$5:U73,"x")))=0,"",COUNTIF($U$5:U74,"x"))</f>
        <v/>
      </c>
      <c r="V179" s="3767" t="str">
        <f>IF(((COUNTIF($V$5:V74,"x"))-(COUNTIF($V$5:V73,"x")))=0,"",COUNTIF($V$5:V74,"x"))</f>
        <v/>
      </c>
      <c r="W179" s="3767" t="str">
        <f>IF(((COUNTIF($W$5:W74,"x"))-(COUNTIF($W$5:W73,"x")))=0,"",COUNTIF($W$5:W74,"x"))</f>
        <v/>
      </c>
      <c r="X179" s="3767" t="str">
        <f>IF(((COUNTIF($X$5:X74,"x"))-(COUNTIF($X$5:X73,"x")))=0,"",COUNTIF($X$5:X74,"x"))</f>
        <v/>
      </c>
      <c r="Y179" s="3767" t="str">
        <f>IF(((COUNTIF($Y$5:Y74,"x"))-(COUNTIF($Y$5:Y73,"x")))=0,"",COUNTIF($Y$5:Y74,"x"))</f>
        <v/>
      </c>
      <c r="Z179" s="3767" t="str">
        <f>IF(((COUNTIF($Z$5:Z74,"x"))-(COUNTIF($Z$5:Z73,"x")))=0,"",COUNTIF($Z$5:Z74,"x"))</f>
        <v/>
      </c>
      <c r="AA179" s="3767" t="str">
        <f>IF(((COUNTIF($AA$5:AA74,"x"))-(COUNTIF($AA$5:AA73,"x")))=0,"",COUNTIF($AA$5:AA74,"x"))</f>
        <v/>
      </c>
      <c r="AB179" s="3767" t="str">
        <f>IF(((COUNTIF($AB$5:AB74,"x"))-(COUNTIF($AB$5:AB73,"x")))=0,"",COUNTIF($AB$5:AB74,"x"))</f>
        <v/>
      </c>
      <c r="AC179" s="3767" t="str">
        <f>IF(((COUNTIF($AC$5:AC74,"x"))-(COUNTIF($AC$5:AC73,"x")))=0,"",COUNTIF($AC$5:AC74,"x"))</f>
        <v/>
      </c>
      <c r="AD179" s="3759">
        <f>IF(((COUNTIF($AD$5:AD74,"x"))-(COUNTIF($AD$5:AD73,"x")))=0,"",COUNTIF($AD$5:AD74,"x"))</f>
        <v>66</v>
      </c>
      <c r="AE179" s="3767" t="str">
        <f>IF(((COUNTIF($AE$5:AE74,"x"))-(COUNTIF($AE$5:AE73,"x")))=0,"",COUNTIF($AE$5:AE74,"x"))</f>
        <v/>
      </c>
      <c r="AF179" s="3768" t="str">
        <f>IF(((COUNTIF($AF$5:AF74,"x"))-(COUNTIF($AF$5:AF73,"x")))=0,"",COUNTIF($AF$5:AF74,"x"))</f>
        <v/>
      </c>
      <c r="AG179" s="2152" t="str">
        <f t="shared" si="18"/>
        <v>Starane XL</v>
      </c>
    </row>
    <row r="180" spans="2:33" ht="18">
      <c r="B180" s="2168">
        <f t="shared" si="19"/>
        <v>71</v>
      </c>
      <c r="C180" s="3764">
        <f t="shared" si="17"/>
        <v>0</v>
      </c>
      <c r="D180" s="3765"/>
      <c r="E180" s="3769"/>
      <c r="F180" s="3758" t="str">
        <f>IF(((COUNTIF($F$5:$F75,"x"))-(COUNTIF($F$5:$F74,"x")))=0,"",COUNTIF($F$5:$F75,"x"))</f>
        <v/>
      </c>
      <c r="G180" s="3759" t="str">
        <f>IF(((COUNTIF($G$5:$G75,"x"))-(COUNTIF($G$5:$G74,"x")))=0,"",COUNTIF($G$5:$G75,"x"))</f>
        <v/>
      </c>
      <c r="H180" s="3759" t="str">
        <f>IF(((COUNTIF($H$5:$H75,"x"))-(COUNTIF($H$5:$H74,"x")))=0,"",COUNTIF($H$5:$H75,"x"))</f>
        <v/>
      </c>
      <c r="I180" s="3759" t="str">
        <f>IF(((COUNTIF($I$5:I75,"x"))-(COUNTIF($I$5:I74,"x")))=0,"",COUNTIF($I$5:I75,"x"))</f>
        <v/>
      </c>
      <c r="J180" s="3767" t="str">
        <f>IF(((COUNTIF($J$5:J75,"x"))-(COUNTIF($J$5:J74,"x")))=0,"",COUNTIF($J$5:J75,"x"))</f>
        <v/>
      </c>
      <c r="K180" s="3767" t="str">
        <f>IF(((COUNTIF($K$5:K75,"x"))-(COUNTIF($K$5:K74,"x")))=0,"",COUNTIF($K$5:K75,"x"))</f>
        <v/>
      </c>
      <c r="L180" s="3767" t="str">
        <f>IF(((COUNTIF($L$5:L75,"x"))-(COUNTIF($L$5:L74,"x")))=0,"",COUNTIF($L$5:L75,"x"))</f>
        <v/>
      </c>
      <c r="M180" s="3767" t="str">
        <f>IF(((COUNTIF($M$5:M75,"x"))-(COUNTIF($M$5:M74,"x")))=0,"",COUNTIF($M$5:M75,"x"))</f>
        <v/>
      </c>
      <c r="N180" s="3767" t="str">
        <f>IF(((COUNTIF($N$5:N75,"x"))-(COUNTIF($N$5:N74,"x")))=0,"",COUNTIF($N$5:N75,"x"))</f>
        <v/>
      </c>
      <c r="O180" s="3767" t="str">
        <f>IF(((COUNTIF($O$5:O75,"x"))-(COUNTIF($O$5:O74,"x")))=0,"",COUNTIF($O$5:O75,"x"))</f>
        <v/>
      </c>
      <c r="P180" s="3759" t="str">
        <f>IF(((COUNTIF($P$5:P75,"x"))-(COUNTIF($P$5:P74,"x")))=0,"",COUNTIF($P$5:P75,"x"))</f>
        <v/>
      </c>
      <c r="Q180" s="3767" t="str">
        <f>IF(((COUNTIF($Q$5:Q75,"x"))-(COUNTIF($Q$5:Q74,"x")))=0,"",COUNTIF($Q$5:Q75,"x"))</f>
        <v/>
      </c>
      <c r="R180" s="3767" t="str">
        <f>IF(((COUNTIF($R$5:R75,"x"))-(COUNTIF($R$5:R74,"x")))=0,"",COUNTIF($R$5:R75,"x"))</f>
        <v/>
      </c>
      <c r="S180" s="3767" t="str">
        <f>IF(((COUNTIF($S$5:S75,"x"))-(COUNTIF($S$5:S74,"x")))=0,"",COUNTIF($S$5:S75,"x"))</f>
        <v/>
      </c>
      <c r="T180" s="3767" t="str">
        <f>IF(((COUNTIF($T$5:T75,"x"))-(COUNTIF($T$5:T74,"x")))=0,"",COUNTIF($T$5:T75,"x"))</f>
        <v/>
      </c>
      <c r="U180" s="3767" t="str">
        <f>IF(((COUNTIF($U$5:U75,"x"))-(COUNTIF($U$5:U74,"x")))=0,"",COUNTIF($U$5:U75,"x"))</f>
        <v/>
      </c>
      <c r="V180" s="3767" t="str">
        <f>IF(((COUNTIF($V$5:V75,"x"))-(COUNTIF($V$5:V74,"x")))=0,"",COUNTIF($V$5:V75,"x"))</f>
        <v/>
      </c>
      <c r="W180" s="3767" t="str">
        <f>IF(((COUNTIF($W$5:W75,"x"))-(COUNTIF($W$5:W74,"x")))=0,"",COUNTIF($W$5:W75,"x"))</f>
        <v/>
      </c>
      <c r="X180" s="3767" t="str">
        <f>IF(((COUNTIF($X$5:X75,"x"))-(COUNTIF($X$5:X74,"x")))=0,"",COUNTIF($X$5:X75,"x"))</f>
        <v/>
      </c>
      <c r="Y180" s="3767" t="str">
        <f>IF(((COUNTIF($Y$5:Y75,"x"))-(COUNTIF($Y$5:Y74,"x")))=0,"",COUNTIF($Y$5:Y75,"x"))</f>
        <v/>
      </c>
      <c r="Z180" s="3767" t="str">
        <f>IF(((COUNTIF($Z$5:Z75,"x"))-(COUNTIF($Z$5:Z74,"x")))=0,"",COUNTIF($Z$5:Z75,"x"))</f>
        <v/>
      </c>
      <c r="AA180" s="3767" t="str">
        <f>IF(((COUNTIF($AA$5:AA75,"x"))-(COUNTIF($AA$5:AA74,"x")))=0,"",COUNTIF($AA$5:AA75,"x"))</f>
        <v/>
      </c>
      <c r="AB180" s="3767" t="str">
        <f>IF(((COUNTIF($AB$5:AB75,"x"))-(COUNTIF($AB$5:AB74,"x")))=0,"",COUNTIF($AB$5:AB75,"x"))</f>
        <v/>
      </c>
      <c r="AC180" s="3767" t="str">
        <f>IF(((COUNTIF($AC$5:AC75,"x"))-(COUNTIF($AC$5:AC74,"x")))=0,"",COUNTIF($AC$5:AC75,"x"))</f>
        <v/>
      </c>
      <c r="AD180" s="3759" t="str">
        <f>IF(((COUNTIF($AD$5:AD75,"x"))-(COUNTIF($AD$5:AD74,"x")))=0,"",COUNTIF($AD$5:AD75,"x"))</f>
        <v/>
      </c>
      <c r="AE180" s="3767" t="str">
        <f>IF(((COUNTIF($AE$5:AE75,"x"))-(COUNTIF($AE$5:AE74,"x")))=0,"",COUNTIF($AE$5:AE75,"x"))</f>
        <v/>
      </c>
      <c r="AF180" s="3768" t="str">
        <f>IF(((COUNTIF($AF$5:AF75,"x"))-(COUNTIF($AF$5:AF74,"x")))=0,"",COUNTIF($AF$5:AF75,"x"))</f>
        <v/>
      </c>
      <c r="AG180" s="2152">
        <f t="shared" si="18"/>
        <v>0</v>
      </c>
    </row>
    <row r="181" spans="2:33" ht="18">
      <c r="B181" s="2168">
        <f t="shared" si="19"/>
        <v>72</v>
      </c>
      <c r="C181" s="3764" t="str">
        <f t="shared" si="17"/>
        <v>Stomp Aqua</v>
      </c>
      <c r="D181" s="3765"/>
      <c r="E181" s="3769"/>
      <c r="F181" s="3758">
        <f>IF(((COUNTIF($F$5:$F76,"x"))-(COUNTIF($F$5:$F75,"x")))=0,"",COUNTIF($F$5:$F76,"x"))</f>
        <v>28</v>
      </c>
      <c r="G181" s="3759">
        <f>IF(((COUNTIF($G$5:$G76,"x"))-(COUNTIF($G$5:$G75,"x")))=0,"",COUNTIF($G$5:$G76,"x"))</f>
        <v>21</v>
      </c>
      <c r="H181" s="3759">
        <f>IF(((COUNTIF($H$5:$H76,"x"))-(COUNTIF($H$5:$H75,"x")))=0,"",COUNTIF($H$5:$H76,"x"))</f>
        <v>28</v>
      </c>
      <c r="I181" s="3759">
        <f>IF(((COUNTIF($I$5:I76,"x"))-(COUNTIF($I$5:I75,"x")))=0,"",COUNTIF($I$5:I76,"x"))</f>
        <v>26</v>
      </c>
      <c r="J181" s="3767">
        <f>IF(((COUNTIF($J$5:J76,"x"))-(COUNTIF($J$5:J75,"x")))=0,"",COUNTIF($J$5:J76,"x"))</f>
        <v>25</v>
      </c>
      <c r="K181" s="3767" t="str">
        <f>IF(((COUNTIF($K$5:K76,"x"))-(COUNTIF($K$5:K75,"x")))=0,"",COUNTIF($K$5:K76,"x"))</f>
        <v/>
      </c>
      <c r="L181" s="3767" t="str">
        <f>IF(((COUNTIF($L$5:L76,"x"))-(COUNTIF($L$5:L75,"x")))=0,"",COUNTIF($L$5:L76,"x"))</f>
        <v/>
      </c>
      <c r="M181" s="3767" t="str">
        <f>IF(((COUNTIF($M$5:M76,"x"))-(COUNTIF($M$5:M75,"x")))=0,"",COUNTIF($M$5:M76,"x"))</f>
        <v/>
      </c>
      <c r="N181" s="3767" t="str">
        <f>IF(((COUNTIF($N$5:N76,"x"))-(COUNTIF($N$5:N75,"x")))=0,"",COUNTIF($N$5:N76,"x"))</f>
        <v/>
      </c>
      <c r="O181" s="3767" t="str">
        <f>IF(((COUNTIF($O$5:O76,"x"))-(COUNTIF($O$5:O75,"x")))=0,"",COUNTIF($O$5:O76,"x"))</f>
        <v/>
      </c>
      <c r="P181" s="3759" t="str">
        <f>IF(((COUNTIF($P$5:P76,"x"))-(COUNTIF($P$5:P75,"x")))=0,"",COUNTIF($P$5:P76,"x"))</f>
        <v/>
      </c>
      <c r="Q181" s="3767">
        <f>IF(((COUNTIF($Q$5:Q76,"x"))-(COUNTIF($Q$5:Q75,"x")))=0,"",COUNTIF($Q$5:Q76,"x"))</f>
        <v>3</v>
      </c>
      <c r="R181" s="3767">
        <f>IF(((COUNTIF($R$5:R76,"x"))-(COUNTIF($R$5:R75,"x")))=0,"",COUNTIF($R$5:R76,"x"))</f>
        <v>13</v>
      </c>
      <c r="S181" s="3767">
        <f>IF(((COUNTIF($S$5:S76,"x"))-(COUNTIF($S$5:S75,"x")))=0,"",COUNTIF($S$5:S76,"x"))</f>
        <v>19</v>
      </c>
      <c r="T181" s="3767">
        <f>IF(((COUNTIF($T$5:T76,"x"))-(COUNTIF($T$5:T75,"x")))=0,"",COUNTIF($T$5:T76,"x"))</f>
        <v>11</v>
      </c>
      <c r="U181" s="3767">
        <f>IF(((COUNTIF($U$5:U76,"x"))-(COUNTIF($U$5:U75,"x")))=0,"",COUNTIF($U$5:U76,"x"))</f>
        <v>9</v>
      </c>
      <c r="V181" s="3767">
        <f>IF(((COUNTIF($V$5:V76,"x"))-(COUNTIF($V$5:V75,"x")))=0,"",COUNTIF($V$5:V76,"x"))</f>
        <v>9</v>
      </c>
      <c r="W181" s="3767" t="str">
        <f>IF(((COUNTIF($W$5:W76,"x"))-(COUNTIF($W$5:W75,"x")))=0,"",COUNTIF($W$5:W76,"x"))</f>
        <v/>
      </c>
      <c r="X181" s="3767">
        <f>IF(((COUNTIF($X$5:X76,"x"))-(COUNTIF($X$5:X75,"x")))=0,"",COUNTIF($X$5:X76,"x"))</f>
        <v>10</v>
      </c>
      <c r="Y181" s="3767">
        <f>IF(((COUNTIF($Y$5:Y76,"x"))-(COUNTIF($Y$5:Y75,"x")))=0,"",COUNTIF($Y$5:Y76,"x"))</f>
        <v>11</v>
      </c>
      <c r="Z181" s="3767">
        <f>IF(((COUNTIF($Z$5:Z76,"x"))-(COUNTIF($Z$5:Z75,"x")))=0,"",COUNTIF($Z$5:Z76,"x"))</f>
        <v>4</v>
      </c>
      <c r="AA181" s="3767" t="str">
        <f>IF(((COUNTIF($AA$5:AA76,"x"))-(COUNTIF($AA$5:AA75,"x")))=0,"",COUNTIF($AA$5:AA76,"x"))</f>
        <v/>
      </c>
      <c r="AB181" s="3767" t="str">
        <f>IF(((COUNTIF($AB$5:AB76,"x"))-(COUNTIF($AB$5:AB75,"x")))=0,"",COUNTIF($AB$5:AB76,"x"))</f>
        <v/>
      </c>
      <c r="AC181" s="3767" t="str">
        <f>IF(((COUNTIF($AC$5:AC76,"x"))-(COUNTIF($AC$5:AC75,"x")))=0,"",COUNTIF($AC$5:AC76,"x"))</f>
        <v/>
      </c>
      <c r="AD181" s="3759">
        <f>IF(((COUNTIF($AD$5:AD76,"x"))-(COUNTIF($AD$5:AD75,"x")))=0,"",COUNTIF($AD$5:AD76,"x"))</f>
        <v>67</v>
      </c>
      <c r="AE181" s="3767" t="str">
        <f>IF(((COUNTIF($AE$5:AE76,"x"))-(COUNTIF($AE$5:AE75,"x")))=0,"",COUNTIF($AE$5:AE76,"x"))</f>
        <v/>
      </c>
      <c r="AF181" s="3768" t="str">
        <f>IF(((COUNTIF($AF$5:AF76,"x"))-(COUNTIF($AF$5:AF75,"x")))=0,"",COUNTIF($AF$5:AF76,"x"))</f>
        <v/>
      </c>
      <c r="AG181" s="2152" t="str">
        <f t="shared" si="18"/>
        <v>Stomp Aqua</v>
      </c>
    </row>
    <row r="182" spans="2:33" ht="18">
      <c r="B182" s="2168">
        <f t="shared" si="19"/>
        <v>73</v>
      </c>
      <c r="C182" s="3764" t="str">
        <f t="shared" si="17"/>
        <v>Teppeki</v>
      </c>
      <c r="D182" s="3765"/>
      <c r="E182" s="3769"/>
      <c r="F182" s="3758">
        <f>IF(((COUNTIF($F$5:$F77,"x"))-(COUNTIF($F$5:$F76,"x")))=0,"",COUNTIF($F$5:$F77,"x"))</f>
        <v>29</v>
      </c>
      <c r="G182" s="3759" t="str">
        <f>IF(((COUNTIF($G$5:$G77,"x"))-(COUNTIF($G$5:$G76,"x")))=0,"",COUNTIF($G$5:$G77,"x"))</f>
        <v/>
      </c>
      <c r="H182" s="3759" t="str">
        <f>IF(((COUNTIF($H$5:$H77,"x"))-(COUNTIF($H$5:$H76,"x")))=0,"",COUNTIF($H$5:$H77,"x"))</f>
        <v/>
      </c>
      <c r="I182" s="3759" t="str">
        <f>IF(((COUNTIF($I$5:I77,"x"))-(COUNTIF($I$5:I76,"x")))=0,"",COUNTIF($I$5:I77,"x"))</f>
        <v/>
      </c>
      <c r="J182" s="3767" t="str">
        <f>IF(((COUNTIF($J$5:J77,"x"))-(COUNTIF($J$5:J76,"x")))=0,"",COUNTIF($J$5:J77,"x"))</f>
        <v/>
      </c>
      <c r="K182" s="3767" t="str">
        <f>IF(((COUNTIF($K$5:K77,"x"))-(COUNTIF($K$5:K76,"x")))=0,"",COUNTIF($K$5:K77,"x"))</f>
        <v/>
      </c>
      <c r="L182" s="3767" t="str">
        <f>IF(((COUNTIF($L$5:L77,"x"))-(COUNTIF($L$5:L76,"x")))=0,"",COUNTIF($L$5:L77,"x"))</f>
        <v/>
      </c>
      <c r="M182" s="3767" t="str">
        <f>IF(((COUNTIF($M$5:M77,"x"))-(COUNTIF($M$5:M76,"x")))=0,"",COUNTIF($M$5:M77,"x"))</f>
        <v/>
      </c>
      <c r="N182" s="3767" t="str">
        <f>IF(((COUNTIF($N$5:N77,"x"))-(COUNTIF($N$5:N76,"x")))=0,"",COUNTIF($N$5:N77,"x"))</f>
        <v/>
      </c>
      <c r="O182" s="3767" t="str">
        <f>IF(((COUNTIF($O$5:O77,"x"))-(COUNTIF($O$5:O76,"x")))=0,"",COUNTIF($O$5:O77,"x"))</f>
        <v/>
      </c>
      <c r="P182" s="3759" t="str">
        <f>IF(((COUNTIF($P$5:P77,"x"))-(COUNTIF($P$5:P76,"x")))=0,"",COUNTIF($P$5:P77,"x"))</f>
        <v/>
      </c>
      <c r="Q182" s="3767" t="str">
        <f>IF(((COUNTIF($Q$5:Q77,"x"))-(COUNTIF($Q$5:Q76,"x")))=0,"",COUNTIF($Q$5:Q77,"x"))</f>
        <v/>
      </c>
      <c r="R182" s="3767" t="str">
        <f>IF(((COUNTIF($R$5:R77,"x"))-(COUNTIF($R$5:R76,"x")))=0,"",COUNTIF($R$5:R77,"x"))</f>
        <v/>
      </c>
      <c r="S182" s="3767" t="str">
        <f>IF(((COUNTIF($S$5:S77,"x"))-(COUNTIF($S$5:S76,"x")))=0,"",COUNTIF($S$5:S77,"x"))</f>
        <v/>
      </c>
      <c r="T182" s="3767" t="str">
        <f>IF(((COUNTIF($T$5:T77,"x"))-(COUNTIF($T$5:T76,"x")))=0,"",COUNTIF($T$5:T77,"x"))</f>
        <v/>
      </c>
      <c r="U182" s="3767" t="str">
        <f>IF(((COUNTIF($U$5:U77,"x"))-(COUNTIF($U$5:U76,"x")))=0,"",COUNTIF($U$5:U77,"x"))</f>
        <v/>
      </c>
      <c r="V182" s="3767" t="str">
        <f>IF(((COUNTIF($V$5:V77,"x"))-(COUNTIF($V$5:V76,"x")))=0,"",COUNTIF($V$5:V77,"x"))</f>
        <v/>
      </c>
      <c r="W182" s="3767" t="str">
        <f>IF(((COUNTIF($W$5:W77,"x"))-(COUNTIF($W$5:W76,"x")))=0,"",COUNTIF($W$5:W77,"x"))</f>
        <v/>
      </c>
      <c r="X182" s="3767" t="str">
        <f>IF(((COUNTIF($X$5:X77,"x"))-(COUNTIF($X$5:X76,"x")))=0,"",COUNTIF($X$5:X77,"x"))</f>
        <v/>
      </c>
      <c r="Y182" s="3767" t="str">
        <f>IF(((COUNTIF($Y$5:Y77,"x"))-(COUNTIF($Y$5:Y76,"x")))=0,"",COUNTIF($Y$5:Y77,"x"))</f>
        <v/>
      </c>
      <c r="Z182" s="3767" t="str">
        <f>IF(((COUNTIF($Z$5:Z77,"x"))-(COUNTIF($Z$5:Z76,"x")))=0,"",COUNTIF($Z$5:Z77,"x"))</f>
        <v/>
      </c>
      <c r="AA182" s="3767" t="str">
        <f>IF(((COUNTIF($AA$5:AA77,"x"))-(COUNTIF($AA$5:AA76,"x")))=0,"",COUNTIF($AA$5:AA77,"x"))</f>
        <v/>
      </c>
      <c r="AB182" s="3767">
        <f>IF(((COUNTIF($AB$5:AB77,"x"))-(COUNTIF($AB$5:AB76,"x")))=0,"",COUNTIF($AB$5:AB77,"x"))</f>
        <v>17</v>
      </c>
      <c r="AC182" s="3767" t="str">
        <f>IF(((COUNTIF($AC$5:AC77,"x"))-(COUNTIF($AC$5:AC76,"x")))=0,"",COUNTIF($AC$5:AC77,"x"))</f>
        <v/>
      </c>
      <c r="AD182" s="3759">
        <f>IF(((COUNTIF($AD$5:AD77,"x"))-(COUNTIF($AD$5:AD76,"x")))=0,"",COUNTIF($AD$5:AD77,"x"))</f>
        <v>68</v>
      </c>
      <c r="AE182" s="3767" t="str">
        <f>IF(((COUNTIF($AE$5:AE77,"x"))-(COUNTIF($AE$5:AE76,"x")))=0,"",COUNTIF($AE$5:AE77,"x"))</f>
        <v/>
      </c>
      <c r="AF182" s="3768" t="str">
        <f>IF(((COUNTIF($AF$5:AF77,"x"))-(COUNTIF($AF$5:AF76,"x")))=0,"",COUNTIF($AF$5:AF77,"x"))</f>
        <v/>
      </c>
      <c r="AG182" s="2152" t="str">
        <f t="shared" si="18"/>
        <v>Teppeki</v>
      </c>
    </row>
    <row r="183" spans="2:33" ht="18">
      <c r="B183" s="2168">
        <f t="shared" si="19"/>
        <v>74</v>
      </c>
      <c r="C183" s="3764" t="str">
        <f t="shared" si="17"/>
        <v>Tilmor</v>
      </c>
      <c r="D183" s="3765"/>
      <c r="E183" s="3769"/>
      <c r="F183" s="3758" t="str">
        <f>IF(((COUNTIF($F$5:$F78,"x"))-(COUNTIF($F$5:$F77,"x")))=0,"",COUNTIF($F$5:$F78,"x"))</f>
        <v/>
      </c>
      <c r="G183" s="3759" t="str">
        <f>IF(((COUNTIF($G$5:$G78,"x"))-(COUNTIF($G$5:$G77,"x")))=0,"",COUNTIF($G$5:$G78,"x"))</f>
        <v/>
      </c>
      <c r="H183" s="3759" t="str">
        <f>IF(((COUNTIF($H$5:$H78,"x"))-(COUNTIF($H$5:$H77,"x")))=0,"",COUNTIF($H$5:$H78,"x"))</f>
        <v/>
      </c>
      <c r="I183" s="3759" t="str">
        <f>IF(((COUNTIF($I$5:I78,"x"))-(COUNTIF($I$5:I77,"x")))=0,"",COUNTIF($I$5:I78,"x"))</f>
        <v/>
      </c>
      <c r="J183" s="3767" t="str">
        <f>IF(((COUNTIF($J$5:J78,"x"))-(COUNTIF($J$5:J77,"x")))=0,"",COUNTIF($J$5:J78,"x"))</f>
        <v/>
      </c>
      <c r="K183" s="3767" t="str">
        <f>IF(((COUNTIF($K$5:K78,"x"))-(COUNTIF($K$5:K77,"x")))=0,"",COUNTIF($K$5:K78,"x"))</f>
        <v/>
      </c>
      <c r="L183" s="3767" t="str">
        <f>IF(((COUNTIF($L$5:L78,"x"))-(COUNTIF($L$5:L77,"x")))=0,"",COUNTIF($L$5:L78,"x"))</f>
        <v/>
      </c>
      <c r="M183" s="3767" t="str">
        <f>IF(((COUNTIF($M$5:M78,"x"))-(COUNTIF($M$5:M77,"x")))=0,"",COUNTIF($M$5:M78,"x"))</f>
        <v/>
      </c>
      <c r="N183" s="3767" t="str">
        <f>IF(((COUNTIF($N$5:N78,"x"))-(COUNTIF($N$5:N77,"x")))=0,"",COUNTIF($N$5:N78,"x"))</f>
        <v/>
      </c>
      <c r="O183" s="3767" t="str">
        <f>IF(((COUNTIF($O$5:O78,"x"))-(COUNTIF($O$5:O77,"x")))=0,"",COUNTIF($O$5:O78,"x"))</f>
        <v/>
      </c>
      <c r="P183" s="3759" t="str">
        <f>IF(((COUNTIF($P$5:P78,"x"))-(COUNTIF($P$5:P77,"x")))=0,"",COUNTIF($P$5:P78,"x"))</f>
        <v/>
      </c>
      <c r="Q183" s="3767" t="str">
        <f>IF(((COUNTIF($Q$5:Q78,"x"))-(COUNTIF($Q$5:Q77,"x")))=0,"",COUNTIF($Q$5:Q78,"x"))</f>
        <v/>
      </c>
      <c r="R183" s="3767" t="str">
        <f>IF(((COUNTIF($R$5:R78,"x"))-(COUNTIF($R$5:R77,"x")))=0,"",COUNTIF($R$5:R78,"x"))</f>
        <v/>
      </c>
      <c r="S183" s="3767">
        <f>IF(((COUNTIF($S$5:S78,"x"))-(COUNTIF($S$5:S77,"x")))=0,"",COUNTIF($S$5:S78,"x"))</f>
        <v>20</v>
      </c>
      <c r="T183" s="3767" t="str">
        <f>IF(((COUNTIF($T$5:T78,"x"))-(COUNTIF($T$5:T77,"x")))=0,"",COUNTIF($T$5:T78,"x"))</f>
        <v/>
      </c>
      <c r="U183" s="3767" t="str">
        <f>IF(((COUNTIF($U$5:U78,"x"))-(COUNTIF($U$5:U77,"x")))=0,"",COUNTIF($U$5:U78,"x"))</f>
        <v/>
      </c>
      <c r="V183" s="3767" t="str">
        <f>IF(((COUNTIF($V$5:V78,"x"))-(COUNTIF($V$5:V77,"x")))=0,"",COUNTIF($V$5:V78,"x"))</f>
        <v/>
      </c>
      <c r="W183" s="3767" t="str">
        <f>IF(((COUNTIF($W$5:W78,"x"))-(COUNTIF($W$5:W77,"x")))=0,"",COUNTIF($W$5:W78,"x"))</f>
        <v/>
      </c>
      <c r="X183" s="3767" t="str">
        <f>IF(((COUNTIF($X$5:X78,"x"))-(COUNTIF($X$5:X77,"x")))=0,"",COUNTIF($X$5:X78,"x"))</f>
        <v/>
      </c>
      <c r="Y183" s="3767" t="str">
        <f>IF(((COUNTIF($Y$5:Y78,"x"))-(COUNTIF($Y$5:Y77,"x")))=0,"",COUNTIF($Y$5:Y78,"x"))</f>
        <v/>
      </c>
      <c r="Z183" s="3767" t="str">
        <f>IF(((COUNTIF($Z$5:Z78,"x"))-(COUNTIF($Z$5:Z77,"x")))=0,"",COUNTIF($Z$5:Z78,"x"))</f>
        <v/>
      </c>
      <c r="AA183" s="3767" t="str">
        <f>IF(((COUNTIF($AA$5:AA78,"x"))-(COUNTIF($AA$5:AA77,"x")))=0,"",COUNTIF($AA$5:AA78,"x"))</f>
        <v/>
      </c>
      <c r="AB183" s="3767" t="str">
        <f>IF(((COUNTIF($AB$5:AB78,"x"))-(COUNTIF($AB$5:AB77,"x")))=0,"",COUNTIF($AB$5:AB78,"x"))</f>
        <v/>
      </c>
      <c r="AC183" s="3767" t="str">
        <f>IF(((COUNTIF($AC$5:AC78,"x"))-(COUNTIF($AC$5:AC77,"x")))=0,"",COUNTIF($AC$5:AC78,"x"))</f>
        <v/>
      </c>
      <c r="AD183" s="3759">
        <f>IF(((COUNTIF($AD$5:AD78,"x"))-(COUNTIF($AD$5:AD77,"x")))=0,"",COUNTIF($AD$5:AD78,"x"))</f>
        <v>69</v>
      </c>
      <c r="AE183" s="3767" t="str">
        <f>IF(((COUNTIF($AE$5:AE78,"x"))-(COUNTIF($AE$5:AE77,"x")))=0,"",COUNTIF($AE$5:AE78,"x"))</f>
        <v/>
      </c>
      <c r="AF183" s="3768" t="str">
        <f>IF(((COUNTIF($AF$5:AF78,"x"))-(COUNTIF($AF$5:AF77,"x")))=0,"",COUNTIF($AF$5:AF78,"x"))</f>
        <v/>
      </c>
      <c r="AG183" s="2152" t="str">
        <f t="shared" si="18"/>
        <v>Tilmor</v>
      </c>
    </row>
    <row r="184" spans="2:33" ht="18">
      <c r="B184" s="2168">
        <f t="shared" si="19"/>
        <v>75</v>
      </c>
      <c r="C184" s="3764" t="str">
        <f t="shared" si="17"/>
        <v>Traxos</v>
      </c>
      <c r="D184" s="3765"/>
      <c r="E184" s="3769"/>
      <c r="F184" s="3758">
        <f>IF(((COUNTIF($F$5:$F79,"x"))-(COUNTIF($F$5:$F78,"x")))=0,"",COUNTIF($F$5:$F79,"x"))</f>
        <v>30</v>
      </c>
      <c r="G184" s="3759" t="str">
        <f>IF(((COUNTIF($G$5:$G79,"x"))-(COUNTIF($G$5:$G78,"x")))=0,"",COUNTIF($G$5:$G79,"x"))</f>
        <v/>
      </c>
      <c r="H184" s="3759">
        <f>IF(((COUNTIF($H$5:$H79,"x"))-(COUNTIF($H$5:$H78,"x")))=0,"",COUNTIF($H$5:$H79,"x"))</f>
        <v>29</v>
      </c>
      <c r="I184" s="3759">
        <f>IF(((COUNTIF($I$5:I79,"x"))-(COUNTIF($I$5:I78,"x")))=0,"",COUNTIF($I$5:I79,"x"))</f>
        <v>27</v>
      </c>
      <c r="J184" s="3767" t="str">
        <f>IF(((COUNTIF($J$5:J79,"x"))-(COUNTIF($J$5:J78,"x")))=0,"",COUNTIF($J$5:J79,"x"))</f>
        <v/>
      </c>
      <c r="K184" s="3767" t="str">
        <f>IF(((COUNTIF($K$5:K79,"x"))-(COUNTIF($K$5:K78,"x")))=0,"",COUNTIF($K$5:K79,"x"))</f>
        <v/>
      </c>
      <c r="L184" s="3767" t="str">
        <f>IF(((COUNTIF($L$5:L79,"x"))-(COUNTIF($L$5:L78,"x")))=0,"",COUNTIF($L$5:L79,"x"))</f>
        <v/>
      </c>
      <c r="M184" s="3767" t="str">
        <f>IF(((COUNTIF($M$5:M79,"x"))-(COUNTIF($M$5:M78,"x")))=0,"",COUNTIF($M$5:M79,"x"))</f>
        <v/>
      </c>
      <c r="N184" s="3767" t="str">
        <f>IF(((COUNTIF($N$5:N79,"x"))-(COUNTIF($N$5:N78,"x")))=0,"",COUNTIF($N$5:N79,"x"))</f>
        <v/>
      </c>
      <c r="O184" s="3767" t="str">
        <f>IF(((COUNTIF($O$5:O79,"x"))-(COUNTIF($O$5:O78,"x")))=0,"",COUNTIF($O$5:O79,"x"))</f>
        <v/>
      </c>
      <c r="P184" s="3759" t="str">
        <f>IF(((COUNTIF($P$5:P79,"x"))-(COUNTIF($P$5:P78,"x")))=0,"",COUNTIF($P$5:P79,"x"))</f>
        <v/>
      </c>
      <c r="Q184" s="3767" t="str">
        <f>IF(((COUNTIF($Q$5:Q79,"x"))-(COUNTIF($Q$5:Q78,"x")))=0,"",COUNTIF($Q$5:Q79,"x"))</f>
        <v/>
      </c>
      <c r="R184" s="3767" t="str">
        <f>IF(((COUNTIF($R$5:R79,"x"))-(COUNTIF($R$5:R78,"x")))=0,"",COUNTIF($R$5:R79,"x"))</f>
        <v/>
      </c>
      <c r="S184" s="3767" t="str">
        <f>IF(((COUNTIF($S$5:S79,"x"))-(COUNTIF($S$5:S78,"x")))=0,"",COUNTIF($S$5:S79,"x"))</f>
        <v/>
      </c>
      <c r="T184" s="3767" t="str">
        <f>IF(((COUNTIF($T$5:T79,"x"))-(COUNTIF($T$5:T78,"x")))=0,"",COUNTIF($T$5:T79,"x"))</f>
        <v/>
      </c>
      <c r="U184" s="3767" t="str">
        <f>IF(((COUNTIF($U$5:U79,"x"))-(COUNTIF($U$5:U78,"x")))=0,"",COUNTIF($U$5:U79,"x"))</f>
        <v/>
      </c>
      <c r="V184" s="3767" t="str">
        <f>IF(((COUNTIF($V$5:V79,"x"))-(COUNTIF($V$5:V78,"x")))=0,"",COUNTIF($V$5:V79,"x"))</f>
        <v/>
      </c>
      <c r="W184" s="3767" t="str">
        <f>IF(((COUNTIF($W$5:W79,"x"))-(COUNTIF($W$5:W78,"x")))=0,"",COUNTIF($W$5:W79,"x"))</f>
        <v/>
      </c>
      <c r="X184" s="3767" t="str">
        <f>IF(((COUNTIF($X$5:X79,"x"))-(COUNTIF($X$5:X78,"x")))=0,"",COUNTIF($X$5:X79,"x"))</f>
        <v/>
      </c>
      <c r="Y184" s="3767" t="str">
        <f>IF(((COUNTIF($Y$5:Y79,"x"))-(COUNTIF($Y$5:Y78,"x")))=0,"",COUNTIF($Y$5:Y79,"x"))</f>
        <v/>
      </c>
      <c r="Z184" s="3767" t="str">
        <f>IF(((COUNTIF($Z$5:Z79,"x"))-(COUNTIF($Z$5:Z78,"x")))=0,"",COUNTIF($Z$5:Z79,"x"))</f>
        <v/>
      </c>
      <c r="AA184" s="3767" t="str">
        <f>IF(((COUNTIF($AA$5:AA79,"x"))-(COUNTIF($AA$5:AA78,"x")))=0,"",COUNTIF($AA$5:AA79,"x"))</f>
        <v/>
      </c>
      <c r="AB184" s="3767" t="str">
        <f>IF(((COUNTIF($AB$5:AB79,"x"))-(COUNTIF($AB$5:AB78,"x")))=0,"",COUNTIF($AB$5:AB79,"x"))</f>
        <v/>
      </c>
      <c r="AC184" s="3767" t="str">
        <f>IF(((COUNTIF($AC$5:AC79,"x"))-(COUNTIF($AC$5:AC78,"x")))=0,"",COUNTIF($AC$5:AC79,"x"))</f>
        <v/>
      </c>
      <c r="AD184" s="3759">
        <f>IF(((COUNTIF($AD$5:AD79,"x"))-(COUNTIF($AD$5:AD78,"x")))=0,"",COUNTIF($AD$5:AD79,"x"))</f>
        <v>70</v>
      </c>
      <c r="AE184" s="3767" t="str">
        <f>IF(((COUNTIF($AE$5:AE79,"x"))-(COUNTIF($AE$5:AE78,"x")))=0,"",COUNTIF($AE$5:AE79,"x"))</f>
        <v/>
      </c>
      <c r="AF184" s="3768" t="str">
        <f>IF(((COUNTIF($AF$5:AF79,"x"))-(COUNTIF($AF$5:AF78,"x")))=0,"",COUNTIF($AF$5:AF79,"x"))</f>
        <v/>
      </c>
      <c r="AG184" s="2152" t="str">
        <f t="shared" si="18"/>
        <v>Traxos</v>
      </c>
    </row>
    <row r="185" spans="2:33" ht="18">
      <c r="B185" s="2168">
        <f t="shared" si="19"/>
        <v>76</v>
      </c>
      <c r="C185" s="3764" t="str">
        <f t="shared" si="17"/>
        <v>Trebon 30 EC</v>
      </c>
      <c r="D185" s="3765"/>
      <c r="E185" s="3769"/>
      <c r="F185" s="3758" t="str">
        <f>IF(((COUNTIF($F$5:$F80,"x"))-(COUNTIF($F$5:$F79,"x")))=0,"",COUNTIF($F$5:$F80,"x"))</f>
        <v/>
      </c>
      <c r="G185" s="3759" t="str">
        <f>IF(((COUNTIF($G$5:$G80,"x"))-(COUNTIF($G$5:$G79,"x")))=0,"",COUNTIF($G$5:$G80,"x"))</f>
        <v/>
      </c>
      <c r="H185" s="3759" t="str">
        <f>IF(((COUNTIF($H$5:$H80,"x"))-(COUNTIF($H$5:$H79,"x")))=0,"",COUNTIF($H$5:$H80,"x"))</f>
        <v/>
      </c>
      <c r="I185" s="3759" t="str">
        <f>IF(((COUNTIF($I$5:I80,"x"))-(COUNTIF($I$5:I79,"x")))=0,"",COUNTIF($I$5:I80,"x"))</f>
        <v/>
      </c>
      <c r="J185" s="3767" t="str">
        <f>IF(((COUNTIF($J$5:J80,"x"))-(COUNTIF($J$5:J79,"x")))=0,"",COUNTIF($J$5:J80,"x"))</f>
        <v/>
      </c>
      <c r="K185" s="3767" t="str">
        <f>IF(((COUNTIF($K$5:K80,"x"))-(COUNTIF($K$5:K79,"x")))=0,"",COUNTIF($K$5:K80,"x"))</f>
        <v/>
      </c>
      <c r="L185" s="3767" t="str">
        <f>IF(((COUNTIF($L$5:L80,"x"))-(COUNTIF($L$5:L79,"x")))=0,"",COUNTIF($L$5:L80,"x"))</f>
        <v/>
      </c>
      <c r="M185" s="3767" t="str">
        <f>IF(((COUNTIF($M$5:M80,"x"))-(COUNTIF($M$5:M79,"x")))=0,"",COUNTIF($M$5:M80,"x"))</f>
        <v/>
      </c>
      <c r="N185" s="3767" t="str">
        <f>IF(((COUNTIF($N$5:N80,"x"))-(COUNTIF($N$5:N79,"x")))=0,"",COUNTIF($N$5:N80,"x"))</f>
        <v/>
      </c>
      <c r="O185" s="3767" t="str">
        <f>IF(((COUNTIF($O$5:O80,"x"))-(COUNTIF($O$5:O79,"x")))=0,"",COUNTIF($O$5:O80,"x"))</f>
        <v/>
      </c>
      <c r="P185" s="3759" t="str">
        <f>IF(((COUNTIF($P$5:P80,"x"))-(COUNTIF($P$5:P79,"x")))=0,"",COUNTIF($P$5:P80,"x"))</f>
        <v/>
      </c>
      <c r="Q185" s="3767" t="str">
        <f>IF(((COUNTIF($Q$5:Q80,"x"))-(COUNTIF($Q$5:Q79,"x")))=0,"",COUNTIF($Q$5:Q80,"x"))</f>
        <v/>
      </c>
      <c r="R185" s="3767" t="str">
        <f>IF(((COUNTIF($R$5:R80,"x"))-(COUNTIF($R$5:R79,"x")))=0,"",COUNTIF($R$5:R80,"x"))</f>
        <v/>
      </c>
      <c r="S185" s="3767">
        <f>IF(((COUNTIF($S$5:S80,"x"))-(COUNTIF($S$5:S79,"x")))=0,"",COUNTIF($S$5:S80,"x"))</f>
        <v>21</v>
      </c>
      <c r="T185" s="3767">
        <f>IF(((COUNTIF($T$5:T80,"x"))-(COUNTIF($T$5:T79,"x")))=0,"",COUNTIF($T$5:T80,"x"))</f>
        <v>12</v>
      </c>
      <c r="U185" s="3767" t="str">
        <f>IF(((COUNTIF($U$5:U80,"x"))-(COUNTIF($U$5:U79,"x")))=0,"",COUNTIF($U$5:U80,"x"))</f>
        <v/>
      </c>
      <c r="V185" s="3767" t="str">
        <f>IF(((COUNTIF($V$5:V80,"x"))-(COUNTIF($V$5:V79,"x")))=0,"",COUNTIF($V$5:V80,"x"))</f>
        <v/>
      </c>
      <c r="W185" s="3767" t="str">
        <f>IF(((COUNTIF($W$5:W80,"x"))-(COUNTIF($W$5:W79,"x")))=0,"",COUNTIF($W$5:W80,"x"))</f>
        <v/>
      </c>
      <c r="X185" s="3767" t="str">
        <f>IF(((COUNTIF($X$5:X80,"x"))-(COUNTIF($X$5:X79,"x")))=0,"",COUNTIF($X$5:X80,"x"))</f>
        <v/>
      </c>
      <c r="Y185" s="3767" t="str">
        <f>IF(((COUNTIF($Y$5:Y80,"x"))-(COUNTIF($Y$5:Y79,"x")))=0,"",COUNTIF($Y$5:Y80,"x"))</f>
        <v/>
      </c>
      <c r="Z185" s="3767" t="str">
        <f>IF(((COUNTIF($Z$5:Z80,"x"))-(COUNTIF($Z$5:Z79,"x")))=0,"",COUNTIF($Z$5:Z80,"x"))</f>
        <v/>
      </c>
      <c r="AA185" s="3767" t="str">
        <f>IF(((COUNTIF($AA$5:AA80,"x"))-(COUNTIF($AA$5:AA79,"x")))=0,"",COUNTIF($AA$5:AA80,"x"))</f>
        <v/>
      </c>
      <c r="AB185" s="3767" t="str">
        <f>IF(((COUNTIF($AB$5:AB80,"x"))-(COUNTIF($AB$5:AB79,"x")))=0,"",COUNTIF($AB$5:AB80,"x"))</f>
        <v/>
      </c>
      <c r="AC185" s="3767" t="str">
        <f>IF(((COUNTIF($AC$5:AC80,"x"))-(COUNTIF($AC$5:AC79,"x")))=0,"",COUNTIF($AC$5:AC80,"x"))</f>
        <v/>
      </c>
      <c r="AD185" s="3759">
        <f>IF(((COUNTIF($AD$5:AD80,"x"))-(COUNTIF($AD$5:AD79,"x")))=0,"",COUNTIF($AD$5:AD80,"x"))</f>
        <v>71</v>
      </c>
      <c r="AE185" s="3767" t="str">
        <f>IF(((COUNTIF($AE$5:AE80,"x"))-(COUNTIF($AE$5:AE79,"x")))=0,"",COUNTIF($AE$5:AE80,"x"))</f>
        <v/>
      </c>
      <c r="AF185" s="3768" t="str">
        <f>IF(((COUNTIF($AF$5:AF80,"x"))-(COUNTIF($AF$5:AF79,"x")))=0,"",COUNTIF($AF$5:AF80,"x"))</f>
        <v/>
      </c>
      <c r="AG185" s="2152" t="str">
        <f t="shared" si="18"/>
        <v>Trebon 30 EC</v>
      </c>
    </row>
    <row r="186" spans="2:33" ht="18">
      <c r="B186" s="2168">
        <f t="shared" si="19"/>
        <v>77</v>
      </c>
      <c r="C186" s="3764" t="str">
        <f t="shared" si="17"/>
        <v>TRICHOGRAMMA</v>
      </c>
      <c r="D186" s="3765"/>
      <c r="E186" s="3769"/>
      <c r="F186" s="3758" t="str">
        <f>IF(((COUNTIF($F$5:$F81,"x"))-(COUNTIF($F$5:$F80,"x")))=0,"",COUNTIF($F$5:$F81,"x"))</f>
        <v/>
      </c>
      <c r="G186" s="3759" t="str">
        <f>IF(((COUNTIF($G$5:$G81,"x"))-(COUNTIF($G$5:$G80,"x")))=0,"",COUNTIF($G$5:$G81,"x"))</f>
        <v/>
      </c>
      <c r="H186" s="3759" t="str">
        <f>IF(((COUNTIF($H$5:$H81,"x"))-(COUNTIF($H$5:$H80,"x")))=0,"",COUNTIF($H$5:$H81,"x"))</f>
        <v/>
      </c>
      <c r="I186" s="3759" t="str">
        <f>IF(((COUNTIF($I$5:I81,"x"))-(COUNTIF($I$5:I80,"x")))=0,"",COUNTIF($I$5:I81,"x"))</f>
        <v/>
      </c>
      <c r="J186" s="3767" t="str">
        <f>IF(((COUNTIF($J$5:J81,"x"))-(COUNTIF($J$5:J80,"x")))=0,"",COUNTIF($J$5:J81,"x"))</f>
        <v/>
      </c>
      <c r="K186" s="3767" t="str">
        <f>IF(((COUNTIF($K$5:K81,"x"))-(COUNTIF($K$5:K80,"x")))=0,"",COUNTIF($K$5:K81,"x"))</f>
        <v/>
      </c>
      <c r="L186" s="3767" t="str">
        <f>IF(((COUNTIF($L$5:L81,"x"))-(COUNTIF($L$5:L80,"x")))=0,"",COUNTIF($L$5:L81,"x"))</f>
        <v/>
      </c>
      <c r="M186" s="3767" t="str">
        <f>IF(((COUNTIF($M$5:M81,"x"))-(COUNTIF($M$5:M80,"x")))=0,"",COUNTIF($M$5:M81,"x"))</f>
        <v/>
      </c>
      <c r="N186" s="3767" t="str">
        <f>IF(((COUNTIF($N$5:N81,"x"))-(COUNTIF($N$5:N80,"x")))=0,"",COUNTIF($N$5:N81,"x"))</f>
        <v/>
      </c>
      <c r="O186" s="3767" t="str">
        <f>IF(((COUNTIF($O$5:O81,"x"))-(COUNTIF($O$5:O80,"x")))=0,"",COUNTIF($O$5:O81,"x"))</f>
        <v/>
      </c>
      <c r="P186" s="3759" t="str">
        <f>IF(((COUNTIF($P$5:P81,"x"))-(COUNTIF($P$5:P80,"x")))=0,"",COUNTIF($P$5:P81,"x"))</f>
        <v/>
      </c>
      <c r="Q186" s="3767" t="str">
        <f>IF(((COUNTIF($Q$5:Q81,"x"))-(COUNTIF($Q$5:Q80,"x")))=0,"",COUNTIF($Q$5:Q81,"x"))</f>
        <v/>
      </c>
      <c r="R186" s="3767">
        <f>IF(((COUNTIF($R$5:R81,"x"))-(COUNTIF($R$5:R80,"x")))=0,"",COUNTIF($R$5:R81,"x"))</f>
        <v>14</v>
      </c>
      <c r="S186" s="3767" t="str">
        <f>IF(((COUNTIF($S$5:S81,"x"))-(COUNTIF($S$5:S80,"x")))=0,"",COUNTIF($S$5:S81,"x"))</f>
        <v/>
      </c>
      <c r="T186" s="3767" t="str">
        <f>IF(((COUNTIF($T$5:T81,"x"))-(COUNTIF($T$5:T80,"x")))=0,"",COUNTIF($T$5:T81,"x"))</f>
        <v/>
      </c>
      <c r="U186" s="3767" t="str">
        <f>IF(((COUNTIF($U$5:U81,"x"))-(COUNTIF($U$5:U80,"x")))=0,"",COUNTIF($U$5:U81,"x"))</f>
        <v/>
      </c>
      <c r="V186" s="3767" t="str">
        <f>IF(((COUNTIF($V$5:V81,"x"))-(COUNTIF($V$5:V80,"x")))=0,"",COUNTIF($V$5:V81,"x"))</f>
        <v/>
      </c>
      <c r="W186" s="3767" t="str">
        <f>IF(((COUNTIF($W$5:W81,"x"))-(COUNTIF($W$5:W80,"x")))=0,"",COUNTIF($W$5:W81,"x"))</f>
        <v/>
      </c>
      <c r="X186" s="3767" t="str">
        <f>IF(((COUNTIF($X$5:X81,"x"))-(COUNTIF($X$5:X80,"x")))=0,"",COUNTIF($X$5:X81,"x"))</f>
        <v/>
      </c>
      <c r="Y186" s="3767" t="str">
        <f>IF(((COUNTIF($Y$5:Y81,"x"))-(COUNTIF($Y$5:Y80,"x")))=0,"",COUNTIF($Y$5:Y81,"x"))</f>
        <v/>
      </c>
      <c r="Z186" s="3767" t="str">
        <f>IF(((COUNTIF($Z$5:Z81,"x"))-(COUNTIF($Z$5:Z80,"x")))=0,"",COUNTIF($Z$5:Z81,"x"))</f>
        <v/>
      </c>
      <c r="AA186" s="3767" t="str">
        <f>IF(((COUNTIF($AA$5:AA81,"x"))-(COUNTIF($AA$5:AA80,"x")))=0,"",COUNTIF($AA$5:AA81,"x"))</f>
        <v/>
      </c>
      <c r="AB186" s="3767" t="str">
        <f>IF(((COUNTIF($AB$5:AB81,"x"))-(COUNTIF($AB$5:AB80,"x")))=0,"",COUNTIF($AB$5:AB81,"x"))</f>
        <v/>
      </c>
      <c r="AC186" s="3767" t="str">
        <f>IF(((COUNTIF($AC$5:AC81,"x"))-(COUNTIF($AC$5:AC80,"x")))=0,"",COUNTIF($AC$5:AC81,"x"))</f>
        <v/>
      </c>
      <c r="AD186" s="3759">
        <f>IF(((COUNTIF($AD$5:AD81,"x"))-(COUNTIF($AD$5:AD80,"x")))=0,"",COUNTIF($AD$5:AD81,"x"))</f>
        <v>72</v>
      </c>
      <c r="AE186" s="3767" t="str">
        <f>IF(((COUNTIF($AE$5:AE81,"x"))-(COUNTIF($AE$5:AE80,"x")))=0,"",COUNTIF($AE$5:AE81,"x"))</f>
        <v/>
      </c>
      <c r="AF186" s="3768" t="str">
        <f>IF(((COUNTIF($AF$5:AF81,"x"))-(COUNTIF($AF$5:AF80,"x")))=0,"",COUNTIF($AF$5:AF81,"x"))</f>
        <v/>
      </c>
      <c r="AG186" s="2152" t="str">
        <f t="shared" si="18"/>
        <v>TRICHOGRAMMA</v>
      </c>
    </row>
    <row r="187" spans="2:33" ht="18">
      <c r="B187" s="2168">
        <f t="shared" si="19"/>
        <v>78</v>
      </c>
      <c r="C187" s="3764" t="str">
        <f t="shared" si="17"/>
        <v>Zypar</v>
      </c>
      <c r="D187" s="3765"/>
      <c r="E187" s="3769"/>
      <c r="F187" s="3758">
        <f>IF(((COUNTIF($F$5:$F82,"x"))-(COUNTIF($F$5:$F81,"x")))=0,"",COUNTIF($F$5:$F82,"x"))</f>
        <v>31</v>
      </c>
      <c r="G187" s="3759">
        <f>IF(((COUNTIF($G$5:$G82,"x"))-(COUNTIF($G$5:$G81,"x")))=0,"",COUNTIF($G$5:$G82,"x"))</f>
        <v>22</v>
      </c>
      <c r="H187" s="3759">
        <f>IF(((COUNTIF($H$5:$H82,"x"))-(COUNTIF($H$5:$H81,"x")))=0,"",COUNTIF($H$5:$H82,"x"))</f>
        <v>30</v>
      </c>
      <c r="I187" s="3759">
        <f>IF(((COUNTIF($I$5:I82,"x"))-(COUNTIF($I$5:I81,"x")))=0,"",COUNTIF($I$5:I82,"x"))</f>
        <v>28</v>
      </c>
      <c r="J187" s="3767">
        <f>IF(((COUNTIF($J$5:J82,"x"))-(COUNTIF($J$5:J81,"x")))=0,"",COUNTIF($J$5:J82,"x"))</f>
        <v>26</v>
      </c>
      <c r="K187" s="3767">
        <f>IF(((COUNTIF($K$5:K82,"x"))-(COUNTIF($K$5:K81,"x")))=0,"",COUNTIF($K$5:K82,"x"))</f>
        <v>22</v>
      </c>
      <c r="L187" s="3767">
        <f>IF(((COUNTIF($L$5:L82,"x"))-(COUNTIF($L$5:L81,"x")))=0,"",COUNTIF($L$5:L82,"x"))</f>
        <v>23</v>
      </c>
      <c r="M187" s="3767">
        <f>IF(((COUNTIF($M$5:M82,"x"))-(COUNTIF($M$5:M81,"x")))=0,"",COUNTIF($M$5:M82,"x"))</f>
        <v>23</v>
      </c>
      <c r="N187" s="3767" t="str">
        <f>IF(((COUNTIF($N$5:N82,"x"))-(COUNTIF($N$5:N81,"x")))=0,"",COUNTIF($N$5:N82,"x"))</f>
        <v/>
      </c>
      <c r="O187" s="3767">
        <f>IF(((COUNTIF($O$5:O82,"x"))-(COUNTIF($O$5:O81,"x")))=0,"",COUNTIF($O$5:O82,"x"))</f>
        <v>17</v>
      </c>
      <c r="P187" s="3759" t="str">
        <f>IF(((COUNTIF($P$5:P82,"x"))-(COUNTIF($P$5:P81,"x")))=0,"",COUNTIF($P$5:P82,"x"))</f>
        <v/>
      </c>
      <c r="Q187" s="3767" t="str">
        <f>IF(((COUNTIF($Q$5:Q82,"x"))-(COUNTIF($Q$5:Q81,"x")))=0,"",COUNTIF($Q$5:Q82,"x"))</f>
        <v/>
      </c>
      <c r="R187" s="3767" t="str">
        <f>IF(((COUNTIF($R$5:R82,"x"))-(COUNTIF($R$5:R81,"x")))=0,"",COUNTIF($R$5:R82,"x"))</f>
        <v/>
      </c>
      <c r="S187" s="3767" t="str">
        <f>IF(((COUNTIF($S$5:S82,"x"))-(COUNTIF($S$5:S81,"x")))=0,"",COUNTIF($S$5:S82,"x"))</f>
        <v/>
      </c>
      <c r="T187" s="3767" t="str">
        <f>IF(((COUNTIF($T$5:T82,"x"))-(COUNTIF($T$5:T81,"x")))=0,"",COUNTIF($T$5:T82,"x"))</f>
        <v/>
      </c>
      <c r="U187" s="3767" t="str">
        <f>IF(((COUNTIF($U$5:U82,"x"))-(COUNTIF($U$5:U81,"x")))=0,"",COUNTIF($U$5:U82,"x"))</f>
        <v/>
      </c>
      <c r="V187" s="3767" t="str">
        <f>IF(((COUNTIF($V$5:V82,"x"))-(COUNTIF($V$5:V81,"x")))=0,"",COUNTIF($V$5:V82,"x"))</f>
        <v/>
      </c>
      <c r="W187" s="3767" t="str">
        <f>IF(((COUNTIF($W$5:W82,"x"))-(COUNTIF($W$5:W81,"x")))=0,"",COUNTIF($W$5:W82,"x"))</f>
        <v/>
      </c>
      <c r="X187" s="3767" t="str">
        <f>IF(((COUNTIF($X$5:X82,"x"))-(COUNTIF($X$5:X81,"x")))=0,"",COUNTIF($X$5:X82,"x"))</f>
        <v/>
      </c>
      <c r="Y187" s="3767" t="str">
        <f>IF(((COUNTIF($Y$5:Y82,"x"))-(COUNTIF($Y$5:Y81,"x")))=0,"",COUNTIF($Y$5:Y82,"x"))</f>
        <v/>
      </c>
      <c r="Z187" s="3767" t="str">
        <f>IF(((COUNTIF($Z$5:Z82,"x"))-(COUNTIF($Z$5:Z81,"x")))=0,"",COUNTIF($Z$5:Z82,"x"))</f>
        <v/>
      </c>
      <c r="AA187" s="3767" t="str">
        <f>IF(((COUNTIF($AA$5:AA82,"x"))-(COUNTIF($AA$5:AA81,"x")))=0,"",COUNTIF($AA$5:AA82,"x"))</f>
        <v/>
      </c>
      <c r="AB187" s="3767" t="str">
        <f>IF(((COUNTIF($AB$5:AB82,"x"))-(COUNTIF($AB$5:AB81,"x")))=0,"",COUNTIF($AB$5:AB82,"x"))</f>
        <v/>
      </c>
      <c r="AC187" s="3767" t="str">
        <f>IF(((COUNTIF($AC$5:AC82,"x"))-(COUNTIF($AC$5:AC81,"x")))=0,"",COUNTIF($AC$5:AC82,"x"))</f>
        <v/>
      </c>
      <c r="AD187" s="3759">
        <f>IF(((COUNTIF($AD$5:AD82,"x"))-(COUNTIF($AD$5:AD81,"x")))=0,"",COUNTIF($AD$5:AD82,"x"))</f>
        <v>73</v>
      </c>
      <c r="AE187" s="3767" t="str">
        <f>IF(((COUNTIF($AE$5:AE82,"x"))-(COUNTIF($AE$5:AE81,"x")))=0,"",COUNTIF($AE$5:AE82,"x"))</f>
        <v/>
      </c>
      <c r="AF187" s="3768" t="str">
        <f>IF(((COUNTIF($AF$5:AF82,"x"))-(COUNTIF($AF$5:AF81,"x")))=0,"",COUNTIF($AF$5:AF82,"x"))</f>
        <v/>
      </c>
      <c r="AG187" s="2152" t="str">
        <f t="shared" si="18"/>
        <v>Zypar</v>
      </c>
    </row>
    <row r="188" spans="2:33" ht="18">
      <c r="B188" s="2168">
        <f t="shared" si="19"/>
        <v>79</v>
      </c>
      <c r="C188" s="3764" t="str">
        <f t="shared" si="17"/>
        <v>Spectrum</v>
      </c>
      <c r="D188" s="3765"/>
      <c r="E188" s="3769"/>
      <c r="F188" s="3758" t="str">
        <f>IF(((COUNTIF($F$5:$F83,"x"))-(COUNTIF($F$5:$F82,"x")))=0,"",COUNTIF($F$5:$F83,"x"))</f>
        <v/>
      </c>
      <c r="G188" s="3759" t="str">
        <f>IF(((COUNTIF($G$5:$G83,"x"))-(COUNTIF($G$5:$G82,"x")))=0,"",COUNTIF($G$5:$G83,"x"))</f>
        <v/>
      </c>
      <c r="H188" s="3759" t="str">
        <f>IF(((COUNTIF($H$5:$H83,"x"))-(COUNTIF($H$5:$H82,"x")))=0,"",COUNTIF($H$5:$H83,"x"))</f>
        <v/>
      </c>
      <c r="I188" s="3759" t="str">
        <f>IF(((COUNTIF($I$5:I83,"x"))-(COUNTIF($I$5:I82,"x")))=0,"",COUNTIF($I$5:I83,"x"))</f>
        <v/>
      </c>
      <c r="J188" s="3767" t="str">
        <f>IF(((COUNTIF($J$5:J83,"x"))-(COUNTIF($J$5:J82,"x")))=0,"",COUNTIF($J$5:J83,"x"))</f>
        <v/>
      </c>
      <c r="K188" s="3767" t="str">
        <f>IF(((COUNTIF($K$5:K83,"x"))-(COUNTIF($K$5:K82,"x")))=0,"",COUNTIF($K$5:K83,"x"))</f>
        <v/>
      </c>
      <c r="L188" s="3767" t="str">
        <f>IF(((COUNTIF($L$5:L83,"x"))-(COUNTIF($L$5:L82,"x")))=0,"",COUNTIF($L$5:L83,"x"))</f>
        <v/>
      </c>
      <c r="M188" s="3767" t="str">
        <f>IF(((COUNTIF($M$5:M83,"x"))-(COUNTIF($M$5:M82,"x")))=0,"",COUNTIF($M$5:M83,"x"))</f>
        <v/>
      </c>
      <c r="N188" s="3767" t="str">
        <f>IF(((COUNTIF($N$5:N83,"x"))-(COUNTIF($N$5:N82,"x")))=0,"",COUNTIF($N$5:N83,"x"))</f>
        <v/>
      </c>
      <c r="O188" s="3767" t="str">
        <f>IF(((COUNTIF($O$5:O83,"x"))-(COUNTIF($O$5:O82,"x")))=0,"",COUNTIF($O$5:O83,"x"))</f>
        <v/>
      </c>
      <c r="P188" s="3759">
        <f>IF(((COUNTIF($P$5:P83,"x"))-(COUNTIF($P$5:P82,"x")))=0,"",COUNTIF($P$5:P83,"x"))</f>
        <v>13</v>
      </c>
      <c r="Q188" s="3767">
        <f>IF(((COUNTIF($Q$5:Q83,"x"))-(COUNTIF($Q$5:Q82,"x")))=0,"",COUNTIF($Q$5:Q83,"x"))</f>
        <v>4</v>
      </c>
      <c r="R188" s="3767">
        <f>IF(((COUNTIF($R$5:R83,"x"))-(COUNTIF($R$5:R82,"x")))=0,"",COUNTIF($R$5:R83,"x"))</f>
        <v>15</v>
      </c>
      <c r="S188" s="3767" t="str">
        <f>IF(((COUNTIF($S$5:S83,"x"))-(COUNTIF($S$5:S82,"x")))=0,"",COUNTIF($S$5:S83,"x"))</f>
        <v/>
      </c>
      <c r="T188" s="3767" t="str">
        <f>IF(((COUNTIF($T$5:T83,"x"))-(COUNTIF($T$5:T82,"x")))=0,"",COUNTIF($T$5:T83,"x"))</f>
        <v/>
      </c>
      <c r="U188" s="3767" t="str">
        <f>IF(((COUNTIF($U$5:U83,"x"))-(COUNTIF($U$5:U82,"x")))=0,"",COUNTIF($U$5:U83,"x"))</f>
        <v/>
      </c>
      <c r="V188" s="3767">
        <f>IF(((COUNTIF($V$5:V83,"x"))-(COUNTIF($V$5:V82,"x")))=0,"",COUNTIF($V$5:V83,"x"))</f>
        <v>10</v>
      </c>
      <c r="W188" s="3767" t="str">
        <f>IF(((COUNTIF($W$5:W83,"x"))-(COUNTIF($W$5:W82,"x")))=0,"",COUNTIF($W$5:W83,"x"))</f>
        <v/>
      </c>
      <c r="X188" s="3767" t="str">
        <f>IF(((COUNTIF($X$5:X83,"x"))-(COUNTIF($X$5:X82,"x")))=0,"",COUNTIF($X$5:X83,"x"))</f>
        <v/>
      </c>
      <c r="Y188" s="3767" t="str">
        <f>IF(((COUNTIF($Y$5:Y83,"x"))-(COUNTIF($Y$5:Y82,"x")))=0,"",COUNTIF($Y$5:Y83,"x"))</f>
        <v/>
      </c>
      <c r="Z188" s="3767" t="str">
        <f>IF(((COUNTIF($Z$5:Z83,"x"))-(COUNTIF($Z$5:Z82,"x")))=0,"",COUNTIF($Z$5:Z83,"x"))</f>
        <v/>
      </c>
      <c r="AA188" s="3767">
        <f>IF(((COUNTIF($AA$5:AA83,"x"))-(COUNTIF($AA$5:AA82,"x")))=0,"",COUNTIF($AA$5:AA83,"x"))</f>
        <v>12</v>
      </c>
      <c r="AB188" s="3767">
        <f>IF(((COUNTIF($AB$5:AB83,"x"))-(COUNTIF($AB$5:AB82,"x")))=0,"",COUNTIF($AB$5:AB83,"x"))</f>
        <v>18</v>
      </c>
      <c r="AC188" s="3767" t="str">
        <f>IF(((COUNTIF($AC$5:AC83,"x"))-(COUNTIF($AC$5:AC82,"x")))=0,"",COUNTIF($AC$5:AC83,"x"))</f>
        <v/>
      </c>
      <c r="AD188" s="3759">
        <f>IF(((COUNTIF($AD$5:AD83,"x"))-(COUNTIF($AD$5:AD82,"x")))=0,"",COUNTIF($AD$5:AD83,"x"))</f>
        <v>74</v>
      </c>
      <c r="AE188" s="3767" t="str">
        <f>IF(((COUNTIF($AE$5:AE83,"x"))-(COUNTIF($AE$5:AE82,"x")))=0,"",COUNTIF($AE$5:AE83,"x"))</f>
        <v/>
      </c>
      <c r="AF188" s="3768" t="str">
        <f>IF(((COUNTIF($AF$5:AF83,"x"))-(COUNTIF($AF$5:AF82,"x")))=0,"",COUNTIF($AF$5:AF83,"x"))</f>
        <v/>
      </c>
      <c r="AG188" s="2152" t="str">
        <f t="shared" si="18"/>
        <v>Spectrum</v>
      </c>
    </row>
    <row r="189" spans="2:33" ht="18">
      <c r="B189" s="2168">
        <f t="shared" si="19"/>
        <v>80</v>
      </c>
      <c r="C189" s="3764">
        <f t="shared" si="17"/>
        <v>0</v>
      </c>
      <c r="D189" s="3765"/>
      <c r="E189" s="3769"/>
      <c r="F189" s="3758" t="str">
        <f>IF(((COUNTIF($F$5:$F84,"x"))-(COUNTIF($F$5:$F83,"x")))=0,"",COUNTIF($F$5:$F84,"x"))</f>
        <v/>
      </c>
      <c r="G189" s="3759" t="str">
        <f>IF(((COUNTIF($G$5:$G84,"x"))-(COUNTIF($G$5:$G83,"x")))=0,"",COUNTIF($G$5:$G84,"x"))</f>
        <v/>
      </c>
      <c r="H189" s="3759" t="str">
        <f>IF(((COUNTIF($H$5:$H84,"x"))-(COUNTIF($H$5:$H83,"x")))=0,"",COUNTIF($H$5:$H84,"x"))</f>
        <v/>
      </c>
      <c r="I189" s="3759" t="str">
        <f>IF(((COUNTIF($I$5:I84,"x"))-(COUNTIF($I$5:I83,"x")))=0,"",COUNTIF($I$5:I84,"x"))</f>
        <v/>
      </c>
      <c r="J189" s="3767" t="str">
        <f>IF(((COUNTIF($J$5:J84,"x"))-(COUNTIF($J$5:J83,"x")))=0,"",COUNTIF($J$5:J84,"x"))</f>
        <v/>
      </c>
      <c r="K189" s="3767" t="str">
        <f>IF(((COUNTIF($K$5:K84,"x"))-(COUNTIF($K$5:K83,"x")))=0,"",COUNTIF($K$5:K84,"x"))</f>
        <v/>
      </c>
      <c r="L189" s="3767" t="str">
        <f>IF(((COUNTIF($L$5:L84,"x"))-(COUNTIF($L$5:L83,"x")))=0,"",COUNTIF($L$5:L84,"x"))</f>
        <v/>
      </c>
      <c r="M189" s="3767" t="str">
        <f>IF(((COUNTIF($M$5:M84,"x"))-(COUNTIF($M$5:M83,"x")))=0,"",COUNTIF($M$5:M84,"x"))</f>
        <v/>
      </c>
      <c r="N189" s="3767" t="str">
        <f>IF(((COUNTIF($N$5:N84,"x"))-(COUNTIF($N$5:N83,"x")))=0,"",COUNTIF($N$5:N84,"x"))</f>
        <v/>
      </c>
      <c r="O189" s="3767" t="str">
        <f>IF(((COUNTIF($O$5:O84,"x"))-(COUNTIF($O$5:O83,"x")))=0,"",COUNTIF($O$5:O84,"x"))</f>
        <v/>
      </c>
      <c r="P189" s="3759">
        <f>IF(((COUNTIF($P$5:P84,"x"))-(COUNTIF($P$5:P83,"x")))=0,"",COUNTIF($P$5:P84,"x"))</f>
        <v>14</v>
      </c>
      <c r="Q189" s="3767" t="str">
        <f>IF(((COUNTIF($Q$5:Q84,"x"))-(COUNTIF($Q$5:Q83,"x")))=0,"",COUNTIF($Q$5:Q84,"x"))</f>
        <v/>
      </c>
      <c r="R189" s="3767" t="str">
        <f>IF(((COUNTIF($R$5:R84,"x"))-(COUNTIF($R$5:R83,"x")))=0,"",COUNTIF($R$5:R84,"x"))</f>
        <v/>
      </c>
      <c r="S189" s="3767" t="str">
        <f>IF(((COUNTIF($S$5:S84,"x"))-(COUNTIF($S$5:S83,"x")))=0,"",COUNTIF($S$5:S84,"x"))</f>
        <v/>
      </c>
      <c r="T189" s="3767" t="str">
        <f>IF(((COUNTIF($T$5:T84,"x"))-(COUNTIF($T$5:T83,"x")))=0,"",COUNTIF($T$5:T84,"x"))</f>
        <v/>
      </c>
      <c r="U189" s="3767" t="str">
        <f>IF(((COUNTIF($U$5:U84,"x"))-(COUNTIF($U$5:U83,"x")))=0,"",COUNTIF($U$5:U84,"x"))</f>
        <v/>
      </c>
      <c r="V189" s="3767" t="str">
        <f>IF(((COUNTIF($V$5:V84,"x"))-(COUNTIF($V$5:V83,"x")))=0,"",COUNTIF($V$5:V84,"x"))</f>
        <v/>
      </c>
      <c r="W189" s="3767" t="str">
        <f>IF(((COUNTIF($W$5:W84,"x"))-(COUNTIF($W$5:W83,"x")))=0,"",COUNTIF($W$5:W84,"x"))</f>
        <v/>
      </c>
      <c r="X189" s="3767" t="str">
        <f>IF(((COUNTIF($X$5:X84,"x"))-(COUNTIF($X$5:X83,"x")))=0,"",COUNTIF($X$5:X84,"x"))</f>
        <v/>
      </c>
      <c r="Y189" s="3767" t="str">
        <f>IF(((COUNTIF($Y$5:Y84,"x"))-(COUNTIF($Y$5:Y83,"x")))=0,"",COUNTIF($Y$5:Y84,"x"))</f>
        <v/>
      </c>
      <c r="Z189" s="3767" t="str">
        <f>IF(((COUNTIF($Z$5:Z84,"x"))-(COUNTIF($Z$5:Z83,"x")))=0,"",COUNTIF($Z$5:Z84,"x"))</f>
        <v/>
      </c>
      <c r="AA189" s="3767" t="str">
        <f>IF(((COUNTIF($AA$5:AA84,"x"))-(COUNTIF($AA$5:AA83,"x")))=0,"",COUNTIF($AA$5:AA84,"x"))</f>
        <v/>
      </c>
      <c r="AB189" s="3767" t="str">
        <f>IF(((COUNTIF($AB$5:AB84,"x"))-(COUNTIF($AB$5:AB83,"x")))=0,"",COUNTIF($AB$5:AB84,"x"))</f>
        <v/>
      </c>
      <c r="AC189" s="3767" t="str">
        <f>IF(((COUNTIF($AC$5:AC84,"x"))-(COUNTIF($AC$5:AC83,"x")))=0,"",COUNTIF($AC$5:AC84,"x"))</f>
        <v/>
      </c>
      <c r="AD189" s="3759" t="str">
        <f>IF(((COUNTIF($AD$5:AD84,"x"))-(COUNTIF($AD$5:AD83,"x")))=0,"",COUNTIF($AD$5:AD84,"x"))</f>
        <v/>
      </c>
      <c r="AE189" s="3767" t="str">
        <f>IF(((COUNTIF($AE$5:AE84,"x"))-(COUNTIF($AE$5:AE83,"x")))=0,"",COUNTIF($AE$5:AE84,"x"))</f>
        <v/>
      </c>
      <c r="AF189" s="3768" t="str">
        <f>IF(((COUNTIF($AF$5:AF84,"x"))-(COUNTIF($AF$5:AF83,"x")))=0,"",COUNTIF($AF$5:AF84,"x"))</f>
        <v/>
      </c>
      <c r="AG189" s="2152">
        <f t="shared" si="18"/>
        <v>0</v>
      </c>
    </row>
    <row r="190" spans="2:33" ht="18">
      <c r="B190" s="2168">
        <f t="shared" si="19"/>
        <v>81</v>
      </c>
      <c r="C190" s="3764" t="str">
        <f t="shared" si="17"/>
        <v>Univoq</v>
      </c>
      <c r="D190" s="3765"/>
      <c r="E190" s="3769"/>
      <c r="F190" s="3758">
        <f>IF(((COUNTIF($F$5:$F85,"x"))-(COUNTIF($F$5:$F84,"x")))=0,"",COUNTIF($F$5:$F85,"x"))</f>
        <v>32</v>
      </c>
      <c r="G190" s="3759">
        <f>IF(((COUNTIF($G$5:$G85,"x"))-(COUNTIF($G$5:$G84,"x")))=0,"",COUNTIF($G$5:$G85,"x"))</f>
        <v>23</v>
      </c>
      <c r="H190" s="3759">
        <f>IF(((COUNTIF($H$5:$H85,"x"))-(COUNTIF($H$5:$H84,"x")))=0,"",COUNTIF($H$5:$H85,"x"))</f>
        <v>31</v>
      </c>
      <c r="I190" s="3759">
        <f>IF(((COUNTIF($I$5:I85,"x"))-(COUNTIF($I$5:I84,"x")))=0,"",COUNTIF($I$5:I85,"x"))</f>
        <v>29</v>
      </c>
      <c r="J190" s="3767" t="str">
        <f>IF(((COUNTIF($J$5:J85,"x"))-(COUNTIF($J$5:J84,"x")))=0,"",COUNTIF($J$5:J85,"x"))</f>
        <v/>
      </c>
      <c r="K190" s="3767">
        <f>IF(((COUNTIF($K$5:K85,"x"))-(COUNTIF($K$5:K84,"x")))=0,"",COUNTIF($K$5:K85,"x"))</f>
        <v>23</v>
      </c>
      <c r="L190" s="3767" t="str">
        <f>IF(((COUNTIF($L$5:L85,"x"))-(COUNTIF($L$5:L84,"x")))=0,"",COUNTIF($L$5:L85,"x"))</f>
        <v/>
      </c>
      <c r="M190" s="3767" t="str">
        <f>IF(((COUNTIF($M$5:M85,"x"))-(COUNTIF($M$5:M84,"x")))=0,"",COUNTIF($M$5:M85,"x"))</f>
        <v/>
      </c>
      <c r="N190" s="3767" t="str">
        <f>IF(((COUNTIF($N$5:N85,"x"))-(COUNTIF($N$5:N84,"x")))=0,"",COUNTIF($N$5:N85,"x"))</f>
        <v/>
      </c>
      <c r="O190" s="3767" t="str">
        <f>IF(((COUNTIF($O$5:O85,"x"))-(COUNTIF($O$5:O84,"x")))=0,"",COUNTIF($O$5:O85,"x"))</f>
        <v/>
      </c>
      <c r="P190" s="3759">
        <f>IF(((COUNTIF($P$5:P85,"x"))-(COUNTIF($P$5:P84,"x")))=0,"",COUNTIF($P$5:P85,"x"))</f>
        <v>15</v>
      </c>
      <c r="Q190" s="3767" t="str">
        <f>IF(((COUNTIF($Q$5:Q85,"x"))-(COUNTIF($Q$5:Q84,"x")))=0,"",COUNTIF($Q$5:Q85,"x"))</f>
        <v/>
      </c>
      <c r="R190" s="3767" t="str">
        <f>IF(((COUNTIF($R$5:R85,"x"))-(COUNTIF($R$5:R84,"x")))=0,"",COUNTIF($R$5:R85,"x"))</f>
        <v/>
      </c>
      <c r="S190" s="3767" t="str">
        <f>IF(((COUNTIF($S$5:S85,"x"))-(COUNTIF($S$5:S84,"x")))=0,"",COUNTIF($S$5:S85,"x"))</f>
        <v/>
      </c>
      <c r="T190" s="3767" t="str">
        <f>IF(((COUNTIF($T$5:T85,"x"))-(COUNTIF($T$5:T84,"x")))=0,"",COUNTIF($T$5:T85,"x"))</f>
        <v/>
      </c>
      <c r="U190" s="3767" t="str">
        <f>IF(((COUNTIF($U$5:U85,"x"))-(COUNTIF($U$5:U84,"x")))=0,"",COUNTIF($U$5:U85,"x"))</f>
        <v/>
      </c>
      <c r="V190" s="3767" t="str">
        <f>IF(((COUNTIF($V$5:V85,"x"))-(COUNTIF($V$5:V84,"x")))=0,"",COUNTIF($V$5:V85,"x"))</f>
        <v/>
      </c>
      <c r="W190" s="3767" t="str">
        <f>IF(((COUNTIF($W$5:W85,"x"))-(COUNTIF($W$5:W84,"x")))=0,"",COUNTIF($W$5:W85,"x"))</f>
        <v/>
      </c>
      <c r="X190" s="3767" t="str">
        <f>IF(((COUNTIF($X$5:X85,"x"))-(COUNTIF($X$5:X84,"x")))=0,"",COUNTIF($X$5:X85,"x"))</f>
        <v/>
      </c>
      <c r="Y190" s="3767" t="str">
        <f>IF(((COUNTIF($Y$5:Y85,"x"))-(COUNTIF($Y$5:Y84,"x")))=0,"",COUNTIF($Y$5:Y85,"x"))</f>
        <v/>
      </c>
      <c r="Z190" s="3767" t="str">
        <f>IF(((COUNTIF($Z$5:Z85,"x"))-(COUNTIF($Z$5:Z84,"x")))=0,"",COUNTIF($Z$5:Z85,"x"))</f>
        <v/>
      </c>
      <c r="AA190" s="3767" t="str">
        <f>IF(((COUNTIF($AA$5:AA85,"x"))-(COUNTIF($AA$5:AA84,"x")))=0,"",COUNTIF($AA$5:AA85,"x"))</f>
        <v/>
      </c>
      <c r="AB190" s="3767" t="str">
        <f>IF(((COUNTIF($AB$5:AB85,"x"))-(COUNTIF($AB$5:AB84,"x")))=0,"",COUNTIF($AB$5:AB85,"x"))</f>
        <v/>
      </c>
      <c r="AC190" s="3767" t="str">
        <f>IF(((COUNTIF($AC$5:AC85,"x"))-(COUNTIF($AC$5:AC84,"x")))=0,"",COUNTIF($AC$5:AC85,"x"))</f>
        <v/>
      </c>
      <c r="AD190" s="3759">
        <f>IF(((COUNTIF($AD$5:AD85,"x"))-(COUNTIF($AD$5:AD84,"x")))=0,"",COUNTIF($AD$5:AD85,"x"))</f>
        <v>75</v>
      </c>
      <c r="AE190" s="3767" t="str">
        <f>IF(((COUNTIF($AE$5:AE85,"x"))-(COUNTIF($AE$5:AE84,"x")))=0,"",COUNTIF($AE$5:AE85,"x"))</f>
        <v/>
      </c>
      <c r="AF190" s="3768" t="str">
        <f>IF(((COUNTIF($AF$5:AF85,"x"))-(COUNTIF($AF$5:AF84,"x")))=0,"",COUNTIF($AF$5:AF85,"x"))</f>
        <v/>
      </c>
      <c r="AG190" s="2152" t="str">
        <f t="shared" si="18"/>
        <v>Univoq</v>
      </c>
    </row>
    <row r="191" spans="2:33" ht="18">
      <c r="B191" s="2168">
        <f t="shared" si="19"/>
        <v>82</v>
      </c>
      <c r="C191" s="3764">
        <f t="shared" si="17"/>
        <v>0</v>
      </c>
      <c r="D191" s="3765"/>
      <c r="E191" s="3769"/>
      <c r="F191" s="3758" t="str">
        <f>IF(((COUNTIF($F$5:$F86,"x"))-(COUNTIF($F$5:$F85,"x")))=0,"",COUNTIF($F$5:$F86,"x"))</f>
        <v/>
      </c>
      <c r="G191" s="3759" t="str">
        <f>IF(((COUNTIF($G$5:$G86,"x"))-(COUNTIF($G$5:$G85,"x")))=0,"",COUNTIF($G$5:$G86,"x"))</f>
        <v/>
      </c>
      <c r="H191" s="3759" t="str">
        <f>IF(((COUNTIF($H$5:$H86,"x"))-(COUNTIF($H$5:$H85,"x")))=0,"",COUNTIF($H$5:$H86,"x"))</f>
        <v/>
      </c>
      <c r="I191" s="3759" t="str">
        <f>IF(((COUNTIF($I$5:I86,"x"))-(COUNTIF($I$5:I85,"x")))=0,"",COUNTIF($I$5:I86,"x"))</f>
        <v/>
      </c>
      <c r="J191" s="3767" t="str">
        <f>IF(((COUNTIF($J$5:J86,"x"))-(COUNTIF($J$5:J85,"x")))=0,"",COUNTIF($J$5:J86,"x"))</f>
        <v/>
      </c>
      <c r="K191" s="3767" t="str">
        <f>IF(((COUNTIF($K$5:K86,"x"))-(COUNTIF($K$5:K85,"x")))=0,"",COUNTIF($K$5:K86,"x"))</f>
        <v/>
      </c>
      <c r="L191" s="3767" t="str">
        <f>IF(((COUNTIF($L$5:L86,"x"))-(COUNTIF($L$5:L85,"x")))=0,"",COUNTIF($L$5:L86,"x"))</f>
        <v/>
      </c>
      <c r="M191" s="3767" t="str">
        <f>IF(((COUNTIF($M$5:M86,"x"))-(COUNTIF($M$5:M85,"x")))=0,"",COUNTIF($M$5:M86,"x"))</f>
        <v/>
      </c>
      <c r="N191" s="3767" t="str">
        <f>IF(((COUNTIF($N$5:N86,"x"))-(COUNTIF($N$5:N85,"x")))=0,"",COUNTIF($N$5:N86,"x"))</f>
        <v/>
      </c>
      <c r="O191" s="3767" t="str">
        <f>IF(((COUNTIF($O$5:O86,"x"))-(COUNTIF($O$5:O85,"x")))=0,"",COUNTIF($O$5:O86,"x"))</f>
        <v/>
      </c>
      <c r="P191" s="3759" t="str">
        <f>IF(((COUNTIF($P$5:P86,"x"))-(COUNTIF($P$5:P85,"x")))=0,"",COUNTIF($P$5:P86,"x"))</f>
        <v/>
      </c>
      <c r="Q191" s="3767" t="str">
        <f>IF(((COUNTIF($Q$5:Q86,"x"))-(COUNTIF($Q$5:Q85,"x")))=0,"",COUNTIF($Q$5:Q86,"x"))</f>
        <v/>
      </c>
      <c r="R191" s="3767" t="str">
        <f>IF(((COUNTIF($R$5:R86,"x"))-(COUNTIF($R$5:R85,"x")))=0,"",COUNTIF($R$5:R86,"x"))</f>
        <v/>
      </c>
      <c r="S191" s="3767" t="str">
        <f>IF(((COUNTIF($S$5:S86,"x"))-(COUNTIF($S$5:S85,"x")))=0,"",COUNTIF($S$5:S86,"x"))</f>
        <v/>
      </c>
      <c r="T191" s="3767" t="str">
        <f>IF(((COUNTIF($T$5:T86,"x"))-(COUNTIF($T$5:T85,"x")))=0,"",COUNTIF($T$5:T86,"x"))</f>
        <v/>
      </c>
      <c r="U191" s="3767" t="str">
        <f>IF(((COUNTIF($U$5:U86,"x"))-(COUNTIF($U$5:U85,"x")))=0,"",COUNTIF($U$5:U86,"x"))</f>
        <v/>
      </c>
      <c r="V191" s="3767" t="str">
        <f>IF(((COUNTIF($V$5:V86,"x"))-(COUNTIF($V$5:V85,"x")))=0,"",COUNTIF($V$5:V86,"x"))</f>
        <v/>
      </c>
      <c r="W191" s="3767" t="str">
        <f>IF(((COUNTIF($W$5:W86,"x"))-(COUNTIF($W$5:W85,"x")))=0,"",COUNTIF($W$5:W86,"x"))</f>
        <v/>
      </c>
      <c r="X191" s="3767" t="str">
        <f>IF(((COUNTIF($X$5:X86,"x"))-(COUNTIF($X$5:X85,"x")))=0,"",COUNTIF($X$5:X86,"x"))</f>
        <v/>
      </c>
      <c r="Y191" s="3767" t="str">
        <f>IF(((COUNTIF($Y$5:Y86,"x"))-(COUNTIF($Y$5:Y85,"x")))=0,"",COUNTIF($Y$5:Y86,"x"))</f>
        <v/>
      </c>
      <c r="Z191" s="3767" t="str">
        <f>IF(((COUNTIF($Z$5:Z86,"x"))-(COUNTIF($Z$5:Z85,"x")))=0,"",COUNTIF($Z$5:Z86,"x"))</f>
        <v/>
      </c>
      <c r="AA191" s="3767" t="str">
        <f>IF(((COUNTIF($AA$5:AA86,"x"))-(COUNTIF($AA$5:AA85,"x")))=0,"",COUNTIF($AA$5:AA86,"x"))</f>
        <v/>
      </c>
      <c r="AB191" s="3767" t="str">
        <f>IF(((COUNTIF($AB$5:AB86,"x"))-(COUNTIF($AB$5:AB85,"x")))=0,"",COUNTIF($AB$5:AB86,"x"))</f>
        <v/>
      </c>
      <c r="AC191" s="3767" t="str">
        <f>IF(((COUNTIF($AC$5:AC86,"x"))-(COUNTIF($AC$5:AC85,"x")))=0,"",COUNTIF($AC$5:AC86,"x"))</f>
        <v/>
      </c>
      <c r="AD191" s="3759">
        <f>IF(((COUNTIF($AD$5:AD86,"x"))-(COUNTIF($AD$5:AD85,"x")))=0,"",COUNTIF($AD$5:AD86,"x"))</f>
        <v>76</v>
      </c>
      <c r="AE191" s="3767" t="str">
        <f>IF(((COUNTIF($AE$5:AE86,"x"))-(COUNTIF($AE$5:AE85,"x")))=0,"",COUNTIF($AE$5:AE86,"x"))</f>
        <v/>
      </c>
      <c r="AF191" s="3768" t="str">
        <f>IF(((COUNTIF($AF$5:AF86,"x"))-(COUNTIF($AF$5:AF85,"x")))=0,"",COUNTIF($AF$5:AF86,"x"))</f>
        <v/>
      </c>
      <c r="AG191" s="2152">
        <f t="shared" si="18"/>
        <v>0</v>
      </c>
    </row>
    <row r="192" spans="2:33" ht="18">
      <c r="B192" s="2168">
        <f t="shared" si="19"/>
        <v>83</v>
      </c>
      <c r="C192" s="3764">
        <f t="shared" si="17"/>
        <v>0</v>
      </c>
      <c r="D192" s="3765"/>
      <c r="E192" s="3769"/>
      <c r="F192" s="3758" t="str">
        <f>IF(((COUNTIF($F$5:$F87,"x"))-(COUNTIF($F$5:$F86,"x")))=0,"",COUNTIF($F$5:$F87,"x"))</f>
        <v/>
      </c>
      <c r="G192" s="3759" t="str">
        <f>IF(((COUNTIF($G$5:$G87,"x"))-(COUNTIF($G$5:$G86,"x")))=0,"",COUNTIF($G$5:$G87,"x"))</f>
        <v/>
      </c>
      <c r="H192" s="3759" t="str">
        <f>IF(((COUNTIF($H$5:$H87,"x"))-(COUNTIF($H$5:$H86,"x")))=0,"",COUNTIF($H$5:$H87,"x"))</f>
        <v/>
      </c>
      <c r="I192" s="3759" t="str">
        <f>IF(((COUNTIF($I$5:I87,"x"))-(COUNTIF($I$5:I86,"x")))=0,"",COUNTIF($I$5:I87,"x"))</f>
        <v/>
      </c>
      <c r="J192" s="3767" t="str">
        <f>IF(((COUNTIF($J$5:J87,"x"))-(COUNTIF($J$5:J86,"x")))=0,"",COUNTIF($J$5:J87,"x"))</f>
        <v/>
      </c>
      <c r="K192" s="3767" t="str">
        <f>IF(((COUNTIF($K$5:K87,"x"))-(COUNTIF($K$5:K86,"x")))=0,"",COUNTIF($K$5:K87,"x"))</f>
        <v/>
      </c>
      <c r="L192" s="3767" t="str">
        <f>IF(((COUNTIF($L$5:L87,"x"))-(COUNTIF($L$5:L86,"x")))=0,"",COUNTIF($L$5:L87,"x"))</f>
        <v/>
      </c>
      <c r="M192" s="3767" t="str">
        <f>IF(((COUNTIF($M$5:M87,"x"))-(COUNTIF($M$5:M86,"x")))=0,"",COUNTIF($M$5:M87,"x"))</f>
        <v/>
      </c>
      <c r="N192" s="3767" t="str">
        <f>IF(((COUNTIF($N$5:N87,"x"))-(COUNTIF($N$5:N86,"x")))=0,"",COUNTIF($N$5:N87,"x"))</f>
        <v/>
      </c>
      <c r="O192" s="3767" t="str">
        <f>IF(((COUNTIF($O$5:O87,"x"))-(COUNTIF($O$5:O86,"x")))=0,"",COUNTIF($O$5:O87,"x"))</f>
        <v/>
      </c>
      <c r="P192" s="3759" t="str">
        <f>IF(((COUNTIF($P$5:P87,"x"))-(COUNTIF($P$5:P86,"x")))=0,"",COUNTIF($P$5:P87,"x"))</f>
        <v/>
      </c>
      <c r="Q192" s="3767" t="str">
        <f>IF(((COUNTIF($Q$5:Q87,"x"))-(COUNTIF($Q$5:Q86,"x")))=0,"",COUNTIF($Q$5:Q87,"x"))</f>
        <v/>
      </c>
      <c r="R192" s="3767" t="str">
        <f>IF(((COUNTIF($R$5:R87,"x"))-(COUNTIF($R$5:R86,"x")))=0,"",COUNTIF($R$5:R87,"x"))</f>
        <v/>
      </c>
      <c r="S192" s="3767" t="str">
        <f>IF(((COUNTIF($S$5:S87,"x"))-(COUNTIF($S$5:S86,"x")))=0,"",COUNTIF($S$5:S87,"x"))</f>
        <v/>
      </c>
      <c r="T192" s="3767" t="str">
        <f>IF(((COUNTIF($T$5:T87,"x"))-(COUNTIF($T$5:T86,"x")))=0,"",COUNTIF($T$5:T87,"x"))</f>
        <v/>
      </c>
      <c r="U192" s="3767" t="str">
        <f>IF(((COUNTIF($U$5:U87,"x"))-(COUNTIF($U$5:U86,"x")))=0,"",COUNTIF($U$5:U87,"x"))</f>
        <v/>
      </c>
      <c r="V192" s="3767" t="str">
        <f>IF(((COUNTIF($V$5:V87,"x"))-(COUNTIF($V$5:V86,"x")))=0,"",COUNTIF($V$5:V87,"x"))</f>
        <v/>
      </c>
      <c r="W192" s="3767" t="str">
        <f>IF(((COUNTIF($W$5:W87,"x"))-(COUNTIF($W$5:W86,"x")))=0,"",COUNTIF($W$5:W87,"x"))</f>
        <v/>
      </c>
      <c r="X192" s="3767" t="str">
        <f>IF(((COUNTIF($X$5:X87,"x"))-(COUNTIF($X$5:X86,"x")))=0,"",COUNTIF($X$5:X87,"x"))</f>
        <v/>
      </c>
      <c r="Y192" s="3767" t="str">
        <f>IF(((COUNTIF($Y$5:Y87,"x"))-(COUNTIF($Y$5:Y86,"x")))=0,"",COUNTIF($Y$5:Y87,"x"))</f>
        <v/>
      </c>
      <c r="Z192" s="3767" t="str">
        <f>IF(((COUNTIF($Z$5:Z87,"x"))-(COUNTIF($Z$5:Z86,"x")))=0,"",COUNTIF($Z$5:Z87,"x"))</f>
        <v/>
      </c>
      <c r="AA192" s="3767" t="str">
        <f>IF(((COUNTIF($AA$5:AA87,"x"))-(COUNTIF($AA$5:AA86,"x")))=0,"",COUNTIF($AA$5:AA87,"x"))</f>
        <v/>
      </c>
      <c r="AB192" s="3767" t="str">
        <f>IF(((COUNTIF($AB$5:AB87,"x"))-(COUNTIF($AB$5:AB86,"x")))=0,"",COUNTIF($AB$5:AB87,"x"))</f>
        <v/>
      </c>
      <c r="AC192" s="3767" t="str">
        <f>IF(((COUNTIF($AC$5:AC87,"x"))-(COUNTIF($AC$5:AC86,"x")))=0,"",COUNTIF($AC$5:AC87,"x"))</f>
        <v/>
      </c>
      <c r="AD192" s="3759">
        <f>IF(((COUNTIF($AD$5:AD87,"x"))-(COUNTIF($AD$5:AD86,"x")))=0,"",COUNTIF($AD$5:AD87,"x"))</f>
        <v>77</v>
      </c>
      <c r="AE192" s="3767" t="str">
        <f>IF(((COUNTIF($AE$5:AE87,"x"))-(COUNTIF($AE$5:AE86,"x")))=0,"",COUNTIF($AE$5:AE87,"x"))</f>
        <v/>
      </c>
      <c r="AF192" s="3768" t="str">
        <f>IF(((COUNTIF($AF$5:AF87,"x"))-(COUNTIF($AF$5:AF86,"x")))=0,"",COUNTIF($AF$5:AF87,"x"))</f>
        <v/>
      </c>
      <c r="AG192" s="2152">
        <f t="shared" si="18"/>
        <v>0</v>
      </c>
    </row>
    <row r="193" spans="2:33" ht="18">
      <c r="B193" s="2168">
        <f t="shared" si="19"/>
        <v>84</v>
      </c>
      <c r="C193" s="3764">
        <f t="shared" si="17"/>
        <v>0</v>
      </c>
      <c r="D193" s="3765"/>
      <c r="E193" s="3769"/>
      <c r="F193" s="3758" t="str">
        <f>IF(((COUNTIF($F$5:$F88,"x"))-(COUNTIF($F$5:$F87,"x")))=0,"",COUNTIF($F$5:$F88,"x"))</f>
        <v/>
      </c>
      <c r="G193" s="3759" t="str">
        <f>IF(((COUNTIF($G$5:$G88,"x"))-(COUNTIF($G$5:$G87,"x")))=0,"",COUNTIF($G$5:$G88,"x"))</f>
        <v/>
      </c>
      <c r="H193" s="3759" t="str">
        <f>IF(((COUNTIF($H$5:$H88,"x"))-(COUNTIF($H$5:$H87,"x")))=0,"",COUNTIF($H$5:$H88,"x"))</f>
        <v/>
      </c>
      <c r="I193" s="3759" t="str">
        <f>IF(((COUNTIF($I$5:I88,"x"))-(COUNTIF($I$5:I87,"x")))=0,"",COUNTIF($I$5:I88,"x"))</f>
        <v/>
      </c>
      <c r="J193" s="3767" t="str">
        <f>IF(((COUNTIF($J$5:J88,"x"))-(COUNTIF($J$5:J87,"x")))=0,"",COUNTIF($J$5:J88,"x"))</f>
        <v/>
      </c>
      <c r="K193" s="3767" t="str">
        <f>IF(((COUNTIF($K$5:K88,"x"))-(COUNTIF($K$5:K87,"x")))=0,"",COUNTIF($K$5:K88,"x"))</f>
        <v/>
      </c>
      <c r="L193" s="3767" t="str">
        <f>IF(((COUNTIF($L$5:L88,"x"))-(COUNTIF($L$5:L87,"x")))=0,"",COUNTIF($L$5:L88,"x"))</f>
        <v/>
      </c>
      <c r="M193" s="3767" t="str">
        <f>IF(((COUNTIF($M$5:M88,"x"))-(COUNTIF($M$5:M87,"x")))=0,"",COUNTIF($M$5:M88,"x"))</f>
        <v/>
      </c>
      <c r="N193" s="3767" t="str">
        <f>IF(((COUNTIF($N$5:N88,"x"))-(COUNTIF($N$5:N87,"x")))=0,"",COUNTIF($N$5:N88,"x"))</f>
        <v/>
      </c>
      <c r="O193" s="3767" t="str">
        <f>IF(((COUNTIF($O$5:O88,"x"))-(COUNTIF($O$5:O87,"x")))=0,"",COUNTIF($O$5:O88,"x"))</f>
        <v/>
      </c>
      <c r="P193" s="3759" t="str">
        <f>IF(((COUNTIF($P$5:P88,"x"))-(COUNTIF($P$5:P87,"x")))=0,"",COUNTIF($P$5:P88,"x"))</f>
        <v/>
      </c>
      <c r="Q193" s="3767" t="str">
        <f>IF(((COUNTIF($Q$5:Q88,"x"))-(COUNTIF($Q$5:Q87,"x")))=0,"",COUNTIF($Q$5:Q88,"x"))</f>
        <v/>
      </c>
      <c r="R193" s="3767" t="str">
        <f>IF(((COUNTIF($R$5:R88,"x"))-(COUNTIF($R$5:R87,"x")))=0,"",COUNTIF($R$5:R88,"x"))</f>
        <v/>
      </c>
      <c r="S193" s="3767" t="str">
        <f>IF(((COUNTIF($S$5:S88,"x"))-(COUNTIF($S$5:S87,"x")))=0,"",COUNTIF($S$5:S88,"x"))</f>
        <v/>
      </c>
      <c r="T193" s="3767" t="str">
        <f>IF(((COUNTIF($T$5:T88,"x"))-(COUNTIF($T$5:T87,"x")))=0,"",COUNTIF($T$5:T88,"x"))</f>
        <v/>
      </c>
      <c r="U193" s="3767" t="str">
        <f>IF(((COUNTIF($U$5:U88,"x"))-(COUNTIF($U$5:U87,"x")))=0,"",COUNTIF($U$5:U88,"x"))</f>
        <v/>
      </c>
      <c r="V193" s="3767" t="str">
        <f>IF(((COUNTIF($V$5:V88,"x"))-(COUNTIF($V$5:V87,"x")))=0,"",COUNTIF($V$5:V88,"x"))</f>
        <v/>
      </c>
      <c r="W193" s="3767" t="str">
        <f>IF(((COUNTIF($W$5:W88,"x"))-(COUNTIF($W$5:W87,"x")))=0,"",COUNTIF($W$5:W88,"x"))</f>
        <v/>
      </c>
      <c r="X193" s="3767" t="str">
        <f>IF(((COUNTIF($X$5:X88,"x"))-(COUNTIF($X$5:X87,"x")))=0,"",COUNTIF($X$5:X88,"x"))</f>
        <v/>
      </c>
      <c r="Y193" s="3767" t="str">
        <f>IF(((COUNTIF($Y$5:Y88,"x"))-(COUNTIF($Y$5:Y87,"x")))=0,"",COUNTIF($Y$5:Y88,"x"))</f>
        <v/>
      </c>
      <c r="Z193" s="3767" t="str">
        <f>IF(((COUNTIF($Z$5:Z88,"x"))-(COUNTIF($Z$5:Z87,"x")))=0,"",COUNTIF($Z$5:Z88,"x"))</f>
        <v/>
      </c>
      <c r="AA193" s="3767" t="str">
        <f>IF(((COUNTIF($AA$5:AA88,"x"))-(COUNTIF($AA$5:AA87,"x")))=0,"",COUNTIF($AA$5:AA88,"x"))</f>
        <v/>
      </c>
      <c r="AB193" s="3767" t="str">
        <f>IF(((COUNTIF($AB$5:AB88,"x"))-(COUNTIF($AB$5:AB87,"x")))=0,"",COUNTIF($AB$5:AB88,"x"))</f>
        <v/>
      </c>
      <c r="AC193" s="3767" t="str">
        <f>IF(((COUNTIF($AC$5:AC88,"x"))-(COUNTIF($AC$5:AC87,"x")))=0,"",COUNTIF($AC$5:AC88,"x"))</f>
        <v/>
      </c>
      <c r="AD193" s="3759">
        <f>IF(((COUNTIF($AD$5:AD88,"x"))-(COUNTIF($AD$5:AD87,"x")))=0,"",COUNTIF($AD$5:AD88,"x"))</f>
        <v>78</v>
      </c>
      <c r="AE193" s="3767">
        <f>IF(((COUNTIF($AE$5:AE88,"x"))-(COUNTIF($AE$5:AE87,"x")))=0,"",COUNTIF($AE$5:AE88,"x"))</f>
        <v>2</v>
      </c>
      <c r="AF193" s="3768" t="str">
        <f>IF(((COUNTIF($AF$5:AF88,"x"))-(COUNTIF($AF$5:AF87,"x")))=0,"",COUNTIF($AF$5:AF88,"x"))</f>
        <v/>
      </c>
      <c r="AG193" s="2152">
        <f t="shared" si="18"/>
        <v>0</v>
      </c>
    </row>
    <row r="194" spans="2:33" ht="18">
      <c r="B194" s="2168">
        <f t="shared" si="19"/>
        <v>85</v>
      </c>
      <c r="C194" s="3764">
        <f t="shared" si="17"/>
        <v>0</v>
      </c>
      <c r="D194" s="3765"/>
      <c r="E194" s="3769"/>
      <c r="F194" s="3758" t="str">
        <f>IF(((COUNTIF($F$5:$F89,"x"))-(COUNTIF($F$5:$F88,"x")))=0,"",COUNTIF($F$5:$F89,"x"))</f>
        <v/>
      </c>
      <c r="G194" s="3759" t="str">
        <f>IF(((COUNTIF($G$5:$G89,"x"))-(COUNTIF($G$5:$G88,"x")))=0,"",COUNTIF($G$5:$G89,"x"))</f>
        <v/>
      </c>
      <c r="H194" s="3759" t="str">
        <f>IF(((COUNTIF($H$5:$H89,"x"))-(COUNTIF($H$5:$H88,"x")))=0,"",COUNTIF($H$5:$H89,"x"))</f>
        <v/>
      </c>
      <c r="I194" s="3759" t="str">
        <f>IF(((COUNTIF($I$5:I89,"x"))-(COUNTIF($I$5:I88,"x")))=0,"",COUNTIF($I$5:I89,"x"))</f>
        <v/>
      </c>
      <c r="J194" s="3767" t="str">
        <f>IF(((COUNTIF($J$5:J89,"x"))-(COUNTIF($J$5:J88,"x")))=0,"",COUNTIF($J$5:J89,"x"))</f>
        <v/>
      </c>
      <c r="K194" s="3767" t="str">
        <f>IF(((COUNTIF($K$5:K89,"x"))-(COUNTIF($K$5:K88,"x")))=0,"",COUNTIF($K$5:K89,"x"))</f>
        <v/>
      </c>
      <c r="L194" s="3767" t="str">
        <f>IF(((COUNTIF($L$5:L89,"x"))-(COUNTIF($L$5:L88,"x")))=0,"",COUNTIF($L$5:L89,"x"))</f>
        <v/>
      </c>
      <c r="M194" s="3767" t="str">
        <f>IF(((COUNTIF($M$5:M89,"x"))-(COUNTIF($M$5:M88,"x")))=0,"",COUNTIF($M$5:M89,"x"))</f>
        <v/>
      </c>
      <c r="N194" s="3767" t="str">
        <f>IF(((COUNTIF($N$5:N89,"x"))-(COUNTIF($N$5:N88,"x")))=0,"",COUNTIF($N$5:N89,"x"))</f>
        <v/>
      </c>
      <c r="O194" s="3767" t="str">
        <f>IF(((COUNTIF($O$5:O89,"x"))-(COUNTIF($O$5:O88,"x")))=0,"",COUNTIF($O$5:O89,"x"))</f>
        <v/>
      </c>
      <c r="P194" s="3759">
        <f>IF(((COUNTIF($P$5:P89,"x"))-(COUNTIF($P$5:P88,"x")))=0,"",COUNTIF($P$5:P89,"x"))</f>
        <v>16</v>
      </c>
      <c r="Q194" s="3767" t="str">
        <f>IF(((COUNTIF($Q$5:Q89,"x"))-(COUNTIF($Q$5:Q88,"x")))=0,"",COUNTIF($Q$5:Q89,"x"))</f>
        <v/>
      </c>
      <c r="R194" s="3767" t="str">
        <f>IF(((COUNTIF($R$5:R89,"x"))-(COUNTIF($R$5:R88,"x")))=0,"",COUNTIF($R$5:R89,"x"))</f>
        <v/>
      </c>
      <c r="S194" s="3767" t="str">
        <f>IF(((COUNTIF($S$5:S89,"x"))-(COUNTIF($S$5:S88,"x")))=0,"",COUNTIF($S$5:S89,"x"))</f>
        <v/>
      </c>
      <c r="T194" s="3767" t="str">
        <f>IF(((COUNTIF($T$5:T89,"x"))-(COUNTIF($T$5:T88,"x")))=0,"",COUNTIF($T$5:T89,"x"))</f>
        <v/>
      </c>
      <c r="U194" s="3767" t="str">
        <f>IF(((COUNTIF($U$5:U89,"x"))-(COUNTIF($U$5:U88,"x")))=0,"",COUNTIF($U$5:U89,"x"))</f>
        <v/>
      </c>
      <c r="V194" s="3767" t="str">
        <f>IF(((COUNTIF($V$5:V89,"x"))-(COUNTIF($V$5:V88,"x")))=0,"",COUNTIF($V$5:V89,"x"))</f>
        <v/>
      </c>
      <c r="W194" s="3767" t="str">
        <f>IF(((COUNTIF($W$5:W89,"x"))-(COUNTIF($W$5:W88,"x")))=0,"",COUNTIF($W$5:W89,"x"))</f>
        <v/>
      </c>
      <c r="X194" s="3767" t="str">
        <f>IF(((COUNTIF($X$5:X89,"x"))-(COUNTIF($X$5:X88,"x")))=0,"",COUNTIF($X$5:X89,"x"))</f>
        <v/>
      </c>
      <c r="Y194" s="3767" t="str">
        <f>IF(((COUNTIF($Y$5:Y89,"x"))-(COUNTIF($Y$5:Y88,"x")))=0,"",COUNTIF($Y$5:Y89,"x"))</f>
        <v/>
      </c>
      <c r="Z194" s="3767" t="str">
        <f>IF(((COUNTIF($Z$5:Z89,"x"))-(COUNTIF($Z$5:Z88,"x")))=0,"",COUNTIF($Z$5:Z89,"x"))</f>
        <v/>
      </c>
      <c r="AA194" s="3767" t="str">
        <f>IF(((COUNTIF($AA$5:AA89,"x"))-(COUNTIF($AA$5:AA88,"x")))=0,"",COUNTIF($AA$5:AA89,"x"))</f>
        <v/>
      </c>
      <c r="AB194" s="3767" t="str">
        <f>IF(((COUNTIF($AB$5:AB89,"x"))-(COUNTIF($AB$5:AB88,"x")))=0,"",COUNTIF($AB$5:AB89,"x"))</f>
        <v/>
      </c>
      <c r="AC194" s="3767" t="str">
        <f>IF(((COUNTIF($AC$5:AC89,"x"))-(COUNTIF($AC$5:AC88,"x")))=0,"",COUNTIF($AC$5:AC89,"x"))</f>
        <v/>
      </c>
      <c r="AD194" s="3759">
        <f>IF(((COUNTIF($AD$5:AD89,"x"))-(COUNTIF($AD$5:AD88,"x")))=0,"",COUNTIF($AD$5:AD89,"x"))</f>
        <v>79</v>
      </c>
      <c r="AE194" s="3767" t="str">
        <f>IF(((COUNTIF($AE$5:AE89,"x"))-(COUNTIF($AE$5:AE88,"x")))=0,"",COUNTIF($AE$5:AE89,"x"))</f>
        <v/>
      </c>
      <c r="AF194" s="3768" t="str">
        <f>IF(((COUNTIF($AF$5:AF89,"x"))-(COUNTIF($AF$5:AF88,"x")))=0,"",COUNTIF($AF$5:AF89,"x"))</f>
        <v/>
      </c>
      <c r="AG194" s="2152">
        <f t="shared" si="18"/>
        <v>0</v>
      </c>
    </row>
    <row r="195" spans="2:33" ht="18">
      <c r="B195" s="2168">
        <f t="shared" si="19"/>
        <v>86</v>
      </c>
      <c r="C195" s="3764">
        <f t="shared" si="17"/>
        <v>0</v>
      </c>
      <c r="D195" s="3765"/>
      <c r="E195" s="3769"/>
      <c r="F195" s="3758" t="str">
        <f>IF(((COUNTIF($F$5:$F90,"x"))-(COUNTIF($F$5:$F89,"x")))=0,"",COUNTIF($F$5:$F90,"x"))</f>
        <v/>
      </c>
      <c r="G195" s="3759" t="str">
        <f>IF(((COUNTIF($G$5:$G90,"x"))-(COUNTIF($G$5:$G89,"x")))=0,"",COUNTIF($G$5:$G90,"x"))</f>
        <v/>
      </c>
      <c r="H195" s="3759" t="str">
        <f>IF(((COUNTIF($H$5:$H90,"x"))-(COUNTIF($H$5:$H89,"x")))=0,"",COUNTIF($H$5:$H90,"x"))</f>
        <v/>
      </c>
      <c r="I195" s="3759" t="str">
        <f>IF(((COUNTIF($I$5:I90,"x"))-(COUNTIF($I$5:I89,"x")))=0,"",COUNTIF($I$5:I90,"x"))</f>
        <v/>
      </c>
      <c r="J195" s="3767" t="str">
        <f>IF(((COUNTIF($J$5:J90,"x"))-(COUNTIF($J$5:J89,"x")))=0,"",COUNTIF($J$5:J90,"x"))</f>
        <v/>
      </c>
      <c r="K195" s="3767" t="str">
        <f>IF(((COUNTIF($K$5:K90,"x"))-(COUNTIF($K$5:K89,"x")))=0,"",COUNTIF($K$5:K90,"x"))</f>
        <v/>
      </c>
      <c r="L195" s="3767" t="str">
        <f>IF(((COUNTIF($L$5:L90,"x"))-(COUNTIF($L$5:L89,"x")))=0,"",COUNTIF($L$5:L90,"x"))</f>
        <v/>
      </c>
      <c r="M195" s="3767" t="str">
        <f>IF(((COUNTIF($M$5:M90,"x"))-(COUNTIF($M$5:M89,"x")))=0,"",COUNTIF($M$5:M90,"x"))</f>
        <v/>
      </c>
      <c r="N195" s="3767" t="str">
        <f>IF(((COUNTIF($N$5:N90,"x"))-(COUNTIF($N$5:N89,"x")))=0,"",COUNTIF($N$5:N90,"x"))</f>
        <v/>
      </c>
      <c r="O195" s="3767" t="str">
        <f>IF(((COUNTIF($O$5:O90,"x"))-(COUNTIF($O$5:O89,"x")))=0,"",COUNTIF($O$5:O90,"x"))</f>
        <v/>
      </c>
      <c r="P195" s="3759" t="str">
        <f>IF(((COUNTIF($P$5:P90,"x"))-(COUNTIF($P$5:P89,"x")))=0,"",COUNTIF($P$5:P90,"x"))</f>
        <v/>
      </c>
      <c r="Q195" s="3767" t="str">
        <f>IF(((COUNTIF($Q$5:Q90,"x"))-(COUNTIF($Q$5:Q89,"x")))=0,"",COUNTIF($Q$5:Q90,"x"))</f>
        <v/>
      </c>
      <c r="R195" s="3767" t="str">
        <f>IF(((COUNTIF($R$5:R90,"x"))-(COUNTIF($R$5:R89,"x")))=0,"",COUNTIF($R$5:R90,"x"))</f>
        <v/>
      </c>
      <c r="S195" s="3767" t="str">
        <f>IF(((COUNTIF($S$5:S90,"x"))-(COUNTIF($S$5:S89,"x")))=0,"",COUNTIF($S$5:S90,"x"))</f>
        <v/>
      </c>
      <c r="T195" s="3767" t="str">
        <f>IF(((COUNTIF($T$5:T90,"x"))-(COUNTIF($T$5:T89,"x")))=0,"",COUNTIF($T$5:T90,"x"))</f>
        <v/>
      </c>
      <c r="U195" s="3767" t="str">
        <f>IF(((COUNTIF($U$5:U90,"x"))-(COUNTIF($U$5:U89,"x")))=0,"",COUNTIF($U$5:U90,"x"))</f>
        <v/>
      </c>
      <c r="V195" s="3767" t="str">
        <f>IF(((COUNTIF($V$5:V90,"x"))-(COUNTIF($V$5:V89,"x")))=0,"",COUNTIF($V$5:V90,"x"))</f>
        <v/>
      </c>
      <c r="W195" s="3767" t="str">
        <f>IF(((COUNTIF($W$5:W90,"x"))-(COUNTIF($W$5:W89,"x")))=0,"",COUNTIF($W$5:W90,"x"))</f>
        <v/>
      </c>
      <c r="X195" s="3767" t="str">
        <f>IF(((COUNTIF($X$5:X90,"x"))-(COUNTIF($X$5:X89,"x")))=0,"",COUNTIF($X$5:X90,"x"))</f>
        <v/>
      </c>
      <c r="Y195" s="3767" t="str">
        <f>IF(((COUNTIF($Y$5:Y90,"x"))-(COUNTIF($Y$5:Y89,"x")))=0,"",COUNTIF($Y$5:Y90,"x"))</f>
        <v/>
      </c>
      <c r="Z195" s="3767" t="str">
        <f>IF(((COUNTIF($Z$5:Z90,"x"))-(COUNTIF($Z$5:Z89,"x")))=0,"",COUNTIF($Z$5:Z90,"x"))</f>
        <v/>
      </c>
      <c r="AA195" s="3767" t="str">
        <f>IF(((COUNTIF($AA$5:AA90,"x"))-(COUNTIF($AA$5:AA89,"x")))=0,"",COUNTIF($AA$5:AA90,"x"))</f>
        <v/>
      </c>
      <c r="AB195" s="3767" t="str">
        <f>IF(((COUNTIF($AB$5:AB90,"x"))-(COUNTIF($AB$5:AB89,"x")))=0,"",COUNTIF($AB$5:AB90,"x"))</f>
        <v/>
      </c>
      <c r="AC195" s="3767" t="str">
        <f>IF(((COUNTIF($AC$5:AC90,"x"))-(COUNTIF($AC$5:AC89,"x")))=0,"",COUNTIF($AC$5:AC90,"x"))</f>
        <v/>
      </c>
      <c r="AD195" s="3759">
        <f>IF(((COUNTIF($AD$5:AD90,"x"))-(COUNTIF($AD$5:AD89,"x")))=0,"",COUNTIF($AD$5:AD90,"x"))</f>
        <v>80</v>
      </c>
      <c r="AE195" s="3767" t="str">
        <f>IF(((COUNTIF($AE$5:AE90,"x"))-(COUNTIF($AE$5:AE89,"x")))=0,"",COUNTIF($AE$5:AE90,"x"))</f>
        <v/>
      </c>
      <c r="AF195" s="3768" t="str">
        <f>IF(((COUNTIF($AF$5:AF90,"x"))-(COUNTIF($AF$5:AF89,"x")))=0,"",COUNTIF($AF$5:AF90,"x"))</f>
        <v/>
      </c>
      <c r="AG195" s="2152">
        <f t="shared" si="18"/>
        <v>0</v>
      </c>
    </row>
    <row r="196" spans="2:33" ht="18">
      <c r="B196" s="2168">
        <f t="shared" si="19"/>
        <v>87</v>
      </c>
      <c r="C196" s="3764">
        <f t="shared" si="17"/>
        <v>0</v>
      </c>
      <c r="D196" s="3765"/>
      <c r="E196" s="3769"/>
      <c r="F196" s="3758" t="str">
        <f>IF(((COUNTIF($F$5:$F91,"x"))-(COUNTIF($F$5:$F90,"x")))=0,"",COUNTIF($F$5:$F91,"x"))</f>
        <v/>
      </c>
      <c r="G196" s="3759" t="str">
        <f>IF(((COUNTIF($G$5:$G91,"x"))-(COUNTIF($G$5:$G90,"x")))=0,"",COUNTIF($G$5:$G91,"x"))</f>
        <v/>
      </c>
      <c r="H196" s="3759" t="str">
        <f>IF(((COUNTIF($H$5:$H91,"x"))-(COUNTIF($H$5:$H90,"x")))=0,"",COUNTIF($H$5:$H91,"x"))</f>
        <v/>
      </c>
      <c r="I196" s="3759" t="str">
        <f>IF(((COUNTIF($I$5:I91,"x"))-(COUNTIF($I$5:I90,"x")))=0,"",COUNTIF($I$5:I91,"x"))</f>
        <v/>
      </c>
      <c r="J196" s="3767" t="str">
        <f>IF(((COUNTIF($J$5:J91,"x"))-(COUNTIF($J$5:J90,"x")))=0,"",COUNTIF($J$5:J91,"x"))</f>
        <v/>
      </c>
      <c r="K196" s="3767" t="str">
        <f>IF(((COUNTIF($K$5:K91,"x"))-(COUNTIF($K$5:K90,"x")))=0,"",COUNTIF($K$5:K91,"x"))</f>
        <v/>
      </c>
      <c r="L196" s="3767" t="str">
        <f>IF(((COUNTIF($L$5:L91,"x"))-(COUNTIF($L$5:L90,"x")))=0,"",COUNTIF($L$5:L91,"x"))</f>
        <v/>
      </c>
      <c r="M196" s="3767" t="str">
        <f>IF(((COUNTIF($M$5:M91,"x"))-(COUNTIF($M$5:M90,"x")))=0,"",COUNTIF($M$5:M91,"x"))</f>
        <v/>
      </c>
      <c r="N196" s="3767" t="str">
        <f>IF(((COUNTIF($N$5:N91,"x"))-(COUNTIF($N$5:N90,"x")))=0,"",COUNTIF($N$5:N91,"x"))</f>
        <v/>
      </c>
      <c r="O196" s="3767" t="str">
        <f>IF(((COUNTIF($O$5:O91,"x"))-(COUNTIF($O$5:O90,"x")))=0,"",COUNTIF($O$5:O91,"x"))</f>
        <v/>
      </c>
      <c r="P196" s="3759" t="str">
        <f>IF(((COUNTIF($P$5:P91,"x"))-(COUNTIF($P$5:P90,"x")))=0,"",COUNTIF($P$5:P91,"x"))</f>
        <v/>
      </c>
      <c r="Q196" s="3767" t="str">
        <f>IF(((COUNTIF($Q$5:Q91,"x"))-(COUNTIF($Q$5:Q90,"x")))=0,"",COUNTIF($Q$5:Q91,"x"))</f>
        <v/>
      </c>
      <c r="R196" s="3767" t="str">
        <f>IF(((COUNTIF($R$5:R91,"x"))-(COUNTIF($R$5:R90,"x")))=0,"",COUNTIF($R$5:R91,"x"))</f>
        <v/>
      </c>
      <c r="S196" s="3767" t="str">
        <f>IF(((COUNTIF($S$5:S91,"x"))-(COUNTIF($S$5:S90,"x")))=0,"",COUNTIF($S$5:S91,"x"))</f>
        <v/>
      </c>
      <c r="T196" s="3767" t="str">
        <f>IF(((COUNTIF($T$5:T91,"x"))-(COUNTIF($T$5:T90,"x")))=0,"",COUNTIF($T$5:T91,"x"))</f>
        <v/>
      </c>
      <c r="U196" s="3767" t="str">
        <f>IF(((COUNTIF($U$5:U91,"x"))-(COUNTIF($U$5:U90,"x")))=0,"",COUNTIF($U$5:U91,"x"))</f>
        <v/>
      </c>
      <c r="V196" s="3767" t="str">
        <f>IF(((COUNTIF($V$5:V91,"x"))-(COUNTIF($V$5:V90,"x")))=0,"",COUNTIF($V$5:V91,"x"))</f>
        <v/>
      </c>
      <c r="W196" s="3767" t="str">
        <f>IF(((COUNTIF($W$5:W91,"x"))-(COUNTIF($W$5:W90,"x")))=0,"",COUNTIF($W$5:W91,"x"))</f>
        <v/>
      </c>
      <c r="X196" s="3767" t="str">
        <f>IF(((COUNTIF($X$5:X91,"x"))-(COUNTIF($X$5:X90,"x")))=0,"",COUNTIF($X$5:X91,"x"))</f>
        <v/>
      </c>
      <c r="Y196" s="3767" t="str">
        <f>IF(((COUNTIF($Y$5:Y91,"x"))-(COUNTIF($Y$5:Y90,"x")))=0,"",COUNTIF($Y$5:Y91,"x"))</f>
        <v/>
      </c>
      <c r="Z196" s="3767" t="str">
        <f>IF(((COUNTIF($Z$5:Z91,"x"))-(COUNTIF($Z$5:Z90,"x")))=0,"",COUNTIF($Z$5:Z91,"x"))</f>
        <v/>
      </c>
      <c r="AA196" s="3767" t="str">
        <f>IF(((COUNTIF($AA$5:AA91,"x"))-(COUNTIF($AA$5:AA90,"x")))=0,"",COUNTIF($AA$5:AA91,"x"))</f>
        <v/>
      </c>
      <c r="AB196" s="3767" t="str">
        <f>IF(((COUNTIF($AB$5:AB91,"x"))-(COUNTIF($AB$5:AB90,"x")))=0,"",COUNTIF($AB$5:AB91,"x"))</f>
        <v/>
      </c>
      <c r="AC196" s="3767" t="str">
        <f>IF(((COUNTIF($AC$5:AC91,"x"))-(COUNTIF($AC$5:AC90,"x")))=0,"",COUNTIF($AC$5:AC91,"x"))</f>
        <v/>
      </c>
      <c r="AD196" s="3759">
        <f>IF(((COUNTIF($AD$5:AD91,"x"))-(COUNTIF($AD$5:AD90,"x")))=0,"",COUNTIF($AD$5:AD91,"x"))</f>
        <v>81</v>
      </c>
      <c r="AE196" s="3767" t="str">
        <f>IF(((COUNTIF($AE$5:AE91,"x"))-(COUNTIF($AE$5:AE90,"x")))=0,"",COUNTIF($AE$5:AE91,"x"))</f>
        <v/>
      </c>
      <c r="AF196" s="3768" t="str">
        <f>IF(((COUNTIF($AF$5:AF91,"x"))-(COUNTIF($AF$5:AF90,"x")))=0,"",COUNTIF($AF$5:AF91,"x"))</f>
        <v/>
      </c>
      <c r="AG196" s="2152">
        <f t="shared" si="18"/>
        <v>0</v>
      </c>
    </row>
    <row r="197" spans="2:33" ht="18">
      <c r="B197" s="2168">
        <f t="shared" si="19"/>
        <v>88</v>
      </c>
      <c r="C197" s="3764">
        <f t="shared" si="17"/>
        <v>0</v>
      </c>
      <c r="D197" s="3765"/>
      <c r="E197" s="3769"/>
      <c r="F197" s="3758" t="str">
        <f>IF(((COUNTIF($F$5:$F92,"x"))-(COUNTIF($F$5:$F91,"x")))=0,"",COUNTIF($F$5:$F92,"x"))</f>
        <v/>
      </c>
      <c r="G197" s="3759" t="str">
        <f>IF(((COUNTIF($G$5:$G92,"x"))-(COUNTIF($G$5:$G91,"x")))=0,"",COUNTIF($G$5:$G92,"x"))</f>
        <v/>
      </c>
      <c r="H197" s="3759" t="str">
        <f>IF(((COUNTIF($H$5:$H92,"x"))-(COUNTIF($H$5:$H91,"x")))=0,"",COUNTIF($H$5:$H92,"x"))</f>
        <v/>
      </c>
      <c r="I197" s="3759" t="str">
        <f>IF(((COUNTIF($I$5:I92,"x"))-(COUNTIF($I$5:I91,"x")))=0,"",COUNTIF($I$5:I92,"x"))</f>
        <v/>
      </c>
      <c r="J197" s="3767" t="str">
        <f>IF(((COUNTIF($J$5:J92,"x"))-(COUNTIF($J$5:J91,"x")))=0,"",COUNTIF($J$5:J92,"x"))</f>
        <v/>
      </c>
      <c r="K197" s="3767" t="str">
        <f>IF(((COUNTIF($K$5:K92,"x"))-(COUNTIF($K$5:K91,"x")))=0,"",COUNTIF($K$5:K92,"x"))</f>
        <v/>
      </c>
      <c r="L197" s="3767" t="str">
        <f>IF(((COUNTIF($L$5:L92,"x"))-(COUNTIF($L$5:L91,"x")))=0,"",COUNTIF($L$5:L92,"x"))</f>
        <v/>
      </c>
      <c r="M197" s="3767" t="str">
        <f>IF(((COUNTIF($M$5:M92,"x"))-(COUNTIF($M$5:M91,"x")))=0,"",COUNTIF($M$5:M92,"x"))</f>
        <v/>
      </c>
      <c r="N197" s="3767" t="str">
        <f>IF(((COUNTIF($N$5:N92,"x"))-(COUNTIF($N$5:N91,"x")))=0,"",COUNTIF($N$5:N92,"x"))</f>
        <v/>
      </c>
      <c r="O197" s="3767" t="str">
        <f>IF(((COUNTIF($O$5:O92,"x"))-(COUNTIF($O$5:O91,"x")))=0,"",COUNTIF($O$5:O92,"x"))</f>
        <v/>
      </c>
      <c r="P197" s="3759" t="str">
        <f>IF(((COUNTIF($P$5:P92,"x"))-(COUNTIF($P$5:P91,"x")))=0,"",COUNTIF($P$5:P92,"x"))</f>
        <v/>
      </c>
      <c r="Q197" s="3767" t="str">
        <f>IF(((COUNTIF($Q$5:Q92,"x"))-(COUNTIF($Q$5:Q91,"x")))=0,"",COUNTIF($Q$5:Q92,"x"))</f>
        <v/>
      </c>
      <c r="R197" s="3767" t="str">
        <f>IF(((COUNTIF($R$5:R92,"x"))-(COUNTIF($R$5:R91,"x")))=0,"",COUNTIF($R$5:R92,"x"))</f>
        <v/>
      </c>
      <c r="S197" s="3767" t="str">
        <f>IF(((COUNTIF($S$5:S92,"x"))-(COUNTIF($S$5:S91,"x")))=0,"",COUNTIF($S$5:S92,"x"))</f>
        <v/>
      </c>
      <c r="T197" s="3767" t="str">
        <f>IF(((COUNTIF($T$5:T92,"x"))-(COUNTIF($T$5:T91,"x")))=0,"",COUNTIF($T$5:T92,"x"))</f>
        <v/>
      </c>
      <c r="U197" s="3767" t="str">
        <f>IF(((COUNTIF($U$5:U92,"x"))-(COUNTIF($U$5:U91,"x")))=0,"",COUNTIF($U$5:U92,"x"))</f>
        <v/>
      </c>
      <c r="V197" s="3767" t="str">
        <f>IF(((COUNTIF($V$5:V92,"x"))-(COUNTIF($V$5:V91,"x")))=0,"",COUNTIF($V$5:V92,"x"))</f>
        <v/>
      </c>
      <c r="W197" s="3767" t="str">
        <f>IF(((COUNTIF($W$5:W92,"x"))-(COUNTIF($W$5:W91,"x")))=0,"",COUNTIF($W$5:W92,"x"))</f>
        <v/>
      </c>
      <c r="X197" s="3767" t="str">
        <f>IF(((COUNTIF($X$5:X92,"x"))-(COUNTIF($X$5:X91,"x")))=0,"",COUNTIF($X$5:X92,"x"))</f>
        <v/>
      </c>
      <c r="Y197" s="3767" t="str">
        <f>IF(((COUNTIF($Y$5:Y92,"x"))-(COUNTIF($Y$5:Y91,"x")))=0,"",COUNTIF($Y$5:Y92,"x"))</f>
        <v/>
      </c>
      <c r="Z197" s="3767" t="str">
        <f>IF(((COUNTIF($Z$5:Z92,"x"))-(COUNTIF($Z$5:Z91,"x")))=0,"",COUNTIF($Z$5:Z92,"x"))</f>
        <v/>
      </c>
      <c r="AA197" s="3767" t="str">
        <f>IF(((COUNTIF($AA$5:AA92,"x"))-(COUNTIF($AA$5:AA91,"x")))=0,"",COUNTIF($AA$5:AA92,"x"))</f>
        <v/>
      </c>
      <c r="AB197" s="3767" t="str">
        <f>IF(((COUNTIF($AB$5:AB92,"x"))-(COUNTIF($AB$5:AB91,"x")))=0,"",COUNTIF($AB$5:AB92,"x"))</f>
        <v/>
      </c>
      <c r="AC197" s="3767" t="str">
        <f>IF(((COUNTIF($AC$5:AC92,"x"))-(COUNTIF($AC$5:AC91,"x")))=0,"",COUNTIF($AC$5:AC92,"x"))</f>
        <v/>
      </c>
      <c r="AD197" s="3759">
        <f>IF(((COUNTIF($AD$5:AD92,"x"))-(COUNTIF($AD$5:AD91,"x")))=0,"",COUNTIF($AD$5:AD92,"x"))</f>
        <v>82</v>
      </c>
      <c r="AE197" s="3767" t="str">
        <f>IF(((COUNTIF($AE$5:AE92,"x"))-(COUNTIF($AE$5:AE91,"x")))=0,"",COUNTIF($AE$5:AE92,"x"))</f>
        <v/>
      </c>
      <c r="AF197" s="3768" t="str">
        <f>IF(((COUNTIF($AF$5:AF92,"x"))-(COUNTIF($AF$5:AF91,"x")))=0,"",COUNTIF($AF$5:AF92,"x"))</f>
        <v/>
      </c>
      <c r="AG197" s="2152">
        <f t="shared" si="18"/>
        <v>0</v>
      </c>
    </row>
    <row r="198" spans="2:33" ht="18">
      <c r="B198" s="2168">
        <f t="shared" si="19"/>
        <v>89</v>
      </c>
      <c r="C198" s="3764">
        <f t="shared" si="17"/>
        <v>0</v>
      </c>
      <c r="D198" s="3770"/>
      <c r="E198" s="3771"/>
      <c r="F198" s="3758" t="str">
        <f>IF(((COUNTIF($F$5:$F93,"x"))-(COUNTIF($F$5:$F92,"x")))=0,"",COUNTIF($F$5:$F93,"x"))</f>
        <v/>
      </c>
      <c r="G198" s="3759" t="str">
        <f>IF(((COUNTIF($G$5:$G93,"x"))-(COUNTIF($G$5:$G92,"x")))=0,"",COUNTIF($G$5:$G93,"x"))</f>
        <v/>
      </c>
      <c r="H198" s="3759" t="str">
        <f>IF(((COUNTIF($H$5:$H93,"x"))-(COUNTIF($H$5:$H92,"x")))=0,"",COUNTIF($H$5:$H93,"x"))</f>
        <v/>
      </c>
      <c r="I198" s="3759" t="str">
        <f>IF(((COUNTIF($I$5:I93,"x"))-(COUNTIF($I$5:I92,"x")))=0,"",COUNTIF($I$5:I93,"x"))</f>
        <v/>
      </c>
      <c r="J198" s="3767" t="str">
        <f>IF(((COUNTIF($J$5:J93,"x"))-(COUNTIF($J$5:J92,"x")))=0,"",COUNTIF($J$5:J93,"x"))</f>
        <v/>
      </c>
      <c r="K198" s="3767" t="str">
        <f>IF(((COUNTIF($K$5:K93,"x"))-(COUNTIF($K$5:K92,"x")))=0,"",COUNTIF($K$5:K93,"x"))</f>
        <v/>
      </c>
      <c r="L198" s="3767" t="str">
        <f>IF(((COUNTIF($L$5:L93,"x"))-(COUNTIF($L$5:L92,"x")))=0,"",COUNTIF($L$5:L93,"x"))</f>
        <v/>
      </c>
      <c r="M198" s="3767" t="str">
        <f>IF(((COUNTIF($M$5:M93,"x"))-(COUNTIF($M$5:M92,"x")))=0,"",COUNTIF($M$5:M93,"x"))</f>
        <v/>
      </c>
      <c r="N198" s="3767" t="str">
        <f>IF(((COUNTIF($N$5:N93,"x"))-(COUNTIF($N$5:N92,"x")))=0,"",COUNTIF($N$5:N93,"x"))</f>
        <v/>
      </c>
      <c r="O198" s="3767" t="str">
        <f>IF(((COUNTIF($O$5:O93,"x"))-(COUNTIF($O$5:O92,"x")))=0,"",COUNTIF($O$5:O93,"x"))</f>
        <v/>
      </c>
      <c r="P198" s="3759" t="str">
        <f>IF(((COUNTIF($P$5:P93,"x"))-(COUNTIF($P$5:P92,"x")))=0,"",COUNTIF($P$5:P93,"x"))</f>
        <v/>
      </c>
      <c r="Q198" s="3767" t="str">
        <f>IF(((COUNTIF($Q$5:Q93,"x"))-(COUNTIF($Q$5:Q92,"x")))=0,"",COUNTIF($Q$5:Q93,"x"))</f>
        <v/>
      </c>
      <c r="R198" s="3767" t="str">
        <f>IF(((COUNTIF($R$5:R93,"x"))-(COUNTIF($R$5:R92,"x")))=0,"",COUNTIF($R$5:R93,"x"))</f>
        <v/>
      </c>
      <c r="S198" s="3767" t="str">
        <f>IF(((COUNTIF($S$5:S93,"x"))-(COUNTIF($S$5:S92,"x")))=0,"",COUNTIF($S$5:S93,"x"))</f>
        <v/>
      </c>
      <c r="T198" s="3767" t="str">
        <f>IF(((COUNTIF($T$5:T93,"x"))-(COUNTIF($T$5:T92,"x")))=0,"",COUNTIF($T$5:T93,"x"))</f>
        <v/>
      </c>
      <c r="U198" s="3767" t="str">
        <f>IF(((COUNTIF($U$5:U93,"x"))-(COUNTIF($U$5:U92,"x")))=0,"",COUNTIF($U$5:U93,"x"))</f>
        <v/>
      </c>
      <c r="V198" s="3767" t="str">
        <f>IF(((COUNTIF($V$5:V93,"x"))-(COUNTIF($V$5:V92,"x")))=0,"",COUNTIF($V$5:V93,"x"))</f>
        <v/>
      </c>
      <c r="W198" s="3767" t="str">
        <f>IF(((COUNTIF($W$5:W93,"x"))-(COUNTIF($W$5:W92,"x")))=0,"",COUNTIF($W$5:W93,"x"))</f>
        <v/>
      </c>
      <c r="X198" s="3767" t="str">
        <f>IF(((COUNTIF($X$5:X93,"x"))-(COUNTIF($X$5:X92,"x")))=0,"",COUNTIF($X$5:X93,"x"))</f>
        <v/>
      </c>
      <c r="Y198" s="3767" t="str">
        <f>IF(((COUNTIF($Y$5:Y93,"x"))-(COUNTIF($Y$5:Y92,"x")))=0,"",COUNTIF($Y$5:Y93,"x"))</f>
        <v/>
      </c>
      <c r="Z198" s="3767" t="str">
        <f>IF(((COUNTIF($Z$5:Z93,"x"))-(COUNTIF($Z$5:Z92,"x")))=0,"",COUNTIF($Z$5:Z93,"x"))</f>
        <v/>
      </c>
      <c r="AA198" s="3767" t="str">
        <f>IF(((COUNTIF($AA$5:AA93,"x"))-(COUNTIF($AA$5:AA92,"x")))=0,"",COUNTIF($AA$5:AA93,"x"))</f>
        <v/>
      </c>
      <c r="AB198" s="3767" t="str">
        <f>IF(((COUNTIF($AB$5:AB93,"x"))-(COUNTIF($AB$5:AB92,"x")))=0,"",COUNTIF($AB$5:AB93,"x"))</f>
        <v/>
      </c>
      <c r="AC198" s="3767" t="str">
        <f>IF(((COUNTIF($AC$5:AC93,"x"))-(COUNTIF($AC$5:AC92,"x")))=0,"",COUNTIF($AC$5:AC93,"x"))</f>
        <v/>
      </c>
      <c r="AD198" s="3759">
        <f>IF(((COUNTIF($AD$5:AD93,"x"))-(COUNTIF($AD$5:AD92,"x")))=0,"",COUNTIF($AD$5:AD93,"x"))</f>
        <v>83</v>
      </c>
      <c r="AE198" s="3767" t="str">
        <f>IF(((COUNTIF($AE$5:AE93,"x"))-(COUNTIF($AE$5:AE92,"x")))=0,"",COUNTIF($AE$5:AE93,"x"))</f>
        <v/>
      </c>
      <c r="AF198" s="3768" t="str">
        <f>IF(((COUNTIF($AF$5:AF93,"x"))-(COUNTIF($AF$5:AF92,"x")))=0,"",COUNTIF($AF$5:AF93,"x"))</f>
        <v/>
      </c>
      <c r="AG198" s="2152">
        <f t="shared" si="18"/>
        <v>0</v>
      </c>
    </row>
    <row r="199" spans="2:33" ht="18">
      <c r="B199" s="2168">
        <f t="shared" si="19"/>
        <v>90</v>
      </c>
      <c r="C199" s="3764">
        <f t="shared" si="17"/>
        <v>0</v>
      </c>
      <c r="D199" s="3770"/>
      <c r="E199" s="3771"/>
      <c r="F199" s="3758" t="str">
        <f>IF(((COUNTIF($F$5:$F94,"x"))-(COUNTIF($F$5:$F93,"x")))=0,"",COUNTIF($F$5:$F94,"x"))</f>
        <v/>
      </c>
      <c r="G199" s="3759" t="str">
        <f>IF(((COUNTIF($G$5:$G94,"x"))-(COUNTIF($G$5:$G93,"x")))=0,"",COUNTIF($G$5:$G94,"x"))</f>
        <v/>
      </c>
      <c r="H199" s="3759" t="str">
        <f>IF(((COUNTIF($H$5:$H94,"x"))-(COUNTIF($H$5:$H93,"x")))=0,"",COUNTIF($H$5:$H94,"x"))</f>
        <v/>
      </c>
      <c r="I199" s="3759" t="str">
        <f>IF(((COUNTIF($I$5:I94,"x"))-(COUNTIF($I$5:I93,"x")))=0,"",COUNTIF($I$5:I94,"x"))</f>
        <v/>
      </c>
      <c r="J199" s="3767" t="str">
        <f>IF(((COUNTIF($J$5:J94,"x"))-(COUNTIF($J$5:J93,"x")))=0,"",COUNTIF($J$5:J94,"x"))</f>
        <v/>
      </c>
      <c r="K199" s="3767" t="str">
        <f>IF(((COUNTIF($K$5:K94,"x"))-(COUNTIF($K$5:K93,"x")))=0,"",COUNTIF($K$5:K94,"x"))</f>
        <v/>
      </c>
      <c r="L199" s="3767" t="str">
        <f>IF(((COUNTIF($L$5:L94,"x"))-(COUNTIF($L$5:L93,"x")))=0,"",COUNTIF($L$5:L94,"x"))</f>
        <v/>
      </c>
      <c r="M199" s="3767" t="str">
        <f>IF(((COUNTIF($M$5:M94,"x"))-(COUNTIF($M$5:M93,"x")))=0,"",COUNTIF($M$5:M94,"x"))</f>
        <v/>
      </c>
      <c r="N199" s="3767" t="str">
        <f>IF(((COUNTIF($N$5:N94,"x"))-(COUNTIF($N$5:N93,"x")))=0,"",COUNTIF($N$5:N94,"x"))</f>
        <v/>
      </c>
      <c r="O199" s="3767" t="str">
        <f>IF(((COUNTIF($O$5:O94,"x"))-(COUNTIF($O$5:O93,"x")))=0,"",COUNTIF($O$5:O94,"x"))</f>
        <v/>
      </c>
      <c r="P199" s="3759" t="str">
        <f>IF(((COUNTIF($P$5:P94,"x"))-(COUNTIF($P$5:P93,"x")))=0,"",COUNTIF($P$5:P94,"x"))</f>
        <v/>
      </c>
      <c r="Q199" s="3767" t="str">
        <f>IF(((COUNTIF($Q$5:Q94,"x"))-(COUNTIF($Q$5:Q93,"x")))=0,"",COUNTIF($Q$5:Q94,"x"))</f>
        <v/>
      </c>
      <c r="R199" s="3767" t="str">
        <f>IF(((COUNTIF($R$5:R94,"x"))-(COUNTIF($R$5:R93,"x")))=0,"",COUNTIF($R$5:R94,"x"))</f>
        <v/>
      </c>
      <c r="S199" s="3767" t="str">
        <f>IF(((COUNTIF($S$5:S94,"x"))-(COUNTIF($S$5:S93,"x")))=0,"",COUNTIF($S$5:S94,"x"))</f>
        <v/>
      </c>
      <c r="T199" s="3767" t="str">
        <f>IF(((COUNTIF($T$5:T94,"x"))-(COUNTIF($T$5:T93,"x")))=0,"",COUNTIF($T$5:T94,"x"))</f>
        <v/>
      </c>
      <c r="U199" s="3767" t="str">
        <f>IF(((COUNTIF($U$5:U94,"x"))-(COUNTIF($U$5:U93,"x")))=0,"",COUNTIF($U$5:U94,"x"))</f>
        <v/>
      </c>
      <c r="V199" s="3767" t="str">
        <f>IF(((COUNTIF($V$5:V94,"x"))-(COUNTIF($V$5:V93,"x")))=0,"",COUNTIF($V$5:V94,"x"))</f>
        <v/>
      </c>
      <c r="W199" s="3767" t="str">
        <f>IF(((COUNTIF($W$5:W94,"x"))-(COUNTIF($W$5:W93,"x")))=0,"",COUNTIF($W$5:W94,"x"))</f>
        <v/>
      </c>
      <c r="X199" s="3767" t="str">
        <f>IF(((COUNTIF($X$5:X94,"x"))-(COUNTIF($X$5:X93,"x")))=0,"",COUNTIF($X$5:X94,"x"))</f>
        <v/>
      </c>
      <c r="Y199" s="3767" t="str">
        <f>IF(((COUNTIF($Y$5:Y94,"x"))-(COUNTIF($Y$5:Y93,"x")))=0,"",COUNTIF($Y$5:Y94,"x"))</f>
        <v/>
      </c>
      <c r="Z199" s="3767" t="str">
        <f>IF(((COUNTIF($Z$5:Z94,"x"))-(COUNTIF($Z$5:Z93,"x")))=0,"",COUNTIF($Z$5:Z94,"x"))</f>
        <v/>
      </c>
      <c r="AA199" s="3767" t="str">
        <f>IF(((COUNTIF($AA$5:AA94,"x"))-(COUNTIF($AA$5:AA93,"x")))=0,"",COUNTIF($AA$5:AA94,"x"))</f>
        <v/>
      </c>
      <c r="AB199" s="3767" t="str">
        <f>IF(((COUNTIF($AB$5:AB94,"x"))-(COUNTIF($AB$5:AB93,"x")))=0,"",COUNTIF($AB$5:AB94,"x"))</f>
        <v/>
      </c>
      <c r="AC199" s="3767" t="str">
        <f>IF(((COUNTIF($AC$5:AC94,"x"))-(COUNTIF($AC$5:AC93,"x")))=0,"",COUNTIF($AC$5:AC94,"x"))</f>
        <v/>
      </c>
      <c r="AD199" s="3759">
        <f>IF(((COUNTIF($AD$5:AD94,"x"))-(COUNTIF($AD$5:AD93,"x")))=0,"",COUNTIF($AD$5:AD94,"x"))</f>
        <v>84</v>
      </c>
      <c r="AE199" s="3767" t="str">
        <f>IF(((COUNTIF($AE$5:AE94,"x"))-(COUNTIF($AE$5:AE93,"x")))=0,"",COUNTIF($AE$5:AE94,"x"))</f>
        <v/>
      </c>
      <c r="AF199" s="3768" t="str">
        <f>IF(((COUNTIF($AF$5:AF94,"x"))-(COUNTIF($AF$5:AF93,"x")))=0,"",COUNTIF($AF$5:AF94,"x"))</f>
        <v/>
      </c>
      <c r="AG199" s="2152">
        <f t="shared" si="18"/>
        <v>0</v>
      </c>
    </row>
    <row r="200" spans="2:33" ht="18">
      <c r="B200" s="2168">
        <f t="shared" si="19"/>
        <v>91</v>
      </c>
      <c r="C200" s="3764">
        <f t="shared" si="17"/>
        <v>0</v>
      </c>
      <c r="D200" s="3770"/>
      <c r="E200" s="3771"/>
      <c r="F200" s="3758" t="str">
        <f>IF(((COUNTIF($F$5:$F95,"x"))-(COUNTIF($F$5:$F94,"x")))=0,"",COUNTIF($F$5:$F95,"x"))</f>
        <v/>
      </c>
      <c r="G200" s="3759" t="str">
        <f>IF(((COUNTIF($G$5:$G95,"x"))-(COUNTIF($G$5:$G94,"x")))=0,"",COUNTIF($G$5:$G95,"x"))</f>
        <v/>
      </c>
      <c r="H200" s="3759" t="str">
        <f>IF(((COUNTIF($H$5:$H95,"x"))-(COUNTIF($H$5:$H94,"x")))=0,"",COUNTIF($H$5:$H95,"x"))</f>
        <v/>
      </c>
      <c r="I200" s="3759" t="str">
        <f>IF(((COUNTIF($I$5:I95,"x"))-(COUNTIF($I$5:I94,"x")))=0,"",COUNTIF($I$5:I95,"x"))</f>
        <v/>
      </c>
      <c r="J200" s="3767" t="str">
        <f>IF(((COUNTIF($J$5:J95,"x"))-(COUNTIF($J$5:J94,"x")))=0,"",COUNTIF($J$5:J95,"x"))</f>
        <v/>
      </c>
      <c r="K200" s="3767" t="str">
        <f>IF(((COUNTIF($K$5:K95,"x"))-(COUNTIF($K$5:K94,"x")))=0,"",COUNTIF($K$5:K95,"x"))</f>
        <v/>
      </c>
      <c r="L200" s="3767" t="str">
        <f>IF(((COUNTIF($L$5:L95,"x"))-(COUNTIF($L$5:L94,"x")))=0,"",COUNTIF($L$5:L95,"x"))</f>
        <v/>
      </c>
      <c r="M200" s="3767" t="str">
        <f>IF(((COUNTIF($M$5:M95,"x"))-(COUNTIF($M$5:M94,"x")))=0,"",COUNTIF($M$5:M95,"x"))</f>
        <v/>
      </c>
      <c r="N200" s="3767" t="str">
        <f>IF(((COUNTIF($N$5:N95,"x"))-(COUNTIF($N$5:N94,"x")))=0,"",COUNTIF($N$5:N95,"x"))</f>
        <v/>
      </c>
      <c r="O200" s="3767" t="str">
        <f>IF(((COUNTIF($O$5:O95,"x"))-(COUNTIF($O$5:O94,"x")))=0,"",COUNTIF($O$5:O95,"x"))</f>
        <v/>
      </c>
      <c r="P200" s="3759" t="str">
        <f>IF(((COUNTIF($P$5:P95,"x"))-(COUNTIF($P$5:P94,"x")))=0,"",COUNTIF($P$5:P95,"x"))</f>
        <v/>
      </c>
      <c r="Q200" s="3767" t="str">
        <f>IF(((COUNTIF($Q$5:Q95,"x"))-(COUNTIF($Q$5:Q94,"x")))=0,"",COUNTIF($Q$5:Q95,"x"))</f>
        <v/>
      </c>
      <c r="R200" s="3767" t="str">
        <f>IF(((COUNTIF($R$5:R95,"x"))-(COUNTIF($R$5:R94,"x")))=0,"",COUNTIF($R$5:R95,"x"))</f>
        <v/>
      </c>
      <c r="S200" s="3767" t="str">
        <f>IF(((COUNTIF($S$5:S95,"x"))-(COUNTIF($S$5:S94,"x")))=0,"",COUNTIF($S$5:S95,"x"))</f>
        <v/>
      </c>
      <c r="T200" s="3767" t="str">
        <f>IF(((COUNTIF($T$5:T95,"x"))-(COUNTIF($T$5:T94,"x")))=0,"",COUNTIF($T$5:T95,"x"))</f>
        <v/>
      </c>
      <c r="U200" s="3767" t="str">
        <f>IF(((COUNTIF($U$5:U95,"x"))-(COUNTIF($U$5:U94,"x")))=0,"",COUNTIF($U$5:U95,"x"))</f>
        <v/>
      </c>
      <c r="V200" s="3767" t="str">
        <f>IF(((COUNTIF($V$5:V95,"x"))-(COUNTIF($V$5:V94,"x")))=0,"",COUNTIF($V$5:V95,"x"))</f>
        <v/>
      </c>
      <c r="W200" s="3767" t="str">
        <f>IF(((COUNTIF($W$5:W95,"x"))-(COUNTIF($W$5:W94,"x")))=0,"",COUNTIF($W$5:W95,"x"))</f>
        <v/>
      </c>
      <c r="X200" s="3767" t="str">
        <f>IF(((COUNTIF($X$5:X95,"x"))-(COUNTIF($X$5:X94,"x")))=0,"",COUNTIF($X$5:X95,"x"))</f>
        <v/>
      </c>
      <c r="Y200" s="3767" t="str">
        <f>IF(((COUNTIF($Y$5:Y95,"x"))-(COUNTIF($Y$5:Y94,"x")))=0,"",COUNTIF($Y$5:Y95,"x"))</f>
        <v/>
      </c>
      <c r="Z200" s="3767" t="str">
        <f>IF(((COUNTIF($Z$5:Z95,"x"))-(COUNTIF($Z$5:Z94,"x")))=0,"",COUNTIF($Z$5:Z95,"x"))</f>
        <v/>
      </c>
      <c r="AA200" s="3767" t="str">
        <f>IF(((COUNTIF($AA$5:AA95,"x"))-(COUNTIF($AA$5:AA94,"x")))=0,"",COUNTIF($AA$5:AA95,"x"))</f>
        <v/>
      </c>
      <c r="AB200" s="3767" t="str">
        <f>IF(((COUNTIF($AB$5:AB95,"x"))-(COUNTIF($AB$5:AB94,"x")))=0,"",COUNTIF($AB$5:AB95,"x"))</f>
        <v/>
      </c>
      <c r="AC200" s="3767" t="str">
        <f>IF(((COUNTIF($AC$5:AC95,"x"))-(COUNTIF($AC$5:AC94,"x")))=0,"",COUNTIF($AC$5:AC95,"x"))</f>
        <v/>
      </c>
      <c r="AD200" s="3759">
        <f>IF(((COUNTIF($AD$5:AD95,"x"))-(COUNTIF($AD$5:AD94,"x")))=0,"",COUNTIF($AD$5:AD95,"x"))</f>
        <v>85</v>
      </c>
      <c r="AE200" s="3767" t="str">
        <f>IF(((COUNTIF($AE$5:AE95,"x"))-(COUNTIF($AE$5:AE94,"x")))=0,"",COUNTIF($AE$5:AE95,"x"))</f>
        <v/>
      </c>
      <c r="AF200" s="3768" t="str">
        <f>IF(((COUNTIF($AF$5:AF95,"x"))-(COUNTIF($AF$5:AF94,"x")))=0,"",COUNTIF($AF$5:AF95,"x"))</f>
        <v/>
      </c>
      <c r="AG200" s="2152">
        <f t="shared" si="18"/>
        <v>0</v>
      </c>
    </row>
    <row r="201" spans="2:33" ht="18">
      <c r="B201" s="2168">
        <f t="shared" si="19"/>
        <v>92</v>
      </c>
      <c r="C201" s="3764">
        <f t="shared" si="17"/>
        <v>0</v>
      </c>
      <c r="D201" s="3770"/>
      <c r="E201" s="3771"/>
      <c r="F201" s="3758" t="str">
        <f>IF(((COUNTIF($F$5:$F96,"x"))-(COUNTIF($F$5:$F95,"x")))=0,"",COUNTIF($F$5:$F96,"x"))</f>
        <v/>
      </c>
      <c r="G201" s="3759" t="str">
        <f>IF(((COUNTIF($G$5:$G96,"x"))-(COUNTIF($G$5:$G95,"x")))=0,"",COUNTIF($G$5:$G96,"x"))</f>
        <v/>
      </c>
      <c r="H201" s="3759" t="str">
        <f>IF(((COUNTIF($H$5:$H96,"x"))-(COUNTIF($H$5:$H95,"x")))=0,"",COUNTIF($H$5:$H96,"x"))</f>
        <v/>
      </c>
      <c r="I201" s="3759" t="str">
        <f>IF(((COUNTIF($I$5:I96,"x"))-(COUNTIF($I$5:I95,"x")))=0,"",COUNTIF($I$5:I96,"x"))</f>
        <v/>
      </c>
      <c r="J201" s="3767" t="str">
        <f>IF(((COUNTIF($J$5:J96,"x"))-(COUNTIF($J$5:J95,"x")))=0,"",COUNTIF($J$5:J96,"x"))</f>
        <v/>
      </c>
      <c r="K201" s="3767" t="str">
        <f>IF(((COUNTIF($K$5:K96,"x"))-(COUNTIF($K$5:K95,"x")))=0,"",COUNTIF($K$5:K96,"x"))</f>
        <v/>
      </c>
      <c r="L201" s="3767" t="str">
        <f>IF(((COUNTIF($L$5:L96,"x"))-(COUNTIF($L$5:L95,"x")))=0,"",COUNTIF($L$5:L96,"x"))</f>
        <v/>
      </c>
      <c r="M201" s="3767" t="str">
        <f>IF(((COUNTIF($M$5:M96,"x"))-(COUNTIF($M$5:M95,"x")))=0,"",COUNTIF($M$5:M96,"x"))</f>
        <v/>
      </c>
      <c r="N201" s="3767" t="str">
        <f>IF(((COUNTIF($N$5:N96,"x"))-(COUNTIF($N$5:N95,"x")))=0,"",COUNTIF($N$5:N96,"x"))</f>
        <v/>
      </c>
      <c r="O201" s="3767" t="str">
        <f>IF(((COUNTIF($O$5:O96,"x"))-(COUNTIF($O$5:O95,"x")))=0,"",COUNTIF($O$5:O96,"x"))</f>
        <v/>
      </c>
      <c r="P201" s="3759" t="str">
        <f>IF(((COUNTIF($P$5:P96,"x"))-(COUNTIF($P$5:P95,"x")))=0,"",COUNTIF($P$5:P96,"x"))</f>
        <v/>
      </c>
      <c r="Q201" s="3767" t="str">
        <f>IF(((COUNTIF($Q$5:Q96,"x"))-(COUNTIF($Q$5:Q95,"x")))=0,"",COUNTIF($Q$5:Q96,"x"))</f>
        <v/>
      </c>
      <c r="R201" s="3767" t="str">
        <f>IF(((COUNTIF($R$5:R96,"x"))-(COUNTIF($R$5:R95,"x")))=0,"",COUNTIF($R$5:R96,"x"))</f>
        <v/>
      </c>
      <c r="S201" s="3767" t="str">
        <f>IF(((COUNTIF($S$5:S96,"x"))-(COUNTIF($S$5:S95,"x")))=0,"",COUNTIF($S$5:S96,"x"))</f>
        <v/>
      </c>
      <c r="T201" s="3767" t="str">
        <f>IF(((COUNTIF($T$5:T96,"x"))-(COUNTIF($T$5:T95,"x")))=0,"",COUNTIF($T$5:T96,"x"))</f>
        <v/>
      </c>
      <c r="U201" s="3767" t="str">
        <f>IF(((COUNTIF($U$5:U96,"x"))-(COUNTIF($U$5:U95,"x")))=0,"",COUNTIF($U$5:U96,"x"))</f>
        <v/>
      </c>
      <c r="V201" s="3767" t="str">
        <f>IF(((COUNTIF($V$5:V96,"x"))-(COUNTIF($V$5:V95,"x")))=0,"",COUNTIF($V$5:V96,"x"))</f>
        <v/>
      </c>
      <c r="W201" s="3767" t="str">
        <f>IF(((COUNTIF($W$5:W96,"x"))-(COUNTIF($W$5:W95,"x")))=0,"",COUNTIF($W$5:W96,"x"))</f>
        <v/>
      </c>
      <c r="X201" s="3767" t="str">
        <f>IF(((COUNTIF($X$5:X96,"x"))-(COUNTIF($X$5:X95,"x")))=0,"",COUNTIF($X$5:X96,"x"))</f>
        <v/>
      </c>
      <c r="Y201" s="3767" t="str">
        <f>IF(((COUNTIF($Y$5:Y96,"x"))-(COUNTIF($Y$5:Y95,"x")))=0,"",COUNTIF($Y$5:Y96,"x"))</f>
        <v/>
      </c>
      <c r="Z201" s="3767" t="str">
        <f>IF(((COUNTIF($Z$5:Z96,"x"))-(COUNTIF($Z$5:Z95,"x")))=0,"",COUNTIF($Z$5:Z96,"x"))</f>
        <v/>
      </c>
      <c r="AA201" s="3767" t="str">
        <f>IF(((COUNTIF($AA$5:AA96,"x"))-(COUNTIF($AA$5:AA95,"x")))=0,"",COUNTIF($AA$5:AA96,"x"))</f>
        <v/>
      </c>
      <c r="AB201" s="3767" t="str">
        <f>IF(((COUNTIF($AB$5:AB96,"x"))-(COUNTIF($AB$5:AB95,"x")))=0,"",COUNTIF($AB$5:AB96,"x"))</f>
        <v/>
      </c>
      <c r="AC201" s="3767" t="str">
        <f>IF(((COUNTIF($AC$5:AC96,"x"))-(COUNTIF($AC$5:AC95,"x")))=0,"",COUNTIF($AC$5:AC96,"x"))</f>
        <v/>
      </c>
      <c r="AD201" s="3759">
        <f>IF(((COUNTIF($AD$5:AD96,"x"))-(COUNTIF($AD$5:AD95,"x")))=0,"",COUNTIF($AD$5:AD96,"x"))</f>
        <v>86</v>
      </c>
      <c r="AE201" s="3767" t="str">
        <f>IF(((COUNTIF($AE$5:AE96,"x"))-(COUNTIF($AE$5:AE95,"x")))=0,"",COUNTIF($AE$5:AE96,"x"))</f>
        <v/>
      </c>
      <c r="AF201" s="3768" t="str">
        <f>IF(((COUNTIF($AF$5:AF96,"x"))-(COUNTIF($AF$5:AF95,"x")))=0,"",COUNTIF($AF$5:AF96,"x"))</f>
        <v/>
      </c>
      <c r="AG201" s="2152">
        <f t="shared" si="18"/>
        <v>0</v>
      </c>
    </row>
    <row r="202" spans="2:33" ht="18">
      <c r="B202" s="2168">
        <f t="shared" si="19"/>
        <v>93</v>
      </c>
      <c r="C202" s="3764">
        <f t="shared" si="17"/>
        <v>0</v>
      </c>
      <c r="D202" s="3770"/>
      <c r="E202" s="3771"/>
      <c r="F202" s="3758" t="str">
        <f>IF(((COUNTIF($F$5:$F97,"x"))-(COUNTIF($F$5:$F96,"x")))=0,"",COUNTIF($F$5:$F97,"x"))</f>
        <v/>
      </c>
      <c r="G202" s="3759" t="str">
        <f>IF(((COUNTIF($G$5:$G97,"x"))-(COUNTIF($G$5:$G96,"x")))=0,"",COUNTIF($G$5:$G97,"x"))</f>
        <v/>
      </c>
      <c r="H202" s="3759" t="str">
        <f>IF(((COUNTIF($H$5:$H97,"x"))-(COUNTIF($H$5:$H96,"x")))=0,"",COUNTIF($H$5:$H97,"x"))</f>
        <v/>
      </c>
      <c r="I202" s="3759" t="str">
        <f>IF(((COUNTIF($I$5:I97,"x"))-(COUNTIF($I$5:I96,"x")))=0,"",COUNTIF($I$5:I97,"x"))</f>
        <v/>
      </c>
      <c r="J202" s="3767" t="str">
        <f>IF(((COUNTIF($J$5:J97,"x"))-(COUNTIF($J$5:J96,"x")))=0,"",COUNTIF($J$5:J97,"x"))</f>
        <v/>
      </c>
      <c r="K202" s="3767" t="str">
        <f>IF(((COUNTIF($K$5:K97,"x"))-(COUNTIF($K$5:K96,"x")))=0,"",COUNTIF($K$5:K97,"x"))</f>
        <v/>
      </c>
      <c r="L202" s="3767" t="str">
        <f>IF(((COUNTIF($L$5:L97,"x"))-(COUNTIF($L$5:L96,"x")))=0,"",COUNTIF($L$5:L97,"x"))</f>
        <v/>
      </c>
      <c r="M202" s="3767" t="str">
        <f>IF(((COUNTIF($M$5:M97,"x"))-(COUNTIF($M$5:M96,"x")))=0,"",COUNTIF($M$5:M97,"x"))</f>
        <v/>
      </c>
      <c r="N202" s="3767" t="str">
        <f>IF(((COUNTIF($N$5:N97,"x"))-(COUNTIF($N$5:N96,"x")))=0,"",COUNTIF($N$5:N97,"x"))</f>
        <v/>
      </c>
      <c r="O202" s="3767" t="str">
        <f>IF(((COUNTIF($O$5:O97,"x"))-(COUNTIF($O$5:O96,"x")))=0,"",COUNTIF($O$5:O97,"x"))</f>
        <v/>
      </c>
      <c r="P202" s="3759" t="str">
        <f>IF(((COUNTIF($P$5:P97,"x"))-(COUNTIF($P$5:P96,"x")))=0,"",COUNTIF($P$5:P97,"x"))</f>
        <v/>
      </c>
      <c r="Q202" s="3767" t="str">
        <f>IF(((COUNTIF($Q$5:Q97,"x"))-(COUNTIF($Q$5:Q96,"x")))=0,"",COUNTIF($Q$5:Q97,"x"))</f>
        <v/>
      </c>
      <c r="R202" s="3767" t="str">
        <f>IF(((COUNTIF($R$5:R97,"x"))-(COUNTIF($R$5:R96,"x")))=0,"",COUNTIF($R$5:R97,"x"))</f>
        <v/>
      </c>
      <c r="S202" s="3767" t="str">
        <f>IF(((COUNTIF($S$5:S97,"x"))-(COUNTIF($S$5:S96,"x")))=0,"",COUNTIF($S$5:S97,"x"))</f>
        <v/>
      </c>
      <c r="T202" s="3767" t="str">
        <f>IF(((COUNTIF($T$5:T97,"x"))-(COUNTIF($T$5:T96,"x")))=0,"",COUNTIF($T$5:T97,"x"))</f>
        <v/>
      </c>
      <c r="U202" s="3767" t="str">
        <f>IF(((COUNTIF($U$5:U97,"x"))-(COUNTIF($U$5:U96,"x")))=0,"",COUNTIF($U$5:U97,"x"))</f>
        <v/>
      </c>
      <c r="V202" s="3767" t="str">
        <f>IF(((COUNTIF($V$5:V97,"x"))-(COUNTIF($V$5:V96,"x")))=0,"",COUNTIF($V$5:V97,"x"))</f>
        <v/>
      </c>
      <c r="W202" s="3767" t="str">
        <f>IF(((COUNTIF($W$5:W97,"x"))-(COUNTIF($W$5:W96,"x")))=0,"",COUNTIF($W$5:W97,"x"))</f>
        <v/>
      </c>
      <c r="X202" s="3767" t="str">
        <f>IF(((COUNTIF($X$5:X97,"x"))-(COUNTIF($X$5:X96,"x")))=0,"",COUNTIF($X$5:X97,"x"))</f>
        <v/>
      </c>
      <c r="Y202" s="3767" t="str">
        <f>IF(((COUNTIF($Y$5:Y97,"x"))-(COUNTIF($Y$5:Y96,"x")))=0,"",COUNTIF($Y$5:Y97,"x"))</f>
        <v/>
      </c>
      <c r="Z202" s="3767" t="str">
        <f>IF(((COUNTIF($Z$5:Z97,"x"))-(COUNTIF($Z$5:Z96,"x")))=0,"",COUNTIF($Z$5:Z97,"x"))</f>
        <v/>
      </c>
      <c r="AA202" s="3767" t="str">
        <f>IF(((COUNTIF($AA$5:AA97,"x"))-(COUNTIF($AA$5:AA96,"x")))=0,"",COUNTIF($AA$5:AA97,"x"))</f>
        <v/>
      </c>
      <c r="AB202" s="3767" t="str">
        <f>IF(((COUNTIF($AB$5:AB97,"x"))-(COUNTIF($AB$5:AB96,"x")))=0,"",COUNTIF($AB$5:AB97,"x"))</f>
        <v/>
      </c>
      <c r="AC202" s="3767" t="str">
        <f>IF(((COUNTIF($AC$5:AC97,"x"))-(COUNTIF($AC$5:AC96,"x")))=0,"",COUNTIF($AC$5:AC97,"x"))</f>
        <v/>
      </c>
      <c r="AD202" s="3759">
        <f>IF(((COUNTIF($AD$5:AD97,"x"))-(COUNTIF($AD$5:AD96,"x")))=0,"",COUNTIF($AD$5:AD97,"x"))</f>
        <v>87</v>
      </c>
      <c r="AE202" s="3767" t="str">
        <f>IF(((COUNTIF($AE$5:AE97,"x"))-(COUNTIF($AE$5:AE96,"x")))=0,"",COUNTIF($AE$5:AE97,"x"))</f>
        <v/>
      </c>
      <c r="AF202" s="3768" t="str">
        <f>IF(((COUNTIF($AF$5:AF97,"x"))-(COUNTIF($AF$5:AF96,"x")))=0,"",COUNTIF($AF$5:AF97,"x"))</f>
        <v/>
      </c>
      <c r="AG202" s="2152">
        <f t="shared" si="18"/>
        <v>0</v>
      </c>
    </row>
    <row r="203" spans="2:33" ht="18">
      <c r="B203" s="2168">
        <f t="shared" si="19"/>
        <v>94</v>
      </c>
      <c r="C203" s="3764">
        <f t="shared" si="17"/>
        <v>0</v>
      </c>
      <c r="D203" s="3770"/>
      <c r="E203" s="3771"/>
      <c r="F203" s="3758" t="str">
        <f>IF(((COUNTIF($F$5:$F98,"x"))-(COUNTIF($F$5:$F97,"x")))=0,"",COUNTIF($F$5:$F98,"x"))</f>
        <v/>
      </c>
      <c r="G203" s="3759" t="str">
        <f>IF(((COUNTIF($G$5:$G98,"x"))-(COUNTIF($G$5:$G97,"x")))=0,"",COUNTIF($G$5:$G98,"x"))</f>
        <v/>
      </c>
      <c r="H203" s="3759" t="str">
        <f>IF(((COUNTIF($H$5:$H98,"x"))-(COUNTIF($H$5:$H97,"x")))=0,"",COUNTIF($H$5:$H98,"x"))</f>
        <v/>
      </c>
      <c r="I203" s="3759" t="str">
        <f>IF(((COUNTIF($I$5:I98,"x"))-(COUNTIF($I$5:I97,"x")))=0,"",COUNTIF($I$5:I98,"x"))</f>
        <v/>
      </c>
      <c r="J203" s="3767" t="str">
        <f>IF(((COUNTIF($J$5:J98,"x"))-(COUNTIF($J$5:J97,"x")))=0,"",COUNTIF($J$5:J98,"x"))</f>
        <v/>
      </c>
      <c r="K203" s="3767" t="str">
        <f>IF(((COUNTIF($K$5:K98,"x"))-(COUNTIF($K$5:K97,"x")))=0,"",COUNTIF($K$5:K98,"x"))</f>
        <v/>
      </c>
      <c r="L203" s="3767" t="str">
        <f>IF(((COUNTIF($L$5:L98,"x"))-(COUNTIF($L$5:L97,"x")))=0,"",COUNTIF($L$5:L98,"x"))</f>
        <v/>
      </c>
      <c r="M203" s="3767" t="str">
        <f>IF(((COUNTIF($M$5:M98,"x"))-(COUNTIF($M$5:M97,"x")))=0,"",COUNTIF($M$5:M98,"x"))</f>
        <v/>
      </c>
      <c r="N203" s="3767" t="str">
        <f>IF(((COUNTIF($N$5:N98,"x"))-(COUNTIF($N$5:N97,"x")))=0,"",COUNTIF($N$5:N98,"x"))</f>
        <v/>
      </c>
      <c r="O203" s="3767" t="str">
        <f>IF(((COUNTIF($O$5:O98,"x"))-(COUNTIF($O$5:O97,"x")))=0,"",COUNTIF($O$5:O98,"x"))</f>
        <v/>
      </c>
      <c r="P203" s="3759" t="str">
        <f>IF(((COUNTIF($P$5:P98,"x"))-(COUNTIF($P$5:P97,"x")))=0,"",COUNTIF($P$5:P98,"x"))</f>
        <v/>
      </c>
      <c r="Q203" s="3767" t="str">
        <f>IF(((COUNTIF($Q$5:Q98,"x"))-(COUNTIF($Q$5:Q97,"x")))=0,"",COUNTIF($Q$5:Q98,"x"))</f>
        <v/>
      </c>
      <c r="R203" s="3767" t="str">
        <f>IF(((COUNTIF($R$5:R98,"x"))-(COUNTIF($R$5:R97,"x")))=0,"",COUNTIF($R$5:R98,"x"))</f>
        <v/>
      </c>
      <c r="S203" s="3767" t="str">
        <f>IF(((COUNTIF($S$5:S98,"x"))-(COUNTIF($S$5:S97,"x")))=0,"",COUNTIF($S$5:S98,"x"))</f>
        <v/>
      </c>
      <c r="T203" s="3767" t="str">
        <f>IF(((COUNTIF($T$5:T98,"x"))-(COUNTIF($T$5:T97,"x")))=0,"",COUNTIF($T$5:T98,"x"))</f>
        <v/>
      </c>
      <c r="U203" s="3767" t="str">
        <f>IF(((COUNTIF($U$5:U98,"x"))-(COUNTIF($U$5:U97,"x")))=0,"",COUNTIF($U$5:U98,"x"))</f>
        <v/>
      </c>
      <c r="V203" s="3767" t="str">
        <f>IF(((COUNTIF($V$5:V98,"x"))-(COUNTIF($V$5:V97,"x")))=0,"",COUNTIF($V$5:V98,"x"))</f>
        <v/>
      </c>
      <c r="W203" s="3767" t="str">
        <f>IF(((COUNTIF($W$5:W98,"x"))-(COUNTIF($W$5:W97,"x")))=0,"",COUNTIF($W$5:W98,"x"))</f>
        <v/>
      </c>
      <c r="X203" s="3767" t="str">
        <f>IF(((COUNTIF($X$5:X98,"x"))-(COUNTIF($X$5:X97,"x")))=0,"",COUNTIF($X$5:X98,"x"))</f>
        <v/>
      </c>
      <c r="Y203" s="3767" t="str">
        <f>IF(((COUNTIF($Y$5:Y98,"x"))-(COUNTIF($Y$5:Y97,"x")))=0,"",COUNTIF($Y$5:Y98,"x"))</f>
        <v/>
      </c>
      <c r="Z203" s="3767" t="str">
        <f>IF(((COUNTIF($Z$5:Z98,"x"))-(COUNTIF($Z$5:Z97,"x")))=0,"",COUNTIF($Z$5:Z98,"x"))</f>
        <v/>
      </c>
      <c r="AA203" s="3767" t="str">
        <f>IF(((COUNTIF($AA$5:AA98,"x"))-(COUNTIF($AA$5:AA97,"x")))=0,"",COUNTIF($AA$5:AA98,"x"))</f>
        <v/>
      </c>
      <c r="AB203" s="3767" t="str">
        <f>IF(((COUNTIF($AB$5:AB98,"x"))-(COUNTIF($AB$5:AB97,"x")))=0,"",COUNTIF($AB$5:AB98,"x"))</f>
        <v/>
      </c>
      <c r="AC203" s="3767" t="str">
        <f>IF(((COUNTIF($AC$5:AC98,"x"))-(COUNTIF($AC$5:AC97,"x")))=0,"",COUNTIF($AC$5:AC98,"x"))</f>
        <v/>
      </c>
      <c r="AD203" s="3759">
        <f>IF(((COUNTIF($AD$5:AD98,"x"))-(COUNTIF($AD$5:AD97,"x")))=0,"",COUNTIF($AD$5:AD98,"x"))</f>
        <v>88</v>
      </c>
      <c r="AE203" s="3767" t="str">
        <f>IF(((COUNTIF($AE$5:AE98,"x"))-(COUNTIF($AE$5:AE97,"x")))=0,"",COUNTIF($AE$5:AE98,"x"))</f>
        <v/>
      </c>
      <c r="AF203" s="3768" t="str">
        <f>IF(((COUNTIF($AF$5:AF98,"x"))-(COUNTIF($AF$5:AF97,"x")))=0,"",COUNTIF($AF$5:AF98,"x"))</f>
        <v/>
      </c>
      <c r="AG203" s="2152">
        <f t="shared" si="18"/>
        <v>0</v>
      </c>
    </row>
    <row r="204" spans="2:33" ht="18">
      <c r="B204" s="2168">
        <f t="shared" si="19"/>
        <v>95</v>
      </c>
      <c r="C204" s="3764">
        <f t="shared" si="17"/>
        <v>0</v>
      </c>
      <c r="D204" s="3770"/>
      <c r="E204" s="3771"/>
      <c r="F204" s="3758" t="str">
        <f>IF(((COUNTIF($F$5:$F99,"x"))-(COUNTIF($F$5:$F98,"x")))=0,"",COUNTIF($F$5:$F99,"x"))</f>
        <v/>
      </c>
      <c r="G204" s="3759" t="str">
        <f>IF(((COUNTIF($G$5:$G99,"x"))-(COUNTIF($G$5:$G98,"x")))=0,"",COUNTIF($G$5:$G99,"x"))</f>
        <v/>
      </c>
      <c r="H204" s="3759" t="str">
        <f>IF(((COUNTIF($H$5:$H99,"x"))-(COUNTIF($H$5:$H98,"x")))=0,"",COUNTIF($H$5:$H99,"x"))</f>
        <v/>
      </c>
      <c r="I204" s="3759" t="str">
        <f>IF(((COUNTIF($I$5:I99,"x"))-(COUNTIF($I$5:I98,"x")))=0,"",COUNTIF($I$5:I99,"x"))</f>
        <v/>
      </c>
      <c r="J204" s="3767" t="str">
        <f>IF(((COUNTIF($J$5:J99,"x"))-(COUNTIF($J$5:J98,"x")))=0,"",COUNTIF($J$5:J99,"x"))</f>
        <v/>
      </c>
      <c r="K204" s="3767" t="str">
        <f>IF(((COUNTIF($K$5:K99,"x"))-(COUNTIF($K$5:K98,"x")))=0,"",COUNTIF($K$5:K99,"x"))</f>
        <v/>
      </c>
      <c r="L204" s="3767" t="str">
        <f>IF(((COUNTIF($L$5:L99,"x"))-(COUNTIF($L$5:L98,"x")))=0,"",COUNTIF($L$5:L99,"x"))</f>
        <v/>
      </c>
      <c r="M204" s="3767" t="str">
        <f>IF(((COUNTIF($M$5:M99,"x"))-(COUNTIF($M$5:M98,"x")))=0,"",COUNTIF($M$5:M99,"x"))</f>
        <v/>
      </c>
      <c r="N204" s="3767" t="str">
        <f>IF(((COUNTIF($N$5:N99,"x"))-(COUNTIF($N$5:N98,"x")))=0,"",COUNTIF($N$5:N99,"x"))</f>
        <v/>
      </c>
      <c r="O204" s="3767" t="str">
        <f>IF(((COUNTIF($O$5:O99,"x"))-(COUNTIF($O$5:O98,"x")))=0,"",COUNTIF($O$5:O99,"x"))</f>
        <v/>
      </c>
      <c r="P204" s="3759" t="str">
        <f>IF(((COUNTIF($P$5:P99,"x"))-(COUNTIF($P$5:P98,"x")))=0,"",COUNTIF($P$5:P99,"x"))</f>
        <v/>
      </c>
      <c r="Q204" s="3767" t="str">
        <f>IF(((COUNTIF($Q$5:Q99,"x"))-(COUNTIF($Q$5:Q98,"x")))=0,"",COUNTIF($Q$5:Q99,"x"))</f>
        <v/>
      </c>
      <c r="R204" s="3767" t="str">
        <f>IF(((COUNTIF($R$5:R99,"x"))-(COUNTIF($R$5:R98,"x")))=0,"",COUNTIF($R$5:R99,"x"))</f>
        <v/>
      </c>
      <c r="S204" s="3767" t="str">
        <f>IF(((COUNTIF($S$5:S99,"x"))-(COUNTIF($S$5:S98,"x")))=0,"",COUNTIF($S$5:S99,"x"))</f>
        <v/>
      </c>
      <c r="T204" s="3767" t="str">
        <f>IF(((COUNTIF($T$5:T99,"x"))-(COUNTIF($T$5:T98,"x")))=0,"",COUNTIF($T$5:T99,"x"))</f>
        <v/>
      </c>
      <c r="U204" s="3767" t="str">
        <f>IF(((COUNTIF($U$5:U99,"x"))-(COUNTIF($U$5:U98,"x")))=0,"",COUNTIF($U$5:U99,"x"))</f>
        <v/>
      </c>
      <c r="V204" s="3767" t="str">
        <f>IF(((COUNTIF($V$5:V99,"x"))-(COUNTIF($V$5:V98,"x")))=0,"",COUNTIF($V$5:V99,"x"))</f>
        <v/>
      </c>
      <c r="W204" s="3767" t="str">
        <f>IF(((COUNTIF($W$5:W99,"x"))-(COUNTIF($W$5:W98,"x")))=0,"",COUNTIF($W$5:W99,"x"))</f>
        <v/>
      </c>
      <c r="X204" s="3767" t="str">
        <f>IF(((COUNTIF($X$5:X99,"x"))-(COUNTIF($X$5:X98,"x")))=0,"",COUNTIF($X$5:X99,"x"))</f>
        <v/>
      </c>
      <c r="Y204" s="3767" t="str">
        <f>IF(((COUNTIF($Y$5:Y99,"x"))-(COUNTIF($Y$5:Y98,"x")))=0,"",COUNTIF($Y$5:Y99,"x"))</f>
        <v/>
      </c>
      <c r="Z204" s="3767" t="str">
        <f>IF(((COUNTIF($Z$5:Z99,"x"))-(COUNTIF($Z$5:Z98,"x")))=0,"",COUNTIF($Z$5:Z99,"x"))</f>
        <v/>
      </c>
      <c r="AA204" s="3767" t="str">
        <f>IF(((COUNTIF($AA$5:AA99,"x"))-(COUNTIF($AA$5:AA98,"x")))=0,"",COUNTIF($AA$5:AA99,"x"))</f>
        <v/>
      </c>
      <c r="AB204" s="3767" t="str">
        <f>IF(((COUNTIF($AB$5:AB99,"x"))-(COUNTIF($AB$5:AB98,"x")))=0,"",COUNTIF($AB$5:AB99,"x"))</f>
        <v/>
      </c>
      <c r="AC204" s="3767" t="str">
        <f>IF(((COUNTIF($AC$5:AC99,"x"))-(COUNTIF($AC$5:AC98,"x")))=0,"",COUNTIF($AC$5:AC99,"x"))</f>
        <v/>
      </c>
      <c r="AD204" s="3759">
        <f>IF(((COUNTIF($AD$5:AD99,"x"))-(COUNTIF($AD$5:AD98,"x")))=0,"",COUNTIF($AD$5:AD99,"x"))</f>
        <v>89</v>
      </c>
      <c r="AE204" s="3767" t="str">
        <f>IF(((COUNTIF($AE$5:AE99,"x"))-(COUNTIF($AE$5:AE98,"x")))=0,"",COUNTIF($AE$5:AE99,"x"))</f>
        <v/>
      </c>
      <c r="AF204" s="3768" t="str">
        <f>IF(((COUNTIF($AF$5:AF99,"x"))-(COUNTIF($AF$5:AF98,"x")))=0,"",COUNTIF($AF$5:AF99,"x"))</f>
        <v/>
      </c>
      <c r="AG204" s="2152">
        <f t="shared" si="18"/>
        <v>0</v>
      </c>
    </row>
    <row r="205" spans="2:33" ht="18">
      <c r="B205" s="2168">
        <f t="shared" si="19"/>
        <v>96</v>
      </c>
      <c r="C205" s="3764">
        <f t="shared" si="17"/>
        <v>0</v>
      </c>
      <c r="D205" s="3770"/>
      <c r="E205" s="3771"/>
      <c r="F205" s="3758" t="str">
        <f>IF(((COUNTIF($F$5:$F100,"x"))-(COUNTIF($F$5:$F99,"x")))=0,"",COUNTIF($F$5:$F100,"x"))</f>
        <v/>
      </c>
      <c r="G205" s="3759" t="str">
        <f>IF(((COUNTIF($G$5:$G100,"x"))-(COUNTIF($G$5:$G99,"x")))=0,"",COUNTIF($G$5:$G100,"x"))</f>
        <v/>
      </c>
      <c r="H205" s="3759" t="str">
        <f>IF(((COUNTIF($H$5:$H100,"x"))-(COUNTIF($H$5:$H99,"x")))=0,"",COUNTIF($H$5:$H100,"x"))</f>
        <v/>
      </c>
      <c r="I205" s="3759" t="str">
        <f>IF(((COUNTIF($I$5:I100,"x"))-(COUNTIF($I$5:I99,"x")))=0,"",COUNTIF($I$5:I100,"x"))</f>
        <v/>
      </c>
      <c r="J205" s="3767" t="str">
        <f>IF(((COUNTIF($J$5:J100,"x"))-(COUNTIF($J$5:J99,"x")))=0,"",COUNTIF($J$5:J100,"x"))</f>
        <v/>
      </c>
      <c r="K205" s="3767" t="str">
        <f>IF(((COUNTIF($K$5:K100,"x"))-(COUNTIF($K$5:K99,"x")))=0,"",COUNTIF($K$5:K100,"x"))</f>
        <v/>
      </c>
      <c r="L205" s="3767" t="str">
        <f>IF(((COUNTIF($L$5:L100,"x"))-(COUNTIF($L$5:L99,"x")))=0,"",COUNTIF($L$5:L100,"x"))</f>
        <v/>
      </c>
      <c r="M205" s="3767" t="str">
        <f>IF(((COUNTIF($M$5:M100,"x"))-(COUNTIF($M$5:M99,"x")))=0,"",COUNTIF($M$5:M100,"x"))</f>
        <v/>
      </c>
      <c r="N205" s="3767" t="str">
        <f>IF(((COUNTIF($N$5:N100,"x"))-(COUNTIF($N$5:N99,"x")))=0,"",COUNTIF($N$5:N100,"x"))</f>
        <v/>
      </c>
      <c r="O205" s="3767" t="str">
        <f>IF(((COUNTIF($O$5:O100,"x"))-(COUNTIF($O$5:O99,"x")))=0,"",COUNTIF($O$5:O100,"x"))</f>
        <v/>
      </c>
      <c r="P205" s="3759" t="str">
        <f>IF(((COUNTIF($P$5:P100,"x"))-(COUNTIF($P$5:P99,"x")))=0,"",COUNTIF($P$5:P100,"x"))</f>
        <v/>
      </c>
      <c r="Q205" s="3767" t="str">
        <f>IF(((COUNTIF($Q$5:Q100,"x"))-(COUNTIF($Q$5:Q99,"x")))=0,"",COUNTIF($Q$5:Q100,"x"))</f>
        <v/>
      </c>
      <c r="R205" s="3767" t="str">
        <f>IF(((COUNTIF($R$5:R100,"x"))-(COUNTIF($R$5:R99,"x")))=0,"",COUNTIF($R$5:R100,"x"))</f>
        <v/>
      </c>
      <c r="S205" s="3767" t="str">
        <f>IF(((COUNTIF($S$5:S100,"x"))-(COUNTIF($S$5:S99,"x")))=0,"",COUNTIF($S$5:S100,"x"))</f>
        <v/>
      </c>
      <c r="T205" s="3767" t="str">
        <f>IF(((COUNTIF($T$5:T100,"x"))-(COUNTIF($T$5:T99,"x")))=0,"",COUNTIF($T$5:T100,"x"))</f>
        <v/>
      </c>
      <c r="U205" s="3767" t="str">
        <f>IF(((COUNTIF($U$5:U100,"x"))-(COUNTIF($U$5:U99,"x")))=0,"",COUNTIF($U$5:U100,"x"))</f>
        <v/>
      </c>
      <c r="V205" s="3767" t="str">
        <f>IF(((COUNTIF($V$5:V100,"x"))-(COUNTIF($V$5:V99,"x")))=0,"",COUNTIF($V$5:V100,"x"))</f>
        <v/>
      </c>
      <c r="W205" s="3767" t="str">
        <f>IF(((COUNTIF($W$5:W100,"x"))-(COUNTIF($W$5:W99,"x")))=0,"",COUNTIF($W$5:W100,"x"))</f>
        <v/>
      </c>
      <c r="X205" s="3767" t="str">
        <f>IF(((COUNTIF($X$5:X100,"x"))-(COUNTIF($X$5:X99,"x")))=0,"",COUNTIF($X$5:X100,"x"))</f>
        <v/>
      </c>
      <c r="Y205" s="3767" t="str">
        <f>IF(((COUNTIF($Y$5:Y100,"x"))-(COUNTIF($Y$5:Y99,"x")))=0,"",COUNTIF($Y$5:Y100,"x"))</f>
        <v/>
      </c>
      <c r="Z205" s="3767" t="str">
        <f>IF(((COUNTIF($Z$5:Z100,"x"))-(COUNTIF($Z$5:Z99,"x")))=0,"",COUNTIF($Z$5:Z100,"x"))</f>
        <v/>
      </c>
      <c r="AA205" s="3767" t="str">
        <f>IF(((COUNTIF($AA$5:AA100,"x"))-(COUNTIF($AA$5:AA99,"x")))=0,"",COUNTIF($AA$5:AA100,"x"))</f>
        <v/>
      </c>
      <c r="AB205" s="3767" t="str">
        <f>IF(((COUNTIF($AB$5:AB100,"x"))-(COUNTIF($AB$5:AB99,"x")))=0,"",COUNTIF($AB$5:AB100,"x"))</f>
        <v/>
      </c>
      <c r="AC205" s="3767" t="str">
        <f>IF(((COUNTIF($AC$5:AC100,"x"))-(COUNTIF($AC$5:AC99,"x")))=0,"",COUNTIF($AC$5:AC100,"x"))</f>
        <v/>
      </c>
      <c r="AD205" s="3759">
        <f>IF(((COUNTIF($AD$5:AD100,"x"))-(COUNTIF($AD$5:AD99,"x")))=0,"",COUNTIF($AD$5:AD100,"x"))</f>
        <v>90</v>
      </c>
      <c r="AE205" s="3767" t="str">
        <f>IF(((COUNTIF($AE$5:AE100,"x"))-(COUNTIF($AE$5:AE99,"x")))=0,"",COUNTIF($AE$5:AE100,"x"))</f>
        <v/>
      </c>
      <c r="AF205" s="3768" t="str">
        <f>IF(((COUNTIF($AF$5:AF100,"x"))-(COUNTIF($AF$5:AF99,"x")))=0,"",COUNTIF($AF$5:AF100,"x"))</f>
        <v/>
      </c>
      <c r="AG205" s="2152">
        <f t="shared" si="18"/>
        <v>0</v>
      </c>
    </row>
    <row r="206" spans="2:33" ht="18">
      <c r="B206" s="2168">
        <f t="shared" si="19"/>
        <v>97</v>
      </c>
      <c r="C206" s="3764">
        <f t="shared" si="17"/>
        <v>0</v>
      </c>
      <c r="D206" s="3770"/>
      <c r="E206" s="3771"/>
      <c r="F206" s="3758" t="str">
        <f>IF(((COUNTIF($F$5:$F101,"x"))-(COUNTIF($F$5:$F100,"x")))=0,"",COUNTIF($F$5:$F101,"x"))</f>
        <v/>
      </c>
      <c r="G206" s="3759" t="str">
        <f>IF(((COUNTIF($G$5:$G101,"x"))-(COUNTIF($G$5:$G100,"x")))=0,"",COUNTIF($G$5:$G101,"x"))</f>
        <v/>
      </c>
      <c r="H206" s="3759" t="str">
        <f>IF(((COUNTIF($H$5:$H101,"x"))-(COUNTIF($H$5:$H100,"x")))=0,"",COUNTIF($H$5:$H101,"x"))</f>
        <v/>
      </c>
      <c r="I206" s="3759" t="str">
        <f>IF(((COUNTIF($I$5:I101,"x"))-(COUNTIF($I$5:I100,"x")))=0,"",COUNTIF($I$5:I101,"x"))</f>
        <v/>
      </c>
      <c r="J206" s="3767" t="str">
        <f>IF(((COUNTIF($J$5:J101,"x"))-(COUNTIF($J$5:J100,"x")))=0,"",COUNTIF($J$5:J101,"x"))</f>
        <v/>
      </c>
      <c r="K206" s="3767" t="str">
        <f>IF(((COUNTIF($K$5:K101,"x"))-(COUNTIF($K$5:K100,"x")))=0,"",COUNTIF($K$5:K101,"x"))</f>
        <v/>
      </c>
      <c r="L206" s="3767" t="str">
        <f>IF(((COUNTIF($L$5:L101,"x"))-(COUNTIF($L$5:L100,"x")))=0,"",COUNTIF($L$5:L101,"x"))</f>
        <v/>
      </c>
      <c r="M206" s="3767" t="str">
        <f>IF(((COUNTIF($M$5:M101,"x"))-(COUNTIF($M$5:M100,"x")))=0,"",COUNTIF($M$5:M101,"x"))</f>
        <v/>
      </c>
      <c r="N206" s="3767" t="str">
        <f>IF(((COUNTIF($N$5:N101,"x"))-(COUNTIF($N$5:N100,"x")))=0,"",COUNTIF($N$5:N101,"x"))</f>
        <v/>
      </c>
      <c r="O206" s="3767" t="str">
        <f>IF(((COUNTIF($O$5:O101,"x"))-(COUNTIF($O$5:O100,"x")))=0,"",COUNTIF($O$5:O101,"x"))</f>
        <v/>
      </c>
      <c r="P206" s="3759" t="str">
        <f>IF(((COUNTIF($P$5:P101,"x"))-(COUNTIF($P$5:P100,"x")))=0,"",COUNTIF($P$5:P101,"x"))</f>
        <v/>
      </c>
      <c r="Q206" s="3767" t="str">
        <f>IF(((COUNTIF($Q$5:Q101,"x"))-(COUNTIF($Q$5:Q100,"x")))=0,"",COUNTIF($Q$5:Q101,"x"))</f>
        <v/>
      </c>
      <c r="R206" s="3767" t="str">
        <f>IF(((COUNTIF($R$5:R101,"x"))-(COUNTIF($R$5:R100,"x")))=0,"",COUNTIF($R$5:R101,"x"))</f>
        <v/>
      </c>
      <c r="S206" s="3767" t="str">
        <f>IF(((COUNTIF($S$5:S101,"x"))-(COUNTIF($S$5:S100,"x")))=0,"",COUNTIF($S$5:S101,"x"))</f>
        <v/>
      </c>
      <c r="T206" s="3767" t="str">
        <f>IF(((COUNTIF($T$5:T101,"x"))-(COUNTIF($T$5:T100,"x")))=0,"",COUNTIF($T$5:T101,"x"))</f>
        <v/>
      </c>
      <c r="U206" s="3767" t="str">
        <f>IF(((COUNTIF($U$5:U101,"x"))-(COUNTIF($U$5:U100,"x")))=0,"",COUNTIF($U$5:U101,"x"))</f>
        <v/>
      </c>
      <c r="V206" s="3767" t="str">
        <f>IF(((COUNTIF($V$5:V101,"x"))-(COUNTIF($V$5:V100,"x")))=0,"",COUNTIF($V$5:V101,"x"))</f>
        <v/>
      </c>
      <c r="W206" s="3767" t="str">
        <f>IF(((COUNTIF($W$5:W101,"x"))-(COUNTIF($W$5:W100,"x")))=0,"",COUNTIF($W$5:W101,"x"))</f>
        <v/>
      </c>
      <c r="X206" s="3767" t="str">
        <f>IF(((COUNTIF($X$5:X101,"x"))-(COUNTIF($X$5:X100,"x")))=0,"",COUNTIF($X$5:X101,"x"))</f>
        <v/>
      </c>
      <c r="Y206" s="3767" t="str">
        <f>IF(((COUNTIF($Y$5:Y101,"x"))-(COUNTIF($Y$5:Y100,"x")))=0,"",COUNTIF($Y$5:Y101,"x"))</f>
        <v/>
      </c>
      <c r="Z206" s="3767" t="str">
        <f>IF(((COUNTIF($Z$5:Z101,"x"))-(COUNTIF($Z$5:Z100,"x")))=0,"",COUNTIF($Z$5:Z101,"x"))</f>
        <v/>
      </c>
      <c r="AA206" s="3767" t="str">
        <f>IF(((COUNTIF($AA$5:AA101,"x"))-(COUNTIF($AA$5:AA100,"x")))=0,"",COUNTIF($AA$5:AA101,"x"))</f>
        <v/>
      </c>
      <c r="AB206" s="3767" t="str">
        <f>IF(((COUNTIF($AB$5:AB101,"x"))-(COUNTIF($AB$5:AB100,"x")))=0,"",COUNTIF($AB$5:AB101,"x"))</f>
        <v/>
      </c>
      <c r="AC206" s="3767" t="str">
        <f>IF(((COUNTIF($AC$5:AC101,"x"))-(COUNTIF($AC$5:AC100,"x")))=0,"",COUNTIF($AC$5:AC101,"x"))</f>
        <v/>
      </c>
      <c r="AD206" s="3759">
        <f>IF(((COUNTIF($AD$5:AD101,"x"))-(COUNTIF($AD$5:AD100,"x")))=0,"",COUNTIF($AD$5:AD101,"x"))</f>
        <v>91</v>
      </c>
      <c r="AE206" s="3767" t="str">
        <f>IF(((COUNTIF($AE$5:AE101,"x"))-(COUNTIF($AE$5:AE100,"x")))=0,"",COUNTIF($AE$5:AE101,"x"))</f>
        <v/>
      </c>
      <c r="AF206" s="3768" t="str">
        <f>IF(((COUNTIF($AF$5:AF101,"x"))-(COUNTIF($AF$5:AF100,"x")))=0,"",COUNTIF($AF$5:AF101,"x"))</f>
        <v/>
      </c>
      <c r="AG206" s="2152">
        <f t="shared" si="18"/>
        <v>0</v>
      </c>
    </row>
    <row r="207" spans="2:33" ht="18">
      <c r="B207" s="2168">
        <f t="shared" si="19"/>
        <v>98</v>
      </c>
      <c r="C207" s="3764">
        <f t="shared" si="17"/>
        <v>0</v>
      </c>
      <c r="D207" s="3770"/>
      <c r="E207" s="3771"/>
      <c r="F207" s="3758" t="str">
        <f>IF(((COUNTIF($F$5:$F102,"x"))-(COUNTIF($F$5:$F101,"x")))=0,"",COUNTIF($F$5:$F102,"x"))</f>
        <v/>
      </c>
      <c r="G207" s="3759" t="str">
        <f>IF(((COUNTIF($G$5:$G102,"x"))-(COUNTIF($G$5:$G101,"x")))=0,"",COUNTIF($G$5:$G102,"x"))</f>
        <v/>
      </c>
      <c r="H207" s="3759" t="str">
        <f>IF(((COUNTIF($H$5:$H102,"x"))-(COUNTIF($H$5:$H101,"x")))=0,"",COUNTIF($H$5:$H102,"x"))</f>
        <v/>
      </c>
      <c r="I207" s="3759" t="str">
        <f>IF(((COUNTIF($I$5:I102,"x"))-(COUNTIF($I$5:I101,"x")))=0,"",COUNTIF($I$5:I102,"x"))</f>
        <v/>
      </c>
      <c r="J207" s="3767" t="str">
        <f>IF(((COUNTIF($J$5:J102,"x"))-(COUNTIF($J$5:J101,"x")))=0,"",COUNTIF($J$5:J102,"x"))</f>
        <v/>
      </c>
      <c r="K207" s="3767" t="str">
        <f>IF(((COUNTIF($K$5:K102,"x"))-(COUNTIF($K$5:K101,"x")))=0,"",COUNTIF($K$5:K102,"x"))</f>
        <v/>
      </c>
      <c r="L207" s="3767" t="str">
        <f>IF(((COUNTIF($L$5:L102,"x"))-(COUNTIF($L$5:L101,"x")))=0,"",COUNTIF($L$5:L102,"x"))</f>
        <v/>
      </c>
      <c r="M207" s="3767" t="str">
        <f>IF(((COUNTIF($M$5:M102,"x"))-(COUNTIF($M$5:M101,"x")))=0,"",COUNTIF($M$5:M102,"x"))</f>
        <v/>
      </c>
      <c r="N207" s="3767" t="str">
        <f>IF(((COUNTIF($N$5:N102,"x"))-(COUNTIF($N$5:N101,"x")))=0,"",COUNTIF($N$5:N102,"x"))</f>
        <v/>
      </c>
      <c r="O207" s="3767" t="str">
        <f>IF(((COUNTIF($O$5:O102,"x"))-(COUNTIF($O$5:O101,"x")))=0,"",COUNTIF($O$5:O102,"x"))</f>
        <v/>
      </c>
      <c r="P207" s="3759" t="str">
        <f>IF(((COUNTIF($P$5:P102,"x"))-(COUNTIF($P$5:P101,"x")))=0,"",COUNTIF($P$5:P102,"x"))</f>
        <v/>
      </c>
      <c r="Q207" s="3767" t="str">
        <f>IF(((COUNTIF($Q$5:Q102,"x"))-(COUNTIF($Q$5:Q101,"x")))=0,"",COUNTIF($Q$5:Q102,"x"))</f>
        <v/>
      </c>
      <c r="R207" s="3767" t="str">
        <f>IF(((COUNTIF($R$5:R102,"x"))-(COUNTIF($R$5:R101,"x")))=0,"",COUNTIF($R$5:R102,"x"))</f>
        <v/>
      </c>
      <c r="S207" s="3767" t="str">
        <f>IF(((COUNTIF($S$5:S102,"x"))-(COUNTIF($S$5:S101,"x")))=0,"",COUNTIF($S$5:S102,"x"))</f>
        <v/>
      </c>
      <c r="T207" s="3767" t="str">
        <f>IF(((COUNTIF($T$5:T102,"x"))-(COUNTIF($T$5:T101,"x")))=0,"",COUNTIF($T$5:T102,"x"))</f>
        <v/>
      </c>
      <c r="U207" s="3767" t="str">
        <f>IF(((COUNTIF($U$5:U102,"x"))-(COUNTIF($U$5:U101,"x")))=0,"",COUNTIF($U$5:U102,"x"))</f>
        <v/>
      </c>
      <c r="V207" s="3767" t="str">
        <f>IF(((COUNTIF($V$5:V102,"x"))-(COUNTIF($V$5:V101,"x")))=0,"",COUNTIF($V$5:V102,"x"))</f>
        <v/>
      </c>
      <c r="W207" s="3767" t="str">
        <f>IF(((COUNTIF($W$5:W102,"x"))-(COUNTIF($W$5:W101,"x")))=0,"",COUNTIF($W$5:W102,"x"))</f>
        <v/>
      </c>
      <c r="X207" s="3767" t="str">
        <f>IF(((COUNTIF($X$5:X102,"x"))-(COUNTIF($X$5:X101,"x")))=0,"",COUNTIF($X$5:X102,"x"))</f>
        <v/>
      </c>
      <c r="Y207" s="3767" t="str">
        <f>IF(((COUNTIF($Y$5:Y102,"x"))-(COUNTIF($Y$5:Y101,"x")))=0,"",COUNTIF($Y$5:Y102,"x"))</f>
        <v/>
      </c>
      <c r="Z207" s="3767" t="str">
        <f>IF(((COUNTIF($Z$5:Z102,"x"))-(COUNTIF($Z$5:Z101,"x")))=0,"",COUNTIF($Z$5:Z102,"x"))</f>
        <v/>
      </c>
      <c r="AA207" s="3767" t="str">
        <f>IF(((COUNTIF($AA$5:AA102,"x"))-(COUNTIF($AA$5:AA101,"x")))=0,"",COUNTIF($AA$5:AA102,"x"))</f>
        <v/>
      </c>
      <c r="AB207" s="3767" t="str">
        <f>IF(((COUNTIF($AB$5:AB102,"x"))-(COUNTIF($AB$5:AB101,"x")))=0,"",COUNTIF($AB$5:AB102,"x"))</f>
        <v/>
      </c>
      <c r="AC207" s="3767" t="str">
        <f>IF(((COUNTIF($AC$5:AC102,"x"))-(COUNTIF($AC$5:AC101,"x")))=0,"",COUNTIF($AC$5:AC102,"x"))</f>
        <v/>
      </c>
      <c r="AD207" s="3759">
        <f>IF(((COUNTIF($AD$5:AD102,"x"))-(COUNTIF($AD$5:AD101,"x")))=0,"",COUNTIF($AD$5:AD102,"x"))</f>
        <v>92</v>
      </c>
      <c r="AE207" s="3767" t="str">
        <f>IF(((COUNTIF($AE$5:AE102,"x"))-(COUNTIF($AE$5:AE101,"x")))=0,"",COUNTIF($AE$5:AE102,"x"))</f>
        <v/>
      </c>
      <c r="AF207" s="3768" t="str">
        <f>IF(((COUNTIF($AF$5:AF102,"x"))-(COUNTIF($AF$5:AF101,"x")))=0,"",COUNTIF($AF$5:AF102,"x"))</f>
        <v/>
      </c>
      <c r="AG207" s="2152">
        <f t="shared" si="18"/>
        <v>0</v>
      </c>
    </row>
    <row r="208" spans="2:33" ht="18.75" thickBot="1">
      <c r="B208" s="2161">
        <f t="shared" si="19"/>
        <v>99</v>
      </c>
      <c r="C208" s="3772">
        <f t="shared" si="17"/>
        <v>0</v>
      </c>
      <c r="D208" s="3773"/>
      <c r="E208" s="3752"/>
      <c r="F208" s="3774" t="str">
        <f>IF(((COUNTIF($F$5:$F103,"x"))-(COUNTIF($F$5:$F102,"x")))=0,"",COUNTIF($F$5:$F103,"x"))</f>
        <v/>
      </c>
      <c r="G208" s="3775" t="str">
        <f>IF(((COUNTIF($G$5:$G103,"x"))-(COUNTIF($G$5:$G102,"x")))=0,"",COUNTIF($G$5:$G103,"x"))</f>
        <v/>
      </c>
      <c r="H208" s="3775" t="str">
        <f>IF(((COUNTIF($H$5:$H103,"x"))-(COUNTIF($H$5:$H102,"x")))=0,"",COUNTIF($H$5:$H103,"x"))</f>
        <v/>
      </c>
      <c r="I208" s="3775" t="str">
        <f>IF(((COUNTIF($I$5:I103,"x"))-(COUNTIF($I$5:I102,"x")))=0,"",COUNTIF($I$5:I103,"x"))</f>
        <v/>
      </c>
      <c r="J208" s="3776" t="str">
        <f>IF(((COUNTIF($J$5:J103,"x"))-(COUNTIF($J$5:J102,"x")))=0,"",COUNTIF($J$5:J103,"x"))</f>
        <v/>
      </c>
      <c r="K208" s="3776" t="str">
        <f>IF(((COUNTIF($K$5:K103,"x"))-(COUNTIF($K$5:K102,"x")))=0,"",COUNTIF($K$5:K103,"x"))</f>
        <v/>
      </c>
      <c r="L208" s="3776" t="str">
        <f>IF(((COUNTIF($L$5:L103,"x"))-(COUNTIF($L$5:L102,"x")))=0,"",COUNTIF($L$5:L103,"x"))</f>
        <v/>
      </c>
      <c r="M208" s="3776" t="str">
        <f>IF(((COUNTIF($M$5:M103,"x"))-(COUNTIF($M$5:M102,"x")))=0,"",COUNTIF($M$5:M103,"x"))</f>
        <v/>
      </c>
      <c r="N208" s="3776" t="str">
        <f>IF(((COUNTIF($N$5:N103,"x"))-(COUNTIF($N$5:N102,"x")))=0,"",COUNTIF($N$5:N103,"x"))</f>
        <v/>
      </c>
      <c r="O208" s="3776" t="str">
        <f>IF(((COUNTIF($O$5:O103,"x"))-(COUNTIF($O$5:O102,"x")))=0,"",COUNTIF($O$5:O103,"x"))</f>
        <v/>
      </c>
      <c r="P208" s="3775" t="str">
        <f>IF(((COUNTIF($P$5:P103,"x"))-(COUNTIF($P$5:P102,"x")))=0,"",COUNTIF($P$5:P103,"x"))</f>
        <v/>
      </c>
      <c r="Q208" s="3776" t="str">
        <f>IF(((COUNTIF($Q$5:Q103,"x"))-(COUNTIF($Q$5:Q102,"x")))=0,"",COUNTIF($Q$5:Q103,"x"))</f>
        <v/>
      </c>
      <c r="R208" s="3776" t="str">
        <f>IF(((COUNTIF($R$5:R103,"x"))-(COUNTIF($R$5:R102,"x")))=0,"",COUNTIF($R$5:R103,"x"))</f>
        <v/>
      </c>
      <c r="S208" s="3776" t="str">
        <f>IF(((COUNTIF($S$5:S103,"x"))-(COUNTIF($S$5:S102,"x")))=0,"",COUNTIF($S$5:S103,"x"))</f>
        <v/>
      </c>
      <c r="T208" s="3776" t="str">
        <f>IF(((COUNTIF($T$5:T103,"x"))-(COUNTIF($T$5:T102,"x")))=0,"",COUNTIF($T$5:T103,"x"))</f>
        <v/>
      </c>
      <c r="U208" s="3776" t="str">
        <f>IF(((COUNTIF($U$5:U103,"x"))-(COUNTIF($U$5:U102,"x")))=0,"",COUNTIF($U$5:U103,"x"))</f>
        <v/>
      </c>
      <c r="V208" s="3776" t="str">
        <f>IF(((COUNTIF($V$5:V103,"x"))-(COUNTIF($V$5:V102,"x")))=0,"",COUNTIF($V$5:V103,"x"))</f>
        <v/>
      </c>
      <c r="W208" s="3776" t="str">
        <f>IF(((COUNTIF($W$5:W103,"x"))-(COUNTIF($W$5:W102,"x")))=0,"",COUNTIF($W$5:W103,"x"))</f>
        <v/>
      </c>
      <c r="X208" s="3776" t="str">
        <f>IF(((COUNTIF($X$5:X103,"x"))-(COUNTIF($X$5:X102,"x")))=0,"",COUNTIF($X$5:X103,"x"))</f>
        <v/>
      </c>
      <c r="Y208" s="3776" t="str">
        <f>IF(((COUNTIF($Y$5:Y103,"x"))-(COUNTIF($Y$5:Y102,"x")))=0,"",COUNTIF($Y$5:Y103,"x"))</f>
        <v/>
      </c>
      <c r="Z208" s="3776" t="str">
        <f>IF(((COUNTIF($Z$5:Z103,"x"))-(COUNTIF($Z$5:Z102,"x")))=0,"",COUNTIF($Z$5:Z103,"x"))</f>
        <v/>
      </c>
      <c r="AA208" s="3776" t="str">
        <f>IF(((COUNTIF($AA$5:AA103,"x"))-(COUNTIF($AA$5:AA102,"x")))=0,"",COUNTIF($AA$5:AA103,"x"))</f>
        <v/>
      </c>
      <c r="AB208" s="3776" t="str">
        <f>IF(((COUNTIF($AB$5:AB103,"x"))-(COUNTIF($AB$5:AB102,"x")))=0,"",COUNTIF($AB$5:AB103,"x"))</f>
        <v/>
      </c>
      <c r="AC208" s="3776" t="str">
        <f>IF(((COUNTIF($AC$5:AC103,"x"))-(COUNTIF($AC$5:AC102,"x")))=0,"",COUNTIF($AC$5:AC103,"x"))</f>
        <v/>
      </c>
      <c r="AD208" s="3775">
        <f>IF(((COUNTIF($AD$5:AD103,"x"))-(COUNTIF($AD$5:AD102,"x")))=0,"",COUNTIF($AD$5:AD103,"x"))</f>
        <v>93</v>
      </c>
      <c r="AE208" s="3776" t="str">
        <f>IF(((COUNTIF($AE$5:AE103,"x"))-(COUNTIF($AE$5:AE102,"x")))=0,"",COUNTIF($AE$5:AE103,"x"))</f>
        <v/>
      </c>
      <c r="AF208" s="3777" t="str">
        <f>IF(((COUNTIF($AF$5:AF103,"x"))-(COUNTIF($AF$5:AF102,"x")))=0,"",COUNTIF($AF$5:AF103,"x"))</f>
        <v/>
      </c>
      <c r="AG208" s="2152">
        <f t="shared" si="18"/>
        <v>0</v>
      </c>
    </row>
    <row r="212" spans="2:32" ht="15.75" thickBot="1"/>
    <row r="213" spans="2:32" ht="16.5" thickBot="1">
      <c r="F213" s="3701" t="s">
        <v>644</v>
      </c>
      <c r="G213" s="3702" t="s">
        <v>84</v>
      </c>
      <c r="H213" s="3702" t="s">
        <v>643</v>
      </c>
      <c r="I213" s="3702" t="s">
        <v>642</v>
      </c>
      <c r="J213" s="3702" t="s">
        <v>641</v>
      </c>
      <c r="K213" s="3702" t="s">
        <v>640</v>
      </c>
      <c r="L213" s="3702" t="s">
        <v>639</v>
      </c>
      <c r="M213" s="3702" t="s">
        <v>638</v>
      </c>
      <c r="N213" s="3702" t="s">
        <v>75</v>
      </c>
      <c r="O213" s="3702" t="s">
        <v>73</v>
      </c>
      <c r="P213" s="3702" t="s">
        <v>637</v>
      </c>
      <c r="Q213" s="3702" t="s">
        <v>636</v>
      </c>
      <c r="R213" s="3702" t="s">
        <v>635</v>
      </c>
      <c r="S213" s="3702" t="s">
        <v>634</v>
      </c>
      <c r="T213" s="3702" t="s">
        <v>633</v>
      </c>
      <c r="U213" s="3702" t="s">
        <v>632</v>
      </c>
      <c r="V213" s="3702" t="s">
        <v>58</v>
      </c>
      <c r="W213" s="3702" t="s">
        <v>57</v>
      </c>
      <c r="X213" s="3702" t="s">
        <v>631</v>
      </c>
      <c r="Y213" s="3702" t="s">
        <v>630</v>
      </c>
      <c r="Z213" s="3702" t="s">
        <v>50</v>
      </c>
      <c r="AA213" s="3702" t="s">
        <v>629</v>
      </c>
      <c r="AB213" s="3702" t="s">
        <v>628</v>
      </c>
      <c r="AC213" s="3702" t="s">
        <v>627</v>
      </c>
      <c r="AD213" s="3702" t="s">
        <v>626</v>
      </c>
      <c r="AE213" s="3702" t="s">
        <v>625</v>
      </c>
      <c r="AF213" s="3703" t="s">
        <v>624</v>
      </c>
    </row>
    <row r="214" spans="2:32">
      <c r="B214" s="2168">
        <v>0</v>
      </c>
      <c r="F214" s="2152" t="str">
        <f>IFERROR(VLOOKUP($B214,F$109:$AG$208,F$107,FALSE),"")</f>
        <v/>
      </c>
      <c r="G214" s="2152" t="str">
        <f>IFERROR(VLOOKUP($B214,G$109:$AG$208,G$107,FALSE),"")</f>
        <v/>
      </c>
      <c r="H214" s="2152" t="str">
        <f>IFERROR(VLOOKUP($B214,H$109:$AG$208,H$107,FALSE),"")</f>
        <v/>
      </c>
      <c r="I214" s="2152" t="str">
        <f>IFERROR(VLOOKUP($B214,I$109:$AG$208,I$107,FALSE),"")</f>
        <v/>
      </c>
      <c r="J214" s="2152" t="str">
        <f>IFERROR(VLOOKUP($B214,J$109:$AG$208,J$107,FALSE),"")</f>
        <v/>
      </c>
      <c r="K214" s="2152" t="str">
        <f>IFERROR(VLOOKUP($B214,K$109:$AG$208,K$107,FALSE),"")</f>
        <v/>
      </c>
      <c r="L214" s="2152" t="str">
        <f>IFERROR(VLOOKUP($B214,L$109:$AG$208,L$107,FALSE),"")</f>
        <v/>
      </c>
      <c r="M214" s="2152" t="str">
        <f>IFERROR(VLOOKUP($B214,M$109:$AG$208,M$107,FALSE),"")</f>
        <v/>
      </c>
      <c r="N214" s="2152" t="str">
        <f>IFERROR(VLOOKUP($B214,N$109:$AG$208,N$107,FALSE),"")</f>
        <v/>
      </c>
      <c r="O214" s="2152" t="str">
        <f>IFERROR(VLOOKUP($B214,O$109:$AG$208,O$107,FALSE),"")</f>
        <v/>
      </c>
      <c r="P214" s="2152" t="str">
        <f>IFERROR(VLOOKUP($B214,P$109:$AG$208,P$107,FALSE),"")</f>
        <v/>
      </c>
      <c r="Q214" s="2152" t="str">
        <f>IFERROR(VLOOKUP($B214,Q$109:$AG$208,Q$107,FALSE),"")</f>
        <v/>
      </c>
      <c r="R214" s="2152" t="str">
        <f>IFERROR(VLOOKUP($B214,R$109:$AG$208,R$107,FALSE),"")</f>
        <v/>
      </c>
      <c r="S214" s="2152" t="str">
        <f>IFERROR(VLOOKUP($B214,S$109:$AG$208,S$107,FALSE),"")</f>
        <v/>
      </c>
      <c r="T214" s="2152" t="str">
        <f>IFERROR(VLOOKUP($B214,T$109:$AG$208,T$107,FALSE),"")</f>
        <v/>
      </c>
      <c r="U214" s="2152" t="str">
        <f>IFERROR(VLOOKUP($B214,U$109:$AG$208,U$107,FALSE),"")</f>
        <v/>
      </c>
      <c r="V214" s="2152" t="str">
        <f>IFERROR(VLOOKUP($B214,V$109:$AG$208,V$107,FALSE),"")</f>
        <v/>
      </c>
      <c r="W214" s="2152" t="str">
        <f>IFERROR(VLOOKUP($B214,W$109:$AG$208,W$107,FALSE),"")</f>
        <v/>
      </c>
      <c r="X214" s="2152" t="str">
        <f>IFERROR(VLOOKUP($B214,X$109:$AG$208,X$107,FALSE),"")</f>
        <v/>
      </c>
      <c r="Y214" s="2152" t="str">
        <f>IFERROR(VLOOKUP($B214,Y$109:$AG$208,Y$107,FALSE),"")</f>
        <v/>
      </c>
      <c r="Z214" s="2152" t="str">
        <f>IFERROR(VLOOKUP($B214,Z$109:$AG$208,Z$107,FALSE),"")</f>
        <v/>
      </c>
      <c r="AA214" s="2152" t="str">
        <f>IFERROR(VLOOKUP($B214,AA$109:$AG$208,AA$107,FALSE),"")</f>
        <v/>
      </c>
      <c r="AB214" s="2152" t="str">
        <f>IFERROR(VLOOKUP($B214,AB$109:$AG$208,AB$107,FALSE),"")</f>
        <v/>
      </c>
      <c r="AC214" s="2152" t="str">
        <f>IFERROR(VLOOKUP($B214,AC$109:$AG$208,AC$107,FALSE),"")</f>
        <v/>
      </c>
      <c r="AD214" s="2152" t="str">
        <f>IFERROR(VLOOKUP($B214,AD$109:$AG$208,AD$107,FALSE),"")</f>
        <v/>
      </c>
      <c r="AE214" s="2152" t="str">
        <f>IFERROR(VLOOKUP($B214,AE$109:$AG$208,AE$107,FALSE),"")</f>
        <v/>
      </c>
      <c r="AF214" s="2152" t="str">
        <f>IFERROR(VLOOKUP($B214,AF$109:$AG$208,AF$107,FALSE),"")</f>
        <v/>
      </c>
    </row>
    <row r="215" spans="2:32">
      <c r="B215" s="2168">
        <f t="shared" ref="B215:B278" si="20">B214+1</f>
        <v>1</v>
      </c>
      <c r="F215" s="2152" t="str">
        <f>IFERROR(VLOOKUP($B215,F$109:$AG$208,F$107,FALSE),"")</f>
        <v>Ariane C</v>
      </c>
      <c r="G215" s="2152" t="str">
        <f>IFERROR(VLOOKUP($B215,G$109:$AG$208,G$107,FALSE),"")</f>
        <v>Ariane C</v>
      </c>
      <c r="H215" s="2152" t="str">
        <f>IFERROR(VLOOKUP($B215,H$109:$AG$208,H$107,FALSE),"")</f>
        <v>Ariane C</v>
      </c>
      <c r="I215" s="2152" t="str">
        <f>IFERROR(VLOOKUP($B215,I$109:$AG$208,I$107,FALSE),"")</f>
        <v>Ariane C</v>
      </c>
      <c r="J215" s="2152" t="str">
        <f>IFERROR(VLOOKUP($B215,J$109:$AG$208,J$107,FALSE),"")</f>
        <v>Ariane C</v>
      </c>
      <c r="K215" s="2152" t="str">
        <f>IFERROR(VLOOKUP($B215,K$109:$AG$208,K$107,FALSE),"")</f>
        <v>Ariane C</v>
      </c>
      <c r="L215" s="2152" t="str">
        <f>IFERROR(VLOOKUP($B215,L$109:$AG$208,L$107,FALSE),"")</f>
        <v>Ariane C</v>
      </c>
      <c r="M215" s="2152" t="str">
        <f>IFERROR(VLOOKUP($B215,M$109:$AG$208,M$107,FALSE),"")</f>
        <v>Ariane C</v>
      </c>
      <c r="N215" s="2152" t="str">
        <f>IFERROR(VLOOKUP($B215,N$109:$AG$208,N$107,FALSE),"")</f>
        <v>Ariane C</v>
      </c>
      <c r="O215" s="2152" t="str">
        <f>IFERROR(VLOOKUP($B215,O$109:$AG$208,O$107,FALSE),"")</f>
        <v>Ascra Xpro</v>
      </c>
      <c r="P215" s="2152" t="str">
        <f>IFERROR(VLOOKUP($B215,P$109:$AG$208,P$107,FALSE),"")</f>
        <v>Arrat + Dash</v>
      </c>
      <c r="Q215" s="2152" t="str">
        <f>IFERROR(VLOOKUP($B215,Q$109:$AG$208,Q$107,FALSE),"")</f>
        <v>Arrat + Dash</v>
      </c>
      <c r="R215" s="2152" t="str">
        <f>IFERROR(VLOOKUP($B215,R$109:$AG$208,R$107,FALSE),"")</f>
        <v>Arrat + Dash</v>
      </c>
      <c r="S215" s="2152" t="str">
        <f>IFERROR(VLOOKUP($B215,S$109:$AG$208,S$107,FALSE),"")</f>
        <v>Agil-S</v>
      </c>
      <c r="T215" s="2152" t="str">
        <f>IFERROR(VLOOKUP($B215,T$109:$AG$208,T$107,FALSE),"")</f>
        <v xml:space="preserve">Butisan </v>
      </c>
      <c r="U215" s="2152" t="str">
        <f>IFERROR(VLOOKUP($B215,U$109:$AG$208,U$107,FALSE),"")</f>
        <v>Agil-S</v>
      </c>
      <c r="V215" s="2152" t="str">
        <f>IFERROR(VLOOKUP($B215,V$109:$AG$208,V$107,FALSE),"")</f>
        <v>Artist</v>
      </c>
      <c r="W215" s="2152" t="str">
        <f>IFERROR(VLOOKUP($B215,W$109:$AG$208,W$107,FALSE),"")</f>
        <v>Callisto</v>
      </c>
      <c r="X215" s="2152" t="str">
        <f>IFERROR(VLOOKUP($B215,X$109:$AG$208,X$107,FALSE),"")</f>
        <v>Agil-S</v>
      </c>
      <c r="Y215" s="2152" t="str">
        <f>IFERROR(VLOOKUP($B215,Y$109:$AG$208,Y$107,FALSE),"")</f>
        <v>Agil-S</v>
      </c>
      <c r="Z215" s="2152" t="str">
        <f>IFERROR(VLOOKUP($B215,Z$109:$AG$208,Z$107,FALSE),"")</f>
        <v>Boxer</v>
      </c>
      <c r="AA215" s="2152" t="str">
        <f>IFERROR(VLOOKUP($B215,AA$109:$AG$208,AA$107,FALSE),"")</f>
        <v>Agil-S</v>
      </c>
      <c r="AB215" s="2152" t="str">
        <f>IFERROR(VLOOKUP($B215,AB$109:$AG$208,AB$107,FALSE),"")</f>
        <v>Agil-S</v>
      </c>
      <c r="AC215" s="2152" t="str">
        <f>IFERROR(VLOOKUP($B215,AC$109:$AG$208,AC$107,FALSE),"")</f>
        <v/>
      </c>
      <c r="AD215" s="2152" t="str">
        <f>IFERROR(VLOOKUP($B215,AD$109:$AG$208,AD$107,FALSE),"")</f>
        <v>Arrat + Dash</v>
      </c>
      <c r="AE215" s="2152" t="str">
        <f>IFERROR(VLOOKUP($B215,AE$109:$AG$208,AE$107,FALSE),"")</f>
        <v>Pointer Plus</v>
      </c>
      <c r="AF215" s="2152" t="str">
        <f>IFERROR(VLOOKUP($B215,AF$109:$AG$208,AF$107,FALSE),"")</f>
        <v/>
      </c>
    </row>
    <row r="216" spans="2:32">
      <c r="B216" s="2168">
        <f t="shared" si="20"/>
        <v>2</v>
      </c>
      <c r="F216" s="2152" t="str">
        <f>IFERROR(VLOOKUP($B216,F$109:$AG$208,F$107,FALSE),"")</f>
        <v>Artus</v>
      </c>
      <c r="G216" s="2152" t="str">
        <f>IFERROR(VLOOKUP($B216,G$109:$AG$208,G$107,FALSE),"")</f>
        <v>Ascra Xpro</v>
      </c>
      <c r="H216" s="2152" t="str">
        <f>IFERROR(VLOOKUP($B216,H$109:$AG$208,H$107,FALSE),"")</f>
        <v>Artus</v>
      </c>
      <c r="I216" s="2152" t="str">
        <f>IFERROR(VLOOKUP($B216,I$109:$AG$208,I$107,FALSE),"")</f>
        <v>Artus</v>
      </c>
      <c r="J216" s="2152" t="str">
        <f>IFERROR(VLOOKUP($B216,J$109:$AG$208,J$107,FALSE),"")</f>
        <v>Artus</v>
      </c>
      <c r="K216" s="2152" t="str">
        <f>IFERROR(VLOOKUP($B216,K$109:$AG$208,K$107,FALSE),"")</f>
        <v>Artus</v>
      </c>
      <c r="L216" s="2152" t="str">
        <f>IFERROR(VLOOKUP($B216,L$109:$AG$208,L$107,FALSE),"")</f>
        <v>Artus</v>
      </c>
      <c r="M216" s="2152" t="str">
        <f>IFERROR(VLOOKUP($B216,M$109:$AG$208,M$107,FALSE),"")</f>
        <v>Artus</v>
      </c>
      <c r="N216" s="2152" t="str">
        <f>IFERROR(VLOOKUP($B216,N$109:$AG$208,N$107,FALSE),"")</f>
        <v>Artus</v>
      </c>
      <c r="O216" s="2152" t="str">
        <f>IFERROR(VLOOKUP($B216,O$109:$AG$208,O$107,FALSE),"")</f>
        <v>Atlantis Flex + Biopower</v>
      </c>
      <c r="P216" s="2152" t="str">
        <f>IFERROR(VLOOKUP($B216,P$109:$AG$208,P$107,FALSE),"")</f>
        <v>Biathlon 4D +Dash</v>
      </c>
      <c r="Q216" s="2152" t="str">
        <f>IFERROR(VLOOKUP($B216,Q$109:$AG$208,Q$107,FALSE),"")</f>
        <v>Mais Banvel WG</v>
      </c>
      <c r="R216" s="2152" t="str">
        <f>IFERROR(VLOOKUP($B216,R$109:$AG$208,R$107,FALSE),"")</f>
        <v>Callisto</v>
      </c>
      <c r="S216" s="2152" t="str">
        <f>IFERROR(VLOOKUP($B216,S$109:$AG$208,S$107,FALSE),"")</f>
        <v>Amistar Gold</v>
      </c>
      <c r="T216" s="2152" t="str">
        <f>IFERROR(VLOOKUP($B216,T$109:$AG$208,T$107,FALSE),"")</f>
        <v>Carax</v>
      </c>
      <c r="U216" s="2152" t="str">
        <f>IFERROR(VLOOKUP($B216,U$109:$AG$208,U$107,FALSE),"")</f>
        <v>Bandur</v>
      </c>
      <c r="V216" s="2152" t="str">
        <f>IFERROR(VLOOKUP($B216,V$109:$AG$208,V$107,FALSE),"")</f>
        <v>Centium 36 CS</v>
      </c>
      <c r="W216" s="2152" t="str">
        <f>IFERROR(VLOOKUP($B216,W$109:$AG$208,W$107,FALSE),"")</f>
        <v>Focus Aktiv Pack, Focus Ultra</v>
      </c>
      <c r="X216" s="2152" t="str">
        <f>IFERROR(VLOOKUP($B216,X$109:$AG$208,X$107,FALSE),"")</f>
        <v>Bandur</v>
      </c>
      <c r="Y216" s="2152" t="str">
        <f>IFERROR(VLOOKUP($B216,Y$109:$AG$208,Y$107,FALSE),"")</f>
        <v>Bandur</v>
      </c>
      <c r="Z216" s="2152" t="str">
        <f>IFERROR(VLOOKUP($B216,Z$109:$AG$208,Z$107,FALSE),"")</f>
        <v>Fusilade MAX</v>
      </c>
      <c r="AA216" s="2152" t="str">
        <f>IFERROR(VLOOKUP($B216,AA$109:$AG$208,AA$107,FALSE),"")</f>
        <v>Betanal Tandem + Mero</v>
      </c>
      <c r="AB216" s="2152" t="str">
        <f>IFERROR(VLOOKUP($B216,AB$109:$AG$208,AB$107,FALSE),"")</f>
        <v>Artist</v>
      </c>
      <c r="AC216" s="2152" t="str">
        <f>IFERROR(VLOOKUP($B216,AC$109:$AG$208,AC$107,FALSE),"")</f>
        <v/>
      </c>
      <c r="AD216" s="2152" t="str">
        <f>IFERROR(VLOOKUP($B216,AD$109:$AG$208,AD$107,FALSE),"")</f>
        <v>Agil-S</v>
      </c>
      <c r="AE216" s="2152">
        <f>IFERROR(VLOOKUP($B216,AE$109:$AG$208,AE$107,FALSE),"")</f>
        <v>0</v>
      </c>
      <c r="AF216" s="2152" t="str">
        <f>IFERROR(VLOOKUP($B216,AF$109:$AG$208,AF$107,FALSE),"")</f>
        <v/>
      </c>
    </row>
    <row r="217" spans="2:32">
      <c r="B217" s="2168">
        <f t="shared" si="20"/>
        <v>3</v>
      </c>
      <c r="F217" s="2152" t="str">
        <f>IFERROR(VLOOKUP($B217,F$109:$AG$208,F$107,FALSE),"")</f>
        <v>Ascra Xpro</v>
      </c>
      <c r="G217" s="2152" t="str">
        <f>IFERROR(VLOOKUP($B217,G$109:$AG$208,G$107,FALSE),"")</f>
        <v>Atlantis Flex + Biopower</v>
      </c>
      <c r="H217" s="2152" t="str">
        <f>IFERROR(VLOOKUP($B217,H$109:$AG$208,H$107,FALSE),"")</f>
        <v>Ascra Xpro</v>
      </c>
      <c r="I217" s="2152" t="str">
        <f>IFERROR(VLOOKUP($B217,I$109:$AG$208,I$107,FALSE),"")</f>
        <v>Ascra Xpro</v>
      </c>
      <c r="J217" s="2152" t="str">
        <f>IFERROR(VLOOKUP($B217,J$109:$AG$208,J$107,FALSE),"")</f>
        <v>Ascra Xpro</v>
      </c>
      <c r="K217" s="2152" t="str">
        <f>IFERROR(VLOOKUP($B217,K$109:$AG$208,K$107,FALSE),"")</f>
        <v>Ascra Xpro</v>
      </c>
      <c r="L217" s="2152" t="str">
        <f>IFERROR(VLOOKUP($B217,L$109:$AG$208,L$107,FALSE),"")</f>
        <v>Ascra Xpro</v>
      </c>
      <c r="M217" s="2152" t="str">
        <f>IFERROR(VLOOKUP($B217,M$109:$AG$208,M$107,FALSE),"")</f>
        <v>Ascra Xpro</v>
      </c>
      <c r="N217" s="2152" t="str">
        <f>IFERROR(VLOOKUP($B217,N$109:$AG$208,N$107,FALSE),"")</f>
        <v>Ascra Xpro</v>
      </c>
      <c r="O217" s="2152" t="str">
        <f>IFERROR(VLOOKUP($B217,O$109:$AG$208,O$107,FALSE),"")</f>
        <v>Aviator Xpro</v>
      </c>
      <c r="P217" s="2152" t="str">
        <f>IFERROR(VLOOKUP($B217,P$109:$AG$208,P$107,FALSE),"")</f>
        <v>Amistar Gold</v>
      </c>
      <c r="Q217" s="2152" t="str">
        <f>IFERROR(VLOOKUP($B217,Q$109:$AG$208,Q$107,FALSE),"")</f>
        <v>Stomp Aqua</v>
      </c>
      <c r="R217" s="2152" t="str">
        <f>IFERROR(VLOOKUP($B217,R$109:$AG$208,R$107,FALSE),"")</f>
        <v>Coragen</v>
      </c>
      <c r="S217" s="2152" t="str">
        <f>IFERROR(VLOOKUP($B217,S$109:$AG$208,S$107,FALSE),"")</f>
        <v xml:space="preserve">Butisan </v>
      </c>
      <c r="T217" s="2152" t="str">
        <f>IFERROR(VLOOKUP($B217,T$109:$AG$208,T$107,FALSE),"")</f>
        <v>Focus Aktiv Pack, Focus Ultra</v>
      </c>
      <c r="U217" s="2152" t="str">
        <f>IFERROR(VLOOKUP($B217,U$109:$AG$208,U$107,FALSE),"")</f>
        <v>Boxer</v>
      </c>
      <c r="V217" s="2152" t="str">
        <f>IFERROR(VLOOKUP($B217,V$109:$AG$208,V$107,FALSE),"")</f>
        <v>Focus Aktiv Pack, Focus Ultra</v>
      </c>
      <c r="W217" s="2152" t="str">
        <f>IFERROR(VLOOKUP($B217,W$109:$AG$208,W$107,FALSE),"")</f>
        <v>Fusilade MAX</v>
      </c>
      <c r="X217" s="2152" t="str">
        <f>IFERROR(VLOOKUP($B217,X$109:$AG$208,X$107,FALSE),"")</f>
        <v>Boxer</v>
      </c>
      <c r="Y217" s="2152" t="str">
        <f>IFERROR(VLOOKUP($B217,Y$109:$AG$208,Y$107,FALSE),"")</f>
        <v>Boxer</v>
      </c>
      <c r="Z217" s="2152" t="str">
        <f>IFERROR(VLOOKUP($B217,Z$109:$AG$208,Z$107,FALSE),"")</f>
        <v>Spectrum Plus</v>
      </c>
      <c r="AA217" s="2152" t="str">
        <f>IFERROR(VLOOKUP($B217,AA$109:$AG$208,AA$107,FALSE),"")</f>
        <v>Amistar Gold</v>
      </c>
      <c r="AB217" s="2152" t="str">
        <f>IFERROR(VLOOKUP($B217,AB$109:$AG$208,AB$107,FALSE),"")</f>
        <v>Bandur</v>
      </c>
      <c r="AC217" s="2152" t="str">
        <f>IFERROR(VLOOKUP($B217,AC$109:$AG$208,AC$107,FALSE),"")</f>
        <v/>
      </c>
      <c r="AD217" s="2152" t="str">
        <f>IFERROR(VLOOKUP($B217,AD$109:$AG$208,AD$107,FALSE),"")</f>
        <v>Ariane C</v>
      </c>
      <c r="AE217" s="2152" t="str">
        <f>IFERROR(VLOOKUP($B217,AE$109:$AG$208,AE$107,FALSE),"")</f>
        <v/>
      </c>
      <c r="AF217" s="2152" t="str">
        <f>IFERROR(VLOOKUP($B217,AF$109:$AG$208,AF$107,FALSE),"")</f>
        <v/>
      </c>
    </row>
    <row r="218" spans="2:32">
      <c r="B218" s="2168">
        <f t="shared" si="20"/>
        <v>4</v>
      </c>
      <c r="F218" s="2152" t="str">
        <f>IFERROR(VLOOKUP($B218,F$109:$AG$208,F$107,FALSE),"")</f>
        <v>Atlantis Flex + Biopower</v>
      </c>
      <c r="G218" s="2152" t="str">
        <f>IFERROR(VLOOKUP($B218,G$109:$AG$208,G$107,FALSE),"")</f>
        <v>Aviator Xpro</v>
      </c>
      <c r="H218" s="2152" t="str">
        <f>IFERROR(VLOOKUP($B218,H$109:$AG$208,H$107,FALSE),"")</f>
        <v>Atlantis Flex + Biopower</v>
      </c>
      <c r="I218" s="2152" t="str">
        <f>IFERROR(VLOOKUP($B218,I$109:$AG$208,I$107,FALSE),"")</f>
        <v>Atlantis Flex + Biopower</v>
      </c>
      <c r="J218" s="2152" t="str">
        <f>IFERROR(VLOOKUP($B218,J$109:$AG$208,J$107,FALSE),"")</f>
        <v>Aviator Xpro</v>
      </c>
      <c r="K218" s="2152" t="str">
        <f>IFERROR(VLOOKUP($B218,K$109:$AG$208,K$107,FALSE),"")</f>
        <v>Aviator Xpro</v>
      </c>
      <c r="L218" s="2152" t="str">
        <f>IFERROR(VLOOKUP($B218,L$109:$AG$208,L$107,FALSE),"")</f>
        <v>Aviator Xpro</v>
      </c>
      <c r="M218" s="2152" t="str">
        <f>IFERROR(VLOOKUP($B218,M$109:$AG$208,M$107,FALSE),"")</f>
        <v>Aviator Xpro</v>
      </c>
      <c r="N218" s="2152" t="str">
        <f>IFERROR(VLOOKUP($B218,N$109:$AG$208,N$107,FALSE),"")</f>
        <v>Biathlon 4D +Dash</v>
      </c>
      <c r="O218" s="2152" t="str">
        <f>IFERROR(VLOOKUP($B218,O$109:$AG$208,O$107,FALSE),"")</f>
        <v>Axial 50</v>
      </c>
      <c r="P218" s="2152" t="str">
        <f>IFERROR(VLOOKUP($B218,P$109:$AG$208,P$107,FALSE),"")</f>
        <v>Broadway</v>
      </c>
      <c r="Q218" s="2152" t="str">
        <f>IFERROR(VLOOKUP($B218,Q$109:$AG$208,Q$107,FALSE),"")</f>
        <v>Spectrum</v>
      </c>
      <c r="R218" s="2152" t="str">
        <f>IFERROR(VLOOKUP($B218,R$109:$AG$208,R$107,FALSE),"")</f>
        <v>Effigo</v>
      </c>
      <c r="S218" s="2152" t="str">
        <f>IFERROR(VLOOKUP($B218,S$109:$AG$208,S$107,FALSE),"")</f>
        <v>Cantus Gold</v>
      </c>
      <c r="T218" s="2152" t="str">
        <f>IFERROR(VLOOKUP($B218,T$109:$AG$208,T$107,FALSE),"")</f>
        <v>Folicur</v>
      </c>
      <c r="U218" s="2152" t="str">
        <f>IFERROR(VLOOKUP($B218,U$109:$AG$208,U$107,FALSE),"")</f>
        <v>Cantus Gold</v>
      </c>
      <c r="V218" s="2152" t="str">
        <f>IFERROR(VLOOKUP($B218,V$109:$AG$208,V$107,FALSE),"")</f>
        <v>Fusilade MAX</v>
      </c>
      <c r="W218" s="2152" t="str">
        <f>IFERROR(VLOOKUP($B218,W$109:$AG$208,W$107,FALSE),"")</f>
        <v/>
      </c>
      <c r="X218" s="2152" t="str">
        <f>IFERROR(VLOOKUP($B218,X$109:$AG$208,X$107,FALSE),"")</f>
        <v>Centium 36 CS</v>
      </c>
      <c r="Y218" s="2152" t="str">
        <f>IFERROR(VLOOKUP($B218,Y$109:$AG$208,Y$107,FALSE),"")</f>
        <v>Centium 36 CS</v>
      </c>
      <c r="Z218" s="2152" t="str">
        <f>IFERROR(VLOOKUP($B218,Z$109:$AG$208,Z$107,FALSE),"")</f>
        <v>Stomp Aqua</v>
      </c>
      <c r="AA218" s="2152" t="str">
        <f>IFERROR(VLOOKUP($B218,AA$109:$AG$208,AA$107,FALSE),"")</f>
        <v xml:space="preserve">Debut </v>
      </c>
      <c r="AB218" s="2152" t="str">
        <f>IFERROR(VLOOKUP($B218,AB$109:$AG$208,AB$107,FALSE),"")</f>
        <v>Boxer</v>
      </c>
      <c r="AC218" s="2152" t="str">
        <f>IFERROR(VLOOKUP($B218,AC$109:$AG$208,AC$107,FALSE),"")</f>
        <v/>
      </c>
      <c r="AD218" s="2152" t="str">
        <f>IFERROR(VLOOKUP($B218,AD$109:$AG$208,AD$107,FALSE),"")</f>
        <v>Artist</v>
      </c>
      <c r="AE218" s="2152" t="str">
        <f>IFERROR(VLOOKUP($B218,AE$109:$AG$208,AE$107,FALSE),"")</f>
        <v/>
      </c>
      <c r="AF218" s="2152" t="str">
        <f>IFERROR(VLOOKUP($B218,AF$109:$AG$208,AF$107,FALSE),"")</f>
        <v/>
      </c>
    </row>
    <row r="219" spans="2:32">
      <c r="B219" s="2168">
        <f t="shared" si="20"/>
        <v>5</v>
      </c>
      <c r="F219" s="2152" t="str">
        <f>IFERROR(VLOOKUP($B219,F$109:$AG$208,F$107,FALSE),"")</f>
        <v>Aviator Xpro</v>
      </c>
      <c r="G219" s="2152" t="str">
        <f>IFERROR(VLOOKUP($B219,G$109:$AG$208,G$107,FALSE),"")</f>
        <v>Axial 50</v>
      </c>
      <c r="H219" s="2152" t="str">
        <f>IFERROR(VLOOKUP($B219,H$109:$AG$208,H$107,FALSE),"")</f>
        <v>Aviator Xpro</v>
      </c>
      <c r="I219" s="2152" t="str">
        <f>IFERROR(VLOOKUP($B219,I$109:$AG$208,I$107,FALSE),"")</f>
        <v>Aviator Xpro</v>
      </c>
      <c r="J219" s="2152" t="str">
        <f>IFERROR(VLOOKUP($B219,J$109:$AG$208,J$107,FALSE),"")</f>
        <v>Axial 50</v>
      </c>
      <c r="K219" s="2152" t="str">
        <f>IFERROR(VLOOKUP($B219,K$109:$AG$208,K$107,FALSE),"")</f>
        <v>Axial 50</v>
      </c>
      <c r="L219" s="2152" t="str">
        <f>IFERROR(VLOOKUP($B219,L$109:$AG$208,L$107,FALSE),"")</f>
        <v>Axial 50</v>
      </c>
      <c r="M219" s="2152" t="str">
        <f>IFERROR(VLOOKUP($B219,M$109:$AG$208,M$107,FALSE),"")</f>
        <v>Axial 50</v>
      </c>
      <c r="N219" s="2152" t="str">
        <f>IFERROR(VLOOKUP($B219,N$109:$AG$208,N$107,FALSE),"")</f>
        <v>CCC 720</v>
      </c>
      <c r="O219" s="2152" t="str">
        <f>IFERROR(VLOOKUP($B219,O$109:$AG$208,O$107,FALSE),"")</f>
        <v>Biathlon 4D +Dash</v>
      </c>
      <c r="P219" s="2152" t="str">
        <f>IFERROR(VLOOKUP($B219,P$109:$AG$208,P$107,FALSE),"")</f>
        <v>Goltix Titan</v>
      </c>
      <c r="Q219" s="2152" t="str">
        <f>IFERROR(VLOOKUP($B219,Q$109:$AG$208,Q$107,FALSE),"")</f>
        <v/>
      </c>
      <c r="R219" s="2152" t="str">
        <f>IFERROR(VLOOKUP($B219,R$109:$AG$208,R$107,FALSE),"")</f>
        <v>Elumis P Dual Pack, Dual Gold</v>
      </c>
      <c r="S219" s="2152" t="str">
        <f>IFERROR(VLOOKUP($B219,S$109:$AG$208,S$107,FALSE),"")</f>
        <v>Carax</v>
      </c>
      <c r="T219" s="2152" t="str">
        <f>IFERROR(VLOOKUP($B219,T$109:$AG$208,T$107,FALSE),"")</f>
        <v>Karate Zeon</v>
      </c>
      <c r="U219" s="2152" t="str">
        <f>IFERROR(VLOOKUP($B219,U$109:$AG$208,U$107,FALSE),"")</f>
        <v>Focus Aktiv Pack, Focus Ultra</v>
      </c>
      <c r="V219" s="2152" t="str">
        <f>IFERROR(VLOOKUP($B219,V$109:$AG$208,V$107,FALSE),"")</f>
        <v xml:space="preserve">Harmony SX </v>
      </c>
      <c r="W219" s="2152" t="str">
        <f>IFERROR(VLOOKUP($B219,W$109:$AG$208,W$107,FALSE),"")</f>
        <v/>
      </c>
      <c r="X219" s="2152" t="str">
        <f>IFERROR(VLOOKUP($B219,X$109:$AG$208,X$107,FALSE),"")</f>
        <v>Focus Aktiv Pack, Focus Ultra</v>
      </c>
      <c r="Y219" s="2152" t="str">
        <f>IFERROR(VLOOKUP($B219,Y$109:$AG$208,Y$107,FALSE),"")</f>
        <v>Focus Aktiv Pack, Focus Ultra</v>
      </c>
      <c r="Z219" s="2152" t="str">
        <f>IFERROR(VLOOKUP($B219,Z$109:$AG$208,Z$107,FALSE),"")</f>
        <v/>
      </c>
      <c r="AA219" s="2152" t="str">
        <f>IFERROR(VLOOKUP($B219,AA$109:$AG$208,AA$107,FALSE),"")</f>
        <v>Focus Aktiv Pack, Focus Ultra</v>
      </c>
      <c r="AB219" s="2152" t="str">
        <f>IFERROR(VLOOKUP($B219,AB$109:$AG$208,AB$107,FALSE),"")</f>
        <v>Centium 36 CS</v>
      </c>
      <c r="AC219" s="2152" t="str">
        <f>IFERROR(VLOOKUP($B219,AC$109:$AG$208,AC$107,FALSE),"")</f>
        <v/>
      </c>
      <c r="AD219" s="2152" t="str">
        <f>IFERROR(VLOOKUP($B219,AD$109:$AG$208,AD$107,FALSE),"")</f>
        <v>Artus</v>
      </c>
      <c r="AE219" s="2152" t="str">
        <f>IFERROR(VLOOKUP($B219,AE$109:$AG$208,AE$107,FALSE),"")</f>
        <v/>
      </c>
      <c r="AF219" s="2152" t="str">
        <f>IFERROR(VLOOKUP($B219,AF$109:$AG$208,AF$107,FALSE),"")</f>
        <v/>
      </c>
    </row>
    <row r="220" spans="2:32">
      <c r="B220" s="2168">
        <f t="shared" si="20"/>
        <v>6</v>
      </c>
      <c r="F220" s="2152" t="str">
        <f>IFERROR(VLOOKUP($B220,F$109:$AG$208,F$107,FALSE),"")</f>
        <v>Axial 50</v>
      </c>
      <c r="G220" s="2152" t="str">
        <f>IFERROR(VLOOKUP($B220,G$109:$AG$208,G$107,FALSE),"")</f>
        <v>Biathlon 4D +Dash</v>
      </c>
      <c r="H220" s="2152" t="str">
        <f>IFERROR(VLOOKUP($B220,H$109:$AG$208,H$107,FALSE),"")</f>
        <v>Axial 50</v>
      </c>
      <c r="I220" s="2152" t="str">
        <f>IFERROR(VLOOKUP($B220,I$109:$AG$208,I$107,FALSE),"")</f>
        <v>Axial 50</v>
      </c>
      <c r="J220" s="2152" t="str">
        <f>IFERROR(VLOOKUP($B220,J$109:$AG$208,J$107,FALSE),"")</f>
        <v>Biathlon 4D +Dash</v>
      </c>
      <c r="K220" s="2152" t="str">
        <f>IFERROR(VLOOKUP($B220,K$109:$AG$208,K$107,FALSE),"")</f>
        <v>Biathlon 4D +Dash</v>
      </c>
      <c r="L220" s="2152" t="str">
        <f>IFERROR(VLOOKUP($B220,L$109:$AG$208,L$107,FALSE),"")</f>
        <v>Biathlon 4D +Dash</v>
      </c>
      <c r="M220" s="2152" t="str">
        <f>IFERROR(VLOOKUP($B220,M$109:$AG$208,M$107,FALSE),"")</f>
        <v>Biathlon 4D +Dash</v>
      </c>
      <c r="N220" s="2152" t="str">
        <f>IFERROR(VLOOKUP($B220,N$109:$AG$208,N$107,FALSE),"")</f>
        <v>Karate Zeon</v>
      </c>
      <c r="O220" s="2152" t="str">
        <f>IFERROR(VLOOKUP($B220,O$109:$AG$208,O$107,FALSE),"")</f>
        <v>Broadway</v>
      </c>
      <c r="P220" s="2152" t="str">
        <f>IFERROR(VLOOKUP($B220,P$109:$AG$208,P$107,FALSE),"")</f>
        <v>Hoestar Super</v>
      </c>
      <c r="Q220" s="2152" t="str">
        <f>IFERROR(VLOOKUP($B220,Q$109:$AG$208,Q$107,FALSE),"")</f>
        <v/>
      </c>
      <c r="R220" s="2152" t="str">
        <f>IFERROR(VLOOKUP($B220,R$109:$AG$208,R$107,FALSE),"")</f>
        <v>Elumis P Dual Pack, Elumis</v>
      </c>
      <c r="S220" s="2152" t="str">
        <f>IFERROR(VLOOKUP($B220,S$109:$AG$208,S$107,FALSE),"")</f>
        <v>Centium 36 CS</v>
      </c>
      <c r="T220" s="2152" t="str">
        <f>IFERROR(VLOOKUP($B220,T$109:$AG$208,T$107,FALSE),"")</f>
        <v>Ortiva</v>
      </c>
      <c r="U220" s="2152" t="str">
        <f>IFERROR(VLOOKUP($B220,U$109:$AG$208,U$107,FALSE),"")</f>
        <v>Fusilade MAX</v>
      </c>
      <c r="V220" s="2152" t="str">
        <f>IFERROR(VLOOKUP($B220,V$109:$AG$208,V$107,FALSE),"")</f>
        <v>Roundup Power Flex</v>
      </c>
      <c r="W220" s="2152" t="str">
        <f>IFERROR(VLOOKUP($B220,W$109:$AG$208,W$107,FALSE),"")</f>
        <v/>
      </c>
      <c r="X220" s="2152" t="str">
        <f>IFERROR(VLOOKUP($B220,X$109:$AG$208,X$107,FALSE),"")</f>
        <v>Fusilade MAX</v>
      </c>
      <c r="Y220" s="2152" t="str">
        <f>IFERROR(VLOOKUP($B220,Y$109:$AG$208,Y$107,FALSE),"")</f>
        <v>Fusilade MAX</v>
      </c>
      <c r="Z220" s="2152" t="str">
        <f>IFERROR(VLOOKUP($B220,Z$109:$AG$208,Z$107,FALSE),"")</f>
        <v/>
      </c>
      <c r="AA220" s="2152" t="str">
        <f>IFERROR(VLOOKUP($B220,AA$109:$AG$208,AA$107,FALSE),"")</f>
        <v>Fusilade MAX</v>
      </c>
      <c r="AB220" s="2152" t="str">
        <f>IFERROR(VLOOKUP($B220,AB$109:$AG$208,AB$107,FALSE),"")</f>
        <v>Coragen</v>
      </c>
      <c r="AC220" s="2152" t="str">
        <f>IFERROR(VLOOKUP($B220,AC$109:$AG$208,AC$107,FALSE),"")</f>
        <v/>
      </c>
      <c r="AD220" s="2152" t="str">
        <f>IFERROR(VLOOKUP($B220,AD$109:$AG$208,AD$107,FALSE),"")</f>
        <v>Ascra Xpro</v>
      </c>
      <c r="AE220" s="2152" t="str">
        <f>IFERROR(VLOOKUP($B220,AE$109:$AG$208,AE$107,FALSE),"")</f>
        <v/>
      </c>
      <c r="AF220" s="2152" t="str">
        <f>IFERROR(VLOOKUP($B220,AF$109:$AG$208,AF$107,FALSE),"")</f>
        <v/>
      </c>
    </row>
    <row r="221" spans="2:32">
      <c r="B221" s="2168">
        <f t="shared" si="20"/>
        <v>7</v>
      </c>
      <c r="F221" s="2152" t="str">
        <f>IFERROR(VLOOKUP($B221,F$109:$AG$208,F$107,FALSE),"")</f>
        <v>Biathlon 4D +Dash</v>
      </c>
      <c r="G221" s="2152" t="str">
        <f>IFERROR(VLOOKUP($B221,G$109:$AG$208,G$107,FALSE),"")</f>
        <v>Boxer</v>
      </c>
      <c r="H221" s="2152" t="str">
        <f>IFERROR(VLOOKUP($B221,H$109:$AG$208,H$107,FALSE),"")</f>
        <v>Biathlon 4D +Dash</v>
      </c>
      <c r="I221" s="2152" t="str">
        <f>IFERROR(VLOOKUP($B221,I$109:$AG$208,I$107,FALSE),"")</f>
        <v>Biathlon 4D +Dash</v>
      </c>
      <c r="J221" s="2152" t="str">
        <f>IFERROR(VLOOKUP($B221,J$109:$AG$208,J$107,FALSE),"")</f>
        <v>Boxer</v>
      </c>
      <c r="K221" s="2152" t="str">
        <f>IFERROR(VLOOKUP($B221,K$109:$AG$208,K$107,FALSE),"")</f>
        <v>CCC 720</v>
      </c>
      <c r="L221" s="2152" t="str">
        <f>IFERROR(VLOOKUP($B221,L$109:$AG$208,L$107,FALSE),"")</f>
        <v>Boxer</v>
      </c>
      <c r="M221" s="2152" t="str">
        <f>IFERROR(VLOOKUP($B221,M$109:$AG$208,M$107,FALSE),"")</f>
        <v>Boxer</v>
      </c>
      <c r="N221" s="2152" t="str">
        <f>IFERROR(VLOOKUP($B221,N$109:$AG$208,N$107,FALSE),"")</f>
        <v>Moddus</v>
      </c>
      <c r="O221" s="2152" t="str">
        <f>IFERROR(VLOOKUP($B221,O$109:$AG$208,O$107,FALSE),"")</f>
        <v>Fandango</v>
      </c>
      <c r="P221" s="2152" t="str">
        <f>IFERROR(VLOOKUP($B221,P$109:$AG$208,P$107,FALSE),"")</f>
        <v>Input Classic</v>
      </c>
      <c r="Q221" s="2152" t="str">
        <f>IFERROR(VLOOKUP($B221,Q$109:$AG$208,Q$107,FALSE),"")</f>
        <v/>
      </c>
      <c r="R221" s="2152" t="str">
        <f>IFERROR(VLOOKUP($B221,R$109:$AG$208,R$107,FALSE),"")</f>
        <v>Elumis P Dual Pack, Peak</v>
      </c>
      <c r="S221" s="2152" t="str">
        <f>IFERROR(VLOOKUP($B221,S$109:$AG$208,S$107,FALSE),"")</f>
        <v>Fuego Top</v>
      </c>
      <c r="T221" s="2152" t="str">
        <f>IFERROR(VLOOKUP($B221,T$109:$AG$208,T$107,FALSE),"")</f>
        <v>Mospilan SG</v>
      </c>
      <c r="U221" s="2152" t="str">
        <f>IFERROR(VLOOKUP($B221,U$109:$AG$208,U$107,FALSE),"")</f>
        <v>Karate Zeon</v>
      </c>
      <c r="V221" s="2152" t="str">
        <f>IFERROR(VLOOKUP($B221,V$109:$AG$208,V$107,FALSE),"")</f>
        <v>Sencor Liquid</v>
      </c>
      <c r="W221" s="2152" t="str">
        <f>IFERROR(VLOOKUP($B221,W$109:$AG$208,W$107,FALSE),"")</f>
        <v/>
      </c>
      <c r="X221" s="2152" t="str">
        <f>IFERROR(VLOOKUP($B221,X$109:$AG$208,X$107,FALSE),"")</f>
        <v>Karate Zeon</v>
      </c>
      <c r="Y221" s="2152" t="str">
        <f>IFERROR(VLOOKUP($B221,Y$109:$AG$208,Y$107,FALSE),"")</f>
        <v>Karate Zeon</v>
      </c>
      <c r="Z221" s="2152" t="str">
        <f>IFERROR(VLOOKUP($B221,Z$109:$AG$208,Z$107,FALSE),"")</f>
        <v/>
      </c>
      <c r="AA221" s="2152" t="str">
        <f>IFERROR(VLOOKUP($B221,AA$109:$AG$208,AA$107,FALSE),"")</f>
        <v>Goltix Gold</v>
      </c>
      <c r="AB221" s="2152" t="str">
        <f>IFERROR(VLOOKUP($B221,AB$109:$AG$208,AB$107,FALSE),"")</f>
        <v>Focus Aktiv Pack, Focus Ultra</v>
      </c>
      <c r="AC221" s="2152" t="str">
        <f>IFERROR(VLOOKUP($B221,AC$109:$AG$208,AC$107,FALSE),"")</f>
        <v/>
      </c>
      <c r="AD221" s="2152" t="str">
        <f>IFERROR(VLOOKUP($B221,AD$109:$AG$208,AD$107,FALSE),"")</f>
        <v>Atlantis Flex + Biopower</v>
      </c>
      <c r="AE221" s="2152" t="str">
        <f>IFERROR(VLOOKUP($B221,AE$109:$AG$208,AE$107,FALSE),"")</f>
        <v/>
      </c>
      <c r="AF221" s="2152" t="str">
        <f>IFERROR(VLOOKUP($B221,AF$109:$AG$208,AF$107,FALSE),"")</f>
        <v/>
      </c>
    </row>
    <row r="222" spans="2:32">
      <c r="B222" s="2168">
        <f t="shared" si="20"/>
        <v>8</v>
      </c>
      <c r="F222" s="2152" t="str">
        <f>IFERROR(VLOOKUP($B222,F$109:$AG$208,F$107,FALSE),"")</f>
        <v>Boxer</v>
      </c>
      <c r="G222" s="2152" t="str">
        <f>IFERROR(VLOOKUP($B222,G$109:$AG$208,G$107,FALSE),"")</f>
        <v>Broadway</v>
      </c>
      <c r="H222" s="2152" t="str">
        <f>IFERROR(VLOOKUP($B222,H$109:$AG$208,H$107,FALSE),"")</f>
        <v>Boxer</v>
      </c>
      <c r="I222" s="2152" t="str">
        <f>IFERROR(VLOOKUP($B222,I$109:$AG$208,I$107,FALSE),"")</f>
        <v>Broadway</v>
      </c>
      <c r="J222" s="2152" t="str">
        <f>IFERROR(VLOOKUP($B222,J$109:$AG$208,J$107,FALSE),"")</f>
        <v>Cerone 660</v>
      </c>
      <c r="K222" s="2152" t="str">
        <f>IFERROR(VLOOKUP($B222,K$109:$AG$208,K$107,FALSE),"")</f>
        <v>Cerone 660</v>
      </c>
      <c r="L222" s="2152" t="str">
        <f>IFERROR(VLOOKUP($B222,L$109:$AG$208,L$107,FALSE),"")</f>
        <v>Cerone 660</v>
      </c>
      <c r="M222" s="2152" t="str">
        <f>IFERROR(VLOOKUP($B222,M$109:$AG$208,M$107,FALSE),"")</f>
        <v>Cerone 660</v>
      </c>
      <c r="N222" s="2152" t="str">
        <f>IFERROR(VLOOKUP($B222,N$109:$AG$208,N$107,FALSE),"")</f>
        <v>Pointer Plus</v>
      </c>
      <c r="O222" s="2152" t="str">
        <f>IFERROR(VLOOKUP($B222,O$109:$AG$208,O$107,FALSE),"")</f>
        <v>Hoestar Super</v>
      </c>
      <c r="P222" s="2152" t="str">
        <f>IFERROR(VLOOKUP($B222,P$109:$AG$208,P$107,FALSE),"")</f>
        <v>Input Xpro</v>
      </c>
      <c r="Q222" s="2152" t="str">
        <f>IFERROR(VLOOKUP($B222,Q$109:$AG$208,Q$107,FALSE),"")</f>
        <v/>
      </c>
      <c r="R222" s="2152" t="str">
        <f>IFERROR(VLOOKUP($B222,R$109:$AG$208,R$107,FALSE),"")</f>
        <v xml:space="preserve">Harmony SX </v>
      </c>
      <c r="S222" s="2152" t="str">
        <f>IFERROR(VLOOKUP($B222,S$109:$AG$208,S$107,FALSE),"")</f>
        <v>Effigo</v>
      </c>
      <c r="T222" s="2152" t="str">
        <f>IFERROR(VLOOKUP($B222,T$109:$AG$208,T$107,FALSE),"")</f>
        <v>Proline</v>
      </c>
      <c r="U222" s="2152" t="str">
        <f>IFERROR(VLOOKUP($B222,U$109:$AG$208,U$107,FALSE),"")</f>
        <v>Spectrum Plus</v>
      </c>
      <c r="V222" s="2152" t="str">
        <f>IFERROR(VLOOKUP($B222,V$109:$AG$208,V$107,FALSE),"")</f>
        <v>Spectrum Plus</v>
      </c>
      <c r="W222" s="2152" t="str">
        <f>IFERROR(VLOOKUP($B222,W$109:$AG$208,W$107,FALSE),"")</f>
        <v/>
      </c>
      <c r="X222" s="2152" t="str">
        <f>IFERROR(VLOOKUP($B222,X$109:$AG$208,X$107,FALSE),"")</f>
        <v>Select 240 EC</v>
      </c>
      <c r="Y222" s="2152" t="str">
        <f>IFERROR(VLOOKUP($B222,Y$109:$AG$208,Y$107,FALSE),"")</f>
        <v>Revus</v>
      </c>
      <c r="Z222" s="2152" t="str">
        <f>IFERROR(VLOOKUP($B222,Z$109:$AG$208,Z$107,FALSE),"")</f>
        <v/>
      </c>
      <c r="AA222" s="2152" t="str">
        <f>IFERROR(VLOOKUP($B222,AA$109:$AG$208,AA$107,FALSE),"")</f>
        <v>Goltix Titan</v>
      </c>
      <c r="AB222" s="2152" t="str">
        <f>IFERROR(VLOOKUP($B222,AB$109:$AG$208,AB$107,FALSE),"")</f>
        <v>Fusilade MAX</v>
      </c>
      <c r="AC222" s="2152" t="str">
        <f>IFERROR(VLOOKUP($B222,AC$109:$AG$208,AC$107,FALSE),"")</f>
        <v/>
      </c>
      <c r="AD222" s="2152" t="str">
        <f>IFERROR(VLOOKUP($B222,AD$109:$AG$208,AD$107,FALSE),"")</f>
        <v>Aviator Xpro</v>
      </c>
      <c r="AE222" s="2152" t="str">
        <f>IFERROR(VLOOKUP($B222,AE$109:$AG$208,AE$107,FALSE),"")</f>
        <v/>
      </c>
      <c r="AF222" s="2152" t="str">
        <f>IFERROR(VLOOKUP($B222,AF$109:$AG$208,AF$107,FALSE),"")</f>
        <v/>
      </c>
    </row>
    <row r="223" spans="2:32">
      <c r="B223" s="2168">
        <f t="shared" si="20"/>
        <v>9</v>
      </c>
      <c r="F223" s="2152" t="str">
        <f>IFERROR(VLOOKUP($B223,F$109:$AG$208,F$107,FALSE),"")</f>
        <v>Broadway</v>
      </c>
      <c r="G223" s="2152" t="str">
        <f>IFERROR(VLOOKUP($B223,G$109:$AG$208,G$107,FALSE),"")</f>
        <v>Elatus Era</v>
      </c>
      <c r="H223" s="2152" t="str">
        <f>IFERROR(VLOOKUP($B223,H$109:$AG$208,H$107,FALSE),"")</f>
        <v>Broadway</v>
      </c>
      <c r="I223" s="2152" t="str">
        <f>IFERROR(VLOOKUP($B223,I$109:$AG$208,I$107,FALSE),"")</f>
        <v>CCC 720</v>
      </c>
      <c r="J223" s="2152" t="str">
        <f>IFERROR(VLOOKUP($B223,J$109:$AG$208,J$107,FALSE),"")</f>
        <v>Elatus Era</v>
      </c>
      <c r="K223" s="2152" t="str">
        <f>IFERROR(VLOOKUP($B223,K$109:$AG$208,K$107,FALSE),"")</f>
        <v>Elatus Era</v>
      </c>
      <c r="L223" s="2152" t="str">
        <f>IFERROR(VLOOKUP($B223,L$109:$AG$208,L$107,FALSE),"")</f>
        <v>Elatus Era</v>
      </c>
      <c r="M223" s="2152" t="str">
        <f>IFERROR(VLOOKUP($B223,M$109:$AG$208,M$107,FALSE),"")</f>
        <v>Elatus Era</v>
      </c>
      <c r="N223" s="2152" t="str">
        <f>IFERROR(VLOOKUP($B223,N$109:$AG$208,N$107,FALSE),"")</f>
        <v>Primus Perfect</v>
      </c>
      <c r="O223" s="2152" t="str">
        <f>IFERROR(VLOOKUP($B223,O$109:$AG$208,O$107,FALSE),"")</f>
        <v>Input Classic</v>
      </c>
      <c r="P223" s="2152" t="str">
        <f>IFERROR(VLOOKUP($B223,P$109:$AG$208,P$107,FALSE),"")</f>
        <v>Karate Zeon</v>
      </c>
      <c r="Q223" s="2152" t="str">
        <f>IFERROR(VLOOKUP($B223,Q$109:$AG$208,Q$107,FALSE),"")</f>
        <v/>
      </c>
      <c r="R223" s="2152" t="str">
        <f>IFERROR(VLOOKUP($B223,R$109:$AG$208,R$107,FALSE),"")</f>
        <v>Karate Zeon</v>
      </c>
      <c r="S223" s="2152" t="str">
        <f>IFERROR(VLOOKUP($B223,S$109:$AG$208,S$107,FALSE),"")</f>
        <v>Focus Aktiv Pack, Focus Ultra</v>
      </c>
      <c r="T223" s="2152" t="str">
        <f>IFERROR(VLOOKUP($B223,T$109:$AG$208,T$107,FALSE),"")</f>
        <v>Propulse</v>
      </c>
      <c r="U223" s="2152" t="str">
        <f>IFERROR(VLOOKUP($B223,U$109:$AG$208,U$107,FALSE),"")</f>
        <v>Stomp Aqua</v>
      </c>
      <c r="V223" s="2152" t="str">
        <f>IFERROR(VLOOKUP($B223,V$109:$AG$208,V$107,FALSE),"")</f>
        <v>Stomp Aqua</v>
      </c>
      <c r="W223" s="2152" t="str">
        <f>IFERROR(VLOOKUP($B223,W$109:$AG$208,W$107,FALSE),"")</f>
        <v/>
      </c>
      <c r="X223" s="2152" t="str">
        <f>IFERROR(VLOOKUP($B223,X$109:$AG$208,X$107,FALSE),"")</f>
        <v>Spectrum Plus</v>
      </c>
      <c r="Y223" s="2152" t="str">
        <f>IFERROR(VLOOKUP($B223,Y$109:$AG$208,Y$107,FALSE),"")</f>
        <v>Roundup Power Flex</v>
      </c>
      <c r="Z223" s="2152" t="str">
        <f>IFERROR(VLOOKUP($B223,Z$109:$AG$208,Z$107,FALSE),"")</f>
        <v/>
      </c>
      <c r="AA223" s="2152" t="str">
        <f>IFERROR(VLOOKUP($B223,AA$109:$AG$208,AA$107,FALSE),"")</f>
        <v>Metafol SC</v>
      </c>
      <c r="AB223" s="2152" t="str">
        <f>IFERROR(VLOOKUP($B223,AB$109:$AG$208,AB$107,FALSE),"")</f>
        <v>Infinito</v>
      </c>
      <c r="AC223" s="2152" t="str">
        <f>IFERROR(VLOOKUP($B223,AC$109:$AG$208,AC$107,FALSE),"")</f>
        <v/>
      </c>
      <c r="AD223" s="2152" t="str">
        <f>IFERROR(VLOOKUP($B223,AD$109:$AG$208,AD$107,FALSE),"")</f>
        <v>Axial 50</v>
      </c>
      <c r="AE223" s="2152" t="str">
        <f>IFERROR(VLOOKUP($B223,AE$109:$AG$208,AE$107,FALSE),"")</f>
        <v/>
      </c>
      <c r="AF223" s="2152" t="str">
        <f>IFERROR(VLOOKUP($B223,AF$109:$AG$208,AF$107,FALSE),"")</f>
        <v/>
      </c>
    </row>
    <row r="224" spans="2:32">
      <c r="B224" s="2168">
        <f t="shared" si="20"/>
        <v>10</v>
      </c>
      <c r="F224" s="2152" t="str">
        <f>IFERROR(VLOOKUP($B224,F$109:$AG$208,F$107,FALSE),"")</f>
        <v>CCC 720</v>
      </c>
      <c r="G224" s="2152" t="str">
        <f>IFERROR(VLOOKUP($B224,G$109:$AG$208,G$107,FALSE),"")</f>
        <v>Fandango</v>
      </c>
      <c r="H224" s="2152" t="str">
        <f>IFERROR(VLOOKUP($B224,H$109:$AG$208,H$107,FALSE),"")</f>
        <v>CCC 720</v>
      </c>
      <c r="I224" s="2152" t="str">
        <f>IFERROR(VLOOKUP($B224,I$109:$AG$208,I$107,FALSE),"")</f>
        <v>Cerone 660</v>
      </c>
      <c r="J224" s="2152" t="str">
        <f>IFERROR(VLOOKUP($B224,J$109:$AG$208,J$107,FALSE),"")</f>
        <v>Fandango</v>
      </c>
      <c r="K224" s="2152" t="str">
        <f>IFERROR(VLOOKUP($B224,K$109:$AG$208,K$107,FALSE),"")</f>
        <v>Fandango</v>
      </c>
      <c r="L224" s="2152" t="str">
        <f>IFERROR(VLOOKUP($B224,L$109:$AG$208,L$107,FALSE),"")</f>
        <v>Fandango</v>
      </c>
      <c r="M224" s="2152" t="str">
        <f>IFERROR(VLOOKUP($B224,M$109:$AG$208,M$107,FALSE),"")</f>
        <v>Fandango</v>
      </c>
      <c r="N224" s="2152" t="str">
        <f>IFERROR(VLOOKUP($B224,N$109:$AG$208,N$107,FALSE),"")</f>
        <v>Revytrex</v>
      </c>
      <c r="O224" s="2152" t="str">
        <f>IFERROR(VLOOKUP($B224,O$109:$AG$208,O$107,FALSE),"")</f>
        <v>Input Xpro</v>
      </c>
      <c r="P224" s="2152" t="str">
        <f>IFERROR(VLOOKUP($B224,P$109:$AG$208,P$107,FALSE),"")</f>
        <v>Mospilan SG</v>
      </c>
      <c r="Q224" s="2152" t="str">
        <f>IFERROR(VLOOKUP($B224,Q$109:$AG$208,Q$107,FALSE),"")</f>
        <v/>
      </c>
      <c r="R224" s="2152" t="str">
        <f>IFERROR(VLOOKUP($B224,R$109:$AG$208,R$107,FALSE),"")</f>
        <v>Mais Banvel WG</v>
      </c>
      <c r="S224" s="2152" t="str">
        <f>IFERROR(VLOOKUP($B224,S$109:$AG$208,S$107,FALSE),"")</f>
        <v>Folicur</v>
      </c>
      <c r="T224" s="2152" t="str">
        <f>IFERROR(VLOOKUP($B224,T$109:$AG$208,T$107,FALSE),"")</f>
        <v>Prosaro</v>
      </c>
      <c r="U224" s="2152" t="str">
        <f>IFERROR(VLOOKUP($B224,U$109:$AG$208,U$107,FALSE),"")</f>
        <v/>
      </c>
      <c r="V224" s="2152" t="str">
        <f>IFERROR(VLOOKUP($B224,V$109:$AG$208,V$107,FALSE),"")</f>
        <v>Spectrum</v>
      </c>
      <c r="W224" s="2152" t="str">
        <f>IFERROR(VLOOKUP($B224,W$109:$AG$208,W$107,FALSE),"")</f>
        <v/>
      </c>
      <c r="X224" s="2152" t="str">
        <f>IFERROR(VLOOKUP($B224,X$109:$AG$208,X$107,FALSE),"")</f>
        <v>Stomp Aqua</v>
      </c>
      <c r="Y224" s="2152" t="str">
        <f>IFERROR(VLOOKUP($B224,Y$109:$AG$208,Y$107,FALSE),"")</f>
        <v>Spectrum Plus</v>
      </c>
      <c r="Z224" s="2152" t="str">
        <f>IFERROR(VLOOKUP($B224,Z$109:$AG$208,Z$107,FALSE),"")</f>
        <v/>
      </c>
      <c r="AA224" s="2152" t="str">
        <f>IFERROR(VLOOKUP($B224,AA$109:$AG$208,AA$107,FALSE),"")</f>
        <v>Karate Zeon</v>
      </c>
      <c r="AB224" s="2152" t="str">
        <f>IFERROR(VLOOKUP($B224,AB$109:$AG$208,AB$107,FALSE),"")</f>
        <v>Karate Zeon</v>
      </c>
      <c r="AC224" s="2152" t="str">
        <f>IFERROR(VLOOKUP($B224,AC$109:$AG$208,AC$107,FALSE),"")</f>
        <v/>
      </c>
      <c r="AD224" s="2152" t="str">
        <f>IFERROR(VLOOKUP($B224,AD$109:$AG$208,AD$107,FALSE),"")</f>
        <v>Bandur</v>
      </c>
      <c r="AE224" s="2152" t="str">
        <f>IFERROR(VLOOKUP($B224,AE$109:$AG$208,AE$107,FALSE),"")</f>
        <v/>
      </c>
      <c r="AF224" s="2152" t="str">
        <f>IFERROR(VLOOKUP($B224,AF$109:$AG$208,AF$107,FALSE),"")</f>
        <v/>
      </c>
    </row>
    <row r="225" spans="2:32">
      <c r="B225" s="2168">
        <f t="shared" si="20"/>
        <v>11</v>
      </c>
      <c r="F225" s="2152" t="str">
        <f>IFERROR(VLOOKUP($B225,F$109:$AG$208,F$107,FALSE),"")</f>
        <v>Cerone 660</v>
      </c>
      <c r="G225" s="2152" t="str">
        <f>IFERROR(VLOOKUP($B225,G$109:$AG$208,G$107,FALSE),"")</f>
        <v>Folicur</v>
      </c>
      <c r="H225" s="2152" t="str">
        <f>IFERROR(VLOOKUP($B225,H$109:$AG$208,H$107,FALSE),"")</f>
        <v>Cerone 660</v>
      </c>
      <c r="I225" s="2152" t="str">
        <f>IFERROR(VLOOKUP($B225,I$109:$AG$208,I$107,FALSE),"")</f>
        <v>Elatus Era</v>
      </c>
      <c r="J225" s="2152" t="str">
        <f>IFERROR(VLOOKUP($B225,J$109:$AG$208,J$107,FALSE),"")</f>
        <v>Folicur</v>
      </c>
      <c r="K225" s="2152" t="str">
        <f>IFERROR(VLOOKUP($B225,K$109:$AG$208,K$107,FALSE),"")</f>
        <v>Folicur</v>
      </c>
      <c r="L225" s="2152" t="str">
        <f>IFERROR(VLOOKUP($B225,L$109:$AG$208,L$107,FALSE),"")</f>
        <v>Folicur</v>
      </c>
      <c r="M225" s="2152" t="str">
        <f>IFERROR(VLOOKUP($B225,M$109:$AG$208,M$107,FALSE),"")</f>
        <v>Folicur</v>
      </c>
      <c r="N225" s="2152" t="str">
        <f>IFERROR(VLOOKUP($B225,N$109:$AG$208,N$107,FALSE),"")</f>
        <v>Starane XL</v>
      </c>
      <c r="O225" s="2152" t="str">
        <f>IFERROR(VLOOKUP($B225,O$109:$AG$208,O$107,FALSE),"")</f>
        <v>Karate Zeon</v>
      </c>
      <c r="P225" s="2152" t="str">
        <f>IFERROR(VLOOKUP($B225,P$109:$AG$208,P$107,FALSE),"")</f>
        <v>Prosaro</v>
      </c>
      <c r="Q225" s="2152" t="str">
        <f>IFERROR(VLOOKUP($B225,Q$109:$AG$208,Q$107,FALSE),"")</f>
        <v/>
      </c>
      <c r="R225" s="2152" t="str">
        <f>IFERROR(VLOOKUP($B225,R$109:$AG$208,R$107,FALSE),"")</f>
        <v>MaisTer Power</v>
      </c>
      <c r="S225" s="2152" t="str">
        <f>IFERROR(VLOOKUP($B225,S$109:$AG$208,S$107,FALSE),"")</f>
        <v>Fusilade MAX</v>
      </c>
      <c r="T225" s="2152" t="str">
        <f>IFERROR(VLOOKUP($B225,T$109:$AG$208,T$107,FALSE),"")</f>
        <v>Stomp Aqua</v>
      </c>
      <c r="U225" s="2152" t="str">
        <f>IFERROR(VLOOKUP($B225,U$109:$AG$208,U$107,FALSE),"")</f>
        <v/>
      </c>
      <c r="V225" s="2152" t="str">
        <f>IFERROR(VLOOKUP($B225,V$109:$AG$208,V$107,FALSE),"")</f>
        <v/>
      </c>
      <c r="W225" s="2152" t="str">
        <f>IFERROR(VLOOKUP($B225,W$109:$AG$208,W$107,FALSE),"")</f>
        <v/>
      </c>
      <c r="X225" s="2152" t="str">
        <f>IFERROR(VLOOKUP($B225,X$109:$AG$208,X$107,FALSE),"")</f>
        <v/>
      </c>
      <c r="Y225" s="2152" t="str">
        <f>IFERROR(VLOOKUP($B225,Y$109:$AG$208,Y$107,FALSE),"")</f>
        <v>Stomp Aqua</v>
      </c>
      <c r="Z225" s="2152" t="str">
        <f>IFERROR(VLOOKUP($B225,Z$109:$AG$208,Z$107,FALSE),"")</f>
        <v/>
      </c>
      <c r="AA225" s="2152" t="str">
        <f>IFERROR(VLOOKUP($B225,AA$109:$AG$208,AA$107,FALSE),"")</f>
        <v>Ortiva</v>
      </c>
      <c r="AB225" s="2152" t="str">
        <f>IFERROR(VLOOKUP($B225,AB$109:$AG$208,AB$107,FALSE),"")</f>
        <v>Ortiva</v>
      </c>
      <c r="AC225" s="2152" t="str">
        <f>IFERROR(VLOOKUP($B225,AC$109:$AG$208,AC$107,FALSE),"")</f>
        <v/>
      </c>
      <c r="AD225" s="2152" t="str">
        <f>IFERROR(VLOOKUP($B225,AD$109:$AG$208,AD$107,FALSE),"")</f>
        <v>Betanal Tandem + Mero</v>
      </c>
      <c r="AE225" s="2152" t="str">
        <f>IFERROR(VLOOKUP($B225,AE$109:$AG$208,AE$107,FALSE),"")</f>
        <v/>
      </c>
      <c r="AF225" s="2152" t="str">
        <f>IFERROR(VLOOKUP($B225,AF$109:$AG$208,AF$107,FALSE),"")</f>
        <v/>
      </c>
    </row>
    <row r="226" spans="2:32">
      <c r="B226" s="2168">
        <f t="shared" si="20"/>
        <v>12</v>
      </c>
      <c r="F226" s="2152" t="str">
        <f>IFERROR(VLOOKUP($B226,F$109:$AG$208,F$107,FALSE),"")</f>
        <v>Elatus Era</v>
      </c>
      <c r="G226" s="2152" t="str">
        <f>IFERROR(VLOOKUP($B226,G$109:$AG$208,G$107,FALSE),"")</f>
        <v>Herold SC</v>
      </c>
      <c r="H226" s="2152" t="str">
        <f>IFERROR(VLOOKUP($B226,H$109:$AG$208,H$107,FALSE),"")</f>
        <v>Elatus Era</v>
      </c>
      <c r="I226" s="2152" t="str">
        <f>IFERROR(VLOOKUP($B226,I$109:$AG$208,I$107,FALSE),"")</f>
        <v>Fandango</v>
      </c>
      <c r="J226" s="2152" t="str">
        <f>IFERROR(VLOOKUP($B226,J$109:$AG$208,J$107,FALSE),"")</f>
        <v>Herold SC</v>
      </c>
      <c r="K226" s="2152" t="str">
        <f>IFERROR(VLOOKUP($B226,K$109:$AG$208,K$107,FALSE),"")</f>
        <v>Hoestar Super</v>
      </c>
      <c r="L226" s="2152" t="str">
        <f>IFERROR(VLOOKUP($B226,L$109:$AG$208,L$107,FALSE),"")</f>
        <v>Hoestar Super</v>
      </c>
      <c r="M226" s="2152" t="str">
        <f>IFERROR(VLOOKUP($B226,M$109:$AG$208,M$107,FALSE),"")</f>
        <v>Hoestar Super</v>
      </c>
      <c r="N226" s="2152" t="str">
        <f>IFERROR(VLOOKUP($B226,N$109:$AG$208,N$107,FALSE),"")</f>
        <v/>
      </c>
      <c r="O226" s="2152" t="str">
        <f>IFERROR(VLOOKUP($B226,O$109:$AG$208,O$107,FALSE),"")</f>
        <v>Primus Perfect</v>
      </c>
      <c r="P226" s="2152" t="str">
        <f>IFERROR(VLOOKUP($B226,P$109:$AG$208,P$107,FALSE),"")</f>
        <v>Starane XL</v>
      </c>
      <c r="Q226" s="2152" t="str">
        <f>IFERROR(VLOOKUP($B226,Q$109:$AG$208,Q$107,FALSE),"")</f>
        <v/>
      </c>
      <c r="R226" s="2152" t="str">
        <f>IFERROR(VLOOKUP($B226,R$109:$AG$208,R$107,FALSE),"")</f>
        <v>Spectrum Plus</v>
      </c>
      <c r="S226" s="2152" t="str">
        <f>IFERROR(VLOOKUP($B226,S$109:$AG$208,S$107,FALSE),"")</f>
        <v>Karate Zeon</v>
      </c>
      <c r="T226" s="2152" t="str">
        <f>IFERROR(VLOOKUP($B226,T$109:$AG$208,T$107,FALSE),"")</f>
        <v>Trebon 30 EC</v>
      </c>
      <c r="U226" s="2152" t="str">
        <f>IFERROR(VLOOKUP($B226,U$109:$AG$208,U$107,FALSE),"")</f>
        <v/>
      </c>
      <c r="V226" s="2152" t="str">
        <f>IFERROR(VLOOKUP($B226,V$109:$AG$208,V$107,FALSE),"")</f>
        <v/>
      </c>
      <c r="W226" s="2152" t="str">
        <f>IFERROR(VLOOKUP($B226,W$109:$AG$208,W$107,FALSE),"")</f>
        <v/>
      </c>
      <c r="X226" s="2152" t="str">
        <f>IFERROR(VLOOKUP($B226,X$109:$AG$208,X$107,FALSE),"")</f>
        <v/>
      </c>
      <c r="Y226" s="2152" t="str">
        <f>IFERROR(VLOOKUP($B226,Y$109:$AG$208,Y$107,FALSE),"")</f>
        <v/>
      </c>
      <c r="Z226" s="2152" t="str">
        <f>IFERROR(VLOOKUP($B226,Z$109:$AG$208,Z$107,FALSE),"")</f>
        <v/>
      </c>
      <c r="AA226" s="2152" t="str">
        <f>IFERROR(VLOOKUP($B226,AA$109:$AG$208,AA$107,FALSE),"")</f>
        <v>Spectrum</v>
      </c>
      <c r="AB226" s="2152" t="str">
        <f>IFERROR(VLOOKUP($B226,AB$109:$AG$208,AB$107,FALSE),"")</f>
        <v>Polyram WG</v>
      </c>
      <c r="AC226" s="2152" t="str">
        <f>IFERROR(VLOOKUP($B226,AC$109:$AG$208,AC$107,FALSE),"")</f>
        <v/>
      </c>
      <c r="AD226" s="2152" t="str">
        <f>IFERROR(VLOOKUP($B226,AD$109:$AG$208,AD$107,FALSE),"")</f>
        <v>Biathlon 4D +Dash</v>
      </c>
      <c r="AE226" s="2152" t="str">
        <f>IFERROR(VLOOKUP($B226,AE$109:$AG$208,AE$107,FALSE),"")</f>
        <v/>
      </c>
      <c r="AF226" s="2152" t="str">
        <f>IFERROR(VLOOKUP($B226,AF$109:$AG$208,AF$107,FALSE),"")</f>
        <v/>
      </c>
    </row>
    <row r="227" spans="2:32">
      <c r="B227" s="2168">
        <f t="shared" si="20"/>
        <v>13</v>
      </c>
      <c r="F227" s="2152" t="str">
        <f>IFERROR(VLOOKUP($B227,F$109:$AG$208,F$107,FALSE),"")</f>
        <v>Fandango</v>
      </c>
      <c r="G227" s="2152" t="str">
        <f>IFERROR(VLOOKUP($B227,G$109:$AG$208,G$107,FALSE),"")</f>
        <v>Input Classic</v>
      </c>
      <c r="H227" s="2152" t="str">
        <f>IFERROR(VLOOKUP($B227,H$109:$AG$208,H$107,FALSE),"")</f>
        <v>Fandango</v>
      </c>
      <c r="I227" s="2152" t="str">
        <f>IFERROR(VLOOKUP($B227,I$109:$AG$208,I$107,FALSE),"")</f>
        <v>Herold SC</v>
      </c>
      <c r="J227" s="2152" t="str">
        <f>IFERROR(VLOOKUP($B227,J$109:$AG$208,J$107,FALSE),"")</f>
        <v>Hoestar Super</v>
      </c>
      <c r="K227" s="2152" t="str">
        <f>IFERROR(VLOOKUP($B227,K$109:$AG$208,K$107,FALSE),"")</f>
        <v>Input Classic</v>
      </c>
      <c r="L227" s="2152" t="str">
        <f>IFERROR(VLOOKUP($B227,L$109:$AG$208,L$107,FALSE),"")</f>
        <v>Input Classic</v>
      </c>
      <c r="M227" s="2152" t="str">
        <f>IFERROR(VLOOKUP($B227,M$109:$AG$208,M$107,FALSE),"")</f>
        <v>Input Classic</v>
      </c>
      <c r="N227" s="2152" t="str">
        <f>IFERROR(VLOOKUP($B227,N$109:$AG$208,N$107,FALSE),"")</f>
        <v/>
      </c>
      <c r="O227" s="2152" t="str">
        <f>IFERROR(VLOOKUP($B227,O$109:$AG$208,O$107,FALSE),"")</f>
        <v>Prosaro</v>
      </c>
      <c r="P227" s="2152" t="str">
        <f>IFERROR(VLOOKUP($B227,P$109:$AG$208,P$107,FALSE),"")</f>
        <v>Spectrum</v>
      </c>
      <c r="Q227" s="2152" t="str">
        <f>IFERROR(VLOOKUP($B227,Q$109:$AG$208,Q$107,FALSE),"")</f>
        <v/>
      </c>
      <c r="R227" s="2152" t="str">
        <f>IFERROR(VLOOKUP($B227,R$109:$AG$208,R$107,FALSE),"")</f>
        <v>Stomp Aqua</v>
      </c>
      <c r="S227" s="2152" t="str">
        <f>IFERROR(VLOOKUP($B227,S$109:$AG$208,S$107,FALSE),"")</f>
        <v>Ortiva</v>
      </c>
      <c r="T227" s="2152" t="str">
        <f>IFERROR(VLOOKUP($B227,T$109:$AG$208,T$107,FALSE),"")</f>
        <v/>
      </c>
      <c r="U227" s="2152" t="str">
        <f>IFERROR(VLOOKUP($B227,U$109:$AG$208,U$107,FALSE),"")</f>
        <v/>
      </c>
      <c r="V227" s="2152" t="str">
        <f>IFERROR(VLOOKUP($B227,V$109:$AG$208,V$107,FALSE),"")</f>
        <v/>
      </c>
      <c r="W227" s="2152" t="str">
        <f>IFERROR(VLOOKUP($B227,W$109:$AG$208,W$107,FALSE),"")</f>
        <v/>
      </c>
      <c r="X227" s="2152" t="str">
        <f>IFERROR(VLOOKUP($B227,X$109:$AG$208,X$107,FALSE),"")</f>
        <v/>
      </c>
      <c r="Y227" s="2152" t="str">
        <f>IFERROR(VLOOKUP($B227,Y$109:$AG$208,Y$107,FALSE),"")</f>
        <v/>
      </c>
      <c r="Z227" s="2152" t="str">
        <f>IFERROR(VLOOKUP($B227,Z$109:$AG$208,Z$107,FALSE),"")</f>
        <v/>
      </c>
      <c r="AA227" s="2152" t="str">
        <f>IFERROR(VLOOKUP($B227,AA$109:$AG$208,AA$107,FALSE),"")</f>
        <v/>
      </c>
      <c r="AB227" s="2152" t="str">
        <f>IFERROR(VLOOKUP($B227,AB$109:$AG$208,AB$107,FALSE),"")</f>
        <v>Ranman Top</v>
      </c>
      <c r="AC227" s="2152" t="str">
        <f>IFERROR(VLOOKUP($B227,AC$109:$AG$208,AC$107,FALSE),"")</f>
        <v/>
      </c>
      <c r="AD227" s="2152" t="str">
        <f>IFERROR(VLOOKUP($B227,AD$109:$AG$208,AD$107,FALSE),"")</f>
        <v>Amistar Gold</v>
      </c>
      <c r="AE227" s="2152" t="str">
        <f>IFERROR(VLOOKUP($B227,AE$109:$AG$208,AE$107,FALSE),"")</f>
        <v/>
      </c>
      <c r="AF227" s="2152" t="str">
        <f>IFERROR(VLOOKUP($B227,AF$109:$AG$208,AF$107,FALSE),"")</f>
        <v/>
      </c>
    </row>
    <row r="228" spans="2:32">
      <c r="B228" s="2168">
        <f t="shared" si="20"/>
        <v>14</v>
      </c>
      <c r="F228" s="2152" t="str">
        <f>IFERROR(VLOOKUP($B228,F$109:$AG$208,F$107,FALSE),"")</f>
        <v>Folicur</v>
      </c>
      <c r="G228" s="2152" t="str">
        <f>IFERROR(VLOOKUP($B228,G$109:$AG$208,G$107,FALSE),"")</f>
        <v>Input Xpro</v>
      </c>
      <c r="H228" s="2152" t="str">
        <f>IFERROR(VLOOKUP($B228,H$109:$AG$208,H$107,FALSE),"")</f>
        <v>Folicur</v>
      </c>
      <c r="I228" s="2152" t="str">
        <f>IFERROR(VLOOKUP($B228,I$109:$AG$208,I$107,FALSE),"")</f>
        <v>Hoestar Super</v>
      </c>
      <c r="J228" s="2152" t="str">
        <f>IFERROR(VLOOKUP($B228,J$109:$AG$208,J$107,FALSE),"")</f>
        <v>Input Classic</v>
      </c>
      <c r="K228" s="2152" t="str">
        <f>IFERROR(VLOOKUP($B228,K$109:$AG$208,K$107,FALSE),"")</f>
        <v>Input Xpro</v>
      </c>
      <c r="L228" s="2152" t="str">
        <f>IFERROR(VLOOKUP($B228,L$109:$AG$208,L$107,FALSE),"")</f>
        <v>Input Xpro</v>
      </c>
      <c r="M228" s="2152" t="str">
        <f>IFERROR(VLOOKUP($B228,M$109:$AG$208,M$107,FALSE),"")</f>
        <v>Input Xpro</v>
      </c>
      <c r="N228" s="2152" t="str">
        <f>IFERROR(VLOOKUP($B228,N$109:$AG$208,N$107,FALSE),"")</f>
        <v/>
      </c>
      <c r="O228" s="2152" t="str">
        <f>IFERROR(VLOOKUP($B228,O$109:$AG$208,O$107,FALSE),"")</f>
        <v>Revytrex</v>
      </c>
      <c r="P228" s="2152">
        <f>IFERROR(VLOOKUP($B228,P$109:$AG$208,P$107,FALSE),"")</f>
        <v>0</v>
      </c>
      <c r="Q228" s="2152" t="str">
        <f>IFERROR(VLOOKUP($B228,Q$109:$AG$208,Q$107,FALSE),"")</f>
        <v/>
      </c>
      <c r="R228" s="2152" t="str">
        <f>IFERROR(VLOOKUP($B228,R$109:$AG$208,R$107,FALSE),"")</f>
        <v>TRICHOGRAMMA</v>
      </c>
      <c r="S228" s="2152" t="str">
        <f>IFERROR(VLOOKUP($B228,S$109:$AG$208,S$107,FALSE),"")</f>
        <v>Mospilan SG</v>
      </c>
      <c r="T228" s="2152" t="str">
        <f>IFERROR(VLOOKUP($B228,T$109:$AG$208,T$107,FALSE),"")</f>
        <v/>
      </c>
      <c r="U228" s="2152" t="str">
        <f>IFERROR(VLOOKUP($B228,U$109:$AG$208,U$107,FALSE),"")</f>
        <v/>
      </c>
      <c r="V228" s="2152" t="str">
        <f>IFERROR(VLOOKUP($B228,V$109:$AG$208,V$107,FALSE),"")</f>
        <v/>
      </c>
      <c r="W228" s="2152" t="str">
        <f>IFERROR(VLOOKUP($B228,W$109:$AG$208,W$107,FALSE),"")</f>
        <v/>
      </c>
      <c r="X228" s="2152" t="str">
        <f>IFERROR(VLOOKUP($B228,X$109:$AG$208,X$107,FALSE),"")</f>
        <v/>
      </c>
      <c r="Y228" s="2152" t="str">
        <f>IFERROR(VLOOKUP($B228,Y$109:$AG$208,Y$107,FALSE),"")</f>
        <v/>
      </c>
      <c r="Z228" s="2152" t="str">
        <f>IFERROR(VLOOKUP($B228,Z$109:$AG$208,Z$107,FALSE),"")</f>
        <v/>
      </c>
      <c r="AA228" s="2152" t="str">
        <f>IFERROR(VLOOKUP($B228,AA$109:$AG$208,AA$107,FALSE),"")</f>
        <v/>
      </c>
      <c r="AB228" s="2152" t="str">
        <f>IFERROR(VLOOKUP($B228,AB$109:$AG$208,AB$107,FALSE),"")</f>
        <v>Revus</v>
      </c>
      <c r="AC228" s="2152" t="str">
        <f>IFERROR(VLOOKUP($B228,AC$109:$AG$208,AC$107,FALSE),"")</f>
        <v/>
      </c>
      <c r="AD228" s="2152" t="str">
        <f>IFERROR(VLOOKUP($B228,AD$109:$AG$208,AD$107,FALSE),"")</f>
        <v>Boxer</v>
      </c>
      <c r="AE228" s="2152" t="str">
        <f>IFERROR(VLOOKUP($B228,AE$109:$AG$208,AE$107,FALSE),"")</f>
        <v/>
      </c>
      <c r="AF228" s="2152" t="str">
        <f>IFERROR(VLOOKUP($B228,AF$109:$AG$208,AF$107,FALSE),"")</f>
        <v/>
      </c>
    </row>
    <row r="229" spans="2:32">
      <c r="B229" s="2168">
        <f t="shared" si="20"/>
        <v>15</v>
      </c>
      <c r="F229" s="2152" t="str">
        <f>IFERROR(VLOOKUP($B229,F$109:$AG$208,F$107,FALSE),"")</f>
        <v>Herold SC</v>
      </c>
      <c r="G229" s="2152" t="str">
        <f>IFERROR(VLOOKUP($B229,G$109:$AG$208,G$107,FALSE),"")</f>
        <v>Karate Zeon</v>
      </c>
      <c r="H229" s="2152" t="str">
        <f>IFERROR(VLOOKUP($B229,H$109:$AG$208,H$107,FALSE),"")</f>
        <v>Herold SC</v>
      </c>
      <c r="I229" s="2152" t="str">
        <f>IFERROR(VLOOKUP($B229,I$109:$AG$208,I$107,FALSE),"")</f>
        <v>Input Classic</v>
      </c>
      <c r="J229" s="2152" t="str">
        <f>IFERROR(VLOOKUP($B229,J$109:$AG$208,J$107,FALSE),"")</f>
        <v>Input Xpro</v>
      </c>
      <c r="K229" s="2152" t="str">
        <f>IFERROR(VLOOKUP($B229,K$109:$AG$208,K$107,FALSE),"")</f>
        <v>Karate Zeon</v>
      </c>
      <c r="L229" s="2152" t="str">
        <f>IFERROR(VLOOKUP($B229,L$109:$AG$208,L$107,FALSE),"")</f>
        <v>Karate Zeon</v>
      </c>
      <c r="M229" s="2152" t="str">
        <f>IFERROR(VLOOKUP($B229,M$109:$AG$208,M$107,FALSE),"")</f>
        <v>Karate Zeon</v>
      </c>
      <c r="N229" s="2152" t="str">
        <f>IFERROR(VLOOKUP($B229,N$109:$AG$208,N$107,FALSE),"")</f>
        <v/>
      </c>
      <c r="O229" s="2152" t="str">
        <f>IFERROR(VLOOKUP($B229,O$109:$AG$208,O$107,FALSE),"")</f>
        <v>Comet</v>
      </c>
      <c r="P229" s="2152" t="str">
        <f>IFERROR(VLOOKUP($B229,P$109:$AG$208,P$107,FALSE),"")</f>
        <v>Univoq</v>
      </c>
      <c r="Q229" s="2152" t="str">
        <f>IFERROR(VLOOKUP($B229,Q$109:$AG$208,Q$107,FALSE),"")</f>
        <v/>
      </c>
      <c r="R229" s="2152" t="str">
        <f>IFERROR(VLOOKUP($B229,R$109:$AG$208,R$107,FALSE),"")</f>
        <v>Spectrum</v>
      </c>
      <c r="S229" s="2152" t="str">
        <f>IFERROR(VLOOKUP($B229,S$109:$AG$208,S$107,FALSE),"")</f>
        <v>Proline</v>
      </c>
      <c r="T229" s="2152" t="str">
        <f>IFERROR(VLOOKUP($B229,T$109:$AG$208,T$107,FALSE),"")</f>
        <v/>
      </c>
      <c r="U229" s="2152" t="str">
        <f>IFERROR(VLOOKUP($B229,U$109:$AG$208,U$107,FALSE),"")</f>
        <v/>
      </c>
      <c r="V229" s="2152" t="str">
        <f>IFERROR(VLOOKUP($B229,V$109:$AG$208,V$107,FALSE),"")</f>
        <v/>
      </c>
      <c r="W229" s="2152" t="str">
        <f>IFERROR(VLOOKUP($B229,W$109:$AG$208,W$107,FALSE),"")</f>
        <v/>
      </c>
      <c r="X229" s="2152" t="str">
        <f>IFERROR(VLOOKUP($B229,X$109:$AG$208,X$107,FALSE),"")</f>
        <v/>
      </c>
      <c r="Y229" s="2152" t="str">
        <f>IFERROR(VLOOKUP($B229,Y$109:$AG$208,Y$107,FALSE),"")</f>
        <v/>
      </c>
      <c r="Z229" s="2152" t="str">
        <f>IFERROR(VLOOKUP($B229,Z$109:$AG$208,Z$107,FALSE),"")</f>
        <v/>
      </c>
      <c r="AA229" s="2152" t="str">
        <f>IFERROR(VLOOKUP($B229,AA$109:$AG$208,AA$107,FALSE),"")</f>
        <v/>
      </c>
      <c r="AB229" s="2152" t="str">
        <f>IFERROR(VLOOKUP($B229,AB$109:$AG$208,AB$107,FALSE),"")</f>
        <v>Sencor Liquid</v>
      </c>
      <c r="AC229" s="2152" t="str">
        <f>IFERROR(VLOOKUP($B229,AC$109:$AG$208,AC$107,FALSE),"")</f>
        <v/>
      </c>
      <c r="AD229" s="2152" t="str">
        <f>IFERROR(VLOOKUP($B229,AD$109:$AG$208,AD$107,FALSE),"")</f>
        <v>Broadway</v>
      </c>
      <c r="AE229" s="2152" t="str">
        <f>IFERROR(VLOOKUP($B229,AE$109:$AG$208,AE$107,FALSE),"")</f>
        <v/>
      </c>
      <c r="AF229" s="2152" t="str">
        <f>IFERROR(VLOOKUP($B229,AF$109:$AG$208,AF$107,FALSE),"")</f>
        <v/>
      </c>
    </row>
    <row r="230" spans="2:32">
      <c r="B230" s="2168">
        <f t="shared" si="20"/>
        <v>16</v>
      </c>
      <c r="F230" s="2152" t="str">
        <f>IFERROR(VLOOKUP($B230,F$109:$AG$208,F$107,FALSE),"")</f>
        <v>Hoestar Super</v>
      </c>
      <c r="G230" s="2152" t="str">
        <f>IFERROR(VLOOKUP($B230,G$109:$AG$208,G$107,FALSE),"")</f>
        <v>Moddus</v>
      </c>
      <c r="H230" s="2152" t="str">
        <f>IFERROR(VLOOKUP($B230,H$109:$AG$208,H$107,FALSE),"")</f>
        <v>Hoestar Super</v>
      </c>
      <c r="I230" s="2152" t="str">
        <f>IFERROR(VLOOKUP($B230,I$109:$AG$208,I$107,FALSE),"")</f>
        <v>Input Xpro</v>
      </c>
      <c r="J230" s="2152" t="str">
        <f>IFERROR(VLOOKUP($B230,J$109:$AG$208,J$107,FALSE),"")</f>
        <v>Karate Zeon</v>
      </c>
      <c r="K230" s="2152" t="str">
        <f>IFERROR(VLOOKUP($B230,K$109:$AG$208,K$107,FALSE),"")</f>
        <v>Pointer Plus</v>
      </c>
      <c r="L230" s="2152" t="str">
        <f>IFERROR(VLOOKUP($B230,L$109:$AG$208,L$107,FALSE),"")</f>
        <v>Moddus</v>
      </c>
      <c r="M230" s="2152" t="str">
        <f>IFERROR(VLOOKUP($B230,M$109:$AG$208,M$107,FALSE),"")</f>
        <v>Moddus</v>
      </c>
      <c r="N230" s="2152" t="str">
        <f>IFERROR(VLOOKUP($B230,N$109:$AG$208,N$107,FALSE),"")</f>
        <v/>
      </c>
      <c r="O230" s="2152" t="str">
        <f>IFERROR(VLOOKUP($B230,O$109:$AG$208,O$107,FALSE),"")</f>
        <v>Starane XL</v>
      </c>
      <c r="P230" s="2152">
        <f>IFERROR(VLOOKUP($B230,P$109:$AG$208,P$107,FALSE),"")</f>
        <v>0</v>
      </c>
      <c r="Q230" s="2152" t="str">
        <f>IFERROR(VLOOKUP($B230,Q$109:$AG$208,Q$107,FALSE),"")</f>
        <v/>
      </c>
      <c r="R230" s="2152" t="str">
        <f>IFERROR(VLOOKUP($B230,R$109:$AG$208,R$107,FALSE),"")</f>
        <v/>
      </c>
      <c r="S230" s="2152" t="str">
        <f>IFERROR(VLOOKUP($B230,S$109:$AG$208,S$107,FALSE),"")</f>
        <v>Propulse</v>
      </c>
      <c r="T230" s="2152" t="str">
        <f>IFERROR(VLOOKUP($B230,T$109:$AG$208,T$107,FALSE),"")</f>
        <v/>
      </c>
      <c r="U230" s="2152" t="str">
        <f>IFERROR(VLOOKUP($B230,U$109:$AG$208,U$107,FALSE),"")</f>
        <v/>
      </c>
      <c r="V230" s="2152" t="str">
        <f>IFERROR(VLOOKUP($B230,V$109:$AG$208,V$107,FALSE),"")</f>
        <v/>
      </c>
      <c r="W230" s="2152" t="str">
        <f>IFERROR(VLOOKUP($B230,W$109:$AG$208,W$107,FALSE),"")</f>
        <v/>
      </c>
      <c r="X230" s="2152" t="str">
        <f>IFERROR(VLOOKUP($B230,X$109:$AG$208,X$107,FALSE),"")</f>
        <v/>
      </c>
      <c r="Y230" s="2152" t="str">
        <f>IFERROR(VLOOKUP($B230,Y$109:$AG$208,Y$107,FALSE),"")</f>
        <v/>
      </c>
      <c r="Z230" s="2152" t="str">
        <f>IFERROR(VLOOKUP($B230,Z$109:$AG$208,Z$107,FALSE),"")</f>
        <v/>
      </c>
      <c r="AA230" s="2152" t="str">
        <f>IFERROR(VLOOKUP($B230,AA$109:$AG$208,AA$107,FALSE),"")</f>
        <v/>
      </c>
      <c r="AB230" s="2152" t="str">
        <f>IFERROR(VLOOKUP($B230,AB$109:$AG$208,AB$107,FALSE),"")</f>
        <v>Shirlan</v>
      </c>
      <c r="AC230" s="2152" t="str">
        <f>IFERROR(VLOOKUP($B230,AC$109:$AG$208,AC$107,FALSE),"")</f>
        <v/>
      </c>
      <c r="AD230" s="2152" t="str">
        <f>IFERROR(VLOOKUP($B230,AD$109:$AG$208,AD$107,FALSE),"")</f>
        <v xml:space="preserve">Butisan </v>
      </c>
      <c r="AE230" s="2152" t="str">
        <f>IFERROR(VLOOKUP($B230,AE$109:$AG$208,AE$107,FALSE),"")</f>
        <v/>
      </c>
      <c r="AF230" s="2152" t="str">
        <f>IFERROR(VLOOKUP($B230,AF$109:$AG$208,AF$107,FALSE),"")</f>
        <v/>
      </c>
    </row>
    <row r="231" spans="2:32">
      <c r="B231" s="2168">
        <f t="shared" si="20"/>
        <v>17</v>
      </c>
      <c r="F231" s="2152" t="str">
        <f>IFERROR(VLOOKUP($B231,F$109:$AG$208,F$107,FALSE),"")</f>
        <v>Input Classic</v>
      </c>
      <c r="G231" s="2152" t="str">
        <f>IFERROR(VLOOKUP($B231,G$109:$AG$208,G$107,FALSE),"")</f>
        <v>Primus Perfect</v>
      </c>
      <c r="H231" s="2152" t="str">
        <f>IFERROR(VLOOKUP($B231,H$109:$AG$208,H$107,FALSE),"")</f>
        <v>Input Classic</v>
      </c>
      <c r="I231" s="2152" t="str">
        <f>IFERROR(VLOOKUP($B231,I$109:$AG$208,I$107,FALSE),"")</f>
        <v>Karate Zeon</v>
      </c>
      <c r="J231" s="2152" t="str">
        <f>IFERROR(VLOOKUP($B231,J$109:$AG$208,J$107,FALSE),"")</f>
        <v>Malibu</v>
      </c>
      <c r="K231" s="2152" t="str">
        <f>IFERROR(VLOOKUP($B231,K$109:$AG$208,K$107,FALSE),"")</f>
        <v>Primus Perfect</v>
      </c>
      <c r="L231" s="2152" t="str">
        <f>IFERROR(VLOOKUP($B231,L$109:$AG$208,L$107,FALSE),"")</f>
        <v>Pointer Plus</v>
      </c>
      <c r="M231" s="2152" t="str">
        <f>IFERROR(VLOOKUP($B231,M$109:$AG$208,M$107,FALSE),"")</f>
        <v>Pointer Plus</v>
      </c>
      <c r="N231" s="2152" t="str">
        <f>IFERROR(VLOOKUP($B231,N$109:$AG$208,N$107,FALSE),"")</f>
        <v/>
      </c>
      <c r="O231" s="2152" t="str">
        <f>IFERROR(VLOOKUP($B231,O$109:$AG$208,O$107,FALSE),"")</f>
        <v>Zypar</v>
      </c>
      <c r="P231" s="2152" t="str">
        <f>IFERROR(VLOOKUP($B231,P$109:$AG$208,P$107,FALSE),"")</f>
        <v/>
      </c>
      <c r="Q231" s="2152" t="str">
        <f>IFERROR(VLOOKUP($B231,Q$109:$AG$208,Q$107,FALSE),"")</f>
        <v/>
      </c>
      <c r="R231" s="2152" t="str">
        <f>IFERROR(VLOOKUP($B231,R$109:$AG$208,R$107,FALSE),"")</f>
        <v/>
      </c>
      <c r="S231" s="2152" t="str">
        <f>IFERROR(VLOOKUP($B231,S$109:$AG$208,S$107,FALSE),"")</f>
        <v>Prosaro</v>
      </c>
      <c r="T231" s="2152" t="str">
        <f>IFERROR(VLOOKUP($B231,T$109:$AG$208,T$107,FALSE),"")</f>
        <v/>
      </c>
      <c r="U231" s="2152" t="str">
        <f>IFERROR(VLOOKUP($B231,U$109:$AG$208,U$107,FALSE),"")</f>
        <v/>
      </c>
      <c r="V231" s="2152" t="str">
        <f>IFERROR(VLOOKUP($B231,V$109:$AG$208,V$107,FALSE),"")</f>
        <v/>
      </c>
      <c r="W231" s="2152" t="str">
        <f>IFERROR(VLOOKUP($B231,W$109:$AG$208,W$107,FALSE),"")</f>
        <v/>
      </c>
      <c r="X231" s="2152" t="str">
        <f>IFERROR(VLOOKUP($B231,X$109:$AG$208,X$107,FALSE),"")</f>
        <v/>
      </c>
      <c r="Y231" s="2152" t="str">
        <f>IFERROR(VLOOKUP($B231,Y$109:$AG$208,Y$107,FALSE),"")</f>
        <v/>
      </c>
      <c r="Z231" s="2152" t="str">
        <f>IFERROR(VLOOKUP($B231,Z$109:$AG$208,Z$107,FALSE),"")</f>
        <v/>
      </c>
      <c r="AA231" s="2152" t="str">
        <f>IFERROR(VLOOKUP($B231,AA$109:$AG$208,AA$107,FALSE),"")</f>
        <v/>
      </c>
      <c r="AB231" s="2152" t="str">
        <f>IFERROR(VLOOKUP($B231,AB$109:$AG$208,AB$107,FALSE),"")</f>
        <v>Teppeki</v>
      </c>
      <c r="AC231" s="2152" t="str">
        <f>IFERROR(VLOOKUP($B231,AC$109:$AG$208,AC$107,FALSE),"")</f>
        <v/>
      </c>
      <c r="AD231" s="2152" t="str">
        <f>IFERROR(VLOOKUP($B231,AD$109:$AG$208,AD$107,FALSE),"")</f>
        <v>Callisto</v>
      </c>
      <c r="AE231" s="2152" t="str">
        <f>IFERROR(VLOOKUP($B231,AE$109:$AG$208,AE$107,FALSE),"")</f>
        <v/>
      </c>
      <c r="AF231" s="2152" t="str">
        <f>IFERROR(VLOOKUP($B231,AF$109:$AG$208,AF$107,FALSE),"")</f>
        <v/>
      </c>
    </row>
    <row r="232" spans="2:32">
      <c r="B232" s="2168">
        <f t="shared" si="20"/>
        <v>18</v>
      </c>
      <c r="F232" s="2152" t="str">
        <f>IFERROR(VLOOKUP($B232,F$109:$AG$208,F$107,FALSE),"")</f>
        <v>Input Xpro</v>
      </c>
      <c r="G232" s="2152" t="str">
        <f>IFERROR(VLOOKUP($B232,G$109:$AG$208,G$107,FALSE),"")</f>
        <v>Prosaro</v>
      </c>
      <c r="H232" s="2152" t="str">
        <f>IFERROR(VLOOKUP($B232,H$109:$AG$208,H$107,FALSE),"")</f>
        <v>Input Xpro</v>
      </c>
      <c r="I232" s="2152" t="str">
        <f>IFERROR(VLOOKUP($B232,I$109:$AG$208,I$107,FALSE),"")</f>
        <v>Malibu</v>
      </c>
      <c r="J232" s="2152" t="str">
        <f>IFERROR(VLOOKUP($B232,J$109:$AG$208,J$107,FALSE),"")</f>
        <v>Moddus</v>
      </c>
      <c r="K232" s="2152" t="str">
        <f>IFERROR(VLOOKUP($B232,K$109:$AG$208,K$107,FALSE),"")</f>
        <v>Prosaro</v>
      </c>
      <c r="L232" s="2152" t="str">
        <f>IFERROR(VLOOKUP($B232,L$109:$AG$208,L$107,FALSE),"")</f>
        <v>Primus Perfect</v>
      </c>
      <c r="M232" s="2152" t="str">
        <f>IFERROR(VLOOKUP($B232,M$109:$AG$208,M$107,FALSE),"")</f>
        <v>Primus Perfect</v>
      </c>
      <c r="N232" s="2152" t="str">
        <f>IFERROR(VLOOKUP($B232,N$109:$AG$208,N$107,FALSE),"")</f>
        <v/>
      </c>
      <c r="O232" s="2152" t="str">
        <f>IFERROR(VLOOKUP($B232,O$109:$AG$208,O$107,FALSE),"")</f>
        <v/>
      </c>
      <c r="P232" s="2152" t="str">
        <f>IFERROR(VLOOKUP($B232,P$109:$AG$208,P$107,FALSE),"")</f>
        <v/>
      </c>
      <c r="Q232" s="2152" t="str">
        <f>IFERROR(VLOOKUP($B232,Q$109:$AG$208,Q$107,FALSE),"")</f>
        <v/>
      </c>
      <c r="R232" s="2152" t="str">
        <f>IFERROR(VLOOKUP($B232,R$109:$AG$208,R$107,FALSE),"")</f>
        <v/>
      </c>
      <c r="S232" s="2152" t="str">
        <f>IFERROR(VLOOKUP($B232,S$109:$AG$208,S$107,FALSE),"")</f>
        <v>Select 240 EC</v>
      </c>
      <c r="T232" s="2152" t="str">
        <f>IFERROR(VLOOKUP($B232,T$109:$AG$208,T$107,FALSE),"")</f>
        <v/>
      </c>
      <c r="U232" s="2152" t="str">
        <f>IFERROR(VLOOKUP($B232,U$109:$AG$208,U$107,FALSE),"")</f>
        <v/>
      </c>
      <c r="V232" s="2152" t="str">
        <f>IFERROR(VLOOKUP($B232,V$109:$AG$208,V$107,FALSE),"")</f>
        <v/>
      </c>
      <c r="W232" s="2152" t="str">
        <f>IFERROR(VLOOKUP($B232,W$109:$AG$208,W$107,FALSE),"")</f>
        <v/>
      </c>
      <c r="X232" s="2152" t="str">
        <f>IFERROR(VLOOKUP($B232,X$109:$AG$208,X$107,FALSE),"")</f>
        <v/>
      </c>
      <c r="Y232" s="2152" t="str">
        <f>IFERROR(VLOOKUP($B232,Y$109:$AG$208,Y$107,FALSE),"")</f>
        <v/>
      </c>
      <c r="Z232" s="2152" t="str">
        <f>IFERROR(VLOOKUP($B232,Z$109:$AG$208,Z$107,FALSE),"")</f>
        <v/>
      </c>
      <c r="AA232" s="2152" t="str">
        <f>IFERROR(VLOOKUP($B232,AA$109:$AG$208,AA$107,FALSE),"")</f>
        <v/>
      </c>
      <c r="AB232" s="2152" t="str">
        <f>IFERROR(VLOOKUP($B232,AB$109:$AG$208,AB$107,FALSE),"")</f>
        <v>Spectrum</v>
      </c>
      <c r="AC232" s="2152" t="str">
        <f>IFERROR(VLOOKUP($B232,AC$109:$AG$208,AC$107,FALSE),"")</f>
        <v/>
      </c>
      <c r="AD232" s="2152" t="str">
        <f>IFERROR(VLOOKUP($B232,AD$109:$AG$208,AD$107,FALSE),"")</f>
        <v>Cantus Gold</v>
      </c>
      <c r="AE232" s="2152" t="str">
        <f>IFERROR(VLOOKUP($B232,AE$109:$AG$208,AE$107,FALSE),"")</f>
        <v/>
      </c>
      <c r="AF232" s="2152" t="str">
        <f>IFERROR(VLOOKUP($B232,AF$109:$AG$208,AF$107,FALSE),"")</f>
        <v/>
      </c>
    </row>
    <row r="233" spans="2:32">
      <c r="B233" s="2168">
        <f t="shared" si="20"/>
        <v>19</v>
      </c>
      <c r="F233" s="2152" t="str">
        <f>IFERROR(VLOOKUP($B233,F$109:$AG$208,F$107,FALSE),"")</f>
        <v>Karate Zeon</v>
      </c>
      <c r="G233" s="2152" t="str">
        <f>IFERROR(VLOOKUP($B233,G$109:$AG$208,G$107,FALSE),"")</f>
        <v>Revytrex</v>
      </c>
      <c r="H233" s="2152" t="str">
        <f>IFERROR(VLOOKUP($B233,H$109:$AG$208,H$107,FALSE),"")</f>
        <v>Karate Zeon</v>
      </c>
      <c r="I233" s="2152" t="str">
        <f>IFERROR(VLOOKUP($B233,I$109:$AG$208,I$107,FALSE),"")</f>
        <v>Moddus</v>
      </c>
      <c r="J233" s="2152" t="str">
        <f>IFERROR(VLOOKUP($B233,J$109:$AG$208,J$107,FALSE),"")</f>
        <v>Pointer Plus</v>
      </c>
      <c r="K233" s="2152" t="str">
        <f>IFERROR(VLOOKUP($B233,K$109:$AG$208,K$107,FALSE),"")</f>
        <v>Revytrex</v>
      </c>
      <c r="L233" s="2152" t="str">
        <f>IFERROR(VLOOKUP($B233,L$109:$AG$208,L$107,FALSE),"")</f>
        <v>Prosaro</v>
      </c>
      <c r="M233" s="2152" t="str">
        <f>IFERROR(VLOOKUP($B233,M$109:$AG$208,M$107,FALSE),"")</f>
        <v>Prosaro</v>
      </c>
      <c r="N233" s="2152" t="str">
        <f>IFERROR(VLOOKUP($B233,N$109:$AG$208,N$107,FALSE),"")</f>
        <v/>
      </c>
      <c r="O233" s="2152" t="str">
        <f>IFERROR(VLOOKUP($B233,O$109:$AG$208,O$107,FALSE),"")</f>
        <v/>
      </c>
      <c r="P233" s="2152" t="str">
        <f>IFERROR(VLOOKUP($B233,P$109:$AG$208,P$107,FALSE),"")</f>
        <v/>
      </c>
      <c r="Q233" s="2152" t="str">
        <f>IFERROR(VLOOKUP($B233,Q$109:$AG$208,Q$107,FALSE),"")</f>
        <v/>
      </c>
      <c r="R233" s="2152" t="str">
        <f>IFERROR(VLOOKUP($B233,R$109:$AG$208,R$107,FALSE),"")</f>
        <v/>
      </c>
      <c r="S233" s="2152" t="str">
        <f>IFERROR(VLOOKUP($B233,S$109:$AG$208,S$107,FALSE),"")</f>
        <v>Stomp Aqua</v>
      </c>
      <c r="T233" s="2152" t="str">
        <f>IFERROR(VLOOKUP($B233,T$109:$AG$208,T$107,FALSE),"")</f>
        <v/>
      </c>
      <c r="U233" s="2152" t="str">
        <f>IFERROR(VLOOKUP($B233,U$109:$AG$208,U$107,FALSE),"")</f>
        <v/>
      </c>
      <c r="V233" s="2152" t="str">
        <f>IFERROR(VLOOKUP($B233,V$109:$AG$208,V$107,FALSE),"")</f>
        <v/>
      </c>
      <c r="W233" s="2152" t="str">
        <f>IFERROR(VLOOKUP($B233,W$109:$AG$208,W$107,FALSE),"")</f>
        <v/>
      </c>
      <c r="X233" s="2152" t="str">
        <f>IFERROR(VLOOKUP($B233,X$109:$AG$208,X$107,FALSE),"")</f>
        <v/>
      </c>
      <c r="Y233" s="2152" t="str">
        <f>IFERROR(VLOOKUP($B233,Y$109:$AG$208,Y$107,FALSE),"")</f>
        <v/>
      </c>
      <c r="Z233" s="2152" t="str">
        <f>IFERROR(VLOOKUP($B233,Z$109:$AG$208,Z$107,FALSE),"")</f>
        <v/>
      </c>
      <c r="AA233" s="2152" t="str">
        <f>IFERROR(VLOOKUP($B233,AA$109:$AG$208,AA$107,FALSE),"")</f>
        <v/>
      </c>
      <c r="AB233" s="2152" t="str">
        <f>IFERROR(VLOOKUP($B233,AB$109:$AG$208,AB$107,FALSE),"")</f>
        <v/>
      </c>
      <c r="AC233" s="2152" t="str">
        <f>IFERROR(VLOOKUP($B233,AC$109:$AG$208,AC$107,FALSE),"")</f>
        <v/>
      </c>
      <c r="AD233" s="2152" t="str">
        <f>IFERROR(VLOOKUP($B233,AD$109:$AG$208,AD$107,FALSE),"")</f>
        <v>Carax</v>
      </c>
      <c r="AE233" s="2152" t="str">
        <f>IFERROR(VLOOKUP($B233,AE$109:$AG$208,AE$107,FALSE),"")</f>
        <v/>
      </c>
      <c r="AF233" s="2152" t="str">
        <f>IFERROR(VLOOKUP($B233,AF$109:$AG$208,AF$107,FALSE),"")</f>
        <v/>
      </c>
    </row>
    <row r="234" spans="2:32">
      <c r="B234" s="2168">
        <f t="shared" si="20"/>
        <v>20</v>
      </c>
      <c r="F234" s="2152" t="str">
        <f>IFERROR(VLOOKUP($B234,F$109:$AG$208,F$107,FALSE),"")</f>
        <v>Malibu</v>
      </c>
      <c r="G234" s="2152" t="str">
        <f>IFERROR(VLOOKUP($B234,G$109:$AG$208,G$107,FALSE),"")</f>
        <v>Comet</v>
      </c>
      <c r="H234" s="2152" t="str">
        <f>IFERROR(VLOOKUP($B234,H$109:$AG$208,H$107,FALSE),"")</f>
        <v>Malibu</v>
      </c>
      <c r="I234" s="2152" t="str">
        <f>IFERROR(VLOOKUP($B234,I$109:$AG$208,I$107,FALSE),"")</f>
        <v>Pointer Plus</v>
      </c>
      <c r="J234" s="2152" t="str">
        <f>IFERROR(VLOOKUP($B234,J$109:$AG$208,J$107,FALSE),"")</f>
        <v>Primus Perfect</v>
      </c>
      <c r="K234" s="2152" t="str">
        <f>IFERROR(VLOOKUP($B234,K$109:$AG$208,K$107,FALSE),"")</f>
        <v>Comet</v>
      </c>
      <c r="L234" s="2152" t="str">
        <f>IFERROR(VLOOKUP($B234,L$109:$AG$208,L$107,FALSE),"")</f>
        <v>Revytrex</v>
      </c>
      <c r="M234" s="2152" t="str">
        <f>IFERROR(VLOOKUP($B234,M$109:$AG$208,M$107,FALSE),"")</f>
        <v>Revytrex</v>
      </c>
      <c r="N234" s="2152" t="str">
        <f>IFERROR(VLOOKUP($B234,N$109:$AG$208,N$107,FALSE),"")</f>
        <v/>
      </c>
      <c r="O234" s="2152" t="str">
        <f>IFERROR(VLOOKUP($B234,O$109:$AG$208,O$107,FALSE),"")</f>
        <v/>
      </c>
      <c r="P234" s="2152" t="str">
        <f>IFERROR(VLOOKUP($B234,P$109:$AG$208,P$107,FALSE),"")</f>
        <v/>
      </c>
      <c r="Q234" s="2152" t="str">
        <f>IFERROR(VLOOKUP($B234,Q$109:$AG$208,Q$107,FALSE),"")</f>
        <v/>
      </c>
      <c r="R234" s="2152" t="str">
        <f>IFERROR(VLOOKUP($B234,R$109:$AG$208,R$107,FALSE),"")</f>
        <v/>
      </c>
      <c r="S234" s="2152" t="str">
        <f>IFERROR(VLOOKUP($B234,S$109:$AG$208,S$107,FALSE),"")</f>
        <v>Tilmor</v>
      </c>
      <c r="T234" s="2152" t="str">
        <f>IFERROR(VLOOKUP($B234,T$109:$AG$208,T$107,FALSE),"")</f>
        <v/>
      </c>
      <c r="U234" s="2152" t="str">
        <f>IFERROR(VLOOKUP($B234,U$109:$AG$208,U$107,FALSE),"")</f>
        <v/>
      </c>
      <c r="V234" s="2152" t="str">
        <f>IFERROR(VLOOKUP($B234,V$109:$AG$208,V$107,FALSE),"")</f>
        <v/>
      </c>
      <c r="W234" s="2152" t="str">
        <f>IFERROR(VLOOKUP($B234,W$109:$AG$208,W$107,FALSE),"")</f>
        <v/>
      </c>
      <c r="X234" s="2152" t="str">
        <f>IFERROR(VLOOKUP($B234,X$109:$AG$208,X$107,FALSE),"")</f>
        <v/>
      </c>
      <c r="Y234" s="2152" t="str">
        <f>IFERROR(VLOOKUP($B234,Y$109:$AG$208,Y$107,FALSE),"")</f>
        <v/>
      </c>
      <c r="Z234" s="2152" t="str">
        <f>IFERROR(VLOOKUP($B234,Z$109:$AG$208,Z$107,FALSE),"")</f>
        <v/>
      </c>
      <c r="AA234" s="2152" t="str">
        <f>IFERROR(VLOOKUP($B234,AA$109:$AG$208,AA$107,FALSE),"")</f>
        <v/>
      </c>
      <c r="AB234" s="2152" t="str">
        <f>IFERROR(VLOOKUP($B234,AB$109:$AG$208,AB$107,FALSE),"")</f>
        <v/>
      </c>
      <c r="AC234" s="2152" t="str">
        <f>IFERROR(VLOOKUP($B234,AC$109:$AG$208,AC$107,FALSE),"")</f>
        <v/>
      </c>
      <c r="AD234" s="2152" t="str">
        <f>IFERROR(VLOOKUP($B234,AD$109:$AG$208,AD$107,FALSE),"")</f>
        <v>CCC 720</v>
      </c>
      <c r="AE234" s="2152" t="str">
        <f>IFERROR(VLOOKUP($B234,AE$109:$AG$208,AE$107,FALSE),"")</f>
        <v/>
      </c>
      <c r="AF234" s="2152" t="str">
        <f>IFERROR(VLOOKUP($B234,AF$109:$AG$208,AF$107,FALSE),"")</f>
        <v/>
      </c>
    </row>
    <row r="235" spans="2:32">
      <c r="B235" s="2168">
        <f t="shared" si="20"/>
        <v>21</v>
      </c>
      <c r="F235" s="2152" t="str">
        <f>IFERROR(VLOOKUP($B235,F$109:$AG$208,F$107,FALSE),"")</f>
        <v>Moddus</v>
      </c>
      <c r="G235" s="2152" t="str">
        <f>IFERROR(VLOOKUP($B235,G$109:$AG$208,G$107,FALSE),"")</f>
        <v>Stomp Aqua</v>
      </c>
      <c r="H235" s="2152" t="str">
        <f>IFERROR(VLOOKUP($B235,H$109:$AG$208,H$107,FALSE),"")</f>
        <v>Moddus</v>
      </c>
      <c r="I235" s="2152" t="str">
        <f>IFERROR(VLOOKUP($B235,I$109:$AG$208,I$107,FALSE),"")</f>
        <v>Primus Perfect</v>
      </c>
      <c r="J235" s="2152" t="str">
        <f>IFERROR(VLOOKUP($B235,J$109:$AG$208,J$107,FALSE),"")</f>
        <v>Prosaro</v>
      </c>
      <c r="K235" s="2152" t="str">
        <f>IFERROR(VLOOKUP($B235,K$109:$AG$208,K$107,FALSE),"")</f>
        <v>Starane XL</v>
      </c>
      <c r="L235" s="2152" t="str">
        <f>IFERROR(VLOOKUP($B235,L$109:$AG$208,L$107,FALSE),"")</f>
        <v>Comet</v>
      </c>
      <c r="M235" s="2152" t="str">
        <f>IFERROR(VLOOKUP($B235,M$109:$AG$208,M$107,FALSE),"")</f>
        <v>Comet</v>
      </c>
      <c r="N235" s="2152" t="str">
        <f>IFERROR(VLOOKUP($B235,N$109:$AG$208,N$107,FALSE),"")</f>
        <v/>
      </c>
      <c r="O235" s="2152" t="str">
        <f>IFERROR(VLOOKUP($B235,O$109:$AG$208,O$107,FALSE),"")</f>
        <v/>
      </c>
      <c r="P235" s="2152" t="str">
        <f>IFERROR(VLOOKUP($B235,P$109:$AG$208,P$107,FALSE),"")</f>
        <v/>
      </c>
      <c r="Q235" s="2152" t="str">
        <f>IFERROR(VLOOKUP($B235,Q$109:$AG$208,Q$107,FALSE),"")</f>
        <v/>
      </c>
      <c r="R235" s="2152" t="str">
        <f>IFERROR(VLOOKUP($B235,R$109:$AG$208,R$107,FALSE),"")</f>
        <v/>
      </c>
      <c r="S235" s="2152" t="str">
        <f>IFERROR(VLOOKUP($B235,S$109:$AG$208,S$107,FALSE),"")</f>
        <v>Trebon 30 EC</v>
      </c>
      <c r="T235" s="2152" t="str">
        <f>IFERROR(VLOOKUP($B235,T$109:$AG$208,T$107,FALSE),"")</f>
        <v/>
      </c>
      <c r="U235" s="2152" t="str">
        <f>IFERROR(VLOOKUP($B235,U$109:$AG$208,U$107,FALSE),"")</f>
        <v/>
      </c>
      <c r="V235" s="2152" t="str">
        <f>IFERROR(VLOOKUP($B235,V$109:$AG$208,V$107,FALSE),"")</f>
        <v/>
      </c>
      <c r="W235" s="2152" t="str">
        <f>IFERROR(VLOOKUP($B235,W$109:$AG$208,W$107,FALSE),"")</f>
        <v/>
      </c>
      <c r="X235" s="2152" t="str">
        <f>IFERROR(VLOOKUP($B235,X$109:$AG$208,X$107,FALSE),"")</f>
        <v/>
      </c>
      <c r="Y235" s="2152" t="str">
        <f>IFERROR(VLOOKUP($B235,Y$109:$AG$208,Y$107,FALSE),"")</f>
        <v/>
      </c>
      <c r="Z235" s="2152" t="str">
        <f>IFERROR(VLOOKUP($B235,Z$109:$AG$208,Z$107,FALSE),"")</f>
        <v/>
      </c>
      <c r="AA235" s="2152" t="str">
        <f>IFERROR(VLOOKUP($B235,AA$109:$AG$208,AA$107,FALSE),"")</f>
        <v/>
      </c>
      <c r="AB235" s="2152" t="str">
        <f>IFERROR(VLOOKUP($B235,AB$109:$AG$208,AB$107,FALSE),"")</f>
        <v/>
      </c>
      <c r="AC235" s="2152" t="str">
        <f>IFERROR(VLOOKUP($B235,AC$109:$AG$208,AC$107,FALSE),"")</f>
        <v/>
      </c>
      <c r="AD235" s="2152" t="str">
        <f>IFERROR(VLOOKUP($B235,AD$109:$AG$208,AD$107,FALSE),"")</f>
        <v>Centium 36 CS</v>
      </c>
      <c r="AE235" s="2152" t="str">
        <f>IFERROR(VLOOKUP($B235,AE$109:$AG$208,AE$107,FALSE),"")</f>
        <v/>
      </c>
      <c r="AF235" s="2152" t="str">
        <f>IFERROR(VLOOKUP($B235,AF$109:$AG$208,AF$107,FALSE),"")</f>
        <v/>
      </c>
    </row>
    <row r="236" spans="2:32">
      <c r="B236" s="2168">
        <f t="shared" si="20"/>
        <v>22</v>
      </c>
      <c r="F236" s="2152" t="str">
        <f>IFERROR(VLOOKUP($B236,F$109:$AG$208,F$107,FALSE),"")</f>
        <v>Pointer Plus</v>
      </c>
      <c r="G236" s="2152" t="str">
        <f>IFERROR(VLOOKUP($B236,G$109:$AG$208,G$107,FALSE),"")</f>
        <v>Zypar</v>
      </c>
      <c r="H236" s="2152" t="str">
        <f>IFERROR(VLOOKUP($B236,H$109:$AG$208,H$107,FALSE),"")</f>
        <v>Pointer Plus</v>
      </c>
      <c r="I236" s="2152" t="str">
        <f>IFERROR(VLOOKUP($B236,I$109:$AG$208,I$107,FALSE),"")</f>
        <v>Prosaro</v>
      </c>
      <c r="J236" s="2152" t="str">
        <f>IFERROR(VLOOKUP($B236,J$109:$AG$208,J$107,FALSE),"")</f>
        <v>Revytrex</v>
      </c>
      <c r="K236" s="2152" t="str">
        <f>IFERROR(VLOOKUP($B236,K$109:$AG$208,K$107,FALSE),"")</f>
        <v>Zypar</v>
      </c>
      <c r="L236" s="2152" t="str">
        <f>IFERROR(VLOOKUP($B236,L$109:$AG$208,L$107,FALSE),"")</f>
        <v>Starane XL</v>
      </c>
      <c r="M236" s="2152" t="str">
        <f>IFERROR(VLOOKUP($B236,M$109:$AG$208,M$107,FALSE),"")</f>
        <v>Starane XL</v>
      </c>
      <c r="N236" s="2152" t="str">
        <f>IFERROR(VLOOKUP($B236,N$109:$AG$208,N$107,FALSE),"")</f>
        <v/>
      </c>
      <c r="O236" s="2152" t="str">
        <f>IFERROR(VLOOKUP($B236,O$109:$AG$208,O$107,FALSE),"")</f>
        <v/>
      </c>
      <c r="P236" s="2152" t="str">
        <f>IFERROR(VLOOKUP($B236,P$109:$AG$208,P$107,FALSE),"")</f>
        <v/>
      </c>
      <c r="Q236" s="2152" t="str">
        <f>IFERROR(VLOOKUP($B236,Q$109:$AG$208,Q$107,FALSE),"")</f>
        <v/>
      </c>
      <c r="R236" s="2152" t="str">
        <f>IFERROR(VLOOKUP($B236,R$109:$AG$208,R$107,FALSE),"")</f>
        <v/>
      </c>
      <c r="S236" s="2152" t="str">
        <f>IFERROR(VLOOKUP($B236,S$109:$AG$208,S$107,FALSE),"")</f>
        <v/>
      </c>
      <c r="T236" s="2152" t="str">
        <f>IFERROR(VLOOKUP($B236,T$109:$AG$208,T$107,FALSE),"")</f>
        <v/>
      </c>
      <c r="U236" s="2152" t="str">
        <f>IFERROR(VLOOKUP($B236,U$109:$AG$208,U$107,FALSE),"")</f>
        <v/>
      </c>
      <c r="V236" s="2152" t="str">
        <f>IFERROR(VLOOKUP($B236,V$109:$AG$208,V$107,FALSE),"")</f>
        <v/>
      </c>
      <c r="W236" s="2152" t="str">
        <f>IFERROR(VLOOKUP($B236,W$109:$AG$208,W$107,FALSE),"")</f>
        <v/>
      </c>
      <c r="X236" s="2152" t="str">
        <f>IFERROR(VLOOKUP($B236,X$109:$AG$208,X$107,FALSE),"")</f>
        <v/>
      </c>
      <c r="Y236" s="2152" t="str">
        <f>IFERROR(VLOOKUP($B236,Y$109:$AG$208,Y$107,FALSE),"")</f>
        <v/>
      </c>
      <c r="Z236" s="2152" t="str">
        <f>IFERROR(VLOOKUP($B236,Z$109:$AG$208,Z$107,FALSE),"")</f>
        <v/>
      </c>
      <c r="AA236" s="2152" t="str">
        <f>IFERROR(VLOOKUP($B236,AA$109:$AG$208,AA$107,FALSE),"")</f>
        <v/>
      </c>
      <c r="AB236" s="2152" t="str">
        <f>IFERROR(VLOOKUP($B236,AB$109:$AG$208,AB$107,FALSE),"")</f>
        <v/>
      </c>
      <c r="AC236" s="2152" t="str">
        <f>IFERROR(VLOOKUP($B236,AC$109:$AG$208,AC$107,FALSE),"")</f>
        <v/>
      </c>
      <c r="AD236" s="2152" t="str">
        <f>IFERROR(VLOOKUP($B236,AD$109:$AG$208,AD$107,FALSE),"")</f>
        <v>Cerone 660</v>
      </c>
      <c r="AE236" s="2152" t="str">
        <f>IFERROR(VLOOKUP($B236,AE$109:$AG$208,AE$107,FALSE),"")</f>
        <v/>
      </c>
      <c r="AF236" s="2152" t="str">
        <f>IFERROR(VLOOKUP($B236,AF$109:$AG$208,AF$107,FALSE),"")</f>
        <v/>
      </c>
    </row>
    <row r="237" spans="2:32">
      <c r="B237" s="2168">
        <f t="shared" si="20"/>
        <v>23</v>
      </c>
      <c r="F237" s="2152" t="str">
        <f>IFERROR(VLOOKUP($B237,F$109:$AG$208,F$107,FALSE),"")</f>
        <v>Primus Perfect</v>
      </c>
      <c r="G237" s="2152" t="str">
        <f>IFERROR(VLOOKUP($B237,G$109:$AG$208,G$107,FALSE),"")</f>
        <v>Univoq</v>
      </c>
      <c r="H237" s="2152" t="str">
        <f>IFERROR(VLOOKUP($B237,H$109:$AG$208,H$107,FALSE),"")</f>
        <v>Primus Perfect</v>
      </c>
      <c r="I237" s="2152" t="str">
        <f>IFERROR(VLOOKUP($B237,I$109:$AG$208,I$107,FALSE),"")</f>
        <v>Revytrex</v>
      </c>
      <c r="J237" s="2152" t="str">
        <f>IFERROR(VLOOKUP($B237,J$109:$AG$208,J$107,FALSE),"")</f>
        <v>Comet</v>
      </c>
      <c r="K237" s="2152" t="str">
        <f>IFERROR(VLOOKUP($B237,K$109:$AG$208,K$107,FALSE),"")</f>
        <v>Univoq</v>
      </c>
      <c r="L237" s="2152" t="str">
        <f>IFERROR(VLOOKUP($B237,L$109:$AG$208,L$107,FALSE),"")</f>
        <v>Zypar</v>
      </c>
      <c r="M237" s="2152" t="str">
        <f>IFERROR(VLOOKUP($B237,M$109:$AG$208,M$107,FALSE),"")</f>
        <v>Zypar</v>
      </c>
      <c r="N237" s="2152" t="str">
        <f>IFERROR(VLOOKUP($B237,N$109:$AG$208,N$107,FALSE),"")</f>
        <v/>
      </c>
      <c r="O237" s="2152" t="str">
        <f>IFERROR(VLOOKUP($B237,O$109:$AG$208,O$107,FALSE),"")</f>
        <v/>
      </c>
      <c r="P237" s="2152" t="str">
        <f>IFERROR(VLOOKUP($B237,P$109:$AG$208,P$107,FALSE),"")</f>
        <v/>
      </c>
      <c r="Q237" s="2152" t="str">
        <f>IFERROR(VLOOKUP($B237,Q$109:$AG$208,Q$107,FALSE),"")</f>
        <v/>
      </c>
      <c r="R237" s="2152" t="str">
        <f>IFERROR(VLOOKUP($B237,R$109:$AG$208,R$107,FALSE),"")</f>
        <v/>
      </c>
      <c r="S237" s="2152" t="str">
        <f>IFERROR(VLOOKUP($B237,S$109:$AG$208,S$107,FALSE),"")</f>
        <v/>
      </c>
      <c r="T237" s="2152" t="str">
        <f>IFERROR(VLOOKUP($B237,T$109:$AG$208,T$107,FALSE),"")</f>
        <v/>
      </c>
      <c r="U237" s="2152" t="str">
        <f>IFERROR(VLOOKUP($B237,U$109:$AG$208,U$107,FALSE),"")</f>
        <v/>
      </c>
      <c r="V237" s="2152" t="str">
        <f>IFERROR(VLOOKUP($B237,V$109:$AG$208,V$107,FALSE),"")</f>
        <v/>
      </c>
      <c r="W237" s="2152" t="str">
        <f>IFERROR(VLOOKUP($B237,W$109:$AG$208,W$107,FALSE),"")</f>
        <v/>
      </c>
      <c r="X237" s="2152" t="str">
        <f>IFERROR(VLOOKUP($B237,X$109:$AG$208,X$107,FALSE),"")</f>
        <v/>
      </c>
      <c r="Y237" s="2152" t="str">
        <f>IFERROR(VLOOKUP($B237,Y$109:$AG$208,Y$107,FALSE),"")</f>
        <v/>
      </c>
      <c r="Z237" s="2152" t="str">
        <f>IFERROR(VLOOKUP($B237,Z$109:$AG$208,Z$107,FALSE),"")</f>
        <v/>
      </c>
      <c r="AA237" s="2152" t="str">
        <f>IFERROR(VLOOKUP($B237,AA$109:$AG$208,AA$107,FALSE),"")</f>
        <v/>
      </c>
      <c r="AB237" s="2152" t="str">
        <f>IFERROR(VLOOKUP($B237,AB$109:$AG$208,AB$107,FALSE),"")</f>
        <v/>
      </c>
      <c r="AC237" s="2152" t="str">
        <f>IFERROR(VLOOKUP($B237,AC$109:$AG$208,AC$107,FALSE),"")</f>
        <v/>
      </c>
      <c r="AD237" s="2152" t="str">
        <f>IFERROR(VLOOKUP($B237,AD$109:$AG$208,AD$107,FALSE),"")</f>
        <v>Coragen</v>
      </c>
      <c r="AE237" s="2152" t="str">
        <f>IFERROR(VLOOKUP($B237,AE$109:$AG$208,AE$107,FALSE),"")</f>
        <v/>
      </c>
      <c r="AF237" s="2152" t="str">
        <f>IFERROR(VLOOKUP($B237,AF$109:$AG$208,AF$107,FALSE),"")</f>
        <v/>
      </c>
    </row>
    <row r="238" spans="2:32">
      <c r="B238" s="2168">
        <f t="shared" si="20"/>
        <v>24</v>
      </c>
      <c r="F238" s="2152" t="str">
        <f>IFERROR(VLOOKUP($B238,F$109:$AG$208,F$107,FALSE),"")</f>
        <v>Prosaro</v>
      </c>
      <c r="G238" s="2152" t="str">
        <f>IFERROR(VLOOKUP($B238,G$109:$AG$208,G$107,FALSE),"")</f>
        <v/>
      </c>
      <c r="H238" s="2152" t="str">
        <f>IFERROR(VLOOKUP($B238,H$109:$AG$208,H$107,FALSE),"")</f>
        <v>Prosaro</v>
      </c>
      <c r="I238" s="2152" t="str">
        <f>IFERROR(VLOOKUP($B238,I$109:$AG$208,I$107,FALSE),"")</f>
        <v>Comet</v>
      </c>
      <c r="J238" s="2152" t="str">
        <f>IFERROR(VLOOKUP($B238,J$109:$AG$208,J$107,FALSE),"")</f>
        <v>Starane XL</v>
      </c>
      <c r="K238" s="2152" t="str">
        <f>IFERROR(VLOOKUP($B238,K$109:$AG$208,K$107,FALSE),"")</f>
        <v/>
      </c>
      <c r="L238" s="2152" t="str">
        <f>IFERROR(VLOOKUP($B238,L$109:$AG$208,L$107,FALSE),"")</f>
        <v/>
      </c>
      <c r="M238" s="2152" t="str">
        <f>IFERROR(VLOOKUP($B238,M$109:$AG$208,M$107,FALSE),"")</f>
        <v/>
      </c>
      <c r="N238" s="2152" t="str">
        <f>IFERROR(VLOOKUP($B238,N$109:$AG$208,N$107,FALSE),"")</f>
        <v/>
      </c>
      <c r="O238" s="2152" t="str">
        <f>IFERROR(VLOOKUP($B238,O$109:$AG$208,O$107,FALSE),"")</f>
        <v/>
      </c>
      <c r="P238" s="2152" t="str">
        <f>IFERROR(VLOOKUP($B238,P$109:$AG$208,P$107,FALSE),"")</f>
        <v/>
      </c>
      <c r="Q238" s="2152" t="str">
        <f>IFERROR(VLOOKUP($B238,Q$109:$AG$208,Q$107,FALSE),"")</f>
        <v/>
      </c>
      <c r="R238" s="2152" t="str">
        <f>IFERROR(VLOOKUP($B238,R$109:$AG$208,R$107,FALSE),"")</f>
        <v/>
      </c>
      <c r="S238" s="2152" t="str">
        <f>IFERROR(VLOOKUP($B238,S$109:$AG$208,S$107,FALSE),"")</f>
        <v/>
      </c>
      <c r="T238" s="2152" t="str">
        <f>IFERROR(VLOOKUP($B238,T$109:$AG$208,T$107,FALSE),"")</f>
        <v/>
      </c>
      <c r="U238" s="2152" t="str">
        <f>IFERROR(VLOOKUP($B238,U$109:$AG$208,U$107,FALSE),"")</f>
        <v/>
      </c>
      <c r="V238" s="2152" t="str">
        <f>IFERROR(VLOOKUP($B238,V$109:$AG$208,V$107,FALSE),"")</f>
        <v/>
      </c>
      <c r="W238" s="2152" t="str">
        <f>IFERROR(VLOOKUP($B238,W$109:$AG$208,W$107,FALSE),"")</f>
        <v/>
      </c>
      <c r="X238" s="2152" t="str">
        <f>IFERROR(VLOOKUP($B238,X$109:$AG$208,X$107,FALSE),"")</f>
        <v/>
      </c>
      <c r="Y238" s="2152" t="str">
        <f>IFERROR(VLOOKUP($B238,Y$109:$AG$208,Y$107,FALSE),"")</f>
        <v/>
      </c>
      <c r="Z238" s="2152" t="str">
        <f>IFERROR(VLOOKUP($B238,Z$109:$AG$208,Z$107,FALSE),"")</f>
        <v/>
      </c>
      <c r="AA238" s="2152" t="str">
        <f>IFERROR(VLOOKUP($B238,AA$109:$AG$208,AA$107,FALSE),"")</f>
        <v/>
      </c>
      <c r="AB238" s="2152" t="str">
        <f>IFERROR(VLOOKUP($B238,AB$109:$AG$208,AB$107,FALSE),"")</f>
        <v/>
      </c>
      <c r="AC238" s="2152" t="str">
        <f>IFERROR(VLOOKUP($B238,AC$109:$AG$208,AC$107,FALSE),"")</f>
        <v/>
      </c>
      <c r="AD238" s="2152" t="str">
        <f>IFERROR(VLOOKUP($B238,AD$109:$AG$208,AD$107,FALSE),"")</f>
        <v xml:space="preserve">Debut </v>
      </c>
      <c r="AE238" s="2152" t="str">
        <f>IFERROR(VLOOKUP($B238,AE$109:$AG$208,AE$107,FALSE),"")</f>
        <v/>
      </c>
      <c r="AF238" s="2152" t="str">
        <f>IFERROR(VLOOKUP($B238,AF$109:$AG$208,AF$107,FALSE),"")</f>
        <v/>
      </c>
    </row>
    <row r="239" spans="2:32">
      <c r="B239" s="2168">
        <f t="shared" si="20"/>
        <v>25</v>
      </c>
      <c r="F239" s="2152" t="str">
        <f>IFERROR(VLOOKUP($B239,F$109:$AG$208,F$107,FALSE),"")</f>
        <v>Revytrex</v>
      </c>
      <c r="G239" s="2152" t="str">
        <f>IFERROR(VLOOKUP($B239,G$109:$AG$208,G$107,FALSE),"")</f>
        <v/>
      </c>
      <c r="H239" s="2152" t="str">
        <f>IFERROR(VLOOKUP($B239,H$109:$AG$208,H$107,FALSE),"")</f>
        <v>Revytrex</v>
      </c>
      <c r="I239" s="2152" t="str">
        <f>IFERROR(VLOOKUP($B239,I$109:$AG$208,I$107,FALSE),"")</f>
        <v>Starane XL</v>
      </c>
      <c r="J239" s="2152" t="str">
        <f>IFERROR(VLOOKUP($B239,J$109:$AG$208,J$107,FALSE),"")</f>
        <v>Stomp Aqua</v>
      </c>
      <c r="K239" s="2152" t="str">
        <f>IFERROR(VLOOKUP($B239,K$109:$AG$208,K$107,FALSE),"")</f>
        <v/>
      </c>
      <c r="L239" s="2152" t="str">
        <f>IFERROR(VLOOKUP($B239,L$109:$AG$208,L$107,FALSE),"")</f>
        <v/>
      </c>
      <c r="M239" s="2152" t="str">
        <f>IFERROR(VLOOKUP($B239,M$109:$AG$208,M$107,FALSE),"")</f>
        <v/>
      </c>
      <c r="N239" s="2152" t="str">
        <f>IFERROR(VLOOKUP($B239,N$109:$AG$208,N$107,FALSE),"")</f>
        <v/>
      </c>
      <c r="O239" s="2152" t="str">
        <f>IFERROR(VLOOKUP($B239,O$109:$AG$208,O$107,FALSE),"")</f>
        <v/>
      </c>
      <c r="P239" s="2152" t="str">
        <f>IFERROR(VLOOKUP($B239,P$109:$AG$208,P$107,FALSE),"")</f>
        <v/>
      </c>
      <c r="Q239" s="2152" t="str">
        <f>IFERROR(VLOOKUP($B239,Q$109:$AG$208,Q$107,FALSE),"")</f>
        <v/>
      </c>
      <c r="R239" s="2152" t="str">
        <f>IFERROR(VLOOKUP($B239,R$109:$AG$208,R$107,FALSE),"")</f>
        <v/>
      </c>
      <c r="S239" s="2152" t="str">
        <f>IFERROR(VLOOKUP($B239,S$109:$AG$208,S$107,FALSE),"")</f>
        <v/>
      </c>
      <c r="T239" s="2152" t="str">
        <f>IFERROR(VLOOKUP($B239,T$109:$AG$208,T$107,FALSE),"")</f>
        <v/>
      </c>
      <c r="U239" s="2152" t="str">
        <f>IFERROR(VLOOKUP($B239,U$109:$AG$208,U$107,FALSE),"")</f>
        <v/>
      </c>
      <c r="V239" s="2152" t="str">
        <f>IFERROR(VLOOKUP($B239,V$109:$AG$208,V$107,FALSE),"")</f>
        <v/>
      </c>
      <c r="W239" s="2152" t="str">
        <f>IFERROR(VLOOKUP($B239,W$109:$AG$208,W$107,FALSE),"")</f>
        <v/>
      </c>
      <c r="X239" s="2152" t="str">
        <f>IFERROR(VLOOKUP($B239,X$109:$AG$208,X$107,FALSE),"")</f>
        <v/>
      </c>
      <c r="Y239" s="2152" t="str">
        <f>IFERROR(VLOOKUP($B239,Y$109:$AG$208,Y$107,FALSE),"")</f>
        <v/>
      </c>
      <c r="Z239" s="2152" t="str">
        <f>IFERROR(VLOOKUP($B239,Z$109:$AG$208,Z$107,FALSE),"")</f>
        <v/>
      </c>
      <c r="AA239" s="2152" t="str">
        <f>IFERROR(VLOOKUP($B239,AA$109:$AG$208,AA$107,FALSE),"")</f>
        <v/>
      </c>
      <c r="AB239" s="2152" t="str">
        <f>IFERROR(VLOOKUP($B239,AB$109:$AG$208,AB$107,FALSE),"")</f>
        <v/>
      </c>
      <c r="AC239" s="2152" t="str">
        <f>IFERROR(VLOOKUP($B239,AC$109:$AG$208,AC$107,FALSE),"")</f>
        <v/>
      </c>
      <c r="AD239" s="2152" t="str">
        <f>IFERROR(VLOOKUP($B239,AD$109:$AG$208,AD$107,FALSE),"")</f>
        <v>Effigo</v>
      </c>
      <c r="AE239" s="2152" t="str">
        <f>IFERROR(VLOOKUP($B239,AE$109:$AG$208,AE$107,FALSE),"")</f>
        <v/>
      </c>
      <c r="AF239" s="2152" t="str">
        <f>IFERROR(VLOOKUP($B239,AF$109:$AG$208,AF$107,FALSE),"")</f>
        <v/>
      </c>
    </row>
    <row r="240" spans="2:32">
      <c r="B240" s="2168">
        <f t="shared" si="20"/>
        <v>26</v>
      </c>
      <c r="F240" s="2152" t="str">
        <f>IFERROR(VLOOKUP($B240,F$109:$AG$208,F$107,FALSE),"")</f>
        <v>Comet</v>
      </c>
      <c r="G240" s="2152" t="str">
        <f>IFERROR(VLOOKUP($B240,G$109:$AG$208,G$107,FALSE),"")</f>
        <v/>
      </c>
      <c r="H240" s="2152" t="str">
        <f>IFERROR(VLOOKUP($B240,H$109:$AG$208,H$107,FALSE),"")</f>
        <v>Comet</v>
      </c>
      <c r="I240" s="2152" t="str">
        <f>IFERROR(VLOOKUP($B240,I$109:$AG$208,I$107,FALSE),"")</f>
        <v>Stomp Aqua</v>
      </c>
      <c r="J240" s="2152" t="str">
        <f>IFERROR(VLOOKUP($B240,J$109:$AG$208,J$107,FALSE),"")</f>
        <v>Zypar</v>
      </c>
      <c r="K240" s="2152" t="str">
        <f>IFERROR(VLOOKUP($B240,K$109:$AG$208,K$107,FALSE),"")</f>
        <v/>
      </c>
      <c r="L240" s="2152" t="str">
        <f>IFERROR(VLOOKUP($B240,L$109:$AG$208,L$107,FALSE),"")</f>
        <v/>
      </c>
      <c r="M240" s="2152" t="str">
        <f>IFERROR(VLOOKUP($B240,M$109:$AG$208,M$107,FALSE),"")</f>
        <v/>
      </c>
      <c r="N240" s="2152" t="str">
        <f>IFERROR(VLOOKUP($B240,N$109:$AG$208,N$107,FALSE),"")</f>
        <v/>
      </c>
      <c r="O240" s="2152" t="str">
        <f>IFERROR(VLOOKUP($B240,O$109:$AG$208,O$107,FALSE),"")</f>
        <v/>
      </c>
      <c r="P240" s="2152" t="str">
        <f>IFERROR(VLOOKUP($B240,P$109:$AG$208,P$107,FALSE),"")</f>
        <v/>
      </c>
      <c r="Q240" s="2152" t="str">
        <f>IFERROR(VLOOKUP($B240,Q$109:$AG$208,Q$107,FALSE),"")</f>
        <v/>
      </c>
      <c r="R240" s="2152" t="str">
        <f>IFERROR(VLOOKUP($B240,R$109:$AG$208,R$107,FALSE),"")</f>
        <v/>
      </c>
      <c r="S240" s="2152" t="str">
        <f>IFERROR(VLOOKUP($B240,S$109:$AG$208,S$107,FALSE),"")</f>
        <v/>
      </c>
      <c r="T240" s="2152" t="str">
        <f>IFERROR(VLOOKUP($B240,T$109:$AG$208,T$107,FALSE),"")</f>
        <v/>
      </c>
      <c r="U240" s="2152" t="str">
        <f>IFERROR(VLOOKUP($B240,U$109:$AG$208,U$107,FALSE),"")</f>
        <v/>
      </c>
      <c r="V240" s="2152" t="str">
        <f>IFERROR(VLOOKUP($B240,V$109:$AG$208,V$107,FALSE),"")</f>
        <v/>
      </c>
      <c r="W240" s="2152" t="str">
        <f>IFERROR(VLOOKUP($B240,W$109:$AG$208,W$107,FALSE),"")</f>
        <v/>
      </c>
      <c r="X240" s="2152" t="str">
        <f>IFERROR(VLOOKUP($B240,X$109:$AG$208,X$107,FALSE),"")</f>
        <v/>
      </c>
      <c r="Y240" s="2152" t="str">
        <f>IFERROR(VLOOKUP($B240,Y$109:$AG$208,Y$107,FALSE),"")</f>
        <v/>
      </c>
      <c r="Z240" s="2152" t="str">
        <f>IFERROR(VLOOKUP($B240,Z$109:$AG$208,Z$107,FALSE),"")</f>
        <v/>
      </c>
      <c r="AA240" s="2152" t="str">
        <f>IFERROR(VLOOKUP($B240,AA$109:$AG$208,AA$107,FALSE),"")</f>
        <v/>
      </c>
      <c r="AB240" s="2152" t="str">
        <f>IFERROR(VLOOKUP($B240,AB$109:$AG$208,AB$107,FALSE),"")</f>
        <v/>
      </c>
      <c r="AC240" s="2152" t="str">
        <f>IFERROR(VLOOKUP($B240,AC$109:$AG$208,AC$107,FALSE),"")</f>
        <v/>
      </c>
      <c r="AD240" s="2152" t="str">
        <f>IFERROR(VLOOKUP($B240,AD$109:$AG$208,AD$107,FALSE),"")</f>
        <v>Elatus Era</v>
      </c>
      <c r="AE240" s="2152" t="str">
        <f>IFERROR(VLOOKUP($B240,AE$109:$AG$208,AE$107,FALSE),"")</f>
        <v/>
      </c>
      <c r="AF240" s="2152" t="str">
        <f>IFERROR(VLOOKUP($B240,AF$109:$AG$208,AF$107,FALSE),"")</f>
        <v/>
      </c>
    </row>
    <row r="241" spans="2:32">
      <c r="B241" s="2168">
        <f t="shared" si="20"/>
        <v>27</v>
      </c>
      <c r="F241" s="2152" t="str">
        <f>IFERROR(VLOOKUP($B241,F$109:$AG$208,F$107,FALSE),"")</f>
        <v>Starane XL</v>
      </c>
      <c r="G241" s="2152" t="str">
        <f>IFERROR(VLOOKUP($B241,G$109:$AG$208,G$107,FALSE),"")</f>
        <v/>
      </c>
      <c r="H241" s="2152" t="str">
        <f>IFERROR(VLOOKUP($B241,H$109:$AG$208,H$107,FALSE),"")</f>
        <v>Starane XL</v>
      </c>
      <c r="I241" s="2152" t="str">
        <f>IFERROR(VLOOKUP($B241,I$109:$AG$208,I$107,FALSE),"")</f>
        <v>Traxos</v>
      </c>
      <c r="J241" s="2152" t="str">
        <f>IFERROR(VLOOKUP($B241,J$109:$AG$208,J$107,FALSE),"")</f>
        <v/>
      </c>
      <c r="K241" s="2152" t="str">
        <f>IFERROR(VLOOKUP($B241,K$109:$AG$208,K$107,FALSE),"")</f>
        <v/>
      </c>
      <c r="L241" s="2152" t="str">
        <f>IFERROR(VLOOKUP($B241,L$109:$AG$208,L$107,FALSE),"")</f>
        <v/>
      </c>
      <c r="M241" s="2152" t="str">
        <f>IFERROR(VLOOKUP($B241,M$109:$AG$208,M$107,FALSE),"")</f>
        <v/>
      </c>
      <c r="N241" s="2152" t="str">
        <f>IFERROR(VLOOKUP($B241,N$109:$AG$208,N$107,FALSE),"")</f>
        <v/>
      </c>
      <c r="O241" s="2152" t="str">
        <f>IFERROR(VLOOKUP($B241,O$109:$AG$208,O$107,FALSE),"")</f>
        <v/>
      </c>
      <c r="P241" s="2152" t="str">
        <f>IFERROR(VLOOKUP($B241,P$109:$AG$208,P$107,FALSE),"")</f>
        <v/>
      </c>
      <c r="Q241" s="2152" t="str">
        <f>IFERROR(VLOOKUP($B241,Q$109:$AG$208,Q$107,FALSE),"")</f>
        <v/>
      </c>
      <c r="R241" s="2152" t="str">
        <f>IFERROR(VLOOKUP($B241,R$109:$AG$208,R$107,FALSE),"")</f>
        <v/>
      </c>
      <c r="S241" s="2152" t="str">
        <f>IFERROR(VLOOKUP($B241,S$109:$AG$208,S$107,FALSE),"")</f>
        <v/>
      </c>
      <c r="T241" s="2152" t="str">
        <f>IFERROR(VLOOKUP($B241,T$109:$AG$208,T$107,FALSE),"")</f>
        <v/>
      </c>
      <c r="U241" s="2152" t="str">
        <f>IFERROR(VLOOKUP($B241,U$109:$AG$208,U$107,FALSE),"")</f>
        <v/>
      </c>
      <c r="V241" s="2152" t="str">
        <f>IFERROR(VLOOKUP($B241,V$109:$AG$208,V$107,FALSE),"")</f>
        <v/>
      </c>
      <c r="W241" s="2152" t="str">
        <f>IFERROR(VLOOKUP($B241,W$109:$AG$208,W$107,FALSE),"")</f>
        <v/>
      </c>
      <c r="X241" s="2152" t="str">
        <f>IFERROR(VLOOKUP($B241,X$109:$AG$208,X$107,FALSE),"")</f>
        <v/>
      </c>
      <c r="Y241" s="2152" t="str">
        <f>IFERROR(VLOOKUP($B241,Y$109:$AG$208,Y$107,FALSE),"")</f>
        <v/>
      </c>
      <c r="Z241" s="2152" t="str">
        <f>IFERROR(VLOOKUP($B241,Z$109:$AG$208,Z$107,FALSE),"")</f>
        <v/>
      </c>
      <c r="AA241" s="2152" t="str">
        <f>IFERROR(VLOOKUP($B241,AA$109:$AG$208,AA$107,FALSE),"")</f>
        <v/>
      </c>
      <c r="AB241" s="2152" t="str">
        <f>IFERROR(VLOOKUP($B241,AB$109:$AG$208,AB$107,FALSE),"")</f>
        <v/>
      </c>
      <c r="AC241" s="2152" t="str">
        <f>IFERROR(VLOOKUP($B241,AC$109:$AG$208,AC$107,FALSE),"")</f>
        <v/>
      </c>
      <c r="AD241" s="2152" t="str">
        <f>IFERROR(VLOOKUP($B241,AD$109:$AG$208,AD$107,FALSE),"")</f>
        <v>Elumis P Dual Pack, Dual Gold</v>
      </c>
      <c r="AE241" s="2152" t="str">
        <f>IFERROR(VLOOKUP($B241,AE$109:$AG$208,AE$107,FALSE),"")</f>
        <v/>
      </c>
      <c r="AF241" s="2152" t="str">
        <f>IFERROR(VLOOKUP($B241,AF$109:$AG$208,AF$107,FALSE),"")</f>
        <v/>
      </c>
    </row>
    <row r="242" spans="2:32">
      <c r="B242" s="2168">
        <f t="shared" si="20"/>
        <v>28</v>
      </c>
      <c r="F242" s="2152" t="str">
        <f>IFERROR(VLOOKUP($B242,F$109:$AG$208,F$107,FALSE),"")</f>
        <v>Stomp Aqua</v>
      </c>
      <c r="G242" s="2152" t="str">
        <f>IFERROR(VLOOKUP($B242,G$109:$AG$208,G$107,FALSE),"")</f>
        <v/>
      </c>
      <c r="H242" s="2152" t="str">
        <f>IFERROR(VLOOKUP($B242,H$109:$AG$208,H$107,FALSE),"")</f>
        <v>Stomp Aqua</v>
      </c>
      <c r="I242" s="2152" t="str">
        <f>IFERROR(VLOOKUP($B242,I$109:$AG$208,I$107,FALSE),"")</f>
        <v>Zypar</v>
      </c>
      <c r="J242" s="2152" t="str">
        <f>IFERROR(VLOOKUP($B242,J$109:$AG$208,J$107,FALSE),"")</f>
        <v/>
      </c>
      <c r="K242" s="2152" t="str">
        <f>IFERROR(VLOOKUP($B242,K$109:$AG$208,K$107,FALSE),"")</f>
        <v/>
      </c>
      <c r="L242" s="2152" t="str">
        <f>IFERROR(VLOOKUP($B242,L$109:$AG$208,L$107,FALSE),"")</f>
        <v/>
      </c>
      <c r="M242" s="2152" t="str">
        <f>IFERROR(VLOOKUP($B242,M$109:$AG$208,M$107,FALSE),"")</f>
        <v/>
      </c>
      <c r="N242" s="2152" t="str">
        <f>IFERROR(VLOOKUP($B242,N$109:$AG$208,N$107,FALSE),"")</f>
        <v/>
      </c>
      <c r="O242" s="2152" t="str">
        <f>IFERROR(VLOOKUP($B242,O$109:$AG$208,O$107,FALSE),"")</f>
        <v/>
      </c>
      <c r="P242" s="2152" t="str">
        <f>IFERROR(VLOOKUP($B242,P$109:$AG$208,P$107,FALSE),"")</f>
        <v/>
      </c>
      <c r="Q242" s="2152" t="str">
        <f>IFERROR(VLOOKUP($B242,Q$109:$AG$208,Q$107,FALSE),"")</f>
        <v/>
      </c>
      <c r="R242" s="2152" t="str">
        <f>IFERROR(VLOOKUP($B242,R$109:$AG$208,R$107,FALSE),"")</f>
        <v/>
      </c>
      <c r="S242" s="2152" t="str">
        <f>IFERROR(VLOOKUP($B242,S$109:$AG$208,S$107,FALSE),"")</f>
        <v/>
      </c>
      <c r="T242" s="2152" t="str">
        <f>IFERROR(VLOOKUP($B242,T$109:$AG$208,T$107,FALSE),"")</f>
        <v/>
      </c>
      <c r="U242" s="2152" t="str">
        <f>IFERROR(VLOOKUP($B242,U$109:$AG$208,U$107,FALSE),"")</f>
        <v/>
      </c>
      <c r="V242" s="2152" t="str">
        <f>IFERROR(VLOOKUP($B242,V$109:$AG$208,V$107,FALSE),"")</f>
        <v/>
      </c>
      <c r="W242" s="2152" t="str">
        <f>IFERROR(VLOOKUP($B242,W$109:$AG$208,W$107,FALSE),"")</f>
        <v/>
      </c>
      <c r="X242" s="2152" t="str">
        <f>IFERROR(VLOOKUP($B242,X$109:$AG$208,X$107,FALSE),"")</f>
        <v/>
      </c>
      <c r="Y242" s="2152" t="str">
        <f>IFERROR(VLOOKUP($B242,Y$109:$AG$208,Y$107,FALSE),"")</f>
        <v/>
      </c>
      <c r="Z242" s="2152" t="str">
        <f>IFERROR(VLOOKUP($B242,Z$109:$AG$208,Z$107,FALSE),"")</f>
        <v/>
      </c>
      <c r="AA242" s="2152" t="str">
        <f>IFERROR(VLOOKUP($B242,AA$109:$AG$208,AA$107,FALSE),"")</f>
        <v/>
      </c>
      <c r="AB242" s="2152" t="str">
        <f>IFERROR(VLOOKUP($B242,AB$109:$AG$208,AB$107,FALSE),"")</f>
        <v/>
      </c>
      <c r="AC242" s="2152" t="str">
        <f>IFERROR(VLOOKUP($B242,AC$109:$AG$208,AC$107,FALSE),"")</f>
        <v/>
      </c>
      <c r="AD242" s="2152" t="str">
        <f>IFERROR(VLOOKUP($B242,AD$109:$AG$208,AD$107,FALSE),"")</f>
        <v>Elumis P Dual Pack, Elumis</v>
      </c>
      <c r="AE242" s="2152" t="str">
        <f>IFERROR(VLOOKUP($B242,AE$109:$AG$208,AE$107,FALSE),"")</f>
        <v/>
      </c>
      <c r="AF242" s="2152" t="str">
        <f>IFERROR(VLOOKUP($B242,AF$109:$AG$208,AF$107,FALSE),"")</f>
        <v/>
      </c>
    </row>
    <row r="243" spans="2:32">
      <c r="B243" s="2168">
        <f t="shared" si="20"/>
        <v>29</v>
      </c>
      <c r="F243" s="2152" t="str">
        <f>IFERROR(VLOOKUP($B243,F$109:$AG$208,F$107,FALSE),"")</f>
        <v>Teppeki</v>
      </c>
      <c r="G243" s="2152" t="str">
        <f>IFERROR(VLOOKUP($B243,G$109:$AG$208,G$107,FALSE),"")</f>
        <v/>
      </c>
      <c r="H243" s="2152" t="str">
        <f>IFERROR(VLOOKUP($B243,H$109:$AG$208,H$107,FALSE),"")</f>
        <v>Traxos</v>
      </c>
      <c r="I243" s="2152" t="str">
        <f>IFERROR(VLOOKUP($B243,I$109:$AG$208,I$107,FALSE),"")</f>
        <v>Univoq</v>
      </c>
      <c r="J243" s="2152" t="str">
        <f>IFERROR(VLOOKUP($B243,J$109:$AG$208,J$107,FALSE),"")</f>
        <v/>
      </c>
      <c r="K243" s="2152" t="str">
        <f>IFERROR(VLOOKUP($B243,K$109:$AG$208,K$107,FALSE),"")</f>
        <v/>
      </c>
      <c r="L243" s="2152" t="str">
        <f>IFERROR(VLOOKUP($B243,L$109:$AG$208,L$107,FALSE),"")</f>
        <v/>
      </c>
      <c r="M243" s="2152" t="str">
        <f>IFERROR(VLOOKUP($B243,M$109:$AG$208,M$107,FALSE),"")</f>
        <v/>
      </c>
      <c r="N243" s="2152" t="str">
        <f>IFERROR(VLOOKUP($B243,N$109:$AG$208,N$107,FALSE),"")</f>
        <v/>
      </c>
      <c r="O243" s="2152" t="str">
        <f>IFERROR(VLOOKUP($B243,O$109:$AG$208,O$107,FALSE),"")</f>
        <v/>
      </c>
      <c r="P243" s="2152" t="str">
        <f>IFERROR(VLOOKUP($B243,P$109:$AG$208,P$107,FALSE),"")</f>
        <v/>
      </c>
      <c r="Q243" s="2152" t="str">
        <f>IFERROR(VLOOKUP($B243,Q$109:$AG$208,Q$107,FALSE),"")</f>
        <v/>
      </c>
      <c r="R243" s="2152" t="str">
        <f>IFERROR(VLOOKUP($B243,R$109:$AG$208,R$107,FALSE),"")</f>
        <v/>
      </c>
      <c r="S243" s="2152" t="str">
        <f>IFERROR(VLOOKUP($B243,S$109:$AG$208,S$107,FALSE),"")</f>
        <v/>
      </c>
      <c r="T243" s="2152" t="str">
        <f>IFERROR(VLOOKUP($B243,T$109:$AG$208,T$107,FALSE),"")</f>
        <v/>
      </c>
      <c r="U243" s="2152" t="str">
        <f>IFERROR(VLOOKUP($B243,U$109:$AG$208,U$107,FALSE),"")</f>
        <v/>
      </c>
      <c r="V243" s="2152" t="str">
        <f>IFERROR(VLOOKUP($B243,V$109:$AG$208,V$107,FALSE),"")</f>
        <v/>
      </c>
      <c r="W243" s="2152" t="str">
        <f>IFERROR(VLOOKUP($B243,W$109:$AG$208,W$107,FALSE),"")</f>
        <v/>
      </c>
      <c r="X243" s="2152" t="str">
        <f>IFERROR(VLOOKUP($B243,X$109:$AG$208,X$107,FALSE),"")</f>
        <v/>
      </c>
      <c r="Y243" s="2152" t="str">
        <f>IFERROR(VLOOKUP($B243,Y$109:$AG$208,Y$107,FALSE),"")</f>
        <v/>
      </c>
      <c r="Z243" s="2152" t="str">
        <f>IFERROR(VLOOKUP($B243,Z$109:$AG$208,Z$107,FALSE),"")</f>
        <v/>
      </c>
      <c r="AA243" s="2152" t="str">
        <f>IFERROR(VLOOKUP($B243,AA$109:$AG$208,AA$107,FALSE),"")</f>
        <v/>
      </c>
      <c r="AB243" s="2152" t="str">
        <f>IFERROR(VLOOKUP($B243,AB$109:$AG$208,AB$107,FALSE),"")</f>
        <v/>
      </c>
      <c r="AC243" s="2152" t="str">
        <f>IFERROR(VLOOKUP($B243,AC$109:$AG$208,AC$107,FALSE),"")</f>
        <v/>
      </c>
      <c r="AD243" s="2152" t="str">
        <f>IFERROR(VLOOKUP($B243,AD$109:$AG$208,AD$107,FALSE),"")</f>
        <v>Elumis P Dual Pack, Peak</v>
      </c>
      <c r="AE243" s="2152" t="str">
        <f>IFERROR(VLOOKUP($B243,AE$109:$AG$208,AE$107,FALSE),"")</f>
        <v/>
      </c>
      <c r="AF243" s="2152" t="str">
        <f>IFERROR(VLOOKUP($B243,AF$109:$AG$208,AF$107,FALSE),"")</f>
        <v/>
      </c>
    </row>
    <row r="244" spans="2:32">
      <c r="B244" s="2168">
        <f t="shared" si="20"/>
        <v>30</v>
      </c>
      <c r="F244" s="2152" t="str">
        <f>IFERROR(VLOOKUP($B244,F$109:$AG$208,F$107,FALSE),"")</f>
        <v>Traxos</v>
      </c>
      <c r="G244" s="2152" t="str">
        <f>IFERROR(VLOOKUP($B244,G$109:$AG$208,G$107,FALSE),"")</f>
        <v/>
      </c>
      <c r="H244" s="2152" t="str">
        <f>IFERROR(VLOOKUP($B244,H$109:$AG$208,H$107,FALSE),"")</f>
        <v>Zypar</v>
      </c>
      <c r="I244" s="2152" t="str">
        <f>IFERROR(VLOOKUP($B244,I$109:$AG$208,I$107,FALSE),"")</f>
        <v/>
      </c>
      <c r="J244" s="2152" t="str">
        <f>IFERROR(VLOOKUP($B244,J$109:$AG$208,J$107,FALSE),"")</f>
        <v/>
      </c>
      <c r="K244" s="2152" t="str">
        <f>IFERROR(VLOOKUP($B244,K$109:$AG$208,K$107,FALSE),"")</f>
        <v/>
      </c>
      <c r="L244" s="2152" t="str">
        <f>IFERROR(VLOOKUP($B244,L$109:$AG$208,L$107,FALSE),"")</f>
        <v/>
      </c>
      <c r="M244" s="2152" t="str">
        <f>IFERROR(VLOOKUP($B244,M$109:$AG$208,M$107,FALSE),"")</f>
        <v/>
      </c>
      <c r="N244" s="2152" t="str">
        <f>IFERROR(VLOOKUP($B244,N$109:$AG$208,N$107,FALSE),"")</f>
        <v/>
      </c>
      <c r="O244" s="2152" t="str">
        <f>IFERROR(VLOOKUP($B244,O$109:$AG$208,O$107,FALSE),"")</f>
        <v/>
      </c>
      <c r="P244" s="2152" t="str">
        <f>IFERROR(VLOOKUP($B244,P$109:$AG$208,P$107,FALSE),"")</f>
        <v/>
      </c>
      <c r="Q244" s="2152" t="str">
        <f>IFERROR(VLOOKUP($B244,Q$109:$AG$208,Q$107,FALSE),"")</f>
        <v/>
      </c>
      <c r="R244" s="2152" t="str">
        <f>IFERROR(VLOOKUP($B244,R$109:$AG$208,R$107,FALSE),"")</f>
        <v/>
      </c>
      <c r="S244" s="2152" t="str">
        <f>IFERROR(VLOOKUP($B244,S$109:$AG$208,S$107,FALSE),"")</f>
        <v/>
      </c>
      <c r="T244" s="2152" t="str">
        <f>IFERROR(VLOOKUP($B244,T$109:$AG$208,T$107,FALSE),"")</f>
        <v/>
      </c>
      <c r="U244" s="2152" t="str">
        <f>IFERROR(VLOOKUP($B244,U$109:$AG$208,U$107,FALSE),"")</f>
        <v/>
      </c>
      <c r="V244" s="2152" t="str">
        <f>IFERROR(VLOOKUP($B244,V$109:$AG$208,V$107,FALSE),"")</f>
        <v/>
      </c>
      <c r="W244" s="2152" t="str">
        <f>IFERROR(VLOOKUP($B244,W$109:$AG$208,W$107,FALSE),"")</f>
        <v/>
      </c>
      <c r="X244" s="2152" t="str">
        <f>IFERROR(VLOOKUP($B244,X$109:$AG$208,X$107,FALSE),"")</f>
        <v/>
      </c>
      <c r="Y244" s="2152" t="str">
        <f>IFERROR(VLOOKUP($B244,Y$109:$AG$208,Y$107,FALSE),"")</f>
        <v/>
      </c>
      <c r="Z244" s="2152" t="str">
        <f>IFERROR(VLOOKUP($B244,Z$109:$AG$208,Z$107,FALSE),"")</f>
        <v/>
      </c>
      <c r="AA244" s="2152" t="str">
        <f>IFERROR(VLOOKUP($B244,AA$109:$AG$208,AA$107,FALSE),"")</f>
        <v/>
      </c>
      <c r="AB244" s="2152" t="str">
        <f>IFERROR(VLOOKUP($B244,AB$109:$AG$208,AB$107,FALSE),"")</f>
        <v/>
      </c>
      <c r="AC244" s="2152" t="str">
        <f>IFERROR(VLOOKUP($B244,AC$109:$AG$208,AC$107,FALSE),"")</f>
        <v/>
      </c>
      <c r="AD244" s="2152" t="str">
        <f>IFERROR(VLOOKUP($B244,AD$109:$AG$208,AD$107,FALSE),"")</f>
        <v>Fandango</v>
      </c>
      <c r="AE244" s="2152" t="str">
        <f>IFERROR(VLOOKUP($B244,AE$109:$AG$208,AE$107,FALSE),"")</f>
        <v/>
      </c>
      <c r="AF244" s="2152" t="str">
        <f>IFERROR(VLOOKUP($B244,AF$109:$AG$208,AF$107,FALSE),"")</f>
        <v/>
      </c>
    </row>
    <row r="245" spans="2:32">
      <c r="B245" s="2168">
        <f t="shared" si="20"/>
        <v>31</v>
      </c>
      <c r="F245" s="2152" t="str">
        <f>IFERROR(VLOOKUP($B245,F$109:$AG$208,F$107,FALSE),"")</f>
        <v>Zypar</v>
      </c>
      <c r="G245" s="2152" t="str">
        <f>IFERROR(VLOOKUP($B245,G$109:$AG$208,G$107,FALSE),"")</f>
        <v/>
      </c>
      <c r="H245" s="2152" t="str">
        <f>IFERROR(VLOOKUP($B245,H$109:$AG$208,H$107,FALSE),"")</f>
        <v>Univoq</v>
      </c>
      <c r="I245" s="2152" t="str">
        <f>IFERROR(VLOOKUP($B245,I$109:$AG$208,I$107,FALSE),"")</f>
        <v/>
      </c>
      <c r="J245" s="2152" t="str">
        <f>IFERROR(VLOOKUP($B245,J$109:$AG$208,J$107,FALSE),"")</f>
        <v/>
      </c>
      <c r="K245" s="2152" t="str">
        <f>IFERROR(VLOOKUP($B245,K$109:$AG$208,K$107,FALSE),"")</f>
        <v/>
      </c>
      <c r="L245" s="2152" t="str">
        <f>IFERROR(VLOOKUP($B245,L$109:$AG$208,L$107,FALSE),"")</f>
        <v/>
      </c>
      <c r="M245" s="2152" t="str">
        <f>IFERROR(VLOOKUP($B245,M$109:$AG$208,M$107,FALSE),"")</f>
        <v/>
      </c>
      <c r="N245" s="2152" t="str">
        <f>IFERROR(VLOOKUP($B245,N$109:$AG$208,N$107,FALSE),"")</f>
        <v/>
      </c>
      <c r="O245" s="2152" t="str">
        <f>IFERROR(VLOOKUP($B245,O$109:$AG$208,O$107,FALSE),"")</f>
        <v/>
      </c>
      <c r="P245" s="2152" t="str">
        <f>IFERROR(VLOOKUP($B245,P$109:$AG$208,P$107,FALSE),"")</f>
        <v/>
      </c>
      <c r="Q245" s="2152" t="str">
        <f>IFERROR(VLOOKUP($B245,Q$109:$AG$208,Q$107,FALSE),"")</f>
        <v/>
      </c>
      <c r="R245" s="2152" t="str">
        <f>IFERROR(VLOOKUP($B245,R$109:$AG$208,R$107,FALSE),"")</f>
        <v/>
      </c>
      <c r="S245" s="2152" t="str">
        <f>IFERROR(VLOOKUP($B245,S$109:$AG$208,S$107,FALSE),"")</f>
        <v/>
      </c>
      <c r="T245" s="2152" t="str">
        <f>IFERROR(VLOOKUP($B245,T$109:$AG$208,T$107,FALSE),"")</f>
        <v/>
      </c>
      <c r="U245" s="2152" t="str">
        <f>IFERROR(VLOOKUP($B245,U$109:$AG$208,U$107,FALSE),"")</f>
        <v/>
      </c>
      <c r="V245" s="2152" t="str">
        <f>IFERROR(VLOOKUP($B245,V$109:$AG$208,V$107,FALSE),"")</f>
        <v/>
      </c>
      <c r="W245" s="2152" t="str">
        <f>IFERROR(VLOOKUP($B245,W$109:$AG$208,W$107,FALSE),"")</f>
        <v/>
      </c>
      <c r="X245" s="2152" t="str">
        <f>IFERROR(VLOOKUP($B245,X$109:$AG$208,X$107,FALSE),"")</f>
        <v/>
      </c>
      <c r="Y245" s="2152" t="str">
        <f>IFERROR(VLOOKUP($B245,Y$109:$AG$208,Y$107,FALSE),"")</f>
        <v/>
      </c>
      <c r="Z245" s="2152" t="str">
        <f>IFERROR(VLOOKUP($B245,Z$109:$AG$208,Z$107,FALSE),"")</f>
        <v/>
      </c>
      <c r="AA245" s="2152" t="str">
        <f>IFERROR(VLOOKUP($B245,AA$109:$AG$208,AA$107,FALSE),"")</f>
        <v/>
      </c>
      <c r="AB245" s="2152" t="str">
        <f>IFERROR(VLOOKUP($B245,AB$109:$AG$208,AB$107,FALSE),"")</f>
        <v/>
      </c>
      <c r="AC245" s="2152" t="str">
        <f>IFERROR(VLOOKUP($B245,AC$109:$AG$208,AC$107,FALSE),"")</f>
        <v/>
      </c>
      <c r="AD245" s="2152" t="str">
        <f>IFERROR(VLOOKUP($B245,AD$109:$AG$208,AD$107,FALSE),"")</f>
        <v>Focus Aktiv Pack, Focus Ultra</v>
      </c>
      <c r="AE245" s="2152" t="str">
        <f>IFERROR(VLOOKUP($B245,AE$109:$AG$208,AE$107,FALSE),"")</f>
        <v/>
      </c>
      <c r="AF245" s="2152" t="str">
        <f>IFERROR(VLOOKUP($B245,AF$109:$AG$208,AF$107,FALSE),"")</f>
        <v/>
      </c>
    </row>
    <row r="246" spans="2:32">
      <c r="B246" s="2168">
        <f t="shared" si="20"/>
        <v>32</v>
      </c>
      <c r="F246" s="2152" t="str">
        <f>IFERROR(VLOOKUP($B246,F$109:$AG$208,F$107,FALSE),"")</f>
        <v>Univoq</v>
      </c>
      <c r="G246" s="2152" t="str">
        <f>IFERROR(VLOOKUP($B246,G$109:$AG$208,G$107,FALSE),"")</f>
        <v/>
      </c>
      <c r="H246" s="2152" t="str">
        <f>IFERROR(VLOOKUP($B246,H$109:$AG$208,H$107,FALSE),"")</f>
        <v/>
      </c>
      <c r="I246" s="2152" t="str">
        <f>IFERROR(VLOOKUP($B246,I$109:$AG$208,I$107,FALSE),"")</f>
        <v/>
      </c>
      <c r="J246" s="2152" t="str">
        <f>IFERROR(VLOOKUP($B246,J$109:$AG$208,J$107,FALSE),"")</f>
        <v/>
      </c>
      <c r="K246" s="2152" t="str">
        <f>IFERROR(VLOOKUP($B246,K$109:$AG$208,K$107,FALSE),"")</f>
        <v/>
      </c>
      <c r="L246" s="2152" t="str">
        <f>IFERROR(VLOOKUP($B246,L$109:$AG$208,L$107,FALSE),"")</f>
        <v/>
      </c>
      <c r="M246" s="2152" t="str">
        <f>IFERROR(VLOOKUP($B246,M$109:$AG$208,M$107,FALSE),"")</f>
        <v/>
      </c>
      <c r="N246" s="2152" t="str">
        <f>IFERROR(VLOOKUP($B246,N$109:$AG$208,N$107,FALSE),"")</f>
        <v/>
      </c>
      <c r="O246" s="2152" t="str">
        <f>IFERROR(VLOOKUP($B246,O$109:$AG$208,O$107,FALSE),"")</f>
        <v/>
      </c>
      <c r="P246" s="2152" t="str">
        <f>IFERROR(VLOOKUP($B246,P$109:$AG$208,P$107,FALSE),"")</f>
        <v/>
      </c>
      <c r="Q246" s="2152" t="str">
        <f>IFERROR(VLOOKUP($B246,Q$109:$AG$208,Q$107,FALSE),"")</f>
        <v/>
      </c>
      <c r="R246" s="2152" t="str">
        <f>IFERROR(VLOOKUP($B246,R$109:$AG$208,R$107,FALSE),"")</f>
        <v/>
      </c>
      <c r="S246" s="2152" t="str">
        <f>IFERROR(VLOOKUP($B246,S$109:$AG$208,S$107,FALSE),"")</f>
        <v/>
      </c>
      <c r="T246" s="2152" t="str">
        <f>IFERROR(VLOOKUP($B246,T$109:$AG$208,T$107,FALSE),"")</f>
        <v/>
      </c>
      <c r="U246" s="2152" t="str">
        <f>IFERROR(VLOOKUP($B246,U$109:$AG$208,U$107,FALSE),"")</f>
        <v/>
      </c>
      <c r="V246" s="2152" t="str">
        <f>IFERROR(VLOOKUP($B246,V$109:$AG$208,V$107,FALSE),"")</f>
        <v/>
      </c>
      <c r="W246" s="2152" t="str">
        <f>IFERROR(VLOOKUP($B246,W$109:$AG$208,W$107,FALSE),"")</f>
        <v/>
      </c>
      <c r="X246" s="2152" t="str">
        <f>IFERROR(VLOOKUP($B246,X$109:$AG$208,X$107,FALSE),"")</f>
        <v/>
      </c>
      <c r="Y246" s="2152" t="str">
        <f>IFERROR(VLOOKUP($B246,Y$109:$AG$208,Y$107,FALSE),"")</f>
        <v/>
      </c>
      <c r="Z246" s="2152" t="str">
        <f>IFERROR(VLOOKUP($B246,Z$109:$AG$208,Z$107,FALSE),"")</f>
        <v/>
      </c>
      <c r="AA246" s="2152" t="str">
        <f>IFERROR(VLOOKUP($B246,AA$109:$AG$208,AA$107,FALSE),"")</f>
        <v/>
      </c>
      <c r="AB246" s="2152" t="str">
        <f>IFERROR(VLOOKUP($B246,AB$109:$AG$208,AB$107,FALSE),"")</f>
        <v/>
      </c>
      <c r="AC246" s="2152" t="str">
        <f>IFERROR(VLOOKUP($B246,AC$109:$AG$208,AC$107,FALSE),"")</f>
        <v/>
      </c>
      <c r="AD246" s="2152" t="str">
        <f>IFERROR(VLOOKUP($B246,AD$109:$AG$208,AD$107,FALSE),"")</f>
        <v>Folicur</v>
      </c>
      <c r="AE246" s="2152" t="str">
        <f>IFERROR(VLOOKUP($B246,AE$109:$AG$208,AE$107,FALSE),"")</f>
        <v/>
      </c>
      <c r="AF246" s="2152" t="str">
        <f>IFERROR(VLOOKUP($B246,AF$109:$AG$208,AF$107,FALSE),"")</f>
        <v/>
      </c>
    </row>
    <row r="247" spans="2:32">
      <c r="B247" s="2168">
        <f t="shared" si="20"/>
        <v>33</v>
      </c>
      <c r="F247" s="2152" t="str">
        <f>IFERROR(VLOOKUP($B247,F$109:$AG$208,F$107,FALSE),"")</f>
        <v/>
      </c>
      <c r="G247" s="2152" t="str">
        <f>IFERROR(VLOOKUP($B247,G$109:$AG$208,G$107,FALSE),"")</f>
        <v/>
      </c>
      <c r="H247" s="2152" t="str">
        <f>IFERROR(VLOOKUP($B247,H$109:$AG$208,H$107,FALSE),"")</f>
        <v/>
      </c>
      <c r="I247" s="2152" t="str">
        <f>IFERROR(VLOOKUP($B247,I$109:$AG$208,I$107,FALSE),"")</f>
        <v/>
      </c>
      <c r="J247" s="2152" t="str">
        <f>IFERROR(VLOOKUP($B247,J$109:$AG$208,J$107,FALSE),"")</f>
        <v/>
      </c>
      <c r="K247" s="2152" t="str">
        <f>IFERROR(VLOOKUP($B247,K$109:$AG$208,K$107,FALSE),"")</f>
        <v/>
      </c>
      <c r="L247" s="2152" t="str">
        <f>IFERROR(VLOOKUP($B247,L$109:$AG$208,L$107,FALSE),"")</f>
        <v/>
      </c>
      <c r="M247" s="2152" t="str">
        <f>IFERROR(VLOOKUP($B247,M$109:$AG$208,M$107,FALSE),"")</f>
        <v/>
      </c>
      <c r="N247" s="2152" t="str">
        <f>IFERROR(VLOOKUP($B247,N$109:$AG$208,N$107,FALSE),"")</f>
        <v/>
      </c>
      <c r="O247" s="2152" t="str">
        <f>IFERROR(VLOOKUP($B247,O$109:$AG$208,O$107,FALSE),"")</f>
        <v/>
      </c>
      <c r="P247" s="2152" t="str">
        <f>IFERROR(VLOOKUP($B247,P$109:$AG$208,P$107,FALSE),"")</f>
        <v/>
      </c>
      <c r="Q247" s="2152" t="str">
        <f>IFERROR(VLOOKUP($B247,Q$109:$AG$208,Q$107,FALSE),"")</f>
        <v/>
      </c>
      <c r="R247" s="2152" t="str">
        <f>IFERROR(VLOOKUP($B247,R$109:$AG$208,R$107,FALSE),"")</f>
        <v/>
      </c>
      <c r="S247" s="2152" t="str">
        <f>IFERROR(VLOOKUP($B247,S$109:$AG$208,S$107,FALSE),"")</f>
        <v/>
      </c>
      <c r="T247" s="2152" t="str">
        <f>IFERROR(VLOOKUP($B247,T$109:$AG$208,T$107,FALSE),"")</f>
        <v/>
      </c>
      <c r="U247" s="2152" t="str">
        <f>IFERROR(VLOOKUP($B247,U$109:$AG$208,U$107,FALSE),"")</f>
        <v/>
      </c>
      <c r="V247" s="2152" t="str">
        <f>IFERROR(VLOOKUP($B247,V$109:$AG$208,V$107,FALSE),"")</f>
        <v/>
      </c>
      <c r="W247" s="2152" t="str">
        <f>IFERROR(VLOOKUP($B247,W$109:$AG$208,W$107,FALSE),"")</f>
        <v/>
      </c>
      <c r="X247" s="2152" t="str">
        <f>IFERROR(VLOOKUP($B247,X$109:$AG$208,X$107,FALSE),"")</f>
        <v/>
      </c>
      <c r="Y247" s="2152" t="str">
        <f>IFERROR(VLOOKUP($B247,Y$109:$AG$208,Y$107,FALSE),"")</f>
        <v/>
      </c>
      <c r="Z247" s="2152" t="str">
        <f>IFERROR(VLOOKUP($B247,Z$109:$AG$208,Z$107,FALSE),"")</f>
        <v/>
      </c>
      <c r="AA247" s="2152" t="str">
        <f>IFERROR(VLOOKUP($B247,AA$109:$AG$208,AA$107,FALSE),"")</f>
        <v/>
      </c>
      <c r="AB247" s="2152" t="str">
        <f>IFERROR(VLOOKUP($B247,AB$109:$AG$208,AB$107,FALSE),"")</f>
        <v/>
      </c>
      <c r="AC247" s="2152" t="str">
        <f>IFERROR(VLOOKUP($B247,AC$109:$AG$208,AC$107,FALSE),"")</f>
        <v/>
      </c>
      <c r="AD247" s="2152" t="str">
        <f>IFERROR(VLOOKUP($B247,AD$109:$AG$208,AD$107,FALSE),"")</f>
        <v>Fusilade MAX</v>
      </c>
      <c r="AE247" s="2152" t="str">
        <f>IFERROR(VLOOKUP($B247,AE$109:$AG$208,AE$107,FALSE),"")</f>
        <v/>
      </c>
      <c r="AF247" s="2152" t="str">
        <f>IFERROR(VLOOKUP($B247,AF$109:$AG$208,AF$107,FALSE),"")</f>
        <v/>
      </c>
    </row>
    <row r="248" spans="2:32">
      <c r="B248" s="2168">
        <f t="shared" si="20"/>
        <v>34</v>
      </c>
      <c r="F248" s="2152" t="str">
        <f>IFERROR(VLOOKUP($B248,F$109:$AG$208,F$107,FALSE),"")</f>
        <v/>
      </c>
      <c r="G248" s="2152" t="str">
        <f>IFERROR(VLOOKUP($B248,G$109:$AG$208,G$107,FALSE),"")</f>
        <v/>
      </c>
      <c r="H248" s="2152" t="str">
        <f>IFERROR(VLOOKUP($B248,H$109:$AG$208,H$107,FALSE),"")</f>
        <v/>
      </c>
      <c r="I248" s="2152" t="str">
        <f>IFERROR(VLOOKUP($B248,I$109:$AG$208,I$107,FALSE),"")</f>
        <v/>
      </c>
      <c r="J248" s="2152" t="str">
        <f>IFERROR(VLOOKUP($B248,J$109:$AG$208,J$107,FALSE),"")</f>
        <v/>
      </c>
      <c r="K248" s="2152" t="str">
        <f>IFERROR(VLOOKUP($B248,K$109:$AG$208,K$107,FALSE),"")</f>
        <v/>
      </c>
      <c r="L248" s="2152" t="str">
        <f>IFERROR(VLOOKUP($B248,L$109:$AG$208,L$107,FALSE),"")</f>
        <v/>
      </c>
      <c r="M248" s="2152" t="str">
        <f>IFERROR(VLOOKUP($B248,M$109:$AG$208,M$107,FALSE),"")</f>
        <v/>
      </c>
      <c r="N248" s="2152" t="str">
        <f>IFERROR(VLOOKUP($B248,N$109:$AG$208,N$107,FALSE),"")</f>
        <v/>
      </c>
      <c r="O248" s="2152" t="str">
        <f>IFERROR(VLOOKUP($B248,O$109:$AG$208,O$107,FALSE),"")</f>
        <v/>
      </c>
      <c r="P248" s="2152" t="str">
        <f>IFERROR(VLOOKUP($B248,P$109:$AG$208,P$107,FALSE),"")</f>
        <v/>
      </c>
      <c r="Q248" s="2152" t="str">
        <f>IFERROR(VLOOKUP($B248,Q$109:$AG$208,Q$107,FALSE),"")</f>
        <v/>
      </c>
      <c r="R248" s="2152" t="str">
        <f>IFERROR(VLOOKUP($B248,R$109:$AG$208,R$107,FALSE),"")</f>
        <v/>
      </c>
      <c r="S248" s="2152" t="str">
        <f>IFERROR(VLOOKUP($B248,S$109:$AG$208,S$107,FALSE),"")</f>
        <v/>
      </c>
      <c r="T248" s="2152" t="str">
        <f>IFERROR(VLOOKUP($B248,T$109:$AG$208,T$107,FALSE),"")</f>
        <v/>
      </c>
      <c r="U248" s="2152" t="str">
        <f>IFERROR(VLOOKUP($B248,U$109:$AG$208,U$107,FALSE),"")</f>
        <v/>
      </c>
      <c r="V248" s="2152" t="str">
        <f>IFERROR(VLOOKUP($B248,V$109:$AG$208,V$107,FALSE),"")</f>
        <v/>
      </c>
      <c r="W248" s="2152" t="str">
        <f>IFERROR(VLOOKUP($B248,W$109:$AG$208,W$107,FALSE),"")</f>
        <v/>
      </c>
      <c r="X248" s="2152" t="str">
        <f>IFERROR(VLOOKUP($B248,X$109:$AG$208,X$107,FALSE),"")</f>
        <v/>
      </c>
      <c r="Y248" s="2152" t="str">
        <f>IFERROR(VLOOKUP($B248,Y$109:$AG$208,Y$107,FALSE),"")</f>
        <v/>
      </c>
      <c r="Z248" s="2152" t="str">
        <f>IFERROR(VLOOKUP($B248,Z$109:$AG$208,Z$107,FALSE),"")</f>
        <v/>
      </c>
      <c r="AA248" s="2152" t="str">
        <f>IFERROR(VLOOKUP($B248,AA$109:$AG$208,AA$107,FALSE),"")</f>
        <v/>
      </c>
      <c r="AB248" s="2152" t="str">
        <f>IFERROR(VLOOKUP($B248,AB$109:$AG$208,AB$107,FALSE),"")</f>
        <v/>
      </c>
      <c r="AC248" s="2152" t="str">
        <f>IFERROR(VLOOKUP($B248,AC$109:$AG$208,AC$107,FALSE),"")</f>
        <v/>
      </c>
      <c r="AD248" s="2152" t="str">
        <f>IFERROR(VLOOKUP($B248,AD$109:$AG$208,AD$107,FALSE),"")</f>
        <v>Goltix Gold</v>
      </c>
      <c r="AE248" s="2152" t="str">
        <f>IFERROR(VLOOKUP($B248,AE$109:$AG$208,AE$107,FALSE),"")</f>
        <v/>
      </c>
      <c r="AF248" s="2152" t="str">
        <f>IFERROR(VLOOKUP($B248,AF$109:$AG$208,AF$107,FALSE),"")</f>
        <v/>
      </c>
    </row>
    <row r="249" spans="2:32">
      <c r="B249" s="2168">
        <f t="shared" si="20"/>
        <v>35</v>
      </c>
      <c r="F249" s="2152" t="str">
        <f>IFERROR(VLOOKUP($B249,F$109:$AG$208,F$107,FALSE),"")</f>
        <v/>
      </c>
      <c r="G249" s="2152" t="str">
        <f>IFERROR(VLOOKUP($B249,G$109:$AG$208,G$107,FALSE),"")</f>
        <v/>
      </c>
      <c r="H249" s="2152" t="str">
        <f>IFERROR(VLOOKUP($B249,H$109:$AG$208,H$107,FALSE),"")</f>
        <v/>
      </c>
      <c r="I249" s="2152" t="str">
        <f>IFERROR(VLOOKUP($B249,I$109:$AG$208,I$107,FALSE),"")</f>
        <v/>
      </c>
      <c r="J249" s="2152" t="str">
        <f>IFERROR(VLOOKUP($B249,J$109:$AG$208,J$107,FALSE),"")</f>
        <v/>
      </c>
      <c r="K249" s="2152" t="str">
        <f>IFERROR(VLOOKUP($B249,K$109:$AG$208,K$107,FALSE),"")</f>
        <v/>
      </c>
      <c r="L249" s="2152" t="str">
        <f>IFERROR(VLOOKUP($B249,L$109:$AG$208,L$107,FALSE),"")</f>
        <v/>
      </c>
      <c r="M249" s="2152" t="str">
        <f>IFERROR(VLOOKUP($B249,M$109:$AG$208,M$107,FALSE),"")</f>
        <v/>
      </c>
      <c r="N249" s="2152" t="str">
        <f>IFERROR(VLOOKUP($B249,N$109:$AG$208,N$107,FALSE),"")</f>
        <v/>
      </c>
      <c r="O249" s="2152" t="str">
        <f>IFERROR(VLOOKUP($B249,O$109:$AG$208,O$107,FALSE),"")</f>
        <v/>
      </c>
      <c r="P249" s="2152" t="str">
        <f>IFERROR(VLOOKUP($B249,P$109:$AG$208,P$107,FALSE),"")</f>
        <v/>
      </c>
      <c r="Q249" s="2152" t="str">
        <f>IFERROR(VLOOKUP($B249,Q$109:$AG$208,Q$107,FALSE),"")</f>
        <v/>
      </c>
      <c r="R249" s="2152" t="str">
        <f>IFERROR(VLOOKUP($B249,R$109:$AG$208,R$107,FALSE),"")</f>
        <v/>
      </c>
      <c r="S249" s="2152" t="str">
        <f>IFERROR(VLOOKUP($B249,S$109:$AG$208,S$107,FALSE),"")</f>
        <v/>
      </c>
      <c r="T249" s="2152" t="str">
        <f>IFERROR(VLOOKUP($B249,T$109:$AG$208,T$107,FALSE),"")</f>
        <v/>
      </c>
      <c r="U249" s="2152" t="str">
        <f>IFERROR(VLOOKUP($B249,U$109:$AG$208,U$107,FALSE),"")</f>
        <v/>
      </c>
      <c r="V249" s="2152" t="str">
        <f>IFERROR(VLOOKUP($B249,V$109:$AG$208,V$107,FALSE),"")</f>
        <v/>
      </c>
      <c r="W249" s="2152" t="str">
        <f>IFERROR(VLOOKUP($B249,W$109:$AG$208,W$107,FALSE),"")</f>
        <v/>
      </c>
      <c r="X249" s="2152" t="str">
        <f>IFERROR(VLOOKUP($B249,X$109:$AG$208,X$107,FALSE),"")</f>
        <v/>
      </c>
      <c r="Y249" s="2152" t="str">
        <f>IFERROR(VLOOKUP($B249,Y$109:$AG$208,Y$107,FALSE),"")</f>
        <v/>
      </c>
      <c r="Z249" s="2152" t="str">
        <f>IFERROR(VLOOKUP($B249,Z$109:$AG$208,Z$107,FALSE),"")</f>
        <v/>
      </c>
      <c r="AA249" s="2152" t="str">
        <f>IFERROR(VLOOKUP($B249,AA$109:$AG$208,AA$107,FALSE),"")</f>
        <v/>
      </c>
      <c r="AB249" s="2152" t="str">
        <f>IFERROR(VLOOKUP($B249,AB$109:$AG$208,AB$107,FALSE),"")</f>
        <v/>
      </c>
      <c r="AC249" s="2152" t="str">
        <f>IFERROR(VLOOKUP($B249,AC$109:$AG$208,AC$107,FALSE),"")</f>
        <v/>
      </c>
      <c r="AD249" s="2152" t="str">
        <f>IFERROR(VLOOKUP($B249,AD$109:$AG$208,AD$107,FALSE),"")</f>
        <v>Goltix Titan</v>
      </c>
      <c r="AE249" s="2152" t="str">
        <f>IFERROR(VLOOKUP($B249,AE$109:$AG$208,AE$107,FALSE),"")</f>
        <v/>
      </c>
      <c r="AF249" s="2152" t="str">
        <f>IFERROR(VLOOKUP($B249,AF$109:$AG$208,AF$107,FALSE),"")</f>
        <v/>
      </c>
    </row>
    <row r="250" spans="2:32">
      <c r="B250" s="2168">
        <f t="shared" si="20"/>
        <v>36</v>
      </c>
      <c r="F250" s="2152" t="str">
        <f>IFERROR(VLOOKUP($B250,F$109:$AG$208,F$107,FALSE),"")</f>
        <v/>
      </c>
      <c r="G250" s="2152" t="str">
        <f>IFERROR(VLOOKUP($B250,G$109:$AG$208,G$107,FALSE),"")</f>
        <v/>
      </c>
      <c r="H250" s="2152" t="str">
        <f>IFERROR(VLOOKUP($B250,H$109:$AG$208,H$107,FALSE),"")</f>
        <v/>
      </c>
      <c r="I250" s="2152" t="str">
        <f>IFERROR(VLOOKUP($B250,I$109:$AG$208,I$107,FALSE),"")</f>
        <v/>
      </c>
      <c r="J250" s="2152" t="str">
        <f>IFERROR(VLOOKUP($B250,J$109:$AG$208,J$107,FALSE),"")</f>
        <v/>
      </c>
      <c r="K250" s="2152" t="str">
        <f>IFERROR(VLOOKUP($B250,K$109:$AG$208,K$107,FALSE),"")</f>
        <v/>
      </c>
      <c r="L250" s="2152" t="str">
        <f>IFERROR(VLOOKUP($B250,L$109:$AG$208,L$107,FALSE),"")</f>
        <v/>
      </c>
      <c r="M250" s="2152" t="str">
        <f>IFERROR(VLOOKUP($B250,M$109:$AG$208,M$107,FALSE),"")</f>
        <v/>
      </c>
      <c r="N250" s="2152" t="str">
        <f>IFERROR(VLOOKUP($B250,N$109:$AG$208,N$107,FALSE),"")</f>
        <v/>
      </c>
      <c r="O250" s="2152" t="str">
        <f>IFERROR(VLOOKUP($B250,O$109:$AG$208,O$107,FALSE),"")</f>
        <v/>
      </c>
      <c r="P250" s="2152" t="str">
        <f>IFERROR(VLOOKUP($B250,P$109:$AG$208,P$107,FALSE),"")</f>
        <v/>
      </c>
      <c r="Q250" s="2152" t="str">
        <f>IFERROR(VLOOKUP($B250,Q$109:$AG$208,Q$107,FALSE),"")</f>
        <v/>
      </c>
      <c r="R250" s="2152" t="str">
        <f>IFERROR(VLOOKUP($B250,R$109:$AG$208,R$107,FALSE),"")</f>
        <v/>
      </c>
      <c r="S250" s="2152" t="str">
        <f>IFERROR(VLOOKUP($B250,S$109:$AG$208,S$107,FALSE),"")</f>
        <v/>
      </c>
      <c r="T250" s="2152" t="str">
        <f>IFERROR(VLOOKUP($B250,T$109:$AG$208,T$107,FALSE),"")</f>
        <v/>
      </c>
      <c r="U250" s="2152" t="str">
        <f>IFERROR(VLOOKUP($B250,U$109:$AG$208,U$107,FALSE),"")</f>
        <v/>
      </c>
      <c r="V250" s="2152" t="str">
        <f>IFERROR(VLOOKUP($B250,V$109:$AG$208,V$107,FALSE),"")</f>
        <v/>
      </c>
      <c r="W250" s="2152" t="str">
        <f>IFERROR(VLOOKUP($B250,W$109:$AG$208,W$107,FALSE),"")</f>
        <v/>
      </c>
      <c r="X250" s="2152" t="str">
        <f>IFERROR(VLOOKUP($B250,X$109:$AG$208,X$107,FALSE),"")</f>
        <v/>
      </c>
      <c r="Y250" s="2152" t="str">
        <f>IFERROR(VLOOKUP($B250,Y$109:$AG$208,Y$107,FALSE),"")</f>
        <v/>
      </c>
      <c r="Z250" s="2152" t="str">
        <f>IFERROR(VLOOKUP($B250,Z$109:$AG$208,Z$107,FALSE),"")</f>
        <v/>
      </c>
      <c r="AA250" s="2152" t="str">
        <f>IFERROR(VLOOKUP($B250,AA$109:$AG$208,AA$107,FALSE),"")</f>
        <v/>
      </c>
      <c r="AB250" s="2152" t="str">
        <f>IFERROR(VLOOKUP($B250,AB$109:$AG$208,AB$107,FALSE),"")</f>
        <v/>
      </c>
      <c r="AC250" s="2152" t="str">
        <f>IFERROR(VLOOKUP($B250,AC$109:$AG$208,AC$107,FALSE),"")</f>
        <v/>
      </c>
      <c r="AD250" s="2152" t="str">
        <f>IFERROR(VLOOKUP($B250,AD$109:$AG$208,AD$107,FALSE),"")</f>
        <v xml:space="preserve">Harmony SX </v>
      </c>
      <c r="AE250" s="2152" t="str">
        <f>IFERROR(VLOOKUP($B250,AE$109:$AG$208,AE$107,FALSE),"")</f>
        <v/>
      </c>
      <c r="AF250" s="2152" t="str">
        <f>IFERROR(VLOOKUP($B250,AF$109:$AG$208,AF$107,FALSE),"")</f>
        <v/>
      </c>
    </row>
    <row r="251" spans="2:32">
      <c r="B251" s="2168">
        <f t="shared" si="20"/>
        <v>37</v>
      </c>
      <c r="F251" s="2152" t="str">
        <f>IFERROR(VLOOKUP($B251,F$109:$AG$208,F$107,FALSE),"")</f>
        <v/>
      </c>
      <c r="G251" s="2152" t="str">
        <f>IFERROR(VLOOKUP($B251,G$109:$AG$208,G$107,FALSE),"")</f>
        <v/>
      </c>
      <c r="H251" s="2152" t="str">
        <f>IFERROR(VLOOKUP($B251,H$109:$AG$208,H$107,FALSE),"")</f>
        <v/>
      </c>
      <c r="I251" s="2152" t="str">
        <f>IFERROR(VLOOKUP($B251,I$109:$AG$208,I$107,FALSE),"")</f>
        <v/>
      </c>
      <c r="J251" s="2152" t="str">
        <f>IFERROR(VLOOKUP($B251,J$109:$AG$208,J$107,FALSE),"")</f>
        <v/>
      </c>
      <c r="K251" s="2152" t="str">
        <f>IFERROR(VLOOKUP($B251,K$109:$AG$208,K$107,FALSE),"")</f>
        <v/>
      </c>
      <c r="L251" s="2152" t="str">
        <f>IFERROR(VLOOKUP($B251,L$109:$AG$208,L$107,FALSE),"")</f>
        <v/>
      </c>
      <c r="M251" s="2152" t="str">
        <f>IFERROR(VLOOKUP($B251,M$109:$AG$208,M$107,FALSE),"")</f>
        <v/>
      </c>
      <c r="N251" s="2152" t="str">
        <f>IFERROR(VLOOKUP($B251,N$109:$AG$208,N$107,FALSE),"")</f>
        <v/>
      </c>
      <c r="O251" s="2152" t="str">
        <f>IFERROR(VLOOKUP($B251,O$109:$AG$208,O$107,FALSE),"")</f>
        <v/>
      </c>
      <c r="P251" s="2152" t="str">
        <f>IFERROR(VLOOKUP($B251,P$109:$AG$208,P$107,FALSE),"")</f>
        <v/>
      </c>
      <c r="Q251" s="2152" t="str">
        <f>IFERROR(VLOOKUP($B251,Q$109:$AG$208,Q$107,FALSE),"")</f>
        <v/>
      </c>
      <c r="R251" s="2152" t="str">
        <f>IFERROR(VLOOKUP($B251,R$109:$AG$208,R$107,FALSE),"")</f>
        <v/>
      </c>
      <c r="S251" s="2152" t="str">
        <f>IFERROR(VLOOKUP($B251,S$109:$AG$208,S$107,FALSE),"")</f>
        <v/>
      </c>
      <c r="T251" s="2152" t="str">
        <f>IFERROR(VLOOKUP($B251,T$109:$AG$208,T$107,FALSE),"")</f>
        <v/>
      </c>
      <c r="U251" s="2152" t="str">
        <f>IFERROR(VLOOKUP($B251,U$109:$AG$208,U$107,FALSE),"")</f>
        <v/>
      </c>
      <c r="V251" s="2152" t="str">
        <f>IFERROR(VLOOKUP($B251,V$109:$AG$208,V$107,FALSE),"")</f>
        <v/>
      </c>
      <c r="W251" s="2152" t="str">
        <f>IFERROR(VLOOKUP($B251,W$109:$AG$208,W$107,FALSE),"")</f>
        <v/>
      </c>
      <c r="X251" s="2152" t="str">
        <f>IFERROR(VLOOKUP($B251,X$109:$AG$208,X$107,FALSE),"")</f>
        <v/>
      </c>
      <c r="Y251" s="2152" t="str">
        <f>IFERROR(VLOOKUP($B251,Y$109:$AG$208,Y$107,FALSE),"")</f>
        <v/>
      </c>
      <c r="Z251" s="2152" t="str">
        <f>IFERROR(VLOOKUP($B251,Z$109:$AG$208,Z$107,FALSE),"")</f>
        <v/>
      </c>
      <c r="AA251" s="2152" t="str">
        <f>IFERROR(VLOOKUP($B251,AA$109:$AG$208,AA$107,FALSE),"")</f>
        <v/>
      </c>
      <c r="AB251" s="2152" t="str">
        <f>IFERROR(VLOOKUP($B251,AB$109:$AG$208,AB$107,FALSE),"")</f>
        <v/>
      </c>
      <c r="AC251" s="2152" t="str">
        <f>IFERROR(VLOOKUP($B251,AC$109:$AG$208,AC$107,FALSE),"")</f>
        <v/>
      </c>
      <c r="AD251" s="2152" t="str">
        <f>IFERROR(VLOOKUP($B251,AD$109:$AG$208,AD$107,FALSE),"")</f>
        <v>Herold SC</v>
      </c>
      <c r="AE251" s="2152" t="str">
        <f>IFERROR(VLOOKUP($B251,AE$109:$AG$208,AE$107,FALSE),"")</f>
        <v/>
      </c>
      <c r="AF251" s="2152" t="str">
        <f>IFERROR(VLOOKUP($B251,AF$109:$AG$208,AF$107,FALSE),"")</f>
        <v/>
      </c>
    </row>
    <row r="252" spans="2:32">
      <c r="B252" s="2168">
        <f t="shared" si="20"/>
        <v>38</v>
      </c>
      <c r="F252" s="2152" t="str">
        <f>IFERROR(VLOOKUP($B252,F$109:$AG$208,F$107,FALSE),"")</f>
        <v/>
      </c>
      <c r="G252" s="2152" t="str">
        <f>IFERROR(VLOOKUP($B252,G$109:$AG$208,G$107,FALSE),"")</f>
        <v/>
      </c>
      <c r="H252" s="2152" t="str">
        <f>IFERROR(VLOOKUP($B252,H$109:$AG$208,H$107,FALSE),"")</f>
        <v/>
      </c>
      <c r="I252" s="2152" t="str">
        <f>IFERROR(VLOOKUP($B252,I$109:$AG$208,I$107,FALSE),"")</f>
        <v/>
      </c>
      <c r="J252" s="2152" t="str">
        <f>IFERROR(VLOOKUP($B252,J$109:$AG$208,J$107,FALSE),"")</f>
        <v/>
      </c>
      <c r="K252" s="2152" t="str">
        <f>IFERROR(VLOOKUP($B252,K$109:$AG$208,K$107,FALSE),"")</f>
        <v/>
      </c>
      <c r="L252" s="2152" t="str">
        <f>IFERROR(VLOOKUP($B252,L$109:$AG$208,L$107,FALSE),"")</f>
        <v/>
      </c>
      <c r="M252" s="2152" t="str">
        <f>IFERROR(VLOOKUP($B252,M$109:$AG$208,M$107,FALSE),"")</f>
        <v/>
      </c>
      <c r="N252" s="2152" t="str">
        <f>IFERROR(VLOOKUP($B252,N$109:$AG$208,N$107,FALSE),"")</f>
        <v/>
      </c>
      <c r="O252" s="2152" t="str">
        <f>IFERROR(VLOOKUP($B252,O$109:$AG$208,O$107,FALSE),"")</f>
        <v/>
      </c>
      <c r="P252" s="2152" t="str">
        <f>IFERROR(VLOOKUP($B252,P$109:$AG$208,P$107,FALSE),"")</f>
        <v/>
      </c>
      <c r="Q252" s="2152" t="str">
        <f>IFERROR(VLOOKUP($B252,Q$109:$AG$208,Q$107,FALSE),"")</f>
        <v/>
      </c>
      <c r="R252" s="2152" t="str">
        <f>IFERROR(VLOOKUP($B252,R$109:$AG$208,R$107,FALSE),"")</f>
        <v/>
      </c>
      <c r="S252" s="2152" t="str">
        <f>IFERROR(VLOOKUP($B252,S$109:$AG$208,S$107,FALSE),"")</f>
        <v/>
      </c>
      <c r="T252" s="2152" t="str">
        <f>IFERROR(VLOOKUP($B252,T$109:$AG$208,T$107,FALSE),"")</f>
        <v/>
      </c>
      <c r="U252" s="2152" t="str">
        <f>IFERROR(VLOOKUP($B252,U$109:$AG$208,U$107,FALSE),"")</f>
        <v/>
      </c>
      <c r="V252" s="2152" t="str">
        <f>IFERROR(VLOOKUP($B252,V$109:$AG$208,V$107,FALSE),"")</f>
        <v/>
      </c>
      <c r="W252" s="2152" t="str">
        <f>IFERROR(VLOOKUP($B252,W$109:$AG$208,W$107,FALSE),"")</f>
        <v/>
      </c>
      <c r="X252" s="2152" t="str">
        <f>IFERROR(VLOOKUP($B252,X$109:$AG$208,X$107,FALSE),"")</f>
        <v/>
      </c>
      <c r="Y252" s="2152" t="str">
        <f>IFERROR(VLOOKUP($B252,Y$109:$AG$208,Y$107,FALSE),"")</f>
        <v/>
      </c>
      <c r="Z252" s="2152" t="str">
        <f>IFERROR(VLOOKUP($B252,Z$109:$AG$208,Z$107,FALSE),"")</f>
        <v/>
      </c>
      <c r="AA252" s="2152" t="str">
        <f>IFERROR(VLOOKUP($B252,AA$109:$AG$208,AA$107,FALSE),"")</f>
        <v/>
      </c>
      <c r="AB252" s="2152" t="str">
        <f>IFERROR(VLOOKUP($B252,AB$109:$AG$208,AB$107,FALSE),"")</f>
        <v/>
      </c>
      <c r="AC252" s="2152" t="str">
        <f>IFERROR(VLOOKUP($B252,AC$109:$AG$208,AC$107,FALSE),"")</f>
        <v/>
      </c>
      <c r="AD252" s="2152" t="str">
        <f>IFERROR(VLOOKUP($B252,AD$109:$AG$208,AD$107,FALSE),"")</f>
        <v>Hoestar Super</v>
      </c>
      <c r="AE252" s="2152" t="str">
        <f>IFERROR(VLOOKUP($B252,AE$109:$AG$208,AE$107,FALSE),"")</f>
        <v/>
      </c>
      <c r="AF252" s="2152" t="str">
        <f>IFERROR(VLOOKUP($B252,AF$109:$AG$208,AF$107,FALSE),"")</f>
        <v/>
      </c>
    </row>
    <row r="253" spans="2:32">
      <c r="B253" s="2168">
        <f t="shared" si="20"/>
        <v>39</v>
      </c>
      <c r="F253" s="2152" t="str">
        <f>IFERROR(VLOOKUP($B253,F$109:$AG$208,F$107,FALSE),"")</f>
        <v/>
      </c>
      <c r="G253" s="2152" t="str">
        <f>IFERROR(VLOOKUP($B253,G$109:$AG$208,G$107,FALSE),"")</f>
        <v/>
      </c>
      <c r="H253" s="2152" t="str">
        <f>IFERROR(VLOOKUP($B253,H$109:$AG$208,H$107,FALSE),"")</f>
        <v/>
      </c>
      <c r="I253" s="2152" t="str">
        <f>IFERROR(VLOOKUP($B253,I$109:$AG$208,I$107,FALSE),"")</f>
        <v/>
      </c>
      <c r="J253" s="2152" t="str">
        <f>IFERROR(VLOOKUP($B253,J$109:$AG$208,J$107,FALSE),"")</f>
        <v/>
      </c>
      <c r="K253" s="2152" t="str">
        <f>IFERROR(VLOOKUP($B253,K$109:$AG$208,K$107,FALSE),"")</f>
        <v/>
      </c>
      <c r="L253" s="2152" t="str">
        <f>IFERROR(VLOOKUP($B253,L$109:$AG$208,L$107,FALSE),"")</f>
        <v/>
      </c>
      <c r="M253" s="2152" t="str">
        <f>IFERROR(VLOOKUP($B253,M$109:$AG$208,M$107,FALSE),"")</f>
        <v/>
      </c>
      <c r="N253" s="2152" t="str">
        <f>IFERROR(VLOOKUP($B253,N$109:$AG$208,N$107,FALSE),"")</f>
        <v/>
      </c>
      <c r="O253" s="2152" t="str">
        <f>IFERROR(VLOOKUP($B253,O$109:$AG$208,O$107,FALSE),"")</f>
        <v/>
      </c>
      <c r="P253" s="2152" t="str">
        <f>IFERROR(VLOOKUP($B253,P$109:$AG$208,P$107,FALSE),"")</f>
        <v/>
      </c>
      <c r="Q253" s="2152" t="str">
        <f>IFERROR(VLOOKUP($B253,Q$109:$AG$208,Q$107,FALSE),"")</f>
        <v/>
      </c>
      <c r="R253" s="2152" t="str">
        <f>IFERROR(VLOOKUP($B253,R$109:$AG$208,R$107,FALSE),"")</f>
        <v/>
      </c>
      <c r="S253" s="2152" t="str">
        <f>IFERROR(VLOOKUP($B253,S$109:$AG$208,S$107,FALSE),"")</f>
        <v/>
      </c>
      <c r="T253" s="2152" t="str">
        <f>IFERROR(VLOOKUP($B253,T$109:$AG$208,T$107,FALSE),"")</f>
        <v/>
      </c>
      <c r="U253" s="2152" t="str">
        <f>IFERROR(VLOOKUP($B253,U$109:$AG$208,U$107,FALSE),"")</f>
        <v/>
      </c>
      <c r="V253" s="2152" t="str">
        <f>IFERROR(VLOOKUP($B253,V$109:$AG$208,V$107,FALSE),"")</f>
        <v/>
      </c>
      <c r="W253" s="2152" t="str">
        <f>IFERROR(VLOOKUP($B253,W$109:$AG$208,W$107,FALSE),"")</f>
        <v/>
      </c>
      <c r="X253" s="2152" t="str">
        <f>IFERROR(VLOOKUP($B253,X$109:$AG$208,X$107,FALSE),"")</f>
        <v/>
      </c>
      <c r="Y253" s="2152" t="str">
        <f>IFERROR(VLOOKUP($B253,Y$109:$AG$208,Y$107,FALSE),"")</f>
        <v/>
      </c>
      <c r="Z253" s="2152" t="str">
        <f>IFERROR(VLOOKUP($B253,Z$109:$AG$208,Z$107,FALSE),"")</f>
        <v/>
      </c>
      <c r="AA253" s="2152" t="str">
        <f>IFERROR(VLOOKUP($B253,AA$109:$AG$208,AA$107,FALSE),"")</f>
        <v/>
      </c>
      <c r="AB253" s="2152" t="str">
        <f>IFERROR(VLOOKUP($B253,AB$109:$AG$208,AB$107,FALSE),"")</f>
        <v/>
      </c>
      <c r="AC253" s="2152" t="str">
        <f>IFERROR(VLOOKUP($B253,AC$109:$AG$208,AC$107,FALSE),"")</f>
        <v/>
      </c>
      <c r="AD253" s="2152" t="str">
        <f>IFERROR(VLOOKUP($B253,AD$109:$AG$208,AD$107,FALSE),"")</f>
        <v>Infinito</v>
      </c>
      <c r="AE253" s="2152" t="str">
        <f>IFERROR(VLOOKUP($B253,AE$109:$AG$208,AE$107,FALSE),"")</f>
        <v/>
      </c>
      <c r="AF253" s="2152" t="str">
        <f>IFERROR(VLOOKUP($B253,AF$109:$AG$208,AF$107,FALSE),"")</f>
        <v/>
      </c>
    </row>
    <row r="254" spans="2:32">
      <c r="B254" s="2168">
        <f t="shared" si="20"/>
        <v>40</v>
      </c>
      <c r="F254" s="2152" t="str">
        <f>IFERROR(VLOOKUP($B254,F$109:$AG$208,F$107,FALSE),"")</f>
        <v/>
      </c>
      <c r="G254" s="2152" t="str">
        <f>IFERROR(VLOOKUP($B254,G$109:$AG$208,G$107,FALSE),"")</f>
        <v/>
      </c>
      <c r="H254" s="2152" t="str">
        <f>IFERROR(VLOOKUP($B254,H$109:$AG$208,H$107,FALSE),"")</f>
        <v/>
      </c>
      <c r="I254" s="2152" t="str">
        <f>IFERROR(VLOOKUP($B254,I$109:$AG$208,I$107,FALSE),"")</f>
        <v/>
      </c>
      <c r="J254" s="2152" t="str">
        <f>IFERROR(VLOOKUP($B254,J$109:$AG$208,J$107,FALSE),"")</f>
        <v/>
      </c>
      <c r="K254" s="2152" t="str">
        <f>IFERROR(VLOOKUP($B254,K$109:$AG$208,K$107,FALSE),"")</f>
        <v/>
      </c>
      <c r="L254" s="2152" t="str">
        <f>IFERROR(VLOOKUP($B254,L$109:$AG$208,L$107,FALSE),"")</f>
        <v/>
      </c>
      <c r="M254" s="2152" t="str">
        <f>IFERROR(VLOOKUP($B254,M$109:$AG$208,M$107,FALSE),"")</f>
        <v/>
      </c>
      <c r="N254" s="2152" t="str">
        <f>IFERROR(VLOOKUP($B254,N$109:$AG$208,N$107,FALSE),"")</f>
        <v/>
      </c>
      <c r="O254" s="2152" t="str">
        <f>IFERROR(VLOOKUP($B254,O$109:$AG$208,O$107,FALSE),"")</f>
        <v/>
      </c>
      <c r="P254" s="2152" t="str">
        <f>IFERROR(VLOOKUP($B254,P$109:$AG$208,P$107,FALSE),"")</f>
        <v/>
      </c>
      <c r="Q254" s="2152" t="str">
        <f>IFERROR(VLOOKUP($B254,Q$109:$AG$208,Q$107,FALSE),"")</f>
        <v/>
      </c>
      <c r="R254" s="2152" t="str">
        <f>IFERROR(VLOOKUP($B254,R$109:$AG$208,R$107,FALSE),"")</f>
        <v/>
      </c>
      <c r="S254" s="2152" t="str">
        <f>IFERROR(VLOOKUP($B254,S$109:$AG$208,S$107,FALSE),"")</f>
        <v/>
      </c>
      <c r="T254" s="2152" t="str">
        <f>IFERROR(VLOOKUP($B254,T$109:$AG$208,T$107,FALSE),"")</f>
        <v/>
      </c>
      <c r="U254" s="2152" t="str">
        <f>IFERROR(VLOOKUP($B254,U$109:$AG$208,U$107,FALSE),"")</f>
        <v/>
      </c>
      <c r="V254" s="2152" t="str">
        <f>IFERROR(VLOOKUP($B254,V$109:$AG$208,V$107,FALSE),"")</f>
        <v/>
      </c>
      <c r="W254" s="2152" t="str">
        <f>IFERROR(VLOOKUP($B254,W$109:$AG$208,W$107,FALSE),"")</f>
        <v/>
      </c>
      <c r="X254" s="2152" t="str">
        <f>IFERROR(VLOOKUP($B254,X$109:$AG$208,X$107,FALSE),"")</f>
        <v/>
      </c>
      <c r="Y254" s="2152" t="str">
        <f>IFERROR(VLOOKUP($B254,Y$109:$AG$208,Y$107,FALSE),"")</f>
        <v/>
      </c>
      <c r="Z254" s="2152" t="str">
        <f>IFERROR(VLOOKUP($B254,Z$109:$AG$208,Z$107,FALSE),"")</f>
        <v/>
      </c>
      <c r="AA254" s="2152" t="str">
        <f>IFERROR(VLOOKUP($B254,AA$109:$AG$208,AA$107,FALSE),"")</f>
        <v/>
      </c>
      <c r="AB254" s="2152" t="str">
        <f>IFERROR(VLOOKUP($B254,AB$109:$AG$208,AB$107,FALSE),"")</f>
        <v/>
      </c>
      <c r="AC254" s="2152" t="str">
        <f>IFERROR(VLOOKUP($B254,AC$109:$AG$208,AC$107,FALSE),"")</f>
        <v/>
      </c>
      <c r="AD254" s="2152" t="str">
        <f>IFERROR(VLOOKUP($B254,AD$109:$AG$208,AD$107,FALSE),"")</f>
        <v>Input Classic</v>
      </c>
      <c r="AE254" s="2152" t="str">
        <f>IFERROR(VLOOKUP($B254,AE$109:$AG$208,AE$107,FALSE),"")</f>
        <v/>
      </c>
      <c r="AF254" s="2152" t="str">
        <f>IFERROR(VLOOKUP($B254,AF$109:$AG$208,AF$107,FALSE),"")</f>
        <v/>
      </c>
    </row>
    <row r="255" spans="2:32">
      <c r="B255" s="2168">
        <f t="shared" si="20"/>
        <v>41</v>
      </c>
      <c r="F255" s="2152" t="str">
        <f>IFERROR(VLOOKUP($B255,F$109:$AG$208,F$107,FALSE),"")</f>
        <v/>
      </c>
      <c r="G255" s="2152" t="str">
        <f>IFERROR(VLOOKUP($B255,G$109:$AG$208,G$107,FALSE),"")</f>
        <v/>
      </c>
      <c r="H255" s="2152" t="str">
        <f>IFERROR(VLOOKUP($B255,H$109:$AG$208,H$107,FALSE),"")</f>
        <v/>
      </c>
      <c r="I255" s="2152" t="str">
        <f>IFERROR(VLOOKUP($B255,I$109:$AG$208,I$107,FALSE),"")</f>
        <v/>
      </c>
      <c r="J255" s="2152" t="str">
        <f>IFERROR(VLOOKUP($B255,J$109:$AG$208,J$107,FALSE),"")</f>
        <v/>
      </c>
      <c r="K255" s="2152" t="str">
        <f>IFERROR(VLOOKUP($B255,K$109:$AG$208,K$107,FALSE),"")</f>
        <v/>
      </c>
      <c r="L255" s="2152" t="str">
        <f>IFERROR(VLOOKUP($B255,L$109:$AG$208,L$107,FALSE),"")</f>
        <v/>
      </c>
      <c r="M255" s="2152" t="str">
        <f>IFERROR(VLOOKUP($B255,M$109:$AG$208,M$107,FALSE),"")</f>
        <v/>
      </c>
      <c r="N255" s="2152" t="str">
        <f>IFERROR(VLOOKUP($B255,N$109:$AG$208,N$107,FALSE),"")</f>
        <v/>
      </c>
      <c r="O255" s="2152" t="str">
        <f>IFERROR(VLOOKUP($B255,O$109:$AG$208,O$107,FALSE),"")</f>
        <v/>
      </c>
      <c r="P255" s="2152" t="str">
        <f>IFERROR(VLOOKUP($B255,P$109:$AG$208,P$107,FALSE),"")</f>
        <v/>
      </c>
      <c r="Q255" s="2152" t="str">
        <f>IFERROR(VLOOKUP($B255,Q$109:$AG$208,Q$107,FALSE),"")</f>
        <v/>
      </c>
      <c r="R255" s="2152" t="str">
        <f>IFERROR(VLOOKUP($B255,R$109:$AG$208,R$107,FALSE),"")</f>
        <v/>
      </c>
      <c r="S255" s="2152" t="str">
        <f>IFERROR(VLOOKUP($B255,S$109:$AG$208,S$107,FALSE),"")</f>
        <v/>
      </c>
      <c r="T255" s="2152" t="str">
        <f>IFERROR(VLOOKUP($B255,T$109:$AG$208,T$107,FALSE),"")</f>
        <v/>
      </c>
      <c r="U255" s="2152" t="str">
        <f>IFERROR(VLOOKUP($B255,U$109:$AG$208,U$107,FALSE),"")</f>
        <v/>
      </c>
      <c r="V255" s="2152" t="str">
        <f>IFERROR(VLOOKUP($B255,V$109:$AG$208,V$107,FALSE),"")</f>
        <v/>
      </c>
      <c r="W255" s="2152" t="str">
        <f>IFERROR(VLOOKUP($B255,W$109:$AG$208,W$107,FALSE),"")</f>
        <v/>
      </c>
      <c r="X255" s="2152" t="str">
        <f>IFERROR(VLOOKUP($B255,X$109:$AG$208,X$107,FALSE),"")</f>
        <v/>
      </c>
      <c r="Y255" s="2152" t="str">
        <f>IFERROR(VLOOKUP($B255,Y$109:$AG$208,Y$107,FALSE),"")</f>
        <v/>
      </c>
      <c r="Z255" s="2152" t="str">
        <f>IFERROR(VLOOKUP($B255,Z$109:$AG$208,Z$107,FALSE),"")</f>
        <v/>
      </c>
      <c r="AA255" s="2152" t="str">
        <f>IFERROR(VLOOKUP($B255,AA$109:$AG$208,AA$107,FALSE),"")</f>
        <v/>
      </c>
      <c r="AB255" s="2152" t="str">
        <f>IFERROR(VLOOKUP($B255,AB$109:$AG$208,AB$107,FALSE),"")</f>
        <v/>
      </c>
      <c r="AC255" s="2152" t="str">
        <f>IFERROR(VLOOKUP($B255,AC$109:$AG$208,AC$107,FALSE),"")</f>
        <v/>
      </c>
      <c r="AD255" s="2152" t="str">
        <f>IFERROR(VLOOKUP($B255,AD$109:$AG$208,AD$107,FALSE),"")</f>
        <v>Input Xpro</v>
      </c>
      <c r="AE255" s="2152" t="str">
        <f>IFERROR(VLOOKUP($B255,AE$109:$AG$208,AE$107,FALSE),"")</f>
        <v/>
      </c>
      <c r="AF255" s="2152" t="str">
        <f>IFERROR(VLOOKUP($B255,AF$109:$AG$208,AF$107,FALSE),"")</f>
        <v/>
      </c>
    </row>
    <row r="256" spans="2:32">
      <c r="B256" s="2168">
        <f t="shared" si="20"/>
        <v>42</v>
      </c>
      <c r="F256" s="2152" t="str">
        <f>IFERROR(VLOOKUP($B256,F$109:$AG$208,F$107,FALSE),"")</f>
        <v/>
      </c>
      <c r="G256" s="2152" t="str">
        <f>IFERROR(VLOOKUP($B256,G$109:$AG$208,G$107,FALSE),"")</f>
        <v/>
      </c>
      <c r="H256" s="2152" t="str">
        <f>IFERROR(VLOOKUP($B256,H$109:$AG$208,H$107,FALSE),"")</f>
        <v/>
      </c>
      <c r="I256" s="2152" t="str">
        <f>IFERROR(VLOOKUP($B256,I$109:$AG$208,I$107,FALSE),"")</f>
        <v/>
      </c>
      <c r="J256" s="2152" t="str">
        <f>IFERROR(VLOOKUP($B256,J$109:$AG$208,J$107,FALSE),"")</f>
        <v/>
      </c>
      <c r="K256" s="2152" t="str">
        <f>IFERROR(VLOOKUP($B256,K$109:$AG$208,K$107,FALSE),"")</f>
        <v/>
      </c>
      <c r="L256" s="2152" t="str">
        <f>IFERROR(VLOOKUP($B256,L$109:$AG$208,L$107,FALSE),"")</f>
        <v/>
      </c>
      <c r="M256" s="2152" t="str">
        <f>IFERROR(VLOOKUP($B256,M$109:$AG$208,M$107,FALSE),"")</f>
        <v/>
      </c>
      <c r="N256" s="2152" t="str">
        <f>IFERROR(VLOOKUP($B256,N$109:$AG$208,N$107,FALSE),"")</f>
        <v/>
      </c>
      <c r="O256" s="2152" t="str">
        <f>IFERROR(VLOOKUP($B256,O$109:$AG$208,O$107,FALSE),"")</f>
        <v/>
      </c>
      <c r="P256" s="2152" t="str">
        <f>IFERROR(VLOOKUP($B256,P$109:$AG$208,P$107,FALSE),"")</f>
        <v/>
      </c>
      <c r="Q256" s="2152" t="str">
        <f>IFERROR(VLOOKUP($B256,Q$109:$AG$208,Q$107,FALSE),"")</f>
        <v/>
      </c>
      <c r="R256" s="2152" t="str">
        <f>IFERROR(VLOOKUP($B256,R$109:$AG$208,R$107,FALSE),"")</f>
        <v/>
      </c>
      <c r="S256" s="2152" t="str">
        <f>IFERROR(VLOOKUP($B256,S$109:$AG$208,S$107,FALSE),"")</f>
        <v/>
      </c>
      <c r="T256" s="2152" t="str">
        <f>IFERROR(VLOOKUP($B256,T$109:$AG$208,T$107,FALSE),"")</f>
        <v/>
      </c>
      <c r="U256" s="2152" t="str">
        <f>IFERROR(VLOOKUP($B256,U$109:$AG$208,U$107,FALSE),"")</f>
        <v/>
      </c>
      <c r="V256" s="2152" t="str">
        <f>IFERROR(VLOOKUP($B256,V$109:$AG$208,V$107,FALSE),"")</f>
        <v/>
      </c>
      <c r="W256" s="2152" t="str">
        <f>IFERROR(VLOOKUP($B256,W$109:$AG$208,W$107,FALSE),"")</f>
        <v/>
      </c>
      <c r="X256" s="2152" t="str">
        <f>IFERROR(VLOOKUP($B256,X$109:$AG$208,X$107,FALSE),"")</f>
        <v/>
      </c>
      <c r="Y256" s="2152" t="str">
        <f>IFERROR(VLOOKUP($B256,Y$109:$AG$208,Y$107,FALSE),"")</f>
        <v/>
      </c>
      <c r="Z256" s="2152" t="str">
        <f>IFERROR(VLOOKUP($B256,Z$109:$AG$208,Z$107,FALSE),"")</f>
        <v/>
      </c>
      <c r="AA256" s="2152" t="str">
        <f>IFERROR(VLOOKUP($B256,AA$109:$AG$208,AA$107,FALSE),"")</f>
        <v/>
      </c>
      <c r="AB256" s="2152" t="str">
        <f>IFERROR(VLOOKUP($B256,AB$109:$AG$208,AB$107,FALSE),"")</f>
        <v/>
      </c>
      <c r="AC256" s="2152" t="str">
        <f>IFERROR(VLOOKUP($B256,AC$109:$AG$208,AC$107,FALSE),"")</f>
        <v/>
      </c>
      <c r="AD256" s="2152" t="str">
        <f>IFERROR(VLOOKUP($B256,AD$109:$AG$208,AD$107,FALSE),"")</f>
        <v>Metafol SC</v>
      </c>
      <c r="AE256" s="2152" t="str">
        <f>IFERROR(VLOOKUP($B256,AE$109:$AG$208,AE$107,FALSE),"")</f>
        <v/>
      </c>
      <c r="AF256" s="2152" t="str">
        <f>IFERROR(VLOOKUP($B256,AF$109:$AG$208,AF$107,FALSE),"")</f>
        <v/>
      </c>
    </row>
    <row r="257" spans="2:32">
      <c r="B257" s="2168">
        <f t="shared" si="20"/>
        <v>43</v>
      </c>
      <c r="F257" s="2152" t="str">
        <f>IFERROR(VLOOKUP($B257,F$109:$AG$208,F$107,FALSE),"")</f>
        <v/>
      </c>
      <c r="G257" s="2152" t="str">
        <f>IFERROR(VLOOKUP($B257,G$109:$AG$208,G$107,FALSE),"")</f>
        <v/>
      </c>
      <c r="H257" s="2152" t="str">
        <f>IFERROR(VLOOKUP($B257,H$109:$AG$208,H$107,FALSE),"")</f>
        <v/>
      </c>
      <c r="I257" s="2152" t="str">
        <f>IFERROR(VLOOKUP($B257,I$109:$AG$208,I$107,FALSE),"")</f>
        <v/>
      </c>
      <c r="J257" s="2152" t="str">
        <f>IFERROR(VLOOKUP($B257,J$109:$AG$208,J$107,FALSE),"")</f>
        <v/>
      </c>
      <c r="K257" s="2152" t="str">
        <f>IFERROR(VLOOKUP($B257,K$109:$AG$208,K$107,FALSE),"")</f>
        <v/>
      </c>
      <c r="L257" s="2152" t="str">
        <f>IFERROR(VLOOKUP($B257,L$109:$AG$208,L$107,FALSE),"")</f>
        <v/>
      </c>
      <c r="M257" s="2152" t="str">
        <f>IFERROR(VLOOKUP($B257,M$109:$AG$208,M$107,FALSE),"")</f>
        <v/>
      </c>
      <c r="N257" s="2152" t="str">
        <f>IFERROR(VLOOKUP($B257,N$109:$AG$208,N$107,FALSE),"")</f>
        <v/>
      </c>
      <c r="O257" s="2152" t="str">
        <f>IFERROR(VLOOKUP($B257,O$109:$AG$208,O$107,FALSE),"")</f>
        <v/>
      </c>
      <c r="P257" s="2152" t="str">
        <f>IFERROR(VLOOKUP($B257,P$109:$AG$208,P$107,FALSE),"")</f>
        <v/>
      </c>
      <c r="Q257" s="2152" t="str">
        <f>IFERROR(VLOOKUP($B257,Q$109:$AG$208,Q$107,FALSE),"")</f>
        <v/>
      </c>
      <c r="R257" s="2152" t="str">
        <f>IFERROR(VLOOKUP($B257,R$109:$AG$208,R$107,FALSE),"")</f>
        <v/>
      </c>
      <c r="S257" s="2152" t="str">
        <f>IFERROR(VLOOKUP($B257,S$109:$AG$208,S$107,FALSE),"")</f>
        <v/>
      </c>
      <c r="T257" s="2152" t="str">
        <f>IFERROR(VLOOKUP($B257,T$109:$AG$208,T$107,FALSE),"")</f>
        <v/>
      </c>
      <c r="U257" s="2152" t="str">
        <f>IFERROR(VLOOKUP($B257,U$109:$AG$208,U$107,FALSE),"")</f>
        <v/>
      </c>
      <c r="V257" s="2152" t="str">
        <f>IFERROR(VLOOKUP($B257,V$109:$AG$208,V$107,FALSE),"")</f>
        <v/>
      </c>
      <c r="W257" s="2152" t="str">
        <f>IFERROR(VLOOKUP($B257,W$109:$AG$208,W$107,FALSE),"")</f>
        <v/>
      </c>
      <c r="X257" s="2152" t="str">
        <f>IFERROR(VLOOKUP($B257,X$109:$AG$208,X$107,FALSE),"")</f>
        <v/>
      </c>
      <c r="Y257" s="2152" t="str">
        <f>IFERROR(VLOOKUP($B257,Y$109:$AG$208,Y$107,FALSE),"")</f>
        <v/>
      </c>
      <c r="Z257" s="2152" t="str">
        <f>IFERROR(VLOOKUP($B257,Z$109:$AG$208,Z$107,FALSE),"")</f>
        <v/>
      </c>
      <c r="AA257" s="2152" t="str">
        <f>IFERROR(VLOOKUP($B257,AA$109:$AG$208,AA$107,FALSE),"")</f>
        <v/>
      </c>
      <c r="AB257" s="2152" t="str">
        <f>IFERROR(VLOOKUP($B257,AB$109:$AG$208,AB$107,FALSE),"")</f>
        <v/>
      </c>
      <c r="AC257" s="2152" t="str">
        <f>IFERROR(VLOOKUP($B257,AC$109:$AG$208,AC$107,FALSE),"")</f>
        <v/>
      </c>
      <c r="AD257" s="2152" t="str">
        <f>IFERROR(VLOOKUP($B257,AD$109:$AG$208,AD$107,FALSE),"")</f>
        <v>Karate Zeon</v>
      </c>
      <c r="AE257" s="2152" t="str">
        <f>IFERROR(VLOOKUP($B257,AE$109:$AG$208,AE$107,FALSE),"")</f>
        <v/>
      </c>
      <c r="AF257" s="2152" t="str">
        <f>IFERROR(VLOOKUP($B257,AF$109:$AG$208,AF$107,FALSE),"")</f>
        <v/>
      </c>
    </row>
    <row r="258" spans="2:32">
      <c r="B258" s="2168">
        <f t="shared" si="20"/>
        <v>44</v>
      </c>
      <c r="F258" s="2152" t="str">
        <f>IFERROR(VLOOKUP($B258,F$109:$AG$208,F$107,FALSE),"")</f>
        <v/>
      </c>
      <c r="G258" s="2152" t="str">
        <f>IFERROR(VLOOKUP($B258,G$109:$AG$208,G$107,FALSE),"")</f>
        <v/>
      </c>
      <c r="H258" s="2152" t="str">
        <f>IFERROR(VLOOKUP($B258,H$109:$AG$208,H$107,FALSE),"")</f>
        <v/>
      </c>
      <c r="I258" s="2152" t="str">
        <f>IFERROR(VLOOKUP($B258,I$109:$AG$208,I$107,FALSE),"")</f>
        <v/>
      </c>
      <c r="J258" s="2152" t="str">
        <f>IFERROR(VLOOKUP($B258,J$109:$AG$208,J$107,FALSE),"")</f>
        <v/>
      </c>
      <c r="K258" s="2152" t="str">
        <f>IFERROR(VLOOKUP($B258,K$109:$AG$208,K$107,FALSE),"")</f>
        <v/>
      </c>
      <c r="L258" s="2152" t="str">
        <f>IFERROR(VLOOKUP($B258,L$109:$AG$208,L$107,FALSE),"")</f>
        <v/>
      </c>
      <c r="M258" s="2152" t="str">
        <f>IFERROR(VLOOKUP($B258,M$109:$AG$208,M$107,FALSE),"")</f>
        <v/>
      </c>
      <c r="N258" s="2152" t="str">
        <f>IFERROR(VLOOKUP($B258,N$109:$AG$208,N$107,FALSE),"")</f>
        <v/>
      </c>
      <c r="O258" s="2152" t="str">
        <f>IFERROR(VLOOKUP($B258,O$109:$AG$208,O$107,FALSE),"")</f>
        <v/>
      </c>
      <c r="P258" s="2152" t="str">
        <f>IFERROR(VLOOKUP($B258,P$109:$AG$208,P$107,FALSE),"")</f>
        <v/>
      </c>
      <c r="Q258" s="2152" t="str">
        <f>IFERROR(VLOOKUP($B258,Q$109:$AG$208,Q$107,FALSE),"")</f>
        <v/>
      </c>
      <c r="R258" s="2152" t="str">
        <f>IFERROR(VLOOKUP($B258,R$109:$AG$208,R$107,FALSE),"")</f>
        <v/>
      </c>
      <c r="S258" s="2152" t="str">
        <f>IFERROR(VLOOKUP($B258,S$109:$AG$208,S$107,FALSE),"")</f>
        <v/>
      </c>
      <c r="T258" s="2152" t="str">
        <f>IFERROR(VLOOKUP($B258,T$109:$AG$208,T$107,FALSE),"")</f>
        <v/>
      </c>
      <c r="U258" s="2152" t="str">
        <f>IFERROR(VLOOKUP($B258,U$109:$AG$208,U$107,FALSE),"")</f>
        <v/>
      </c>
      <c r="V258" s="2152" t="str">
        <f>IFERROR(VLOOKUP($B258,V$109:$AG$208,V$107,FALSE),"")</f>
        <v/>
      </c>
      <c r="W258" s="2152" t="str">
        <f>IFERROR(VLOOKUP($B258,W$109:$AG$208,W$107,FALSE),"")</f>
        <v/>
      </c>
      <c r="X258" s="2152" t="str">
        <f>IFERROR(VLOOKUP($B258,X$109:$AG$208,X$107,FALSE),"")</f>
        <v/>
      </c>
      <c r="Y258" s="2152" t="str">
        <f>IFERROR(VLOOKUP($B258,Y$109:$AG$208,Y$107,FALSE),"")</f>
        <v/>
      </c>
      <c r="Z258" s="2152" t="str">
        <f>IFERROR(VLOOKUP($B258,Z$109:$AG$208,Z$107,FALSE),"")</f>
        <v/>
      </c>
      <c r="AA258" s="2152" t="str">
        <f>IFERROR(VLOOKUP($B258,AA$109:$AG$208,AA$107,FALSE),"")</f>
        <v/>
      </c>
      <c r="AB258" s="2152" t="str">
        <f>IFERROR(VLOOKUP($B258,AB$109:$AG$208,AB$107,FALSE),"")</f>
        <v/>
      </c>
      <c r="AC258" s="2152" t="str">
        <f>IFERROR(VLOOKUP($B258,AC$109:$AG$208,AC$107,FALSE),"")</f>
        <v/>
      </c>
      <c r="AD258" s="2152" t="str">
        <f>IFERROR(VLOOKUP($B258,AD$109:$AG$208,AD$107,FALSE),"")</f>
        <v>Mais Banvel WG</v>
      </c>
      <c r="AE258" s="2152" t="str">
        <f>IFERROR(VLOOKUP($B258,AE$109:$AG$208,AE$107,FALSE),"")</f>
        <v/>
      </c>
      <c r="AF258" s="2152" t="str">
        <f>IFERROR(VLOOKUP($B258,AF$109:$AG$208,AF$107,FALSE),"")</f>
        <v/>
      </c>
    </row>
    <row r="259" spans="2:32">
      <c r="B259" s="2168">
        <f t="shared" si="20"/>
        <v>45</v>
      </c>
      <c r="F259" s="2152" t="str">
        <f>IFERROR(VLOOKUP($B259,F$109:$AG$208,F$107,FALSE),"")</f>
        <v/>
      </c>
      <c r="G259" s="2152" t="str">
        <f>IFERROR(VLOOKUP($B259,G$109:$AG$208,G$107,FALSE),"")</f>
        <v/>
      </c>
      <c r="H259" s="2152" t="str">
        <f>IFERROR(VLOOKUP($B259,H$109:$AG$208,H$107,FALSE),"")</f>
        <v/>
      </c>
      <c r="I259" s="2152" t="str">
        <f>IFERROR(VLOOKUP($B259,I$109:$AG$208,I$107,FALSE),"")</f>
        <v/>
      </c>
      <c r="J259" s="2152" t="str">
        <f>IFERROR(VLOOKUP($B259,J$109:$AG$208,J$107,FALSE),"")</f>
        <v/>
      </c>
      <c r="K259" s="2152" t="str">
        <f>IFERROR(VLOOKUP($B259,K$109:$AG$208,K$107,FALSE),"")</f>
        <v/>
      </c>
      <c r="L259" s="2152" t="str">
        <f>IFERROR(VLOOKUP($B259,L$109:$AG$208,L$107,FALSE),"")</f>
        <v/>
      </c>
      <c r="M259" s="2152" t="str">
        <f>IFERROR(VLOOKUP($B259,M$109:$AG$208,M$107,FALSE),"")</f>
        <v/>
      </c>
      <c r="N259" s="2152" t="str">
        <f>IFERROR(VLOOKUP($B259,N$109:$AG$208,N$107,FALSE),"")</f>
        <v/>
      </c>
      <c r="O259" s="2152" t="str">
        <f>IFERROR(VLOOKUP($B259,O$109:$AG$208,O$107,FALSE),"")</f>
        <v/>
      </c>
      <c r="P259" s="2152" t="str">
        <f>IFERROR(VLOOKUP($B259,P$109:$AG$208,P$107,FALSE),"")</f>
        <v/>
      </c>
      <c r="Q259" s="2152" t="str">
        <f>IFERROR(VLOOKUP($B259,Q$109:$AG$208,Q$107,FALSE),"")</f>
        <v/>
      </c>
      <c r="R259" s="2152" t="str">
        <f>IFERROR(VLOOKUP($B259,R$109:$AG$208,R$107,FALSE),"")</f>
        <v/>
      </c>
      <c r="S259" s="2152" t="str">
        <f>IFERROR(VLOOKUP($B259,S$109:$AG$208,S$107,FALSE),"")</f>
        <v/>
      </c>
      <c r="T259" s="2152" t="str">
        <f>IFERROR(VLOOKUP($B259,T$109:$AG$208,T$107,FALSE),"")</f>
        <v/>
      </c>
      <c r="U259" s="2152" t="str">
        <f>IFERROR(VLOOKUP($B259,U$109:$AG$208,U$107,FALSE),"")</f>
        <v/>
      </c>
      <c r="V259" s="2152" t="str">
        <f>IFERROR(VLOOKUP($B259,V$109:$AG$208,V$107,FALSE),"")</f>
        <v/>
      </c>
      <c r="W259" s="2152" t="str">
        <f>IFERROR(VLOOKUP($B259,W$109:$AG$208,W$107,FALSE),"")</f>
        <v/>
      </c>
      <c r="X259" s="2152" t="str">
        <f>IFERROR(VLOOKUP($B259,X$109:$AG$208,X$107,FALSE),"")</f>
        <v/>
      </c>
      <c r="Y259" s="2152" t="str">
        <f>IFERROR(VLOOKUP($B259,Y$109:$AG$208,Y$107,FALSE),"")</f>
        <v/>
      </c>
      <c r="Z259" s="2152" t="str">
        <f>IFERROR(VLOOKUP($B259,Z$109:$AG$208,Z$107,FALSE),"")</f>
        <v/>
      </c>
      <c r="AA259" s="2152" t="str">
        <f>IFERROR(VLOOKUP($B259,AA$109:$AG$208,AA$107,FALSE),"")</f>
        <v/>
      </c>
      <c r="AB259" s="2152" t="str">
        <f>IFERROR(VLOOKUP($B259,AB$109:$AG$208,AB$107,FALSE),"")</f>
        <v/>
      </c>
      <c r="AC259" s="2152" t="str">
        <f>IFERROR(VLOOKUP($B259,AC$109:$AG$208,AC$107,FALSE),"")</f>
        <v/>
      </c>
      <c r="AD259" s="2152" t="str">
        <f>IFERROR(VLOOKUP($B259,AD$109:$AG$208,AD$107,FALSE),"")</f>
        <v>MaisTer Power</v>
      </c>
      <c r="AE259" s="2152" t="str">
        <f>IFERROR(VLOOKUP($B259,AE$109:$AG$208,AE$107,FALSE),"")</f>
        <v/>
      </c>
      <c r="AF259" s="2152" t="str">
        <f>IFERROR(VLOOKUP($B259,AF$109:$AG$208,AF$107,FALSE),"")</f>
        <v/>
      </c>
    </row>
    <row r="260" spans="2:32">
      <c r="B260" s="2168">
        <f t="shared" si="20"/>
        <v>46</v>
      </c>
      <c r="F260" s="2152" t="str">
        <f>IFERROR(VLOOKUP($B260,F$109:$AG$208,F$107,FALSE),"")</f>
        <v/>
      </c>
      <c r="G260" s="2152" t="str">
        <f>IFERROR(VLOOKUP($B260,G$109:$AG$208,G$107,FALSE),"")</f>
        <v/>
      </c>
      <c r="H260" s="2152" t="str">
        <f>IFERROR(VLOOKUP($B260,H$109:$AG$208,H$107,FALSE),"")</f>
        <v/>
      </c>
      <c r="I260" s="2152" t="str">
        <f>IFERROR(VLOOKUP($B260,I$109:$AG$208,I$107,FALSE),"")</f>
        <v/>
      </c>
      <c r="J260" s="2152" t="str">
        <f>IFERROR(VLOOKUP($B260,J$109:$AG$208,J$107,FALSE),"")</f>
        <v/>
      </c>
      <c r="K260" s="2152" t="str">
        <f>IFERROR(VLOOKUP($B260,K$109:$AG$208,K$107,FALSE),"")</f>
        <v/>
      </c>
      <c r="L260" s="2152" t="str">
        <f>IFERROR(VLOOKUP($B260,L$109:$AG$208,L$107,FALSE),"")</f>
        <v/>
      </c>
      <c r="M260" s="2152" t="str">
        <f>IFERROR(VLOOKUP($B260,M$109:$AG$208,M$107,FALSE),"")</f>
        <v/>
      </c>
      <c r="N260" s="2152" t="str">
        <f>IFERROR(VLOOKUP($B260,N$109:$AG$208,N$107,FALSE),"")</f>
        <v/>
      </c>
      <c r="O260" s="2152" t="str">
        <f>IFERROR(VLOOKUP($B260,O$109:$AG$208,O$107,FALSE),"")</f>
        <v/>
      </c>
      <c r="P260" s="2152" t="str">
        <f>IFERROR(VLOOKUP($B260,P$109:$AG$208,P$107,FALSE),"")</f>
        <v/>
      </c>
      <c r="Q260" s="2152" t="str">
        <f>IFERROR(VLOOKUP($B260,Q$109:$AG$208,Q$107,FALSE),"")</f>
        <v/>
      </c>
      <c r="R260" s="2152" t="str">
        <f>IFERROR(VLOOKUP($B260,R$109:$AG$208,R$107,FALSE),"")</f>
        <v/>
      </c>
      <c r="S260" s="2152" t="str">
        <f>IFERROR(VLOOKUP($B260,S$109:$AG$208,S$107,FALSE),"")</f>
        <v/>
      </c>
      <c r="T260" s="2152" t="str">
        <f>IFERROR(VLOOKUP($B260,T$109:$AG$208,T$107,FALSE),"")</f>
        <v/>
      </c>
      <c r="U260" s="2152" t="str">
        <f>IFERROR(VLOOKUP($B260,U$109:$AG$208,U$107,FALSE),"")</f>
        <v/>
      </c>
      <c r="V260" s="2152" t="str">
        <f>IFERROR(VLOOKUP($B260,V$109:$AG$208,V$107,FALSE),"")</f>
        <v/>
      </c>
      <c r="W260" s="2152" t="str">
        <f>IFERROR(VLOOKUP($B260,W$109:$AG$208,W$107,FALSE),"")</f>
        <v/>
      </c>
      <c r="X260" s="2152" t="str">
        <f>IFERROR(VLOOKUP($B260,X$109:$AG$208,X$107,FALSE),"")</f>
        <v/>
      </c>
      <c r="Y260" s="2152" t="str">
        <f>IFERROR(VLOOKUP($B260,Y$109:$AG$208,Y$107,FALSE),"")</f>
        <v/>
      </c>
      <c r="Z260" s="2152" t="str">
        <f>IFERROR(VLOOKUP($B260,Z$109:$AG$208,Z$107,FALSE),"")</f>
        <v/>
      </c>
      <c r="AA260" s="2152" t="str">
        <f>IFERROR(VLOOKUP($B260,AA$109:$AG$208,AA$107,FALSE),"")</f>
        <v/>
      </c>
      <c r="AB260" s="2152" t="str">
        <f>IFERROR(VLOOKUP($B260,AB$109:$AG$208,AB$107,FALSE),"")</f>
        <v/>
      </c>
      <c r="AC260" s="2152" t="str">
        <f>IFERROR(VLOOKUP($B260,AC$109:$AG$208,AC$107,FALSE),"")</f>
        <v/>
      </c>
      <c r="AD260" s="2152" t="str">
        <f>IFERROR(VLOOKUP($B260,AD$109:$AG$208,AD$107,FALSE),"")</f>
        <v>Malibu</v>
      </c>
      <c r="AE260" s="2152" t="str">
        <f>IFERROR(VLOOKUP($B260,AE$109:$AG$208,AE$107,FALSE),"")</f>
        <v/>
      </c>
      <c r="AF260" s="2152" t="str">
        <f>IFERROR(VLOOKUP($B260,AF$109:$AG$208,AF$107,FALSE),"")</f>
        <v/>
      </c>
    </row>
    <row r="261" spans="2:32">
      <c r="B261" s="2168">
        <f t="shared" si="20"/>
        <v>47</v>
      </c>
      <c r="F261" s="2152" t="str">
        <f>IFERROR(VLOOKUP($B261,F$109:$AG$208,F$107,FALSE),"")</f>
        <v/>
      </c>
      <c r="G261" s="2152" t="str">
        <f>IFERROR(VLOOKUP($B261,G$109:$AG$208,G$107,FALSE),"")</f>
        <v/>
      </c>
      <c r="H261" s="2152" t="str">
        <f>IFERROR(VLOOKUP($B261,H$109:$AG$208,H$107,FALSE),"")</f>
        <v/>
      </c>
      <c r="I261" s="2152" t="str">
        <f>IFERROR(VLOOKUP($B261,I$109:$AG$208,I$107,FALSE),"")</f>
        <v/>
      </c>
      <c r="J261" s="2152" t="str">
        <f>IFERROR(VLOOKUP($B261,J$109:$AG$208,J$107,FALSE),"")</f>
        <v/>
      </c>
      <c r="K261" s="2152" t="str">
        <f>IFERROR(VLOOKUP($B261,K$109:$AG$208,K$107,FALSE),"")</f>
        <v/>
      </c>
      <c r="L261" s="2152" t="str">
        <f>IFERROR(VLOOKUP($B261,L$109:$AG$208,L$107,FALSE),"")</f>
        <v/>
      </c>
      <c r="M261" s="2152" t="str">
        <f>IFERROR(VLOOKUP($B261,M$109:$AG$208,M$107,FALSE),"")</f>
        <v/>
      </c>
      <c r="N261" s="2152" t="str">
        <f>IFERROR(VLOOKUP($B261,N$109:$AG$208,N$107,FALSE),"")</f>
        <v/>
      </c>
      <c r="O261" s="2152" t="str">
        <f>IFERROR(VLOOKUP($B261,O$109:$AG$208,O$107,FALSE),"")</f>
        <v/>
      </c>
      <c r="P261" s="2152" t="str">
        <f>IFERROR(VLOOKUP($B261,P$109:$AG$208,P$107,FALSE),"")</f>
        <v/>
      </c>
      <c r="Q261" s="2152" t="str">
        <f>IFERROR(VLOOKUP($B261,Q$109:$AG$208,Q$107,FALSE),"")</f>
        <v/>
      </c>
      <c r="R261" s="2152" t="str">
        <f>IFERROR(VLOOKUP($B261,R$109:$AG$208,R$107,FALSE),"")</f>
        <v/>
      </c>
      <c r="S261" s="2152" t="str">
        <f>IFERROR(VLOOKUP($B261,S$109:$AG$208,S$107,FALSE),"")</f>
        <v/>
      </c>
      <c r="T261" s="2152" t="str">
        <f>IFERROR(VLOOKUP($B261,T$109:$AG$208,T$107,FALSE),"")</f>
        <v/>
      </c>
      <c r="U261" s="2152" t="str">
        <f>IFERROR(VLOOKUP($B261,U$109:$AG$208,U$107,FALSE),"")</f>
        <v/>
      </c>
      <c r="V261" s="2152" t="str">
        <f>IFERROR(VLOOKUP($B261,V$109:$AG$208,V$107,FALSE),"")</f>
        <v/>
      </c>
      <c r="W261" s="2152" t="str">
        <f>IFERROR(VLOOKUP($B261,W$109:$AG$208,W$107,FALSE),"")</f>
        <v/>
      </c>
      <c r="X261" s="2152" t="str">
        <f>IFERROR(VLOOKUP($B261,X$109:$AG$208,X$107,FALSE),"")</f>
        <v/>
      </c>
      <c r="Y261" s="2152" t="str">
        <f>IFERROR(VLOOKUP($B261,Y$109:$AG$208,Y$107,FALSE),"")</f>
        <v/>
      </c>
      <c r="Z261" s="2152" t="str">
        <f>IFERROR(VLOOKUP($B261,Z$109:$AG$208,Z$107,FALSE),"")</f>
        <v/>
      </c>
      <c r="AA261" s="2152" t="str">
        <f>IFERROR(VLOOKUP($B261,AA$109:$AG$208,AA$107,FALSE),"")</f>
        <v/>
      </c>
      <c r="AB261" s="2152" t="str">
        <f>IFERROR(VLOOKUP($B261,AB$109:$AG$208,AB$107,FALSE),"")</f>
        <v/>
      </c>
      <c r="AC261" s="2152" t="str">
        <f>IFERROR(VLOOKUP($B261,AC$109:$AG$208,AC$107,FALSE),"")</f>
        <v/>
      </c>
      <c r="AD261" s="2152" t="str">
        <f>IFERROR(VLOOKUP($B261,AD$109:$AG$208,AD$107,FALSE),"")</f>
        <v>Moddus</v>
      </c>
      <c r="AE261" s="2152" t="str">
        <f>IFERROR(VLOOKUP($B261,AE$109:$AG$208,AE$107,FALSE),"")</f>
        <v/>
      </c>
      <c r="AF261" s="2152" t="str">
        <f>IFERROR(VLOOKUP($B261,AF$109:$AG$208,AF$107,FALSE),"")</f>
        <v/>
      </c>
    </row>
    <row r="262" spans="2:32">
      <c r="B262" s="2168">
        <f t="shared" si="20"/>
        <v>48</v>
      </c>
      <c r="F262" s="2152" t="str">
        <f>IFERROR(VLOOKUP($B262,F$109:$AG$208,F$107,FALSE),"")</f>
        <v/>
      </c>
      <c r="G262" s="2152" t="str">
        <f>IFERROR(VLOOKUP($B262,G$109:$AG$208,G$107,FALSE),"")</f>
        <v/>
      </c>
      <c r="H262" s="2152" t="str">
        <f>IFERROR(VLOOKUP($B262,H$109:$AG$208,H$107,FALSE),"")</f>
        <v/>
      </c>
      <c r="I262" s="2152" t="str">
        <f>IFERROR(VLOOKUP($B262,I$109:$AG$208,I$107,FALSE),"")</f>
        <v/>
      </c>
      <c r="J262" s="2152" t="str">
        <f>IFERROR(VLOOKUP($B262,J$109:$AG$208,J$107,FALSE),"")</f>
        <v/>
      </c>
      <c r="K262" s="2152" t="str">
        <f>IFERROR(VLOOKUP($B262,K$109:$AG$208,K$107,FALSE),"")</f>
        <v/>
      </c>
      <c r="L262" s="2152" t="str">
        <f>IFERROR(VLOOKUP($B262,L$109:$AG$208,L$107,FALSE),"")</f>
        <v/>
      </c>
      <c r="M262" s="2152" t="str">
        <f>IFERROR(VLOOKUP($B262,M$109:$AG$208,M$107,FALSE),"")</f>
        <v/>
      </c>
      <c r="N262" s="2152" t="str">
        <f>IFERROR(VLOOKUP($B262,N$109:$AG$208,N$107,FALSE),"")</f>
        <v/>
      </c>
      <c r="O262" s="2152" t="str">
        <f>IFERROR(VLOOKUP($B262,O$109:$AG$208,O$107,FALSE),"")</f>
        <v/>
      </c>
      <c r="P262" s="2152" t="str">
        <f>IFERROR(VLOOKUP($B262,P$109:$AG$208,P$107,FALSE),"")</f>
        <v/>
      </c>
      <c r="Q262" s="2152" t="str">
        <f>IFERROR(VLOOKUP($B262,Q$109:$AG$208,Q$107,FALSE),"")</f>
        <v/>
      </c>
      <c r="R262" s="2152" t="str">
        <f>IFERROR(VLOOKUP($B262,R$109:$AG$208,R$107,FALSE),"")</f>
        <v/>
      </c>
      <c r="S262" s="2152" t="str">
        <f>IFERROR(VLOOKUP($B262,S$109:$AG$208,S$107,FALSE),"")</f>
        <v/>
      </c>
      <c r="T262" s="2152" t="str">
        <f>IFERROR(VLOOKUP($B262,T$109:$AG$208,T$107,FALSE),"")</f>
        <v/>
      </c>
      <c r="U262" s="2152" t="str">
        <f>IFERROR(VLOOKUP($B262,U$109:$AG$208,U$107,FALSE),"")</f>
        <v/>
      </c>
      <c r="V262" s="2152" t="str">
        <f>IFERROR(VLOOKUP($B262,V$109:$AG$208,V$107,FALSE),"")</f>
        <v/>
      </c>
      <c r="W262" s="2152" t="str">
        <f>IFERROR(VLOOKUP($B262,W$109:$AG$208,W$107,FALSE),"")</f>
        <v/>
      </c>
      <c r="X262" s="2152" t="str">
        <f>IFERROR(VLOOKUP($B262,X$109:$AG$208,X$107,FALSE),"")</f>
        <v/>
      </c>
      <c r="Y262" s="2152" t="str">
        <f>IFERROR(VLOOKUP($B262,Y$109:$AG$208,Y$107,FALSE),"")</f>
        <v/>
      </c>
      <c r="Z262" s="2152" t="str">
        <f>IFERROR(VLOOKUP($B262,Z$109:$AG$208,Z$107,FALSE),"")</f>
        <v/>
      </c>
      <c r="AA262" s="2152" t="str">
        <f>IFERROR(VLOOKUP($B262,AA$109:$AG$208,AA$107,FALSE),"")</f>
        <v/>
      </c>
      <c r="AB262" s="2152" t="str">
        <f>IFERROR(VLOOKUP($B262,AB$109:$AG$208,AB$107,FALSE),"")</f>
        <v/>
      </c>
      <c r="AC262" s="2152" t="str">
        <f>IFERROR(VLOOKUP($B262,AC$109:$AG$208,AC$107,FALSE),"")</f>
        <v/>
      </c>
      <c r="AD262" s="2152" t="str">
        <f>IFERROR(VLOOKUP($B262,AD$109:$AG$208,AD$107,FALSE),"")</f>
        <v>Ortiva</v>
      </c>
      <c r="AE262" s="2152" t="str">
        <f>IFERROR(VLOOKUP($B262,AE$109:$AG$208,AE$107,FALSE),"")</f>
        <v/>
      </c>
      <c r="AF262" s="2152" t="str">
        <f>IFERROR(VLOOKUP($B262,AF$109:$AG$208,AF$107,FALSE),"")</f>
        <v/>
      </c>
    </row>
    <row r="263" spans="2:32">
      <c r="B263" s="2168">
        <f t="shared" si="20"/>
        <v>49</v>
      </c>
      <c r="F263" s="2152" t="str">
        <f>IFERROR(VLOOKUP($B263,F$109:$AG$208,F$107,FALSE),"")</f>
        <v/>
      </c>
      <c r="G263" s="2152" t="str">
        <f>IFERROR(VLOOKUP($B263,G$109:$AG$208,G$107,FALSE),"")</f>
        <v/>
      </c>
      <c r="H263" s="2152" t="str">
        <f>IFERROR(VLOOKUP($B263,H$109:$AG$208,H$107,FALSE),"")</f>
        <v/>
      </c>
      <c r="I263" s="2152" t="str">
        <f>IFERROR(VLOOKUP($B263,I$109:$AG$208,I$107,FALSE),"")</f>
        <v/>
      </c>
      <c r="J263" s="2152" t="str">
        <f>IFERROR(VLOOKUP($B263,J$109:$AG$208,J$107,FALSE),"")</f>
        <v/>
      </c>
      <c r="K263" s="2152" t="str">
        <f>IFERROR(VLOOKUP($B263,K$109:$AG$208,K$107,FALSE),"")</f>
        <v/>
      </c>
      <c r="L263" s="2152" t="str">
        <f>IFERROR(VLOOKUP($B263,L$109:$AG$208,L$107,FALSE),"")</f>
        <v/>
      </c>
      <c r="M263" s="2152" t="str">
        <f>IFERROR(VLOOKUP($B263,M$109:$AG$208,M$107,FALSE),"")</f>
        <v/>
      </c>
      <c r="N263" s="2152" t="str">
        <f>IFERROR(VLOOKUP($B263,N$109:$AG$208,N$107,FALSE),"")</f>
        <v/>
      </c>
      <c r="O263" s="2152" t="str">
        <f>IFERROR(VLOOKUP($B263,O$109:$AG$208,O$107,FALSE),"")</f>
        <v/>
      </c>
      <c r="P263" s="2152" t="str">
        <f>IFERROR(VLOOKUP($B263,P$109:$AG$208,P$107,FALSE),"")</f>
        <v/>
      </c>
      <c r="Q263" s="2152" t="str">
        <f>IFERROR(VLOOKUP($B263,Q$109:$AG$208,Q$107,FALSE),"")</f>
        <v/>
      </c>
      <c r="R263" s="2152" t="str">
        <f>IFERROR(VLOOKUP($B263,R$109:$AG$208,R$107,FALSE),"")</f>
        <v/>
      </c>
      <c r="S263" s="2152" t="str">
        <f>IFERROR(VLOOKUP($B263,S$109:$AG$208,S$107,FALSE),"")</f>
        <v/>
      </c>
      <c r="T263" s="2152" t="str">
        <f>IFERROR(VLOOKUP($B263,T$109:$AG$208,T$107,FALSE),"")</f>
        <v/>
      </c>
      <c r="U263" s="2152" t="str">
        <f>IFERROR(VLOOKUP($B263,U$109:$AG$208,U$107,FALSE),"")</f>
        <v/>
      </c>
      <c r="V263" s="2152" t="str">
        <f>IFERROR(VLOOKUP($B263,V$109:$AG$208,V$107,FALSE),"")</f>
        <v/>
      </c>
      <c r="W263" s="2152" t="str">
        <f>IFERROR(VLOOKUP($B263,W$109:$AG$208,W$107,FALSE),"")</f>
        <v/>
      </c>
      <c r="X263" s="2152" t="str">
        <f>IFERROR(VLOOKUP($B263,X$109:$AG$208,X$107,FALSE),"")</f>
        <v/>
      </c>
      <c r="Y263" s="2152" t="str">
        <f>IFERROR(VLOOKUP($B263,Y$109:$AG$208,Y$107,FALSE),"")</f>
        <v/>
      </c>
      <c r="Z263" s="2152" t="str">
        <f>IFERROR(VLOOKUP($B263,Z$109:$AG$208,Z$107,FALSE),"")</f>
        <v/>
      </c>
      <c r="AA263" s="2152" t="str">
        <f>IFERROR(VLOOKUP($B263,AA$109:$AG$208,AA$107,FALSE),"")</f>
        <v/>
      </c>
      <c r="AB263" s="2152" t="str">
        <f>IFERROR(VLOOKUP($B263,AB$109:$AG$208,AB$107,FALSE),"")</f>
        <v/>
      </c>
      <c r="AC263" s="2152" t="str">
        <f>IFERROR(VLOOKUP($B263,AC$109:$AG$208,AC$107,FALSE),"")</f>
        <v/>
      </c>
      <c r="AD263" s="2152" t="str">
        <f>IFERROR(VLOOKUP($B263,AD$109:$AG$208,AD$107,FALSE),"")</f>
        <v>Mospilan SG</v>
      </c>
      <c r="AE263" s="2152" t="str">
        <f>IFERROR(VLOOKUP($B263,AE$109:$AG$208,AE$107,FALSE),"")</f>
        <v/>
      </c>
      <c r="AF263" s="2152" t="str">
        <f>IFERROR(VLOOKUP($B263,AF$109:$AG$208,AF$107,FALSE),"")</f>
        <v/>
      </c>
    </row>
    <row r="264" spans="2:32">
      <c r="B264" s="2168">
        <f t="shared" si="20"/>
        <v>50</v>
      </c>
      <c r="F264" s="2152" t="str">
        <f>IFERROR(VLOOKUP($B264,F$109:$AG$208,F$107,FALSE),"")</f>
        <v/>
      </c>
      <c r="G264" s="2152" t="str">
        <f>IFERROR(VLOOKUP($B264,G$109:$AG$208,G$107,FALSE),"")</f>
        <v/>
      </c>
      <c r="H264" s="2152" t="str">
        <f>IFERROR(VLOOKUP($B264,H$109:$AG$208,H$107,FALSE),"")</f>
        <v/>
      </c>
      <c r="I264" s="2152" t="str">
        <f>IFERROR(VLOOKUP($B264,I$109:$AG$208,I$107,FALSE),"")</f>
        <v/>
      </c>
      <c r="J264" s="2152" t="str">
        <f>IFERROR(VLOOKUP($B264,J$109:$AG$208,J$107,FALSE),"")</f>
        <v/>
      </c>
      <c r="K264" s="2152" t="str">
        <f>IFERROR(VLOOKUP($B264,K$109:$AG$208,K$107,FALSE),"")</f>
        <v/>
      </c>
      <c r="L264" s="2152" t="str">
        <f>IFERROR(VLOOKUP($B264,L$109:$AG$208,L$107,FALSE),"")</f>
        <v/>
      </c>
      <c r="M264" s="2152" t="str">
        <f>IFERROR(VLOOKUP($B264,M$109:$AG$208,M$107,FALSE),"")</f>
        <v/>
      </c>
      <c r="N264" s="2152" t="str">
        <f>IFERROR(VLOOKUP($B264,N$109:$AG$208,N$107,FALSE),"")</f>
        <v/>
      </c>
      <c r="O264" s="2152" t="str">
        <f>IFERROR(VLOOKUP($B264,O$109:$AG$208,O$107,FALSE),"")</f>
        <v/>
      </c>
      <c r="P264" s="2152" t="str">
        <f>IFERROR(VLOOKUP($B264,P$109:$AG$208,P$107,FALSE),"")</f>
        <v/>
      </c>
      <c r="Q264" s="2152" t="str">
        <f>IFERROR(VLOOKUP($B264,Q$109:$AG$208,Q$107,FALSE),"")</f>
        <v/>
      </c>
      <c r="R264" s="2152" t="str">
        <f>IFERROR(VLOOKUP($B264,R$109:$AG$208,R$107,FALSE),"")</f>
        <v/>
      </c>
      <c r="S264" s="2152" t="str">
        <f>IFERROR(VLOOKUP($B264,S$109:$AG$208,S$107,FALSE),"")</f>
        <v/>
      </c>
      <c r="T264" s="2152" t="str">
        <f>IFERROR(VLOOKUP($B264,T$109:$AG$208,T$107,FALSE),"")</f>
        <v/>
      </c>
      <c r="U264" s="2152" t="str">
        <f>IFERROR(VLOOKUP($B264,U$109:$AG$208,U$107,FALSE),"")</f>
        <v/>
      </c>
      <c r="V264" s="2152" t="str">
        <f>IFERROR(VLOOKUP($B264,V$109:$AG$208,V$107,FALSE),"")</f>
        <v/>
      </c>
      <c r="W264" s="2152" t="str">
        <f>IFERROR(VLOOKUP($B264,W$109:$AG$208,W$107,FALSE),"")</f>
        <v/>
      </c>
      <c r="X264" s="2152" t="str">
        <f>IFERROR(VLOOKUP($B264,X$109:$AG$208,X$107,FALSE),"")</f>
        <v/>
      </c>
      <c r="Y264" s="2152" t="str">
        <f>IFERROR(VLOOKUP($B264,Y$109:$AG$208,Y$107,FALSE),"")</f>
        <v/>
      </c>
      <c r="Z264" s="2152" t="str">
        <f>IFERROR(VLOOKUP($B264,Z$109:$AG$208,Z$107,FALSE),"")</f>
        <v/>
      </c>
      <c r="AA264" s="2152" t="str">
        <f>IFERROR(VLOOKUP($B264,AA$109:$AG$208,AA$107,FALSE),"")</f>
        <v/>
      </c>
      <c r="AB264" s="2152" t="str">
        <f>IFERROR(VLOOKUP($B264,AB$109:$AG$208,AB$107,FALSE),"")</f>
        <v/>
      </c>
      <c r="AC264" s="2152" t="str">
        <f>IFERROR(VLOOKUP($B264,AC$109:$AG$208,AC$107,FALSE),"")</f>
        <v/>
      </c>
      <c r="AD264" s="2152" t="str">
        <f>IFERROR(VLOOKUP($B264,AD$109:$AG$208,AD$107,FALSE),"")</f>
        <v>Pointer Plus</v>
      </c>
      <c r="AE264" s="2152" t="str">
        <f>IFERROR(VLOOKUP($B264,AE$109:$AG$208,AE$107,FALSE),"")</f>
        <v/>
      </c>
      <c r="AF264" s="2152" t="str">
        <f>IFERROR(VLOOKUP($B264,AF$109:$AG$208,AF$107,FALSE),"")</f>
        <v/>
      </c>
    </row>
    <row r="265" spans="2:32">
      <c r="B265" s="2168">
        <f t="shared" si="20"/>
        <v>51</v>
      </c>
      <c r="F265" s="2152" t="str">
        <f>IFERROR(VLOOKUP($B265,F$109:$AG$208,F$107,FALSE),"")</f>
        <v/>
      </c>
      <c r="G265" s="2152" t="str">
        <f>IFERROR(VLOOKUP($B265,G$109:$AG$208,G$107,FALSE),"")</f>
        <v/>
      </c>
      <c r="H265" s="2152" t="str">
        <f>IFERROR(VLOOKUP($B265,H$109:$AG$208,H$107,FALSE),"")</f>
        <v/>
      </c>
      <c r="I265" s="2152" t="str">
        <f>IFERROR(VLOOKUP($B265,I$109:$AG$208,I$107,FALSE),"")</f>
        <v/>
      </c>
      <c r="J265" s="2152" t="str">
        <f>IFERROR(VLOOKUP($B265,J$109:$AG$208,J$107,FALSE),"")</f>
        <v/>
      </c>
      <c r="K265" s="2152" t="str">
        <f>IFERROR(VLOOKUP($B265,K$109:$AG$208,K$107,FALSE),"")</f>
        <v/>
      </c>
      <c r="L265" s="2152" t="str">
        <f>IFERROR(VLOOKUP($B265,L$109:$AG$208,L$107,FALSE),"")</f>
        <v/>
      </c>
      <c r="M265" s="2152" t="str">
        <f>IFERROR(VLOOKUP($B265,M$109:$AG$208,M$107,FALSE),"")</f>
        <v/>
      </c>
      <c r="N265" s="2152" t="str">
        <f>IFERROR(VLOOKUP($B265,N$109:$AG$208,N$107,FALSE),"")</f>
        <v/>
      </c>
      <c r="O265" s="2152" t="str">
        <f>IFERROR(VLOOKUP($B265,O$109:$AG$208,O$107,FALSE),"")</f>
        <v/>
      </c>
      <c r="P265" s="2152" t="str">
        <f>IFERROR(VLOOKUP($B265,P$109:$AG$208,P$107,FALSE),"")</f>
        <v/>
      </c>
      <c r="Q265" s="2152" t="str">
        <f>IFERROR(VLOOKUP($B265,Q$109:$AG$208,Q$107,FALSE),"")</f>
        <v/>
      </c>
      <c r="R265" s="2152" t="str">
        <f>IFERROR(VLOOKUP($B265,R$109:$AG$208,R$107,FALSE),"")</f>
        <v/>
      </c>
      <c r="S265" s="2152" t="str">
        <f>IFERROR(VLOOKUP($B265,S$109:$AG$208,S$107,FALSE),"")</f>
        <v/>
      </c>
      <c r="T265" s="2152" t="str">
        <f>IFERROR(VLOOKUP($B265,T$109:$AG$208,T$107,FALSE),"")</f>
        <v/>
      </c>
      <c r="U265" s="2152" t="str">
        <f>IFERROR(VLOOKUP($B265,U$109:$AG$208,U$107,FALSE),"")</f>
        <v/>
      </c>
      <c r="V265" s="2152" t="str">
        <f>IFERROR(VLOOKUP($B265,V$109:$AG$208,V$107,FALSE),"")</f>
        <v/>
      </c>
      <c r="W265" s="2152" t="str">
        <f>IFERROR(VLOOKUP($B265,W$109:$AG$208,W$107,FALSE),"")</f>
        <v/>
      </c>
      <c r="X265" s="2152" t="str">
        <f>IFERROR(VLOOKUP($B265,X$109:$AG$208,X$107,FALSE),"")</f>
        <v/>
      </c>
      <c r="Y265" s="2152" t="str">
        <f>IFERROR(VLOOKUP($B265,Y$109:$AG$208,Y$107,FALSE),"")</f>
        <v/>
      </c>
      <c r="Z265" s="2152" t="str">
        <f>IFERROR(VLOOKUP($B265,Z$109:$AG$208,Z$107,FALSE),"")</f>
        <v/>
      </c>
      <c r="AA265" s="2152" t="str">
        <f>IFERROR(VLOOKUP($B265,AA$109:$AG$208,AA$107,FALSE),"")</f>
        <v/>
      </c>
      <c r="AB265" s="2152" t="str">
        <f>IFERROR(VLOOKUP($B265,AB$109:$AG$208,AB$107,FALSE),"")</f>
        <v/>
      </c>
      <c r="AC265" s="2152" t="str">
        <f>IFERROR(VLOOKUP($B265,AC$109:$AG$208,AC$107,FALSE),"")</f>
        <v/>
      </c>
      <c r="AD265" s="2152" t="str">
        <f>IFERROR(VLOOKUP($B265,AD$109:$AG$208,AD$107,FALSE),"")</f>
        <v>Polyram WG</v>
      </c>
      <c r="AE265" s="2152" t="str">
        <f>IFERROR(VLOOKUP($B265,AE$109:$AG$208,AE$107,FALSE),"")</f>
        <v/>
      </c>
      <c r="AF265" s="2152" t="str">
        <f>IFERROR(VLOOKUP($B265,AF$109:$AG$208,AF$107,FALSE),"")</f>
        <v/>
      </c>
    </row>
    <row r="266" spans="2:32">
      <c r="B266" s="2168">
        <f t="shared" si="20"/>
        <v>52</v>
      </c>
      <c r="F266" s="2152" t="str">
        <f>IFERROR(VLOOKUP($B266,F$109:$AG$208,F$107,FALSE),"")</f>
        <v/>
      </c>
      <c r="G266" s="2152" t="str">
        <f>IFERROR(VLOOKUP($B266,G$109:$AG$208,G$107,FALSE),"")</f>
        <v/>
      </c>
      <c r="H266" s="2152" t="str">
        <f>IFERROR(VLOOKUP($B266,H$109:$AG$208,H$107,FALSE),"")</f>
        <v/>
      </c>
      <c r="I266" s="2152" t="str">
        <f>IFERROR(VLOOKUP($B266,I$109:$AG$208,I$107,FALSE),"")</f>
        <v/>
      </c>
      <c r="J266" s="2152" t="str">
        <f>IFERROR(VLOOKUP($B266,J$109:$AG$208,J$107,FALSE),"")</f>
        <v/>
      </c>
      <c r="K266" s="2152" t="str">
        <f>IFERROR(VLOOKUP($B266,K$109:$AG$208,K$107,FALSE),"")</f>
        <v/>
      </c>
      <c r="L266" s="2152" t="str">
        <f>IFERROR(VLOOKUP($B266,L$109:$AG$208,L$107,FALSE),"")</f>
        <v/>
      </c>
      <c r="M266" s="2152" t="str">
        <f>IFERROR(VLOOKUP($B266,M$109:$AG$208,M$107,FALSE),"")</f>
        <v/>
      </c>
      <c r="N266" s="2152" t="str">
        <f>IFERROR(VLOOKUP($B266,N$109:$AG$208,N$107,FALSE),"")</f>
        <v/>
      </c>
      <c r="O266" s="2152" t="str">
        <f>IFERROR(VLOOKUP($B266,O$109:$AG$208,O$107,FALSE),"")</f>
        <v/>
      </c>
      <c r="P266" s="2152" t="str">
        <f>IFERROR(VLOOKUP($B266,P$109:$AG$208,P$107,FALSE),"")</f>
        <v/>
      </c>
      <c r="Q266" s="2152" t="str">
        <f>IFERROR(VLOOKUP($B266,Q$109:$AG$208,Q$107,FALSE),"")</f>
        <v/>
      </c>
      <c r="R266" s="2152" t="str">
        <f>IFERROR(VLOOKUP($B266,R$109:$AG$208,R$107,FALSE),"")</f>
        <v/>
      </c>
      <c r="S266" s="2152" t="str">
        <f>IFERROR(VLOOKUP($B266,S$109:$AG$208,S$107,FALSE),"")</f>
        <v/>
      </c>
      <c r="T266" s="2152" t="str">
        <f>IFERROR(VLOOKUP($B266,T$109:$AG$208,T$107,FALSE),"")</f>
        <v/>
      </c>
      <c r="U266" s="2152" t="str">
        <f>IFERROR(VLOOKUP($B266,U$109:$AG$208,U$107,FALSE),"")</f>
        <v/>
      </c>
      <c r="V266" s="2152" t="str">
        <f>IFERROR(VLOOKUP($B266,V$109:$AG$208,V$107,FALSE),"")</f>
        <v/>
      </c>
      <c r="W266" s="2152" t="str">
        <f>IFERROR(VLOOKUP($B266,W$109:$AG$208,W$107,FALSE),"")</f>
        <v/>
      </c>
      <c r="X266" s="2152" t="str">
        <f>IFERROR(VLOOKUP($B266,X$109:$AG$208,X$107,FALSE),"")</f>
        <v/>
      </c>
      <c r="Y266" s="2152" t="str">
        <f>IFERROR(VLOOKUP($B266,Y$109:$AG$208,Y$107,FALSE),"")</f>
        <v/>
      </c>
      <c r="Z266" s="2152" t="str">
        <f>IFERROR(VLOOKUP($B266,Z$109:$AG$208,Z$107,FALSE),"")</f>
        <v/>
      </c>
      <c r="AA266" s="2152" t="str">
        <f>IFERROR(VLOOKUP($B266,AA$109:$AG$208,AA$107,FALSE),"")</f>
        <v/>
      </c>
      <c r="AB266" s="2152" t="str">
        <f>IFERROR(VLOOKUP($B266,AB$109:$AG$208,AB$107,FALSE),"")</f>
        <v/>
      </c>
      <c r="AC266" s="2152" t="str">
        <f>IFERROR(VLOOKUP($B266,AC$109:$AG$208,AC$107,FALSE),"")</f>
        <v/>
      </c>
      <c r="AD266" s="2152" t="str">
        <f>IFERROR(VLOOKUP($B266,AD$109:$AG$208,AD$107,FALSE),"")</f>
        <v>Primus Perfect</v>
      </c>
      <c r="AE266" s="2152" t="str">
        <f>IFERROR(VLOOKUP($B266,AE$109:$AG$208,AE$107,FALSE),"")</f>
        <v/>
      </c>
      <c r="AF266" s="2152" t="str">
        <f>IFERROR(VLOOKUP($B266,AF$109:$AG$208,AF$107,FALSE),"")</f>
        <v/>
      </c>
    </row>
    <row r="267" spans="2:32">
      <c r="B267" s="2168">
        <f t="shared" si="20"/>
        <v>53</v>
      </c>
      <c r="F267" s="2152" t="str">
        <f>IFERROR(VLOOKUP($B267,F$109:$AG$208,F$107,FALSE),"")</f>
        <v/>
      </c>
      <c r="G267" s="2152" t="str">
        <f>IFERROR(VLOOKUP($B267,G$109:$AG$208,G$107,FALSE),"")</f>
        <v/>
      </c>
      <c r="H267" s="2152" t="str">
        <f>IFERROR(VLOOKUP($B267,H$109:$AG$208,H$107,FALSE),"")</f>
        <v/>
      </c>
      <c r="I267" s="2152" t="str">
        <f>IFERROR(VLOOKUP($B267,I$109:$AG$208,I$107,FALSE),"")</f>
        <v/>
      </c>
      <c r="J267" s="2152" t="str">
        <f>IFERROR(VLOOKUP($B267,J$109:$AG$208,J$107,FALSE),"")</f>
        <v/>
      </c>
      <c r="K267" s="2152" t="str">
        <f>IFERROR(VLOOKUP($B267,K$109:$AG$208,K$107,FALSE),"")</f>
        <v/>
      </c>
      <c r="L267" s="2152" t="str">
        <f>IFERROR(VLOOKUP($B267,L$109:$AG$208,L$107,FALSE),"")</f>
        <v/>
      </c>
      <c r="M267" s="2152" t="str">
        <f>IFERROR(VLOOKUP($B267,M$109:$AG$208,M$107,FALSE),"")</f>
        <v/>
      </c>
      <c r="N267" s="2152" t="str">
        <f>IFERROR(VLOOKUP($B267,N$109:$AG$208,N$107,FALSE),"")</f>
        <v/>
      </c>
      <c r="O267" s="2152" t="str">
        <f>IFERROR(VLOOKUP($B267,O$109:$AG$208,O$107,FALSE),"")</f>
        <v/>
      </c>
      <c r="P267" s="2152" t="str">
        <f>IFERROR(VLOOKUP($B267,P$109:$AG$208,P$107,FALSE),"")</f>
        <v/>
      </c>
      <c r="Q267" s="2152" t="str">
        <f>IFERROR(VLOOKUP($B267,Q$109:$AG$208,Q$107,FALSE),"")</f>
        <v/>
      </c>
      <c r="R267" s="2152" t="str">
        <f>IFERROR(VLOOKUP($B267,R$109:$AG$208,R$107,FALSE),"")</f>
        <v/>
      </c>
      <c r="S267" s="2152" t="str">
        <f>IFERROR(VLOOKUP($B267,S$109:$AG$208,S$107,FALSE),"")</f>
        <v/>
      </c>
      <c r="T267" s="2152" t="str">
        <f>IFERROR(VLOOKUP($B267,T$109:$AG$208,T$107,FALSE),"")</f>
        <v/>
      </c>
      <c r="U267" s="2152" t="str">
        <f>IFERROR(VLOOKUP($B267,U$109:$AG$208,U$107,FALSE),"")</f>
        <v/>
      </c>
      <c r="V267" s="2152" t="str">
        <f>IFERROR(VLOOKUP($B267,V$109:$AG$208,V$107,FALSE),"")</f>
        <v/>
      </c>
      <c r="W267" s="2152" t="str">
        <f>IFERROR(VLOOKUP($B267,W$109:$AG$208,W$107,FALSE),"")</f>
        <v/>
      </c>
      <c r="X267" s="2152" t="str">
        <f>IFERROR(VLOOKUP($B267,X$109:$AG$208,X$107,FALSE),"")</f>
        <v/>
      </c>
      <c r="Y267" s="2152" t="str">
        <f>IFERROR(VLOOKUP($B267,Y$109:$AG$208,Y$107,FALSE),"")</f>
        <v/>
      </c>
      <c r="Z267" s="2152" t="str">
        <f>IFERROR(VLOOKUP($B267,Z$109:$AG$208,Z$107,FALSE),"")</f>
        <v/>
      </c>
      <c r="AA267" s="2152" t="str">
        <f>IFERROR(VLOOKUP($B267,AA$109:$AG$208,AA$107,FALSE),"")</f>
        <v/>
      </c>
      <c r="AB267" s="2152" t="str">
        <f>IFERROR(VLOOKUP($B267,AB$109:$AG$208,AB$107,FALSE),"")</f>
        <v/>
      </c>
      <c r="AC267" s="2152" t="str">
        <f>IFERROR(VLOOKUP($B267,AC$109:$AG$208,AC$107,FALSE),"")</f>
        <v/>
      </c>
      <c r="AD267" s="2152" t="str">
        <f>IFERROR(VLOOKUP($B267,AD$109:$AG$208,AD$107,FALSE),"")</f>
        <v>Proline</v>
      </c>
      <c r="AE267" s="2152" t="str">
        <f>IFERROR(VLOOKUP($B267,AE$109:$AG$208,AE$107,FALSE),"")</f>
        <v/>
      </c>
      <c r="AF267" s="2152" t="str">
        <f>IFERROR(VLOOKUP($B267,AF$109:$AG$208,AF$107,FALSE),"")</f>
        <v/>
      </c>
    </row>
    <row r="268" spans="2:32">
      <c r="B268" s="2168">
        <f t="shared" si="20"/>
        <v>54</v>
      </c>
      <c r="F268" s="2152" t="str">
        <f>IFERROR(VLOOKUP($B268,F$109:$AG$208,F$107,FALSE),"")</f>
        <v/>
      </c>
      <c r="G268" s="2152" t="str">
        <f>IFERROR(VLOOKUP($B268,G$109:$AG$208,G$107,FALSE),"")</f>
        <v/>
      </c>
      <c r="H268" s="2152" t="str">
        <f>IFERROR(VLOOKUP($B268,H$109:$AG$208,H$107,FALSE),"")</f>
        <v/>
      </c>
      <c r="I268" s="2152" t="str">
        <f>IFERROR(VLOOKUP($B268,I$109:$AG$208,I$107,FALSE),"")</f>
        <v/>
      </c>
      <c r="J268" s="2152" t="str">
        <f>IFERROR(VLOOKUP($B268,J$109:$AG$208,J$107,FALSE),"")</f>
        <v/>
      </c>
      <c r="K268" s="2152" t="str">
        <f>IFERROR(VLOOKUP($B268,K$109:$AG$208,K$107,FALSE),"")</f>
        <v/>
      </c>
      <c r="L268" s="2152" t="str">
        <f>IFERROR(VLOOKUP($B268,L$109:$AG$208,L$107,FALSE),"")</f>
        <v/>
      </c>
      <c r="M268" s="2152" t="str">
        <f>IFERROR(VLOOKUP($B268,M$109:$AG$208,M$107,FALSE),"")</f>
        <v/>
      </c>
      <c r="N268" s="2152" t="str">
        <f>IFERROR(VLOOKUP($B268,N$109:$AG$208,N$107,FALSE),"")</f>
        <v/>
      </c>
      <c r="O268" s="2152" t="str">
        <f>IFERROR(VLOOKUP($B268,O$109:$AG$208,O$107,FALSE),"")</f>
        <v/>
      </c>
      <c r="P268" s="2152" t="str">
        <f>IFERROR(VLOOKUP($B268,P$109:$AG$208,P$107,FALSE),"")</f>
        <v/>
      </c>
      <c r="Q268" s="2152" t="str">
        <f>IFERROR(VLOOKUP($B268,Q$109:$AG$208,Q$107,FALSE),"")</f>
        <v/>
      </c>
      <c r="R268" s="2152" t="str">
        <f>IFERROR(VLOOKUP($B268,R$109:$AG$208,R$107,FALSE),"")</f>
        <v/>
      </c>
      <c r="S268" s="2152" t="str">
        <f>IFERROR(VLOOKUP($B268,S$109:$AG$208,S$107,FALSE),"")</f>
        <v/>
      </c>
      <c r="T268" s="2152" t="str">
        <f>IFERROR(VLOOKUP($B268,T$109:$AG$208,T$107,FALSE),"")</f>
        <v/>
      </c>
      <c r="U268" s="2152" t="str">
        <f>IFERROR(VLOOKUP($B268,U$109:$AG$208,U$107,FALSE),"")</f>
        <v/>
      </c>
      <c r="V268" s="2152" t="str">
        <f>IFERROR(VLOOKUP($B268,V$109:$AG$208,V$107,FALSE),"")</f>
        <v/>
      </c>
      <c r="W268" s="2152" t="str">
        <f>IFERROR(VLOOKUP($B268,W$109:$AG$208,W$107,FALSE),"")</f>
        <v/>
      </c>
      <c r="X268" s="2152" t="str">
        <f>IFERROR(VLOOKUP($B268,X$109:$AG$208,X$107,FALSE),"")</f>
        <v/>
      </c>
      <c r="Y268" s="2152" t="str">
        <f>IFERROR(VLOOKUP($B268,Y$109:$AG$208,Y$107,FALSE),"")</f>
        <v/>
      </c>
      <c r="Z268" s="2152" t="str">
        <f>IFERROR(VLOOKUP($B268,Z$109:$AG$208,Z$107,FALSE),"")</f>
        <v/>
      </c>
      <c r="AA268" s="2152" t="str">
        <f>IFERROR(VLOOKUP($B268,AA$109:$AG$208,AA$107,FALSE),"")</f>
        <v/>
      </c>
      <c r="AB268" s="2152" t="str">
        <f>IFERROR(VLOOKUP($B268,AB$109:$AG$208,AB$107,FALSE),"")</f>
        <v/>
      </c>
      <c r="AC268" s="2152" t="str">
        <f>IFERROR(VLOOKUP($B268,AC$109:$AG$208,AC$107,FALSE),"")</f>
        <v/>
      </c>
      <c r="AD268" s="2152" t="str">
        <f>IFERROR(VLOOKUP($B268,AD$109:$AG$208,AD$107,FALSE),"")</f>
        <v>Propulse</v>
      </c>
      <c r="AE268" s="2152" t="str">
        <f>IFERROR(VLOOKUP($B268,AE$109:$AG$208,AE$107,FALSE),"")</f>
        <v/>
      </c>
      <c r="AF268" s="2152" t="str">
        <f>IFERROR(VLOOKUP($B268,AF$109:$AG$208,AF$107,FALSE),"")</f>
        <v/>
      </c>
    </row>
    <row r="269" spans="2:32">
      <c r="B269" s="2168">
        <f t="shared" si="20"/>
        <v>55</v>
      </c>
      <c r="F269" s="2152" t="str">
        <f>IFERROR(VLOOKUP($B269,F$109:$AG$208,F$107,FALSE),"")</f>
        <v/>
      </c>
      <c r="G269" s="2152" t="str">
        <f>IFERROR(VLOOKUP($B269,G$109:$AG$208,G$107,FALSE),"")</f>
        <v/>
      </c>
      <c r="H269" s="2152" t="str">
        <f>IFERROR(VLOOKUP($B269,H$109:$AG$208,H$107,FALSE),"")</f>
        <v/>
      </c>
      <c r="I269" s="2152" t="str">
        <f>IFERROR(VLOOKUP($B269,I$109:$AG$208,I$107,FALSE),"")</f>
        <v/>
      </c>
      <c r="J269" s="2152" t="str">
        <f>IFERROR(VLOOKUP($B269,J$109:$AG$208,J$107,FALSE),"")</f>
        <v/>
      </c>
      <c r="K269" s="2152" t="str">
        <f>IFERROR(VLOOKUP($B269,K$109:$AG$208,K$107,FALSE),"")</f>
        <v/>
      </c>
      <c r="L269" s="2152" t="str">
        <f>IFERROR(VLOOKUP($B269,L$109:$AG$208,L$107,FALSE),"")</f>
        <v/>
      </c>
      <c r="M269" s="2152" t="str">
        <f>IFERROR(VLOOKUP($B269,M$109:$AG$208,M$107,FALSE),"")</f>
        <v/>
      </c>
      <c r="N269" s="2152" t="str">
        <f>IFERROR(VLOOKUP($B269,N$109:$AG$208,N$107,FALSE),"")</f>
        <v/>
      </c>
      <c r="O269" s="2152" t="str">
        <f>IFERROR(VLOOKUP($B269,O$109:$AG$208,O$107,FALSE),"")</f>
        <v/>
      </c>
      <c r="P269" s="2152" t="str">
        <f>IFERROR(VLOOKUP($B269,P$109:$AG$208,P$107,FALSE),"")</f>
        <v/>
      </c>
      <c r="Q269" s="2152" t="str">
        <f>IFERROR(VLOOKUP($B269,Q$109:$AG$208,Q$107,FALSE),"")</f>
        <v/>
      </c>
      <c r="R269" s="2152" t="str">
        <f>IFERROR(VLOOKUP($B269,R$109:$AG$208,R$107,FALSE),"")</f>
        <v/>
      </c>
      <c r="S269" s="2152" t="str">
        <f>IFERROR(VLOOKUP($B269,S$109:$AG$208,S$107,FALSE),"")</f>
        <v/>
      </c>
      <c r="T269" s="2152" t="str">
        <f>IFERROR(VLOOKUP($B269,T$109:$AG$208,T$107,FALSE),"")</f>
        <v/>
      </c>
      <c r="U269" s="2152" t="str">
        <f>IFERROR(VLOOKUP($B269,U$109:$AG$208,U$107,FALSE),"")</f>
        <v/>
      </c>
      <c r="V269" s="2152" t="str">
        <f>IFERROR(VLOOKUP($B269,V$109:$AG$208,V$107,FALSE),"")</f>
        <v/>
      </c>
      <c r="W269" s="2152" t="str">
        <f>IFERROR(VLOOKUP($B269,W$109:$AG$208,W$107,FALSE),"")</f>
        <v/>
      </c>
      <c r="X269" s="2152" t="str">
        <f>IFERROR(VLOOKUP($B269,X$109:$AG$208,X$107,FALSE),"")</f>
        <v/>
      </c>
      <c r="Y269" s="2152" t="str">
        <f>IFERROR(VLOOKUP($B269,Y$109:$AG$208,Y$107,FALSE),"")</f>
        <v/>
      </c>
      <c r="Z269" s="2152" t="str">
        <f>IFERROR(VLOOKUP($B269,Z$109:$AG$208,Z$107,FALSE),"")</f>
        <v/>
      </c>
      <c r="AA269" s="2152" t="str">
        <f>IFERROR(VLOOKUP($B269,AA$109:$AG$208,AA$107,FALSE),"")</f>
        <v/>
      </c>
      <c r="AB269" s="2152" t="str">
        <f>IFERROR(VLOOKUP($B269,AB$109:$AG$208,AB$107,FALSE),"")</f>
        <v/>
      </c>
      <c r="AC269" s="2152" t="str">
        <f>IFERROR(VLOOKUP($B269,AC$109:$AG$208,AC$107,FALSE),"")</f>
        <v/>
      </c>
      <c r="AD269" s="2152" t="str">
        <f>IFERROR(VLOOKUP($B269,AD$109:$AG$208,AD$107,FALSE),"")</f>
        <v>Prosaro</v>
      </c>
      <c r="AE269" s="2152" t="str">
        <f>IFERROR(VLOOKUP($B269,AE$109:$AG$208,AE$107,FALSE),"")</f>
        <v/>
      </c>
      <c r="AF269" s="2152" t="str">
        <f>IFERROR(VLOOKUP($B269,AF$109:$AG$208,AF$107,FALSE),"")</f>
        <v/>
      </c>
    </row>
    <row r="270" spans="2:32">
      <c r="B270" s="2168">
        <f t="shared" si="20"/>
        <v>56</v>
      </c>
      <c r="F270" s="2152" t="str">
        <f>IFERROR(VLOOKUP($B270,F$109:$AG$208,F$107,FALSE),"")</f>
        <v/>
      </c>
      <c r="G270" s="2152" t="str">
        <f>IFERROR(VLOOKUP($B270,G$109:$AG$208,G$107,FALSE),"")</f>
        <v/>
      </c>
      <c r="H270" s="2152" t="str">
        <f>IFERROR(VLOOKUP($B270,H$109:$AG$208,H$107,FALSE),"")</f>
        <v/>
      </c>
      <c r="I270" s="2152" t="str">
        <f>IFERROR(VLOOKUP($B270,I$109:$AG$208,I$107,FALSE),"")</f>
        <v/>
      </c>
      <c r="J270" s="2152" t="str">
        <f>IFERROR(VLOOKUP($B270,J$109:$AG$208,J$107,FALSE),"")</f>
        <v/>
      </c>
      <c r="K270" s="2152" t="str">
        <f>IFERROR(VLOOKUP($B270,K$109:$AG$208,K$107,FALSE),"")</f>
        <v/>
      </c>
      <c r="L270" s="2152" t="str">
        <f>IFERROR(VLOOKUP($B270,L$109:$AG$208,L$107,FALSE),"")</f>
        <v/>
      </c>
      <c r="M270" s="2152" t="str">
        <f>IFERROR(VLOOKUP($B270,M$109:$AG$208,M$107,FALSE),"")</f>
        <v/>
      </c>
      <c r="N270" s="2152" t="str">
        <f>IFERROR(VLOOKUP($B270,N$109:$AG$208,N$107,FALSE),"")</f>
        <v/>
      </c>
      <c r="O270" s="2152" t="str">
        <f>IFERROR(VLOOKUP($B270,O$109:$AG$208,O$107,FALSE),"")</f>
        <v/>
      </c>
      <c r="P270" s="2152" t="str">
        <f>IFERROR(VLOOKUP($B270,P$109:$AG$208,P$107,FALSE),"")</f>
        <v/>
      </c>
      <c r="Q270" s="2152" t="str">
        <f>IFERROR(VLOOKUP($B270,Q$109:$AG$208,Q$107,FALSE),"")</f>
        <v/>
      </c>
      <c r="R270" s="2152" t="str">
        <f>IFERROR(VLOOKUP($B270,R$109:$AG$208,R$107,FALSE),"")</f>
        <v/>
      </c>
      <c r="S270" s="2152" t="str">
        <f>IFERROR(VLOOKUP($B270,S$109:$AG$208,S$107,FALSE),"")</f>
        <v/>
      </c>
      <c r="T270" s="2152" t="str">
        <f>IFERROR(VLOOKUP($B270,T$109:$AG$208,T$107,FALSE),"")</f>
        <v/>
      </c>
      <c r="U270" s="2152" t="str">
        <f>IFERROR(VLOOKUP($B270,U$109:$AG$208,U$107,FALSE),"")</f>
        <v/>
      </c>
      <c r="V270" s="2152" t="str">
        <f>IFERROR(VLOOKUP($B270,V$109:$AG$208,V$107,FALSE),"")</f>
        <v/>
      </c>
      <c r="W270" s="2152" t="str">
        <f>IFERROR(VLOOKUP($B270,W$109:$AG$208,W$107,FALSE),"")</f>
        <v/>
      </c>
      <c r="X270" s="2152" t="str">
        <f>IFERROR(VLOOKUP($B270,X$109:$AG$208,X$107,FALSE),"")</f>
        <v/>
      </c>
      <c r="Y270" s="2152" t="str">
        <f>IFERROR(VLOOKUP($B270,Y$109:$AG$208,Y$107,FALSE),"")</f>
        <v/>
      </c>
      <c r="Z270" s="2152" t="str">
        <f>IFERROR(VLOOKUP($B270,Z$109:$AG$208,Z$107,FALSE),"")</f>
        <v/>
      </c>
      <c r="AA270" s="2152" t="str">
        <f>IFERROR(VLOOKUP($B270,AA$109:$AG$208,AA$107,FALSE),"")</f>
        <v/>
      </c>
      <c r="AB270" s="2152" t="str">
        <f>IFERROR(VLOOKUP($B270,AB$109:$AG$208,AB$107,FALSE),"")</f>
        <v/>
      </c>
      <c r="AC270" s="2152" t="str">
        <f>IFERROR(VLOOKUP($B270,AC$109:$AG$208,AC$107,FALSE),"")</f>
        <v/>
      </c>
      <c r="AD270" s="2152" t="str">
        <f>IFERROR(VLOOKUP($B270,AD$109:$AG$208,AD$107,FALSE),"")</f>
        <v>Ranman Top</v>
      </c>
      <c r="AE270" s="2152" t="str">
        <f>IFERROR(VLOOKUP($B270,AE$109:$AG$208,AE$107,FALSE),"")</f>
        <v/>
      </c>
      <c r="AF270" s="2152" t="str">
        <f>IFERROR(VLOOKUP($B270,AF$109:$AG$208,AF$107,FALSE),"")</f>
        <v/>
      </c>
    </row>
    <row r="271" spans="2:32">
      <c r="B271" s="2168">
        <f t="shared" si="20"/>
        <v>57</v>
      </c>
      <c r="F271" s="2152" t="str">
        <f>IFERROR(VLOOKUP($B271,F$109:$AG$208,F$107,FALSE),"")</f>
        <v/>
      </c>
      <c r="G271" s="2152" t="str">
        <f>IFERROR(VLOOKUP($B271,G$109:$AG$208,G$107,FALSE),"")</f>
        <v/>
      </c>
      <c r="H271" s="2152" t="str">
        <f>IFERROR(VLOOKUP($B271,H$109:$AG$208,H$107,FALSE),"")</f>
        <v/>
      </c>
      <c r="I271" s="2152" t="str">
        <f>IFERROR(VLOOKUP($B271,I$109:$AG$208,I$107,FALSE),"")</f>
        <v/>
      </c>
      <c r="J271" s="2152" t="str">
        <f>IFERROR(VLOOKUP($B271,J$109:$AG$208,J$107,FALSE),"")</f>
        <v/>
      </c>
      <c r="K271" s="2152" t="str">
        <f>IFERROR(VLOOKUP($B271,K$109:$AG$208,K$107,FALSE),"")</f>
        <v/>
      </c>
      <c r="L271" s="2152" t="str">
        <f>IFERROR(VLOOKUP($B271,L$109:$AG$208,L$107,FALSE),"")</f>
        <v/>
      </c>
      <c r="M271" s="2152" t="str">
        <f>IFERROR(VLOOKUP($B271,M$109:$AG$208,M$107,FALSE),"")</f>
        <v/>
      </c>
      <c r="N271" s="2152" t="str">
        <f>IFERROR(VLOOKUP($B271,N$109:$AG$208,N$107,FALSE),"")</f>
        <v/>
      </c>
      <c r="O271" s="2152" t="str">
        <f>IFERROR(VLOOKUP($B271,O$109:$AG$208,O$107,FALSE),"")</f>
        <v/>
      </c>
      <c r="P271" s="2152" t="str">
        <f>IFERROR(VLOOKUP($B271,P$109:$AG$208,P$107,FALSE),"")</f>
        <v/>
      </c>
      <c r="Q271" s="2152" t="str">
        <f>IFERROR(VLOOKUP($B271,Q$109:$AG$208,Q$107,FALSE),"")</f>
        <v/>
      </c>
      <c r="R271" s="2152" t="str">
        <f>IFERROR(VLOOKUP($B271,R$109:$AG$208,R$107,FALSE),"")</f>
        <v/>
      </c>
      <c r="S271" s="2152" t="str">
        <f>IFERROR(VLOOKUP($B271,S$109:$AG$208,S$107,FALSE),"")</f>
        <v/>
      </c>
      <c r="T271" s="2152" t="str">
        <f>IFERROR(VLOOKUP($B271,T$109:$AG$208,T$107,FALSE),"")</f>
        <v/>
      </c>
      <c r="U271" s="2152" t="str">
        <f>IFERROR(VLOOKUP($B271,U$109:$AG$208,U$107,FALSE),"")</f>
        <v/>
      </c>
      <c r="V271" s="2152" t="str">
        <f>IFERROR(VLOOKUP($B271,V$109:$AG$208,V$107,FALSE),"")</f>
        <v/>
      </c>
      <c r="W271" s="2152" t="str">
        <f>IFERROR(VLOOKUP($B271,W$109:$AG$208,W$107,FALSE),"")</f>
        <v/>
      </c>
      <c r="X271" s="2152" t="str">
        <f>IFERROR(VLOOKUP($B271,X$109:$AG$208,X$107,FALSE),"")</f>
        <v/>
      </c>
      <c r="Y271" s="2152" t="str">
        <f>IFERROR(VLOOKUP($B271,Y$109:$AG$208,Y$107,FALSE),"")</f>
        <v/>
      </c>
      <c r="Z271" s="2152" t="str">
        <f>IFERROR(VLOOKUP($B271,Z$109:$AG$208,Z$107,FALSE),"")</f>
        <v/>
      </c>
      <c r="AA271" s="2152" t="str">
        <f>IFERROR(VLOOKUP($B271,AA$109:$AG$208,AA$107,FALSE),"")</f>
        <v/>
      </c>
      <c r="AB271" s="2152" t="str">
        <f>IFERROR(VLOOKUP($B271,AB$109:$AG$208,AB$107,FALSE),"")</f>
        <v/>
      </c>
      <c r="AC271" s="2152" t="str">
        <f>IFERROR(VLOOKUP($B271,AC$109:$AG$208,AC$107,FALSE),"")</f>
        <v/>
      </c>
      <c r="AD271" s="2152" t="str">
        <f>IFERROR(VLOOKUP($B271,AD$109:$AG$208,AD$107,FALSE),"")</f>
        <v>Revus</v>
      </c>
      <c r="AE271" s="2152" t="str">
        <f>IFERROR(VLOOKUP($B271,AE$109:$AG$208,AE$107,FALSE),"")</f>
        <v/>
      </c>
      <c r="AF271" s="2152" t="str">
        <f>IFERROR(VLOOKUP($B271,AF$109:$AG$208,AF$107,FALSE),"")</f>
        <v/>
      </c>
    </row>
    <row r="272" spans="2:32">
      <c r="B272" s="2168">
        <f t="shared" si="20"/>
        <v>58</v>
      </c>
      <c r="F272" s="2152" t="str">
        <f>IFERROR(VLOOKUP($B272,F$109:$AG$208,F$107,FALSE),"")</f>
        <v/>
      </c>
      <c r="G272" s="2152" t="str">
        <f>IFERROR(VLOOKUP($B272,G$109:$AG$208,G$107,FALSE),"")</f>
        <v/>
      </c>
      <c r="H272" s="2152" t="str">
        <f>IFERROR(VLOOKUP($B272,H$109:$AG$208,H$107,FALSE),"")</f>
        <v/>
      </c>
      <c r="I272" s="2152" t="str">
        <f>IFERROR(VLOOKUP($B272,I$109:$AG$208,I$107,FALSE),"")</f>
        <v/>
      </c>
      <c r="J272" s="2152" t="str">
        <f>IFERROR(VLOOKUP($B272,J$109:$AG$208,J$107,FALSE),"")</f>
        <v/>
      </c>
      <c r="K272" s="2152" t="str">
        <f>IFERROR(VLOOKUP($B272,K$109:$AG$208,K$107,FALSE),"")</f>
        <v/>
      </c>
      <c r="L272" s="2152" t="str">
        <f>IFERROR(VLOOKUP($B272,L$109:$AG$208,L$107,FALSE),"")</f>
        <v/>
      </c>
      <c r="M272" s="2152" t="str">
        <f>IFERROR(VLOOKUP($B272,M$109:$AG$208,M$107,FALSE),"")</f>
        <v/>
      </c>
      <c r="N272" s="2152" t="str">
        <f>IFERROR(VLOOKUP($B272,N$109:$AG$208,N$107,FALSE),"")</f>
        <v/>
      </c>
      <c r="O272" s="2152" t="str">
        <f>IFERROR(VLOOKUP($B272,O$109:$AG$208,O$107,FALSE),"")</f>
        <v/>
      </c>
      <c r="P272" s="2152" t="str">
        <f>IFERROR(VLOOKUP($B272,P$109:$AG$208,P$107,FALSE),"")</f>
        <v/>
      </c>
      <c r="Q272" s="2152" t="str">
        <f>IFERROR(VLOOKUP($B272,Q$109:$AG$208,Q$107,FALSE),"")</f>
        <v/>
      </c>
      <c r="R272" s="2152" t="str">
        <f>IFERROR(VLOOKUP($B272,R$109:$AG$208,R$107,FALSE),"")</f>
        <v/>
      </c>
      <c r="S272" s="2152" t="str">
        <f>IFERROR(VLOOKUP($B272,S$109:$AG$208,S$107,FALSE),"")</f>
        <v/>
      </c>
      <c r="T272" s="2152" t="str">
        <f>IFERROR(VLOOKUP($B272,T$109:$AG$208,T$107,FALSE),"")</f>
        <v/>
      </c>
      <c r="U272" s="2152" t="str">
        <f>IFERROR(VLOOKUP($B272,U$109:$AG$208,U$107,FALSE),"")</f>
        <v/>
      </c>
      <c r="V272" s="2152" t="str">
        <f>IFERROR(VLOOKUP($B272,V$109:$AG$208,V$107,FALSE),"")</f>
        <v/>
      </c>
      <c r="W272" s="2152" t="str">
        <f>IFERROR(VLOOKUP($B272,W$109:$AG$208,W$107,FALSE),"")</f>
        <v/>
      </c>
      <c r="X272" s="2152" t="str">
        <f>IFERROR(VLOOKUP($B272,X$109:$AG$208,X$107,FALSE),"")</f>
        <v/>
      </c>
      <c r="Y272" s="2152" t="str">
        <f>IFERROR(VLOOKUP($B272,Y$109:$AG$208,Y$107,FALSE),"")</f>
        <v/>
      </c>
      <c r="Z272" s="2152" t="str">
        <f>IFERROR(VLOOKUP($B272,Z$109:$AG$208,Z$107,FALSE),"")</f>
        <v/>
      </c>
      <c r="AA272" s="2152" t="str">
        <f>IFERROR(VLOOKUP($B272,AA$109:$AG$208,AA$107,FALSE),"")</f>
        <v/>
      </c>
      <c r="AB272" s="2152" t="str">
        <f>IFERROR(VLOOKUP($B272,AB$109:$AG$208,AB$107,FALSE),"")</f>
        <v/>
      </c>
      <c r="AC272" s="2152" t="str">
        <f>IFERROR(VLOOKUP($B272,AC$109:$AG$208,AC$107,FALSE),"")</f>
        <v/>
      </c>
      <c r="AD272" s="2152" t="str">
        <f>IFERROR(VLOOKUP($B272,AD$109:$AG$208,AD$107,FALSE),"")</f>
        <v>Roundup Power Flex</v>
      </c>
      <c r="AE272" s="2152" t="str">
        <f>IFERROR(VLOOKUP($B272,AE$109:$AG$208,AE$107,FALSE),"")</f>
        <v/>
      </c>
      <c r="AF272" s="2152" t="str">
        <f>IFERROR(VLOOKUP($B272,AF$109:$AG$208,AF$107,FALSE),"")</f>
        <v/>
      </c>
    </row>
    <row r="273" spans="2:32">
      <c r="B273" s="2168">
        <f t="shared" si="20"/>
        <v>59</v>
      </c>
      <c r="F273" s="2152" t="str">
        <f>IFERROR(VLOOKUP($B273,F$109:$AG$208,F$107,FALSE),"")</f>
        <v/>
      </c>
      <c r="G273" s="2152" t="str">
        <f>IFERROR(VLOOKUP($B273,G$109:$AG$208,G$107,FALSE),"")</f>
        <v/>
      </c>
      <c r="H273" s="2152" t="str">
        <f>IFERROR(VLOOKUP($B273,H$109:$AG$208,H$107,FALSE),"")</f>
        <v/>
      </c>
      <c r="I273" s="2152" t="str">
        <f>IFERROR(VLOOKUP($B273,I$109:$AG$208,I$107,FALSE),"")</f>
        <v/>
      </c>
      <c r="J273" s="2152" t="str">
        <f>IFERROR(VLOOKUP($B273,J$109:$AG$208,J$107,FALSE),"")</f>
        <v/>
      </c>
      <c r="K273" s="2152" t="str">
        <f>IFERROR(VLOOKUP($B273,K$109:$AG$208,K$107,FALSE),"")</f>
        <v/>
      </c>
      <c r="L273" s="2152" t="str">
        <f>IFERROR(VLOOKUP($B273,L$109:$AG$208,L$107,FALSE),"")</f>
        <v/>
      </c>
      <c r="M273" s="2152" t="str">
        <f>IFERROR(VLOOKUP($B273,M$109:$AG$208,M$107,FALSE),"")</f>
        <v/>
      </c>
      <c r="N273" s="2152" t="str">
        <f>IFERROR(VLOOKUP($B273,N$109:$AG$208,N$107,FALSE),"")</f>
        <v/>
      </c>
      <c r="O273" s="2152" t="str">
        <f>IFERROR(VLOOKUP($B273,O$109:$AG$208,O$107,FALSE),"")</f>
        <v/>
      </c>
      <c r="P273" s="2152" t="str">
        <f>IFERROR(VLOOKUP($B273,P$109:$AG$208,P$107,FALSE),"")</f>
        <v/>
      </c>
      <c r="Q273" s="2152" t="str">
        <f>IFERROR(VLOOKUP($B273,Q$109:$AG$208,Q$107,FALSE),"")</f>
        <v/>
      </c>
      <c r="R273" s="2152" t="str">
        <f>IFERROR(VLOOKUP($B273,R$109:$AG$208,R$107,FALSE),"")</f>
        <v/>
      </c>
      <c r="S273" s="2152" t="str">
        <f>IFERROR(VLOOKUP($B273,S$109:$AG$208,S$107,FALSE),"")</f>
        <v/>
      </c>
      <c r="T273" s="2152" t="str">
        <f>IFERROR(VLOOKUP($B273,T$109:$AG$208,T$107,FALSE),"")</f>
        <v/>
      </c>
      <c r="U273" s="2152" t="str">
        <f>IFERROR(VLOOKUP($B273,U$109:$AG$208,U$107,FALSE),"")</f>
        <v/>
      </c>
      <c r="V273" s="2152" t="str">
        <f>IFERROR(VLOOKUP($B273,V$109:$AG$208,V$107,FALSE),"")</f>
        <v/>
      </c>
      <c r="W273" s="2152" t="str">
        <f>IFERROR(VLOOKUP($B273,W$109:$AG$208,W$107,FALSE),"")</f>
        <v/>
      </c>
      <c r="X273" s="2152" t="str">
        <f>IFERROR(VLOOKUP($B273,X$109:$AG$208,X$107,FALSE),"")</f>
        <v/>
      </c>
      <c r="Y273" s="2152" t="str">
        <f>IFERROR(VLOOKUP($B273,Y$109:$AG$208,Y$107,FALSE),"")</f>
        <v/>
      </c>
      <c r="Z273" s="2152" t="str">
        <f>IFERROR(VLOOKUP($B273,Z$109:$AG$208,Z$107,FALSE),"")</f>
        <v/>
      </c>
      <c r="AA273" s="2152" t="str">
        <f>IFERROR(VLOOKUP($B273,AA$109:$AG$208,AA$107,FALSE),"")</f>
        <v/>
      </c>
      <c r="AB273" s="2152" t="str">
        <f>IFERROR(VLOOKUP($B273,AB$109:$AG$208,AB$107,FALSE),"")</f>
        <v/>
      </c>
      <c r="AC273" s="2152" t="str">
        <f>IFERROR(VLOOKUP($B273,AC$109:$AG$208,AC$107,FALSE),"")</f>
        <v/>
      </c>
      <c r="AD273" s="2152" t="str">
        <f>IFERROR(VLOOKUP($B273,AD$109:$AG$208,AD$107,FALSE),"")</f>
        <v>Roundup Rekord</v>
      </c>
      <c r="AE273" s="2152" t="str">
        <f>IFERROR(VLOOKUP($B273,AE$109:$AG$208,AE$107,FALSE),"")</f>
        <v/>
      </c>
      <c r="AF273" s="2152" t="str">
        <f>IFERROR(VLOOKUP($B273,AF$109:$AG$208,AF$107,FALSE),"")</f>
        <v/>
      </c>
    </row>
    <row r="274" spans="2:32">
      <c r="B274" s="2168">
        <f t="shared" si="20"/>
        <v>60</v>
      </c>
      <c r="F274" s="2152" t="str">
        <f>IFERROR(VLOOKUP($B274,F$109:$AG$208,F$107,FALSE),"")</f>
        <v/>
      </c>
      <c r="G274" s="2152" t="str">
        <f>IFERROR(VLOOKUP($B274,G$109:$AG$208,G$107,FALSE),"")</f>
        <v/>
      </c>
      <c r="H274" s="2152" t="str">
        <f>IFERROR(VLOOKUP($B274,H$109:$AG$208,H$107,FALSE),"")</f>
        <v/>
      </c>
      <c r="I274" s="2152" t="str">
        <f>IFERROR(VLOOKUP($B274,I$109:$AG$208,I$107,FALSE),"")</f>
        <v/>
      </c>
      <c r="J274" s="2152" t="str">
        <f>IFERROR(VLOOKUP($B274,J$109:$AG$208,J$107,FALSE),"")</f>
        <v/>
      </c>
      <c r="K274" s="2152" t="str">
        <f>IFERROR(VLOOKUP($B274,K$109:$AG$208,K$107,FALSE),"")</f>
        <v/>
      </c>
      <c r="L274" s="2152" t="str">
        <f>IFERROR(VLOOKUP($B274,L$109:$AG$208,L$107,FALSE),"")</f>
        <v/>
      </c>
      <c r="M274" s="2152" t="str">
        <f>IFERROR(VLOOKUP($B274,M$109:$AG$208,M$107,FALSE),"")</f>
        <v/>
      </c>
      <c r="N274" s="2152" t="str">
        <f>IFERROR(VLOOKUP($B274,N$109:$AG$208,N$107,FALSE),"")</f>
        <v/>
      </c>
      <c r="O274" s="2152" t="str">
        <f>IFERROR(VLOOKUP($B274,O$109:$AG$208,O$107,FALSE),"")</f>
        <v/>
      </c>
      <c r="P274" s="2152" t="str">
        <f>IFERROR(VLOOKUP($B274,P$109:$AG$208,P$107,FALSE),"")</f>
        <v/>
      </c>
      <c r="Q274" s="2152" t="str">
        <f>IFERROR(VLOOKUP($B274,Q$109:$AG$208,Q$107,FALSE),"")</f>
        <v/>
      </c>
      <c r="R274" s="2152" t="str">
        <f>IFERROR(VLOOKUP($B274,R$109:$AG$208,R$107,FALSE),"")</f>
        <v/>
      </c>
      <c r="S274" s="2152" t="str">
        <f>IFERROR(VLOOKUP($B274,S$109:$AG$208,S$107,FALSE),"")</f>
        <v/>
      </c>
      <c r="T274" s="2152" t="str">
        <f>IFERROR(VLOOKUP($B274,T$109:$AG$208,T$107,FALSE),"")</f>
        <v/>
      </c>
      <c r="U274" s="2152" t="str">
        <f>IFERROR(VLOOKUP($B274,U$109:$AG$208,U$107,FALSE),"")</f>
        <v/>
      </c>
      <c r="V274" s="2152" t="str">
        <f>IFERROR(VLOOKUP($B274,V$109:$AG$208,V$107,FALSE),"")</f>
        <v/>
      </c>
      <c r="W274" s="2152" t="str">
        <f>IFERROR(VLOOKUP($B274,W$109:$AG$208,W$107,FALSE),"")</f>
        <v/>
      </c>
      <c r="X274" s="2152" t="str">
        <f>IFERROR(VLOOKUP($B274,X$109:$AG$208,X$107,FALSE),"")</f>
        <v/>
      </c>
      <c r="Y274" s="2152" t="str">
        <f>IFERROR(VLOOKUP($B274,Y$109:$AG$208,Y$107,FALSE),"")</f>
        <v/>
      </c>
      <c r="Z274" s="2152" t="str">
        <f>IFERROR(VLOOKUP($B274,Z$109:$AG$208,Z$107,FALSE),"")</f>
        <v/>
      </c>
      <c r="AA274" s="2152" t="str">
        <f>IFERROR(VLOOKUP($B274,AA$109:$AG$208,AA$107,FALSE),"")</f>
        <v/>
      </c>
      <c r="AB274" s="2152" t="str">
        <f>IFERROR(VLOOKUP($B274,AB$109:$AG$208,AB$107,FALSE),"")</f>
        <v/>
      </c>
      <c r="AC274" s="2152" t="str">
        <f>IFERROR(VLOOKUP($B274,AC$109:$AG$208,AC$107,FALSE),"")</f>
        <v/>
      </c>
      <c r="AD274" s="2152" t="str">
        <f>IFERROR(VLOOKUP($B274,AD$109:$AG$208,AD$107,FALSE),"")</f>
        <v>Revytrex</v>
      </c>
      <c r="AE274" s="2152" t="str">
        <f>IFERROR(VLOOKUP($B274,AE$109:$AG$208,AE$107,FALSE),"")</f>
        <v/>
      </c>
      <c r="AF274" s="2152" t="str">
        <f>IFERROR(VLOOKUP($B274,AF$109:$AG$208,AF$107,FALSE),"")</f>
        <v/>
      </c>
    </row>
    <row r="275" spans="2:32">
      <c r="B275" s="2168">
        <f t="shared" si="20"/>
        <v>61</v>
      </c>
      <c r="F275" s="2152" t="str">
        <f>IFERROR(VLOOKUP($B275,F$109:$AG$208,F$107,FALSE),"")</f>
        <v/>
      </c>
      <c r="G275" s="2152" t="str">
        <f>IFERROR(VLOOKUP($B275,G$109:$AG$208,G$107,FALSE),"")</f>
        <v/>
      </c>
      <c r="H275" s="2152" t="str">
        <f>IFERROR(VLOOKUP($B275,H$109:$AG$208,H$107,FALSE),"")</f>
        <v/>
      </c>
      <c r="I275" s="2152" t="str">
        <f>IFERROR(VLOOKUP($B275,I$109:$AG$208,I$107,FALSE),"")</f>
        <v/>
      </c>
      <c r="J275" s="2152" t="str">
        <f>IFERROR(VLOOKUP($B275,J$109:$AG$208,J$107,FALSE),"")</f>
        <v/>
      </c>
      <c r="K275" s="2152" t="str">
        <f>IFERROR(VLOOKUP($B275,K$109:$AG$208,K$107,FALSE),"")</f>
        <v/>
      </c>
      <c r="L275" s="2152" t="str">
        <f>IFERROR(VLOOKUP($B275,L$109:$AG$208,L$107,FALSE),"")</f>
        <v/>
      </c>
      <c r="M275" s="2152" t="str">
        <f>IFERROR(VLOOKUP($B275,M$109:$AG$208,M$107,FALSE),"")</f>
        <v/>
      </c>
      <c r="N275" s="2152" t="str">
        <f>IFERROR(VLOOKUP($B275,N$109:$AG$208,N$107,FALSE),"")</f>
        <v/>
      </c>
      <c r="O275" s="2152" t="str">
        <f>IFERROR(VLOOKUP($B275,O$109:$AG$208,O$107,FALSE),"")</f>
        <v/>
      </c>
      <c r="P275" s="2152" t="str">
        <f>IFERROR(VLOOKUP($B275,P$109:$AG$208,P$107,FALSE),"")</f>
        <v/>
      </c>
      <c r="Q275" s="2152" t="str">
        <f>IFERROR(VLOOKUP($B275,Q$109:$AG$208,Q$107,FALSE),"")</f>
        <v/>
      </c>
      <c r="R275" s="2152" t="str">
        <f>IFERROR(VLOOKUP($B275,R$109:$AG$208,R$107,FALSE),"")</f>
        <v/>
      </c>
      <c r="S275" s="2152" t="str">
        <f>IFERROR(VLOOKUP($B275,S$109:$AG$208,S$107,FALSE),"")</f>
        <v/>
      </c>
      <c r="T275" s="2152" t="str">
        <f>IFERROR(VLOOKUP($B275,T$109:$AG$208,T$107,FALSE),"")</f>
        <v/>
      </c>
      <c r="U275" s="2152" t="str">
        <f>IFERROR(VLOOKUP($B275,U$109:$AG$208,U$107,FALSE),"")</f>
        <v/>
      </c>
      <c r="V275" s="2152" t="str">
        <f>IFERROR(VLOOKUP($B275,V$109:$AG$208,V$107,FALSE),"")</f>
        <v/>
      </c>
      <c r="W275" s="2152" t="str">
        <f>IFERROR(VLOOKUP($B275,W$109:$AG$208,W$107,FALSE),"")</f>
        <v/>
      </c>
      <c r="X275" s="2152" t="str">
        <f>IFERROR(VLOOKUP($B275,X$109:$AG$208,X$107,FALSE),"")</f>
        <v/>
      </c>
      <c r="Y275" s="2152" t="str">
        <f>IFERROR(VLOOKUP($B275,Y$109:$AG$208,Y$107,FALSE),"")</f>
        <v/>
      </c>
      <c r="Z275" s="2152" t="str">
        <f>IFERROR(VLOOKUP($B275,Z$109:$AG$208,Z$107,FALSE),"")</f>
        <v/>
      </c>
      <c r="AA275" s="2152" t="str">
        <f>IFERROR(VLOOKUP($B275,AA$109:$AG$208,AA$107,FALSE),"")</f>
        <v/>
      </c>
      <c r="AB275" s="2152" t="str">
        <f>IFERROR(VLOOKUP($B275,AB$109:$AG$208,AB$107,FALSE),"")</f>
        <v/>
      </c>
      <c r="AC275" s="2152" t="str">
        <f>IFERROR(VLOOKUP($B275,AC$109:$AG$208,AC$107,FALSE),"")</f>
        <v/>
      </c>
      <c r="AD275" s="2152" t="str">
        <f>IFERROR(VLOOKUP($B275,AD$109:$AG$208,AD$107,FALSE),"")</f>
        <v>Comet</v>
      </c>
      <c r="AE275" s="2152" t="str">
        <f>IFERROR(VLOOKUP($B275,AE$109:$AG$208,AE$107,FALSE),"")</f>
        <v/>
      </c>
      <c r="AF275" s="2152" t="str">
        <f>IFERROR(VLOOKUP($B275,AF$109:$AG$208,AF$107,FALSE),"")</f>
        <v/>
      </c>
    </row>
    <row r="276" spans="2:32">
      <c r="B276" s="2168">
        <f t="shared" si="20"/>
        <v>62</v>
      </c>
      <c r="F276" s="2152" t="str">
        <f>IFERROR(VLOOKUP($B276,F$109:$AG$208,F$107,FALSE),"")</f>
        <v/>
      </c>
      <c r="G276" s="2152" t="str">
        <f>IFERROR(VLOOKUP($B276,G$109:$AG$208,G$107,FALSE),"")</f>
        <v/>
      </c>
      <c r="H276" s="2152" t="str">
        <f>IFERROR(VLOOKUP($B276,H$109:$AG$208,H$107,FALSE),"")</f>
        <v/>
      </c>
      <c r="I276" s="2152" t="str">
        <f>IFERROR(VLOOKUP($B276,I$109:$AG$208,I$107,FALSE),"")</f>
        <v/>
      </c>
      <c r="J276" s="2152" t="str">
        <f>IFERROR(VLOOKUP($B276,J$109:$AG$208,J$107,FALSE),"")</f>
        <v/>
      </c>
      <c r="K276" s="2152" t="str">
        <f>IFERROR(VLOOKUP($B276,K$109:$AG$208,K$107,FALSE),"")</f>
        <v/>
      </c>
      <c r="L276" s="2152" t="str">
        <f>IFERROR(VLOOKUP($B276,L$109:$AG$208,L$107,FALSE),"")</f>
        <v/>
      </c>
      <c r="M276" s="2152" t="str">
        <f>IFERROR(VLOOKUP($B276,M$109:$AG$208,M$107,FALSE),"")</f>
        <v/>
      </c>
      <c r="N276" s="2152" t="str">
        <f>IFERROR(VLOOKUP($B276,N$109:$AG$208,N$107,FALSE),"")</f>
        <v/>
      </c>
      <c r="O276" s="2152" t="str">
        <f>IFERROR(VLOOKUP($B276,O$109:$AG$208,O$107,FALSE),"")</f>
        <v/>
      </c>
      <c r="P276" s="2152" t="str">
        <f>IFERROR(VLOOKUP($B276,P$109:$AG$208,P$107,FALSE),"")</f>
        <v/>
      </c>
      <c r="Q276" s="2152" t="str">
        <f>IFERROR(VLOOKUP($B276,Q$109:$AG$208,Q$107,FALSE),"")</f>
        <v/>
      </c>
      <c r="R276" s="2152" t="str">
        <f>IFERROR(VLOOKUP($B276,R$109:$AG$208,R$107,FALSE),"")</f>
        <v/>
      </c>
      <c r="S276" s="2152" t="str">
        <f>IFERROR(VLOOKUP($B276,S$109:$AG$208,S$107,FALSE),"")</f>
        <v/>
      </c>
      <c r="T276" s="2152" t="str">
        <f>IFERROR(VLOOKUP($B276,T$109:$AG$208,T$107,FALSE),"")</f>
        <v/>
      </c>
      <c r="U276" s="2152" t="str">
        <f>IFERROR(VLOOKUP($B276,U$109:$AG$208,U$107,FALSE),"")</f>
        <v/>
      </c>
      <c r="V276" s="2152" t="str">
        <f>IFERROR(VLOOKUP($B276,V$109:$AG$208,V$107,FALSE),"")</f>
        <v/>
      </c>
      <c r="W276" s="2152" t="str">
        <f>IFERROR(VLOOKUP($B276,W$109:$AG$208,W$107,FALSE),"")</f>
        <v/>
      </c>
      <c r="X276" s="2152" t="str">
        <f>IFERROR(VLOOKUP($B276,X$109:$AG$208,X$107,FALSE),"")</f>
        <v/>
      </c>
      <c r="Y276" s="2152" t="str">
        <f>IFERROR(VLOOKUP($B276,Y$109:$AG$208,Y$107,FALSE),"")</f>
        <v/>
      </c>
      <c r="Z276" s="2152" t="str">
        <f>IFERROR(VLOOKUP($B276,Z$109:$AG$208,Z$107,FALSE),"")</f>
        <v/>
      </c>
      <c r="AA276" s="2152" t="str">
        <f>IFERROR(VLOOKUP($B276,AA$109:$AG$208,AA$107,FALSE),"")</f>
        <v/>
      </c>
      <c r="AB276" s="2152" t="str">
        <f>IFERROR(VLOOKUP($B276,AB$109:$AG$208,AB$107,FALSE),"")</f>
        <v/>
      </c>
      <c r="AC276" s="2152" t="str">
        <f>IFERROR(VLOOKUP($B276,AC$109:$AG$208,AC$107,FALSE),"")</f>
        <v/>
      </c>
      <c r="AD276" s="2152" t="str">
        <f>IFERROR(VLOOKUP($B276,AD$109:$AG$208,AD$107,FALSE),"")</f>
        <v>Select 240 EC</v>
      </c>
      <c r="AE276" s="2152" t="str">
        <f>IFERROR(VLOOKUP($B276,AE$109:$AG$208,AE$107,FALSE),"")</f>
        <v/>
      </c>
      <c r="AF276" s="2152" t="str">
        <f>IFERROR(VLOOKUP($B276,AF$109:$AG$208,AF$107,FALSE),"")</f>
        <v/>
      </c>
    </row>
    <row r="277" spans="2:32">
      <c r="B277" s="2168">
        <f t="shared" si="20"/>
        <v>63</v>
      </c>
      <c r="F277" s="2152" t="str">
        <f>IFERROR(VLOOKUP($B277,F$109:$AG$208,F$107,FALSE),"")</f>
        <v/>
      </c>
      <c r="G277" s="2152" t="str">
        <f>IFERROR(VLOOKUP($B277,G$109:$AG$208,G$107,FALSE),"")</f>
        <v/>
      </c>
      <c r="H277" s="2152" t="str">
        <f>IFERROR(VLOOKUP($B277,H$109:$AG$208,H$107,FALSE),"")</f>
        <v/>
      </c>
      <c r="I277" s="2152" t="str">
        <f>IFERROR(VLOOKUP($B277,I$109:$AG$208,I$107,FALSE),"")</f>
        <v/>
      </c>
      <c r="J277" s="2152" t="str">
        <f>IFERROR(VLOOKUP($B277,J$109:$AG$208,J$107,FALSE),"")</f>
        <v/>
      </c>
      <c r="K277" s="2152" t="str">
        <f>IFERROR(VLOOKUP($B277,K$109:$AG$208,K$107,FALSE),"")</f>
        <v/>
      </c>
      <c r="L277" s="2152" t="str">
        <f>IFERROR(VLOOKUP($B277,L$109:$AG$208,L$107,FALSE),"")</f>
        <v/>
      </c>
      <c r="M277" s="2152" t="str">
        <f>IFERROR(VLOOKUP($B277,M$109:$AG$208,M$107,FALSE),"")</f>
        <v/>
      </c>
      <c r="N277" s="2152" t="str">
        <f>IFERROR(VLOOKUP($B277,N$109:$AG$208,N$107,FALSE),"")</f>
        <v/>
      </c>
      <c r="O277" s="2152" t="str">
        <f>IFERROR(VLOOKUP($B277,O$109:$AG$208,O$107,FALSE),"")</f>
        <v/>
      </c>
      <c r="P277" s="2152" t="str">
        <f>IFERROR(VLOOKUP($B277,P$109:$AG$208,P$107,FALSE),"")</f>
        <v/>
      </c>
      <c r="Q277" s="2152" t="str">
        <f>IFERROR(VLOOKUP($B277,Q$109:$AG$208,Q$107,FALSE),"")</f>
        <v/>
      </c>
      <c r="R277" s="2152" t="str">
        <f>IFERROR(VLOOKUP($B277,R$109:$AG$208,R$107,FALSE),"")</f>
        <v/>
      </c>
      <c r="S277" s="2152" t="str">
        <f>IFERROR(VLOOKUP($B277,S$109:$AG$208,S$107,FALSE),"")</f>
        <v/>
      </c>
      <c r="T277" s="2152" t="str">
        <f>IFERROR(VLOOKUP($B277,T$109:$AG$208,T$107,FALSE),"")</f>
        <v/>
      </c>
      <c r="U277" s="2152" t="str">
        <f>IFERROR(VLOOKUP($B277,U$109:$AG$208,U$107,FALSE),"")</f>
        <v/>
      </c>
      <c r="V277" s="2152" t="str">
        <f>IFERROR(VLOOKUP($B277,V$109:$AG$208,V$107,FALSE),"")</f>
        <v/>
      </c>
      <c r="W277" s="2152" t="str">
        <f>IFERROR(VLOOKUP($B277,W$109:$AG$208,W$107,FALSE),"")</f>
        <v/>
      </c>
      <c r="X277" s="2152" t="str">
        <f>IFERROR(VLOOKUP($B277,X$109:$AG$208,X$107,FALSE),"")</f>
        <v/>
      </c>
      <c r="Y277" s="2152" t="str">
        <f>IFERROR(VLOOKUP($B277,Y$109:$AG$208,Y$107,FALSE),"")</f>
        <v/>
      </c>
      <c r="Z277" s="2152" t="str">
        <f>IFERROR(VLOOKUP($B277,Z$109:$AG$208,Z$107,FALSE),"")</f>
        <v/>
      </c>
      <c r="AA277" s="2152" t="str">
        <f>IFERROR(VLOOKUP($B277,AA$109:$AG$208,AA$107,FALSE),"")</f>
        <v/>
      </c>
      <c r="AB277" s="2152" t="str">
        <f>IFERROR(VLOOKUP($B277,AB$109:$AG$208,AB$107,FALSE),"")</f>
        <v/>
      </c>
      <c r="AC277" s="2152" t="str">
        <f>IFERROR(VLOOKUP($B277,AC$109:$AG$208,AC$107,FALSE),"")</f>
        <v/>
      </c>
      <c r="AD277" s="2152" t="str">
        <f>IFERROR(VLOOKUP($B277,AD$109:$AG$208,AD$107,FALSE),"")</f>
        <v>Sencor Liquid</v>
      </c>
      <c r="AE277" s="2152" t="str">
        <f>IFERROR(VLOOKUP($B277,AE$109:$AG$208,AE$107,FALSE),"")</f>
        <v/>
      </c>
      <c r="AF277" s="2152" t="str">
        <f>IFERROR(VLOOKUP($B277,AF$109:$AG$208,AF$107,FALSE),"")</f>
        <v/>
      </c>
    </row>
    <row r="278" spans="2:32">
      <c r="B278" s="2168">
        <f t="shared" si="20"/>
        <v>64</v>
      </c>
      <c r="F278" s="2152" t="str">
        <f>IFERROR(VLOOKUP($B278,F$109:$AG$208,F$107,FALSE),"")</f>
        <v/>
      </c>
      <c r="G278" s="2152" t="str">
        <f>IFERROR(VLOOKUP($B278,G$109:$AG$208,G$107,FALSE),"")</f>
        <v/>
      </c>
      <c r="H278" s="2152" t="str">
        <f>IFERROR(VLOOKUP($B278,H$109:$AG$208,H$107,FALSE),"")</f>
        <v/>
      </c>
      <c r="I278" s="2152" t="str">
        <f>IFERROR(VLOOKUP($B278,I$109:$AG$208,I$107,FALSE),"")</f>
        <v/>
      </c>
      <c r="J278" s="2152" t="str">
        <f>IFERROR(VLOOKUP($B278,J$109:$AG$208,J$107,FALSE),"")</f>
        <v/>
      </c>
      <c r="K278" s="2152" t="str">
        <f>IFERROR(VLOOKUP($B278,K$109:$AG$208,K$107,FALSE),"")</f>
        <v/>
      </c>
      <c r="L278" s="2152" t="str">
        <f>IFERROR(VLOOKUP($B278,L$109:$AG$208,L$107,FALSE),"")</f>
        <v/>
      </c>
      <c r="M278" s="2152" t="str">
        <f>IFERROR(VLOOKUP($B278,M$109:$AG$208,M$107,FALSE),"")</f>
        <v/>
      </c>
      <c r="N278" s="2152" t="str">
        <f>IFERROR(VLOOKUP($B278,N$109:$AG$208,N$107,FALSE),"")</f>
        <v/>
      </c>
      <c r="O278" s="2152" t="str">
        <f>IFERROR(VLOOKUP($B278,O$109:$AG$208,O$107,FALSE),"")</f>
        <v/>
      </c>
      <c r="P278" s="2152" t="str">
        <f>IFERROR(VLOOKUP($B278,P$109:$AG$208,P$107,FALSE),"")</f>
        <v/>
      </c>
      <c r="Q278" s="2152" t="str">
        <f>IFERROR(VLOOKUP($B278,Q$109:$AG$208,Q$107,FALSE),"")</f>
        <v/>
      </c>
      <c r="R278" s="2152" t="str">
        <f>IFERROR(VLOOKUP($B278,R$109:$AG$208,R$107,FALSE),"")</f>
        <v/>
      </c>
      <c r="S278" s="2152" t="str">
        <f>IFERROR(VLOOKUP($B278,S$109:$AG$208,S$107,FALSE),"")</f>
        <v/>
      </c>
      <c r="T278" s="2152" t="str">
        <f>IFERROR(VLOOKUP($B278,T$109:$AG$208,T$107,FALSE),"")</f>
        <v/>
      </c>
      <c r="U278" s="2152" t="str">
        <f>IFERROR(VLOOKUP($B278,U$109:$AG$208,U$107,FALSE),"")</f>
        <v/>
      </c>
      <c r="V278" s="2152" t="str">
        <f>IFERROR(VLOOKUP($B278,V$109:$AG$208,V$107,FALSE),"")</f>
        <v/>
      </c>
      <c r="W278" s="2152" t="str">
        <f>IFERROR(VLOOKUP($B278,W$109:$AG$208,W$107,FALSE),"")</f>
        <v/>
      </c>
      <c r="X278" s="2152" t="str">
        <f>IFERROR(VLOOKUP($B278,X$109:$AG$208,X$107,FALSE),"")</f>
        <v/>
      </c>
      <c r="Y278" s="2152" t="str">
        <f>IFERROR(VLOOKUP($B278,Y$109:$AG$208,Y$107,FALSE),"")</f>
        <v/>
      </c>
      <c r="Z278" s="2152" t="str">
        <f>IFERROR(VLOOKUP($B278,Z$109:$AG$208,Z$107,FALSE),"")</f>
        <v/>
      </c>
      <c r="AA278" s="2152" t="str">
        <f>IFERROR(VLOOKUP($B278,AA$109:$AG$208,AA$107,FALSE),"")</f>
        <v/>
      </c>
      <c r="AB278" s="2152" t="str">
        <f>IFERROR(VLOOKUP($B278,AB$109:$AG$208,AB$107,FALSE),"")</f>
        <v/>
      </c>
      <c r="AC278" s="2152" t="str">
        <f>IFERROR(VLOOKUP($B278,AC$109:$AG$208,AC$107,FALSE),"")</f>
        <v/>
      </c>
      <c r="AD278" s="2152" t="str">
        <f>IFERROR(VLOOKUP($B278,AD$109:$AG$208,AD$107,FALSE),"")</f>
        <v>Shirlan</v>
      </c>
      <c r="AE278" s="2152" t="str">
        <f>IFERROR(VLOOKUP($B278,AE$109:$AG$208,AE$107,FALSE),"")</f>
        <v/>
      </c>
      <c r="AF278" s="2152" t="str">
        <f>IFERROR(VLOOKUP($B278,AF$109:$AG$208,AF$107,FALSE),"")</f>
        <v/>
      </c>
    </row>
    <row r="279" spans="2:32">
      <c r="B279" s="2168">
        <f t="shared" ref="B279:B313" si="21">B278+1</f>
        <v>65</v>
      </c>
      <c r="F279" s="2152" t="str">
        <f>IFERROR(VLOOKUP($B279,F$109:$AG$208,F$107,FALSE),"")</f>
        <v/>
      </c>
      <c r="G279" s="2152" t="str">
        <f>IFERROR(VLOOKUP($B279,G$109:$AG$208,G$107,FALSE),"")</f>
        <v/>
      </c>
      <c r="H279" s="2152" t="str">
        <f>IFERROR(VLOOKUP($B279,H$109:$AG$208,H$107,FALSE),"")</f>
        <v/>
      </c>
      <c r="I279" s="2152" t="str">
        <f>IFERROR(VLOOKUP($B279,I$109:$AG$208,I$107,FALSE),"")</f>
        <v/>
      </c>
      <c r="J279" s="2152" t="str">
        <f>IFERROR(VLOOKUP($B279,J$109:$AG$208,J$107,FALSE),"")</f>
        <v/>
      </c>
      <c r="K279" s="2152" t="str">
        <f>IFERROR(VLOOKUP($B279,K$109:$AG$208,K$107,FALSE),"")</f>
        <v/>
      </c>
      <c r="L279" s="2152" t="str">
        <f>IFERROR(VLOOKUP($B279,L$109:$AG$208,L$107,FALSE),"")</f>
        <v/>
      </c>
      <c r="M279" s="2152" t="str">
        <f>IFERROR(VLOOKUP($B279,M$109:$AG$208,M$107,FALSE),"")</f>
        <v/>
      </c>
      <c r="N279" s="2152" t="str">
        <f>IFERROR(VLOOKUP($B279,N$109:$AG$208,N$107,FALSE),"")</f>
        <v/>
      </c>
      <c r="O279" s="2152" t="str">
        <f>IFERROR(VLOOKUP($B279,O$109:$AG$208,O$107,FALSE),"")</f>
        <v/>
      </c>
      <c r="P279" s="2152" t="str">
        <f>IFERROR(VLOOKUP($B279,P$109:$AG$208,P$107,FALSE),"")</f>
        <v/>
      </c>
      <c r="Q279" s="2152" t="str">
        <f>IFERROR(VLOOKUP($B279,Q$109:$AG$208,Q$107,FALSE),"")</f>
        <v/>
      </c>
      <c r="R279" s="2152" t="str">
        <f>IFERROR(VLOOKUP($B279,R$109:$AG$208,R$107,FALSE),"")</f>
        <v/>
      </c>
      <c r="S279" s="2152" t="str">
        <f>IFERROR(VLOOKUP($B279,S$109:$AG$208,S$107,FALSE),"")</f>
        <v/>
      </c>
      <c r="T279" s="2152" t="str">
        <f>IFERROR(VLOOKUP($B279,T$109:$AG$208,T$107,FALSE),"")</f>
        <v/>
      </c>
      <c r="U279" s="2152" t="str">
        <f>IFERROR(VLOOKUP($B279,U$109:$AG$208,U$107,FALSE),"")</f>
        <v/>
      </c>
      <c r="V279" s="2152" t="str">
        <f>IFERROR(VLOOKUP($B279,V$109:$AG$208,V$107,FALSE),"")</f>
        <v/>
      </c>
      <c r="W279" s="2152" t="str">
        <f>IFERROR(VLOOKUP($B279,W$109:$AG$208,W$107,FALSE),"")</f>
        <v/>
      </c>
      <c r="X279" s="2152" t="str">
        <f>IFERROR(VLOOKUP($B279,X$109:$AG$208,X$107,FALSE),"")</f>
        <v/>
      </c>
      <c r="Y279" s="2152" t="str">
        <f>IFERROR(VLOOKUP($B279,Y$109:$AG$208,Y$107,FALSE),"")</f>
        <v/>
      </c>
      <c r="Z279" s="2152" t="str">
        <f>IFERROR(VLOOKUP($B279,Z$109:$AG$208,Z$107,FALSE),"")</f>
        <v/>
      </c>
      <c r="AA279" s="2152" t="str">
        <f>IFERROR(VLOOKUP($B279,AA$109:$AG$208,AA$107,FALSE),"")</f>
        <v/>
      </c>
      <c r="AB279" s="2152" t="str">
        <f>IFERROR(VLOOKUP($B279,AB$109:$AG$208,AB$107,FALSE),"")</f>
        <v/>
      </c>
      <c r="AC279" s="2152" t="str">
        <f>IFERROR(VLOOKUP($B279,AC$109:$AG$208,AC$107,FALSE),"")</f>
        <v/>
      </c>
      <c r="AD279" s="2152" t="str">
        <f>IFERROR(VLOOKUP($B279,AD$109:$AG$208,AD$107,FALSE),"")</f>
        <v>Spectrum Plus</v>
      </c>
      <c r="AE279" s="2152" t="str">
        <f>IFERROR(VLOOKUP($B279,AE$109:$AG$208,AE$107,FALSE),"")</f>
        <v/>
      </c>
      <c r="AF279" s="2152" t="str">
        <f>IFERROR(VLOOKUP($B279,AF$109:$AG$208,AF$107,FALSE),"")</f>
        <v/>
      </c>
    </row>
    <row r="280" spans="2:32">
      <c r="B280" s="2168">
        <f t="shared" si="21"/>
        <v>66</v>
      </c>
      <c r="F280" s="2152" t="str">
        <f>IFERROR(VLOOKUP($B280,F$109:$AG$208,F$107,FALSE),"")</f>
        <v/>
      </c>
      <c r="G280" s="2152" t="str">
        <f>IFERROR(VLOOKUP($B280,G$109:$AG$208,G$107,FALSE),"")</f>
        <v/>
      </c>
      <c r="H280" s="2152" t="str">
        <f>IFERROR(VLOOKUP($B280,H$109:$AG$208,H$107,FALSE),"")</f>
        <v/>
      </c>
      <c r="I280" s="2152" t="str">
        <f>IFERROR(VLOOKUP($B280,I$109:$AG$208,I$107,FALSE),"")</f>
        <v/>
      </c>
      <c r="J280" s="2152" t="str">
        <f>IFERROR(VLOOKUP($B280,J$109:$AG$208,J$107,FALSE),"")</f>
        <v/>
      </c>
      <c r="K280" s="2152" t="str">
        <f>IFERROR(VLOOKUP($B280,K$109:$AG$208,K$107,FALSE),"")</f>
        <v/>
      </c>
      <c r="L280" s="2152" t="str">
        <f>IFERROR(VLOOKUP($B280,L$109:$AG$208,L$107,FALSE),"")</f>
        <v/>
      </c>
      <c r="M280" s="2152" t="str">
        <f>IFERROR(VLOOKUP($B280,M$109:$AG$208,M$107,FALSE),"")</f>
        <v/>
      </c>
      <c r="N280" s="2152" t="str">
        <f>IFERROR(VLOOKUP($B280,N$109:$AG$208,N$107,FALSE),"")</f>
        <v/>
      </c>
      <c r="O280" s="2152" t="str">
        <f>IFERROR(VLOOKUP($B280,O$109:$AG$208,O$107,FALSE),"")</f>
        <v/>
      </c>
      <c r="P280" s="2152" t="str">
        <f>IFERROR(VLOOKUP($B280,P$109:$AG$208,P$107,FALSE),"")</f>
        <v/>
      </c>
      <c r="Q280" s="2152" t="str">
        <f>IFERROR(VLOOKUP($B280,Q$109:$AG$208,Q$107,FALSE),"")</f>
        <v/>
      </c>
      <c r="R280" s="2152" t="str">
        <f>IFERROR(VLOOKUP($B280,R$109:$AG$208,R$107,FALSE),"")</f>
        <v/>
      </c>
      <c r="S280" s="2152" t="str">
        <f>IFERROR(VLOOKUP($B280,S$109:$AG$208,S$107,FALSE),"")</f>
        <v/>
      </c>
      <c r="T280" s="2152" t="str">
        <f>IFERROR(VLOOKUP($B280,T$109:$AG$208,T$107,FALSE),"")</f>
        <v/>
      </c>
      <c r="U280" s="2152" t="str">
        <f>IFERROR(VLOOKUP($B280,U$109:$AG$208,U$107,FALSE),"")</f>
        <v/>
      </c>
      <c r="V280" s="2152" t="str">
        <f>IFERROR(VLOOKUP($B280,V$109:$AG$208,V$107,FALSE),"")</f>
        <v/>
      </c>
      <c r="W280" s="2152" t="str">
        <f>IFERROR(VLOOKUP($B280,W$109:$AG$208,W$107,FALSE),"")</f>
        <v/>
      </c>
      <c r="X280" s="2152" t="str">
        <f>IFERROR(VLOOKUP($B280,X$109:$AG$208,X$107,FALSE),"")</f>
        <v/>
      </c>
      <c r="Y280" s="2152" t="str">
        <f>IFERROR(VLOOKUP($B280,Y$109:$AG$208,Y$107,FALSE),"")</f>
        <v/>
      </c>
      <c r="Z280" s="2152" t="str">
        <f>IFERROR(VLOOKUP($B280,Z$109:$AG$208,Z$107,FALSE),"")</f>
        <v/>
      </c>
      <c r="AA280" s="2152" t="str">
        <f>IFERROR(VLOOKUP($B280,AA$109:$AG$208,AA$107,FALSE),"")</f>
        <v/>
      </c>
      <c r="AB280" s="2152" t="str">
        <f>IFERROR(VLOOKUP($B280,AB$109:$AG$208,AB$107,FALSE),"")</f>
        <v/>
      </c>
      <c r="AC280" s="2152" t="str">
        <f>IFERROR(VLOOKUP($B280,AC$109:$AG$208,AC$107,FALSE),"")</f>
        <v/>
      </c>
      <c r="AD280" s="2152" t="str">
        <f>IFERROR(VLOOKUP($B280,AD$109:$AG$208,AD$107,FALSE),"")</f>
        <v>Starane XL</v>
      </c>
      <c r="AE280" s="2152" t="str">
        <f>IFERROR(VLOOKUP($B280,AE$109:$AG$208,AE$107,FALSE),"")</f>
        <v/>
      </c>
      <c r="AF280" s="2152" t="str">
        <f>IFERROR(VLOOKUP($B280,AF$109:$AG$208,AF$107,FALSE),"")</f>
        <v/>
      </c>
    </row>
    <row r="281" spans="2:32">
      <c r="B281" s="2168">
        <f t="shared" si="21"/>
        <v>67</v>
      </c>
      <c r="F281" s="2152" t="str">
        <f>IFERROR(VLOOKUP($B281,F$109:$AG$208,F$107,FALSE),"")</f>
        <v/>
      </c>
      <c r="G281" s="2152" t="str">
        <f>IFERROR(VLOOKUP($B281,G$109:$AG$208,G$107,FALSE),"")</f>
        <v/>
      </c>
      <c r="H281" s="2152" t="str">
        <f>IFERROR(VLOOKUP($B281,H$109:$AG$208,H$107,FALSE),"")</f>
        <v/>
      </c>
      <c r="I281" s="2152" t="str">
        <f>IFERROR(VLOOKUP($B281,I$109:$AG$208,I$107,FALSE),"")</f>
        <v/>
      </c>
      <c r="J281" s="2152" t="str">
        <f>IFERROR(VLOOKUP($B281,J$109:$AG$208,J$107,FALSE),"")</f>
        <v/>
      </c>
      <c r="K281" s="2152" t="str">
        <f>IFERROR(VLOOKUP($B281,K$109:$AG$208,K$107,FALSE),"")</f>
        <v/>
      </c>
      <c r="L281" s="2152" t="str">
        <f>IFERROR(VLOOKUP($B281,L$109:$AG$208,L$107,FALSE),"")</f>
        <v/>
      </c>
      <c r="M281" s="2152" t="str">
        <f>IFERROR(VLOOKUP($B281,M$109:$AG$208,M$107,FALSE),"")</f>
        <v/>
      </c>
      <c r="N281" s="2152" t="str">
        <f>IFERROR(VLOOKUP($B281,N$109:$AG$208,N$107,FALSE),"")</f>
        <v/>
      </c>
      <c r="O281" s="2152" t="str">
        <f>IFERROR(VLOOKUP($B281,O$109:$AG$208,O$107,FALSE),"")</f>
        <v/>
      </c>
      <c r="P281" s="2152" t="str">
        <f>IFERROR(VLOOKUP($B281,P$109:$AG$208,P$107,FALSE),"")</f>
        <v/>
      </c>
      <c r="Q281" s="2152" t="str">
        <f>IFERROR(VLOOKUP($B281,Q$109:$AG$208,Q$107,FALSE),"")</f>
        <v/>
      </c>
      <c r="R281" s="2152" t="str">
        <f>IFERROR(VLOOKUP($B281,R$109:$AG$208,R$107,FALSE),"")</f>
        <v/>
      </c>
      <c r="S281" s="2152" t="str">
        <f>IFERROR(VLOOKUP($B281,S$109:$AG$208,S$107,FALSE),"")</f>
        <v/>
      </c>
      <c r="T281" s="2152" t="str">
        <f>IFERROR(VLOOKUP($B281,T$109:$AG$208,T$107,FALSE),"")</f>
        <v/>
      </c>
      <c r="U281" s="2152" t="str">
        <f>IFERROR(VLOOKUP($B281,U$109:$AG$208,U$107,FALSE),"")</f>
        <v/>
      </c>
      <c r="V281" s="2152" t="str">
        <f>IFERROR(VLOOKUP($B281,V$109:$AG$208,V$107,FALSE),"")</f>
        <v/>
      </c>
      <c r="W281" s="2152" t="str">
        <f>IFERROR(VLOOKUP($B281,W$109:$AG$208,W$107,FALSE),"")</f>
        <v/>
      </c>
      <c r="X281" s="2152" t="str">
        <f>IFERROR(VLOOKUP($B281,X$109:$AG$208,X$107,FALSE),"")</f>
        <v/>
      </c>
      <c r="Y281" s="2152" t="str">
        <f>IFERROR(VLOOKUP($B281,Y$109:$AG$208,Y$107,FALSE),"")</f>
        <v/>
      </c>
      <c r="Z281" s="2152" t="str">
        <f>IFERROR(VLOOKUP($B281,Z$109:$AG$208,Z$107,FALSE),"")</f>
        <v/>
      </c>
      <c r="AA281" s="2152" t="str">
        <f>IFERROR(VLOOKUP($B281,AA$109:$AG$208,AA$107,FALSE),"")</f>
        <v/>
      </c>
      <c r="AB281" s="2152" t="str">
        <f>IFERROR(VLOOKUP($B281,AB$109:$AG$208,AB$107,FALSE),"")</f>
        <v/>
      </c>
      <c r="AC281" s="2152" t="str">
        <f>IFERROR(VLOOKUP($B281,AC$109:$AG$208,AC$107,FALSE),"")</f>
        <v/>
      </c>
      <c r="AD281" s="2152" t="str">
        <f>IFERROR(VLOOKUP($B281,AD$109:$AG$208,AD$107,FALSE),"")</f>
        <v>Stomp Aqua</v>
      </c>
      <c r="AE281" s="2152" t="str">
        <f>IFERROR(VLOOKUP($B281,AE$109:$AG$208,AE$107,FALSE),"")</f>
        <v/>
      </c>
      <c r="AF281" s="2152" t="str">
        <f>IFERROR(VLOOKUP($B281,AF$109:$AG$208,AF$107,FALSE),"")</f>
        <v/>
      </c>
    </row>
    <row r="282" spans="2:32">
      <c r="B282" s="2168">
        <f t="shared" si="21"/>
        <v>68</v>
      </c>
      <c r="F282" s="2152" t="str">
        <f>IFERROR(VLOOKUP($B282,F$109:$AG$208,F$107,FALSE),"")</f>
        <v/>
      </c>
      <c r="G282" s="2152" t="str">
        <f>IFERROR(VLOOKUP($B282,G$109:$AG$208,G$107,FALSE),"")</f>
        <v/>
      </c>
      <c r="H282" s="2152" t="str">
        <f>IFERROR(VLOOKUP($B282,H$109:$AG$208,H$107,FALSE),"")</f>
        <v/>
      </c>
      <c r="I282" s="2152" t="str">
        <f>IFERROR(VLOOKUP($B282,I$109:$AG$208,I$107,FALSE),"")</f>
        <v/>
      </c>
      <c r="J282" s="2152" t="str">
        <f>IFERROR(VLOOKUP($B282,J$109:$AG$208,J$107,FALSE),"")</f>
        <v/>
      </c>
      <c r="K282" s="2152" t="str">
        <f>IFERROR(VLOOKUP($B282,K$109:$AG$208,K$107,FALSE),"")</f>
        <v/>
      </c>
      <c r="L282" s="2152" t="str">
        <f>IFERROR(VLOOKUP($B282,L$109:$AG$208,L$107,FALSE),"")</f>
        <v/>
      </c>
      <c r="M282" s="2152" t="str">
        <f>IFERROR(VLOOKUP($B282,M$109:$AG$208,M$107,FALSE),"")</f>
        <v/>
      </c>
      <c r="N282" s="2152" t="str">
        <f>IFERROR(VLOOKUP($B282,N$109:$AG$208,N$107,FALSE),"")</f>
        <v/>
      </c>
      <c r="O282" s="2152" t="str">
        <f>IFERROR(VLOOKUP($B282,O$109:$AG$208,O$107,FALSE),"")</f>
        <v/>
      </c>
      <c r="P282" s="2152" t="str">
        <f>IFERROR(VLOOKUP($B282,P$109:$AG$208,P$107,FALSE),"")</f>
        <v/>
      </c>
      <c r="Q282" s="2152" t="str">
        <f>IFERROR(VLOOKUP($B282,Q$109:$AG$208,Q$107,FALSE),"")</f>
        <v/>
      </c>
      <c r="R282" s="2152" t="str">
        <f>IFERROR(VLOOKUP($B282,R$109:$AG$208,R$107,FALSE),"")</f>
        <v/>
      </c>
      <c r="S282" s="2152" t="str">
        <f>IFERROR(VLOOKUP($B282,S$109:$AG$208,S$107,FALSE),"")</f>
        <v/>
      </c>
      <c r="T282" s="2152" t="str">
        <f>IFERROR(VLOOKUP($B282,T$109:$AG$208,T$107,FALSE),"")</f>
        <v/>
      </c>
      <c r="U282" s="2152" t="str">
        <f>IFERROR(VLOOKUP($B282,U$109:$AG$208,U$107,FALSE),"")</f>
        <v/>
      </c>
      <c r="V282" s="2152" t="str">
        <f>IFERROR(VLOOKUP($B282,V$109:$AG$208,V$107,FALSE),"")</f>
        <v/>
      </c>
      <c r="W282" s="2152" t="str">
        <f>IFERROR(VLOOKUP($B282,W$109:$AG$208,W$107,FALSE),"")</f>
        <v/>
      </c>
      <c r="X282" s="2152" t="str">
        <f>IFERROR(VLOOKUP($B282,X$109:$AG$208,X$107,FALSE),"")</f>
        <v/>
      </c>
      <c r="Y282" s="2152" t="str">
        <f>IFERROR(VLOOKUP($B282,Y$109:$AG$208,Y$107,FALSE),"")</f>
        <v/>
      </c>
      <c r="Z282" s="2152" t="str">
        <f>IFERROR(VLOOKUP($B282,Z$109:$AG$208,Z$107,FALSE),"")</f>
        <v/>
      </c>
      <c r="AA282" s="2152" t="str">
        <f>IFERROR(VLOOKUP($B282,AA$109:$AG$208,AA$107,FALSE),"")</f>
        <v/>
      </c>
      <c r="AB282" s="2152" t="str">
        <f>IFERROR(VLOOKUP($B282,AB$109:$AG$208,AB$107,FALSE),"")</f>
        <v/>
      </c>
      <c r="AC282" s="2152" t="str">
        <f>IFERROR(VLOOKUP($B282,AC$109:$AG$208,AC$107,FALSE),"")</f>
        <v/>
      </c>
      <c r="AD282" s="2152" t="str">
        <f>IFERROR(VLOOKUP($B282,AD$109:$AG$208,AD$107,FALSE),"")</f>
        <v>Teppeki</v>
      </c>
      <c r="AE282" s="2152" t="str">
        <f>IFERROR(VLOOKUP($B282,AE$109:$AG$208,AE$107,FALSE),"")</f>
        <v/>
      </c>
      <c r="AF282" s="2152" t="str">
        <f>IFERROR(VLOOKUP($B282,AF$109:$AG$208,AF$107,FALSE),"")</f>
        <v/>
      </c>
    </row>
    <row r="283" spans="2:32">
      <c r="B283" s="2168">
        <f t="shared" si="21"/>
        <v>69</v>
      </c>
      <c r="F283" s="2152" t="str">
        <f>IFERROR(VLOOKUP($B283,F$109:$AG$208,F$107,FALSE),"")</f>
        <v/>
      </c>
      <c r="G283" s="2152" t="str">
        <f>IFERROR(VLOOKUP($B283,G$109:$AG$208,G$107,FALSE),"")</f>
        <v/>
      </c>
      <c r="H283" s="2152" t="str">
        <f>IFERROR(VLOOKUP($B283,H$109:$AG$208,H$107,FALSE),"")</f>
        <v/>
      </c>
      <c r="I283" s="2152" t="str">
        <f>IFERROR(VLOOKUP($B283,I$109:$AG$208,I$107,FALSE),"")</f>
        <v/>
      </c>
      <c r="J283" s="2152" t="str">
        <f>IFERROR(VLOOKUP($B283,J$109:$AG$208,J$107,FALSE),"")</f>
        <v/>
      </c>
      <c r="K283" s="2152" t="str">
        <f>IFERROR(VLOOKUP($B283,K$109:$AG$208,K$107,FALSE),"")</f>
        <v/>
      </c>
      <c r="L283" s="2152" t="str">
        <f>IFERROR(VLOOKUP($B283,L$109:$AG$208,L$107,FALSE),"")</f>
        <v/>
      </c>
      <c r="M283" s="2152" t="str">
        <f>IFERROR(VLOOKUP($B283,M$109:$AG$208,M$107,FALSE),"")</f>
        <v/>
      </c>
      <c r="N283" s="2152" t="str">
        <f>IFERROR(VLOOKUP($B283,N$109:$AG$208,N$107,FALSE),"")</f>
        <v/>
      </c>
      <c r="O283" s="2152" t="str">
        <f>IFERROR(VLOOKUP($B283,O$109:$AG$208,O$107,FALSE),"")</f>
        <v/>
      </c>
      <c r="P283" s="2152" t="str">
        <f>IFERROR(VLOOKUP($B283,P$109:$AG$208,P$107,FALSE),"")</f>
        <v/>
      </c>
      <c r="Q283" s="2152" t="str">
        <f>IFERROR(VLOOKUP($B283,Q$109:$AG$208,Q$107,FALSE),"")</f>
        <v/>
      </c>
      <c r="R283" s="2152" t="str">
        <f>IFERROR(VLOOKUP($B283,R$109:$AG$208,R$107,FALSE),"")</f>
        <v/>
      </c>
      <c r="S283" s="2152" t="str">
        <f>IFERROR(VLOOKUP($B283,S$109:$AG$208,S$107,FALSE),"")</f>
        <v/>
      </c>
      <c r="T283" s="2152" t="str">
        <f>IFERROR(VLOOKUP($B283,T$109:$AG$208,T$107,FALSE),"")</f>
        <v/>
      </c>
      <c r="U283" s="2152" t="str">
        <f>IFERROR(VLOOKUP($B283,U$109:$AG$208,U$107,FALSE),"")</f>
        <v/>
      </c>
      <c r="V283" s="2152" t="str">
        <f>IFERROR(VLOOKUP($B283,V$109:$AG$208,V$107,FALSE),"")</f>
        <v/>
      </c>
      <c r="W283" s="2152" t="str">
        <f>IFERROR(VLOOKUP($B283,W$109:$AG$208,W$107,FALSE),"")</f>
        <v/>
      </c>
      <c r="X283" s="2152" t="str">
        <f>IFERROR(VLOOKUP($B283,X$109:$AG$208,X$107,FALSE),"")</f>
        <v/>
      </c>
      <c r="Y283" s="2152" t="str">
        <f>IFERROR(VLOOKUP($B283,Y$109:$AG$208,Y$107,FALSE),"")</f>
        <v/>
      </c>
      <c r="Z283" s="2152" t="str">
        <f>IFERROR(VLOOKUP($B283,Z$109:$AG$208,Z$107,FALSE),"")</f>
        <v/>
      </c>
      <c r="AA283" s="2152" t="str">
        <f>IFERROR(VLOOKUP($B283,AA$109:$AG$208,AA$107,FALSE),"")</f>
        <v/>
      </c>
      <c r="AB283" s="2152" t="str">
        <f>IFERROR(VLOOKUP($B283,AB$109:$AG$208,AB$107,FALSE),"")</f>
        <v/>
      </c>
      <c r="AC283" s="2152" t="str">
        <f>IFERROR(VLOOKUP($B283,AC$109:$AG$208,AC$107,FALSE),"")</f>
        <v/>
      </c>
      <c r="AD283" s="2152" t="str">
        <f>IFERROR(VLOOKUP($B283,AD$109:$AG$208,AD$107,FALSE),"")</f>
        <v>Tilmor</v>
      </c>
      <c r="AE283" s="2152" t="str">
        <f>IFERROR(VLOOKUP($B283,AE$109:$AG$208,AE$107,FALSE),"")</f>
        <v/>
      </c>
      <c r="AF283" s="2152" t="str">
        <f>IFERROR(VLOOKUP($B283,AF$109:$AG$208,AF$107,FALSE),"")</f>
        <v/>
      </c>
    </row>
    <row r="284" spans="2:32">
      <c r="B284" s="2168">
        <f t="shared" si="21"/>
        <v>70</v>
      </c>
      <c r="F284" s="2152" t="str">
        <f>IFERROR(VLOOKUP($B284,F$109:$AG$208,F$107,FALSE),"")</f>
        <v/>
      </c>
      <c r="G284" s="2152" t="str">
        <f>IFERROR(VLOOKUP($B284,G$109:$AG$208,G$107,FALSE),"")</f>
        <v/>
      </c>
      <c r="H284" s="2152" t="str">
        <f>IFERROR(VLOOKUP($B284,H$109:$AG$208,H$107,FALSE),"")</f>
        <v/>
      </c>
      <c r="I284" s="2152" t="str">
        <f>IFERROR(VLOOKUP($B284,I$109:$AG$208,I$107,FALSE),"")</f>
        <v/>
      </c>
      <c r="J284" s="2152" t="str">
        <f>IFERROR(VLOOKUP($B284,J$109:$AG$208,J$107,FALSE),"")</f>
        <v/>
      </c>
      <c r="K284" s="2152" t="str">
        <f>IFERROR(VLOOKUP($B284,K$109:$AG$208,K$107,FALSE),"")</f>
        <v/>
      </c>
      <c r="L284" s="2152" t="str">
        <f>IFERROR(VLOOKUP($B284,L$109:$AG$208,L$107,FALSE),"")</f>
        <v/>
      </c>
      <c r="M284" s="2152" t="str">
        <f>IFERROR(VLOOKUP($B284,M$109:$AG$208,M$107,FALSE),"")</f>
        <v/>
      </c>
      <c r="N284" s="2152" t="str">
        <f>IFERROR(VLOOKUP($B284,N$109:$AG$208,N$107,FALSE),"")</f>
        <v/>
      </c>
      <c r="O284" s="2152" t="str">
        <f>IFERROR(VLOOKUP($B284,O$109:$AG$208,O$107,FALSE),"")</f>
        <v/>
      </c>
      <c r="P284" s="2152" t="str">
        <f>IFERROR(VLOOKUP($B284,P$109:$AG$208,P$107,FALSE),"")</f>
        <v/>
      </c>
      <c r="Q284" s="2152" t="str">
        <f>IFERROR(VLOOKUP($B284,Q$109:$AG$208,Q$107,FALSE),"")</f>
        <v/>
      </c>
      <c r="R284" s="2152" t="str">
        <f>IFERROR(VLOOKUP($B284,R$109:$AG$208,R$107,FALSE),"")</f>
        <v/>
      </c>
      <c r="S284" s="2152" t="str">
        <f>IFERROR(VLOOKUP($B284,S$109:$AG$208,S$107,FALSE),"")</f>
        <v/>
      </c>
      <c r="T284" s="2152" t="str">
        <f>IFERROR(VLOOKUP($B284,T$109:$AG$208,T$107,FALSE),"")</f>
        <v/>
      </c>
      <c r="U284" s="2152" t="str">
        <f>IFERROR(VLOOKUP($B284,U$109:$AG$208,U$107,FALSE),"")</f>
        <v/>
      </c>
      <c r="V284" s="2152" t="str">
        <f>IFERROR(VLOOKUP($B284,V$109:$AG$208,V$107,FALSE),"")</f>
        <v/>
      </c>
      <c r="W284" s="2152" t="str">
        <f>IFERROR(VLOOKUP($B284,W$109:$AG$208,W$107,FALSE),"")</f>
        <v/>
      </c>
      <c r="X284" s="2152" t="str">
        <f>IFERROR(VLOOKUP($B284,X$109:$AG$208,X$107,FALSE),"")</f>
        <v/>
      </c>
      <c r="Y284" s="2152" t="str">
        <f>IFERROR(VLOOKUP($B284,Y$109:$AG$208,Y$107,FALSE),"")</f>
        <v/>
      </c>
      <c r="Z284" s="2152" t="str">
        <f>IFERROR(VLOOKUP($B284,Z$109:$AG$208,Z$107,FALSE),"")</f>
        <v/>
      </c>
      <c r="AA284" s="2152" t="str">
        <f>IFERROR(VLOOKUP($B284,AA$109:$AG$208,AA$107,FALSE),"")</f>
        <v/>
      </c>
      <c r="AB284" s="2152" t="str">
        <f>IFERROR(VLOOKUP($B284,AB$109:$AG$208,AB$107,FALSE),"")</f>
        <v/>
      </c>
      <c r="AC284" s="2152" t="str">
        <f>IFERROR(VLOOKUP($B284,AC$109:$AG$208,AC$107,FALSE),"")</f>
        <v/>
      </c>
      <c r="AD284" s="2152" t="str">
        <f>IFERROR(VLOOKUP($B284,AD$109:$AG$208,AD$107,FALSE),"")</f>
        <v>Traxos</v>
      </c>
      <c r="AE284" s="2152" t="str">
        <f>IFERROR(VLOOKUP($B284,AE$109:$AG$208,AE$107,FALSE),"")</f>
        <v/>
      </c>
      <c r="AF284" s="2152" t="str">
        <f>IFERROR(VLOOKUP($B284,AF$109:$AG$208,AF$107,FALSE),"")</f>
        <v/>
      </c>
    </row>
    <row r="285" spans="2:32">
      <c r="B285" s="2168">
        <f t="shared" si="21"/>
        <v>71</v>
      </c>
      <c r="F285" s="2152" t="str">
        <f>IFERROR(VLOOKUP($B285,F$109:$AG$208,F$107,FALSE),"")</f>
        <v/>
      </c>
      <c r="G285" s="2152" t="str">
        <f>IFERROR(VLOOKUP($B285,G$109:$AG$208,G$107,FALSE),"")</f>
        <v/>
      </c>
      <c r="H285" s="2152" t="str">
        <f>IFERROR(VLOOKUP($B285,H$109:$AG$208,H$107,FALSE),"")</f>
        <v/>
      </c>
      <c r="I285" s="2152" t="str">
        <f>IFERROR(VLOOKUP($B285,I$109:$AG$208,I$107,FALSE),"")</f>
        <v/>
      </c>
      <c r="J285" s="2152" t="str">
        <f>IFERROR(VLOOKUP($B285,J$109:$AG$208,J$107,FALSE),"")</f>
        <v/>
      </c>
      <c r="K285" s="2152" t="str">
        <f>IFERROR(VLOOKUP($B285,K$109:$AG$208,K$107,FALSE),"")</f>
        <v/>
      </c>
      <c r="L285" s="2152" t="str">
        <f>IFERROR(VLOOKUP($B285,L$109:$AG$208,L$107,FALSE),"")</f>
        <v/>
      </c>
      <c r="M285" s="2152" t="str">
        <f>IFERROR(VLOOKUP($B285,M$109:$AG$208,M$107,FALSE),"")</f>
        <v/>
      </c>
      <c r="N285" s="2152" t="str">
        <f>IFERROR(VLOOKUP($B285,N$109:$AG$208,N$107,FALSE),"")</f>
        <v/>
      </c>
      <c r="O285" s="2152" t="str">
        <f>IFERROR(VLOOKUP($B285,O$109:$AG$208,O$107,FALSE),"")</f>
        <v/>
      </c>
      <c r="P285" s="2152" t="str">
        <f>IFERROR(VLOOKUP($B285,P$109:$AG$208,P$107,FALSE),"")</f>
        <v/>
      </c>
      <c r="Q285" s="2152" t="str">
        <f>IFERROR(VLOOKUP($B285,Q$109:$AG$208,Q$107,FALSE),"")</f>
        <v/>
      </c>
      <c r="R285" s="2152" t="str">
        <f>IFERROR(VLOOKUP($B285,R$109:$AG$208,R$107,FALSE),"")</f>
        <v/>
      </c>
      <c r="S285" s="2152" t="str">
        <f>IFERROR(VLOOKUP($B285,S$109:$AG$208,S$107,FALSE),"")</f>
        <v/>
      </c>
      <c r="T285" s="2152" t="str">
        <f>IFERROR(VLOOKUP($B285,T$109:$AG$208,T$107,FALSE),"")</f>
        <v/>
      </c>
      <c r="U285" s="2152" t="str">
        <f>IFERROR(VLOOKUP($B285,U$109:$AG$208,U$107,FALSE),"")</f>
        <v/>
      </c>
      <c r="V285" s="2152" t="str">
        <f>IFERROR(VLOOKUP($B285,V$109:$AG$208,V$107,FALSE),"")</f>
        <v/>
      </c>
      <c r="W285" s="2152" t="str">
        <f>IFERROR(VLOOKUP($B285,W$109:$AG$208,W$107,FALSE),"")</f>
        <v/>
      </c>
      <c r="X285" s="2152" t="str">
        <f>IFERROR(VLOOKUP($B285,X$109:$AG$208,X$107,FALSE),"")</f>
        <v/>
      </c>
      <c r="Y285" s="2152" t="str">
        <f>IFERROR(VLOOKUP($B285,Y$109:$AG$208,Y$107,FALSE),"")</f>
        <v/>
      </c>
      <c r="Z285" s="2152" t="str">
        <f>IFERROR(VLOOKUP($B285,Z$109:$AG$208,Z$107,FALSE),"")</f>
        <v/>
      </c>
      <c r="AA285" s="2152" t="str">
        <f>IFERROR(VLOOKUP($B285,AA$109:$AG$208,AA$107,FALSE),"")</f>
        <v/>
      </c>
      <c r="AB285" s="2152" t="str">
        <f>IFERROR(VLOOKUP($B285,AB$109:$AG$208,AB$107,FALSE),"")</f>
        <v/>
      </c>
      <c r="AC285" s="2152" t="str">
        <f>IFERROR(VLOOKUP($B285,AC$109:$AG$208,AC$107,FALSE),"")</f>
        <v/>
      </c>
      <c r="AD285" s="2152" t="str">
        <f>IFERROR(VLOOKUP($B285,AD$109:$AG$208,AD$107,FALSE),"")</f>
        <v>Trebon 30 EC</v>
      </c>
      <c r="AE285" s="2152" t="str">
        <f>IFERROR(VLOOKUP($B285,AE$109:$AG$208,AE$107,FALSE),"")</f>
        <v/>
      </c>
      <c r="AF285" s="2152" t="str">
        <f>IFERROR(VLOOKUP($B285,AF$109:$AG$208,AF$107,FALSE),"")</f>
        <v/>
      </c>
    </row>
    <row r="286" spans="2:32">
      <c r="B286" s="2168">
        <f t="shared" si="21"/>
        <v>72</v>
      </c>
      <c r="F286" s="2152" t="str">
        <f>IFERROR(VLOOKUP($B286,F$109:$AG$208,F$107,FALSE),"")</f>
        <v/>
      </c>
      <c r="G286" s="2152" t="str">
        <f>IFERROR(VLOOKUP($B286,G$109:$AG$208,G$107,FALSE),"")</f>
        <v/>
      </c>
      <c r="H286" s="2152" t="str">
        <f>IFERROR(VLOOKUP($B286,H$109:$AG$208,H$107,FALSE),"")</f>
        <v/>
      </c>
      <c r="I286" s="2152" t="str">
        <f>IFERROR(VLOOKUP($B286,I$109:$AG$208,I$107,FALSE),"")</f>
        <v/>
      </c>
      <c r="J286" s="2152" t="str">
        <f>IFERROR(VLOOKUP($B286,J$109:$AG$208,J$107,FALSE),"")</f>
        <v/>
      </c>
      <c r="K286" s="2152" t="str">
        <f>IFERROR(VLOOKUP($B286,K$109:$AG$208,K$107,FALSE),"")</f>
        <v/>
      </c>
      <c r="L286" s="2152" t="str">
        <f>IFERROR(VLOOKUP($B286,L$109:$AG$208,L$107,FALSE),"")</f>
        <v/>
      </c>
      <c r="M286" s="2152" t="str">
        <f>IFERROR(VLOOKUP($B286,M$109:$AG$208,M$107,FALSE),"")</f>
        <v/>
      </c>
      <c r="N286" s="2152" t="str">
        <f>IFERROR(VLOOKUP($B286,N$109:$AG$208,N$107,FALSE),"")</f>
        <v/>
      </c>
      <c r="O286" s="2152" t="str">
        <f>IFERROR(VLOOKUP($B286,O$109:$AG$208,O$107,FALSE),"")</f>
        <v/>
      </c>
      <c r="P286" s="2152" t="str">
        <f>IFERROR(VLOOKUP($B286,P$109:$AG$208,P$107,FALSE),"")</f>
        <v/>
      </c>
      <c r="Q286" s="2152" t="str">
        <f>IFERROR(VLOOKUP($B286,Q$109:$AG$208,Q$107,FALSE),"")</f>
        <v/>
      </c>
      <c r="R286" s="2152" t="str">
        <f>IFERROR(VLOOKUP($B286,R$109:$AG$208,R$107,FALSE),"")</f>
        <v/>
      </c>
      <c r="S286" s="2152" t="str">
        <f>IFERROR(VLOOKUP($B286,S$109:$AG$208,S$107,FALSE),"")</f>
        <v/>
      </c>
      <c r="T286" s="2152" t="str">
        <f>IFERROR(VLOOKUP($B286,T$109:$AG$208,T$107,FALSE),"")</f>
        <v/>
      </c>
      <c r="U286" s="2152" t="str">
        <f>IFERROR(VLOOKUP($B286,U$109:$AG$208,U$107,FALSE),"")</f>
        <v/>
      </c>
      <c r="V286" s="2152" t="str">
        <f>IFERROR(VLOOKUP($B286,V$109:$AG$208,V$107,FALSE),"")</f>
        <v/>
      </c>
      <c r="W286" s="2152" t="str">
        <f>IFERROR(VLOOKUP($B286,W$109:$AG$208,W$107,FALSE),"")</f>
        <v/>
      </c>
      <c r="X286" s="2152" t="str">
        <f>IFERROR(VLOOKUP($B286,X$109:$AG$208,X$107,FALSE),"")</f>
        <v/>
      </c>
      <c r="Y286" s="2152" t="str">
        <f>IFERROR(VLOOKUP($B286,Y$109:$AG$208,Y$107,FALSE),"")</f>
        <v/>
      </c>
      <c r="Z286" s="2152" t="str">
        <f>IFERROR(VLOOKUP($B286,Z$109:$AG$208,Z$107,FALSE),"")</f>
        <v/>
      </c>
      <c r="AA286" s="2152" t="str">
        <f>IFERROR(VLOOKUP($B286,AA$109:$AG$208,AA$107,FALSE),"")</f>
        <v/>
      </c>
      <c r="AB286" s="2152" t="str">
        <f>IFERROR(VLOOKUP($B286,AB$109:$AG$208,AB$107,FALSE),"")</f>
        <v/>
      </c>
      <c r="AC286" s="2152" t="str">
        <f>IFERROR(VLOOKUP($B286,AC$109:$AG$208,AC$107,FALSE),"")</f>
        <v/>
      </c>
      <c r="AD286" s="2152" t="str">
        <f>IFERROR(VLOOKUP($B286,AD$109:$AG$208,AD$107,FALSE),"")</f>
        <v>TRICHOGRAMMA</v>
      </c>
      <c r="AE286" s="2152" t="str">
        <f>IFERROR(VLOOKUP($B286,AE$109:$AG$208,AE$107,FALSE),"")</f>
        <v/>
      </c>
      <c r="AF286" s="2152" t="str">
        <f>IFERROR(VLOOKUP($B286,AF$109:$AG$208,AF$107,FALSE),"")</f>
        <v/>
      </c>
    </row>
    <row r="287" spans="2:32">
      <c r="B287" s="2168">
        <f t="shared" si="21"/>
        <v>73</v>
      </c>
      <c r="F287" s="2152" t="str">
        <f>IFERROR(VLOOKUP($B287,F$109:$AG$208,F$107,FALSE),"")</f>
        <v/>
      </c>
      <c r="G287" s="2152" t="str">
        <f>IFERROR(VLOOKUP($B287,G$109:$AG$208,G$107,FALSE),"")</f>
        <v/>
      </c>
      <c r="H287" s="2152" t="str">
        <f>IFERROR(VLOOKUP($B287,H$109:$AG$208,H$107,FALSE),"")</f>
        <v/>
      </c>
      <c r="I287" s="2152" t="str">
        <f>IFERROR(VLOOKUP($B287,I$109:$AG$208,I$107,FALSE),"")</f>
        <v/>
      </c>
      <c r="J287" s="2152" t="str">
        <f>IFERROR(VLOOKUP($B287,J$109:$AG$208,J$107,FALSE),"")</f>
        <v/>
      </c>
      <c r="K287" s="2152" t="str">
        <f>IFERROR(VLOOKUP($B287,K$109:$AG$208,K$107,FALSE),"")</f>
        <v/>
      </c>
      <c r="L287" s="2152" t="str">
        <f>IFERROR(VLOOKUP($B287,L$109:$AG$208,L$107,FALSE),"")</f>
        <v/>
      </c>
      <c r="M287" s="2152" t="str">
        <f>IFERROR(VLOOKUP($B287,M$109:$AG$208,M$107,FALSE),"")</f>
        <v/>
      </c>
      <c r="N287" s="2152" t="str">
        <f>IFERROR(VLOOKUP($B287,N$109:$AG$208,N$107,FALSE),"")</f>
        <v/>
      </c>
      <c r="O287" s="2152" t="str">
        <f>IFERROR(VLOOKUP($B287,O$109:$AG$208,O$107,FALSE),"")</f>
        <v/>
      </c>
      <c r="P287" s="2152" t="str">
        <f>IFERROR(VLOOKUP($B287,P$109:$AG$208,P$107,FALSE),"")</f>
        <v/>
      </c>
      <c r="Q287" s="2152" t="str">
        <f>IFERROR(VLOOKUP($B287,Q$109:$AG$208,Q$107,FALSE),"")</f>
        <v/>
      </c>
      <c r="R287" s="2152" t="str">
        <f>IFERROR(VLOOKUP($B287,R$109:$AG$208,R$107,FALSE),"")</f>
        <v/>
      </c>
      <c r="S287" s="2152" t="str">
        <f>IFERROR(VLOOKUP($B287,S$109:$AG$208,S$107,FALSE),"")</f>
        <v/>
      </c>
      <c r="T287" s="2152" t="str">
        <f>IFERROR(VLOOKUP($B287,T$109:$AG$208,T$107,FALSE),"")</f>
        <v/>
      </c>
      <c r="U287" s="2152" t="str">
        <f>IFERROR(VLOOKUP($B287,U$109:$AG$208,U$107,FALSE),"")</f>
        <v/>
      </c>
      <c r="V287" s="2152" t="str">
        <f>IFERROR(VLOOKUP($B287,V$109:$AG$208,V$107,FALSE),"")</f>
        <v/>
      </c>
      <c r="W287" s="2152" t="str">
        <f>IFERROR(VLOOKUP($B287,W$109:$AG$208,W$107,FALSE),"")</f>
        <v/>
      </c>
      <c r="X287" s="2152" t="str">
        <f>IFERROR(VLOOKUP($B287,X$109:$AG$208,X$107,FALSE),"")</f>
        <v/>
      </c>
      <c r="Y287" s="2152" t="str">
        <f>IFERROR(VLOOKUP($B287,Y$109:$AG$208,Y$107,FALSE),"")</f>
        <v/>
      </c>
      <c r="Z287" s="2152" t="str">
        <f>IFERROR(VLOOKUP($B287,Z$109:$AG$208,Z$107,FALSE),"")</f>
        <v/>
      </c>
      <c r="AA287" s="2152" t="str">
        <f>IFERROR(VLOOKUP($B287,AA$109:$AG$208,AA$107,FALSE),"")</f>
        <v/>
      </c>
      <c r="AB287" s="2152" t="str">
        <f>IFERROR(VLOOKUP($B287,AB$109:$AG$208,AB$107,FALSE),"")</f>
        <v/>
      </c>
      <c r="AC287" s="2152" t="str">
        <f>IFERROR(VLOOKUP($B287,AC$109:$AG$208,AC$107,FALSE),"")</f>
        <v/>
      </c>
      <c r="AD287" s="2152" t="str">
        <f>IFERROR(VLOOKUP($B287,AD$109:$AG$208,AD$107,FALSE),"")</f>
        <v>Zypar</v>
      </c>
      <c r="AE287" s="2152" t="str">
        <f>IFERROR(VLOOKUP($B287,AE$109:$AG$208,AE$107,FALSE),"")</f>
        <v/>
      </c>
      <c r="AF287" s="2152" t="str">
        <f>IFERROR(VLOOKUP($B287,AF$109:$AG$208,AF$107,FALSE),"")</f>
        <v/>
      </c>
    </row>
    <row r="288" spans="2:32">
      <c r="B288" s="2168">
        <f t="shared" si="21"/>
        <v>74</v>
      </c>
      <c r="F288" s="2152" t="str">
        <f>IFERROR(VLOOKUP($B288,F$109:$AG$208,F$107,FALSE),"")</f>
        <v/>
      </c>
      <c r="G288" s="2152" t="str">
        <f>IFERROR(VLOOKUP($B288,G$109:$AG$208,G$107,FALSE),"")</f>
        <v/>
      </c>
      <c r="H288" s="2152" t="str">
        <f>IFERROR(VLOOKUP($B288,H$109:$AG$208,H$107,FALSE),"")</f>
        <v/>
      </c>
      <c r="I288" s="2152" t="str">
        <f>IFERROR(VLOOKUP($B288,I$109:$AG$208,I$107,FALSE),"")</f>
        <v/>
      </c>
      <c r="J288" s="2152" t="str">
        <f>IFERROR(VLOOKUP($B288,J$109:$AG$208,J$107,FALSE),"")</f>
        <v/>
      </c>
      <c r="K288" s="2152" t="str">
        <f>IFERROR(VLOOKUP($B288,K$109:$AG$208,K$107,FALSE),"")</f>
        <v/>
      </c>
      <c r="L288" s="2152" t="str">
        <f>IFERROR(VLOOKUP($B288,L$109:$AG$208,L$107,FALSE),"")</f>
        <v/>
      </c>
      <c r="M288" s="2152" t="str">
        <f>IFERROR(VLOOKUP($B288,M$109:$AG$208,M$107,FALSE),"")</f>
        <v/>
      </c>
      <c r="N288" s="2152" t="str">
        <f>IFERROR(VLOOKUP($B288,N$109:$AG$208,N$107,FALSE),"")</f>
        <v/>
      </c>
      <c r="O288" s="2152" t="str">
        <f>IFERROR(VLOOKUP($B288,O$109:$AG$208,O$107,FALSE),"")</f>
        <v/>
      </c>
      <c r="P288" s="2152" t="str">
        <f>IFERROR(VLOOKUP($B288,P$109:$AG$208,P$107,FALSE),"")</f>
        <v/>
      </c>
      <c r="Q288" s="2152" t="str">
        <f>IFERROR(VLOOKUP($B288,Q$109:$AG$208,Q$107,FALSE),"")</f>
        <v/>
      </c>
      <c r="R288" s="2152" t="str">
        <f>IFERROR(VLOOKUP($B288,R$109:$AG$208,R$107,FALSE),"")</f>
        <v/>
      </c>
      <c r="S288" s="2152" t="str">
        <f>IFERROR(VLOOKUP($B288,S$109:$AG$208,S$107,FALSE),"")</f>
        <v/>
      </c>
      <c r="T288" s="2152" t="str">
        <f>IFERROR(VLOOKUP($B288,T$109:$AG$208,T$107,FALSE),"")</f>
        <v/>
      </c>
      <c r="U288" s="2152" t="str">
        <f>IFERROR(VLOOKUP($B288,U$109:$AG$208,U$107,FALSE),"")</f>
        <v/>
      </c>
      <c r="V288" s="2152" t="str">
        <f>IFERROR(VLOOKUP($B288,V$109:$AG$208,V$107,FALSE),"")</f>
        <v/>
      </c>
      <c r="W288" s="2152" t="str">
        <f>IFERROR(VLOOKUP($B288,W$109:$AG$208,W$107,FALSE),"")</f>
        <v/>
      </c>
      <c r="X288" s="2152" t="str">
        <f>IFERROR(VLOOKUP($B288,X$109:$AG$208,X$107,FALSE),"")</f>
        <v/>
      </c>
      <c r="Y288" s="2152" t="str">
        <f>IFERROR(VLOOKUP($B288,Y$109:$AG$208,Y$107,FALSE),"")</f>
        <v/>
      </c>
      <c r="Z288" s="2152" t="str">
        <f>IFERROR(VLOOKUP($B288,Z$109:$AG$208,Z$107,FALSE),"")</f>
        <v/>
      </c>
      <c r="AA288" s="2152" t="str">
        <f>IFERROR(VLOOKUP($B288,AA$109:$AG$208,AA$107,FALSE),"")</f>
        <v/>
      </c>
      <c r="AB288" s="2152" t="str">
        <f>IFERROR(VLOOKUP($B288,AB$109:$AG$208,AB$107,FALSE),"")</f>
        <v/>
      </c>
      <c r="AC288" s="2152" t="str">
        <f>IFERROR(VLOOKUP($B288,AC$109:$AG$208,AC$107,FALSE),"")</f>
        <v/>
      </c>
      <c r="AD288" s="2152" t="str">
        <f>IFERROR(VLOOKUP($B288,AD$109:$AG$208,AD$107,FALSE),"")</f>
        <v>Spectrum</v>
      </c>
      <c r="AE288" s="2152" t="str">
        <f>IFERROR(VLOOKUP($B288,AE$109:$AG$208,AE$107,FALSE),"")</f>
        <v/>
      </c>
      <c r="AF288" s="2152" t="str">
        <f>IFERROR(VLOOKUP($B288,AF$109:$AG$208,AF$107,FALSE),"")</f>
        <v/>
      </c>
    </row>
    <row r="289" spans="2:32">
      <c r="B289" s="2168">
        <f t="shared" si="21"/>
        <v>75</v>
      </c>
      <c r="F289" s="2152" t="str">
        <f>IFERROR(VLOOKUP($B289,F$109:$AG$208,F$107,FALSE),"")</f>
        <v/>
      </c>
      <c r="G289" s="2152" t="str">
        <f>IFERROR(VLOOKUP($B289,G$109:$AG$208,G$107,FALSE),"")</f>
        <v/>
      </c>
      <c r="H289" s="2152" t="str">
        <f>IFERROR(VLOOKUP($B289,H$109:$AG$208,H$107,FALSE),"")</f>
        <v/>
      </c>
      <c r="I289" s="2152" t="str">
        <f>IFERROR(VLOOKUP($B289,I$109:$AG$208,I$107,FALSE),"")</f>
        <v/>
      </c>
      <c r="J289" s="2152" t="str">
        <f>IFERROR(VLOOKUP($B289,J$109:$AG$208,J$107,FALSE),"")</f>
        <v/>
      </c>
      <c r="K289" s="2152" t="str">
        <f>IFERROR(VLOOKUP($B289,K$109:$AG$208,K$107,FALSE),"")</f>
        <v/>
      </c>
      <c r="L289" s="2152" t="str">
        <f>IFERROR(VLOOKUP($B289,L$109:$AG$208,L$107,FALSE),"")</f>
        <v/>
      </c>
      <c r="M289" s="2152" t="str">
        <f>IFERROR(VLOOKUP($B289,M$109:$AG$208,M$107,FALSE),"")</f>
        <v/>
      </c>
      <c r="N289" s="2152" t="str">
        <f>IFERROR(VLOOKUP($B289,N$109:$AG$208,N$107,FALSE),"")</f>
        <v/>
      </c>
      <c r="O289" s="2152" t="str">
        <f>IFERROR(VLOOKUP($B289,O$109:$AG$208,O$107,FALSE),"")</f>
        <v/>
      </c>
      <c r="P289" s="2152" t="str">
        <f>IFERROR(VLOOKUP($B289,P$109:$AG$208,P$107,FALSE),"")</f>
        <v/>
      </c>
      <c r="Q289" s="2152" t="str">
        <f>IFERROR(VLOOKUP($B289,Q$109:$AG$208,Q$107,FALSE),"")</f>
        <v/>
      </c>
      <c r="R289" s="2152" t="str">
        <f>IFERROR(VLOOKUP($B289,R$109:$AG$208,R$107,FALSE),"")</f>
        <v/>
      </c>
      <c r="S289" s="2152" t="str">
        <f>IFERROR(VLOOKUP($B289,S$109:$AG$208,S$107,FALSE),"")</f>
        <v/>
      </c>
      <c r="T289" s="2152" t="str">
        <f>IFERROR(VLOOKUP($B289,T$109:$AG$208,T$107,FALSE),"")</f>
        <v/>
      </c>
      <c r="U289" s="2152" t="str">
        <f>IFERROR(VLOOKUP($B289,U$109:$AG$208,U$107,FALSE),"")</f>
        <v/>
      </c>
      <c r="V289" s="2152" t="str">
        <f>IFERROR(VLOOKUP($B289,V$109:$AG$208,V$107,FALSE),"")</f>
        <v/>
      </c>
      <c r="W289" s="2152" t="str">
        <f>IFERROR(VLOOKUP($B289,W$109:$AG$208,W$107,FALSE),"")</f>
        <v/>
      </c>
      <c r="X289" s="2152" t="str">
        <f>IFERROR(VLOOKUP($B289,X$109:$AG$208,X$107,FALSE),"")</f>
        <v/>
      </c>
      <c r="Y289" s="2152" t="str">
        <f>IFERROR(VLOOKUP($B289,Y$109:$AG$208,Y$107,FALSE),"")</f>
        <v/>
      </c>
      <c r="Z289" s="2152" t="str">
        <f>IFERROR(VLOOKUP($B289,Z$109:$AG$208,Z$107,FALSE),"")</f>
        <v/>
      </c>
      <c r="AA289" s="2152" t="str">
        <f>IFERROR(VLOOKUP($B289,AA$109:$AG$208,AA$107,FALSE),"")</f>
        <v/>
      </c>
      <c r="AB289" s="2152" t="str">
        <f>IFERROR(VLOOKUP($B289,AB$109:$AG$208,AB$107,FALSE),"")</f>
        <v/>
      </c>
      <c r="AC289" s="2152" t="str">
        <f>IFERROR(VLOOKUP($B289,AC$109:$AG$208,AC$107,FALSE),"")</f>
        <v/>
      </c>
      <c r="AD289" s="2152" t="str">
        <f>IFERROR(VLOOKUP($B289,AD$109:$AG$208,AD$107,FALSE),"")</f>
        <v>Univoq</v>
      </c>
      <c r="AE289" s="2152" t="str">
        <f>IFERROR(VLOOKUP($B289,AE$109:$AG$208,AE$107,FALSE),"")</f>
        <v/>
      </c>
      <c r="AF289" s="2152" t="str">
        <f>IFERROR(VLOOKUP($B289,AF$109:$AG$208,AF$107,FALSE),"")</f>
        <v/>
      </c>
    </row>
    <row r="290" spans="2:32">
      <c r="B290" s="2168">
        <f t="shared" si="21"/>
        <v>76</v>
      </c>
      <c r="F290" s="2152" t="str">
        <f>IFERROR(VLOOKUP($B290,F$109:$AG$208,F$107,FALSE),"")</f>
        <v/>
      </c>
      <c r="G290" s="2152" t="str">
        <f>IFERROR(VLOOKUP($B290,G$109:$AG$208,G$107,FALSE),"")</f>
        <v/>
      </c>
      <c r="H290" s="2152" t="str">
        <f>IFERROR(VLOOKUP($B290,H$109:$AG$208,H$107,FALSE),"")</f>
        <v/>
      </c>
      <c r="I290" s="2152" t="str">
        <f>IFERROR(VLOOKUP($B290,I$109:$AG$208,I$107,FALSE),"")</f>
        <v/>
      </c>
      <c r="J290" s="2152" t="str">
        <f>IFERROR(VLOOKUP($B290,J$109:$AG$208,J$107,FALSE),"")</f>
        <v/>
      </c>
      <c r="K290" s="2152" t="str">
        <f>IFERROR(VLOOKUP($B290,K$109:$AG$208,K$107,FALSE),"")</f>
        <v/>
      </c>
      <c r="L290" s="2152" t="str">
        <f>IFERROR(VLOOKUP($B290,L$109:$AG$208,L$107,FALSE),"")</f>
        <v/>
      </c>
      <c r="M290" s="2152" t="str">
        <f>IFERROR(VLOOKUP($B290,M$109:$AG$208,M$107,FALSE),"")</f>
        <v/>
      </c>
      <c r="N290" s="2152" t="str">
        <f>IFERROR(VLOOKUP($B290,N$109:$AG$208,N$107,FALSE),"")</f>
        <v/>
      </c>
      <c r="O290" s="2152" t="str">
        <f>IFERROR(VLOOKUP($B290,O$109:$AG$208,O$107,FALSE),"")</f>
        <v/>
      </c>
      <c r="P290" s="2152" t="str">
        <f>IFERROR(VLOOKUP($B290,P$109:$AG$208,P$107,FALSE),"")</f>
        <v/>
      </c>
      <c r="Q290" s="2152" t="str">
        <f>IFERROR(VLOOKUP($B290,Q$109:$AG$208,Q$107,FALSE),"")</f>
        <v/>
      </c>
      <c r="R290" s="2152" t="str">
        <f>IFERROR(VLOOKUP($B290,R$109:$AG$208,R$107,FALSE),"")</f>
        <v/>
      </c>
      <c r="S290" s="2152" t="str">
        <f>IFERROR(VLOOKUP($B290,S$109:$AG$208,S$107,FALSE),"")</f>
        <v/>
      </c>
      <c r="T290" s="2152" t="str">
        <f>IFERROR(VLOOKUP($B290,T$109:$AG$208,T$107,FALSE),"")</f>
        <v/>
      </c>
      <c r="U290" s="2152" t="str">
        <f>IFERROR(VLOOKUP($B290,U$109:$AG$208,U$107,FALSE),"")</f>
        <v/>
      </c>
      <c r="V290" s="2152" t="str">
        <f>IFERROR(VLOOKUP($B290,V$109:$AG$208,V$107,FALSE),"")</f>
        <v/>
      </c>
      <c r="W290" s="2152" t="str">
        <f>IFERROR(VLOOKUP($B290,W$109:$AG$208,W$107,FALSE),"")</f>
        <v/>
      </c>
      <c r="X290" s="2152" t="str">
        <f>IFERROR(VLOOKUP($B290,X$109:$AG$208,X$107,FALSE),"")</f>
        <v/>
      </c>
      <c r="Y290" s="2152" t="str">
        <f>IFERROR(VLOOKUP($B290,Y$109:$AG$208,Y$107,FALSE),"")</f>
        <v/>
      </c>
      <c r="Z290" s="2152" t="str">
        <f>IFERROR(VLOOKUP($B290,Z$109:$AG$208,Z$107,FALSE),"")</f>
        <v/>
      </c>
      <c r="AA290" s="2152" t="str">
        <f>IFERROR(VLOOKUP($B290,AA$109:$AG$208,AA$107,FALSE),"")</f>
        <v/>
      </c>
      <c r="AB290" s="2152" t="str">
        <f>IFERROR(VLOOKUP($B290,AB$109:$AG$208,AB$107,FALSE),"")</f>
        <v/>
      </c>
      <c r="AC290" s="2152" t="str">
        <f>IFERROR(VLOOKUP($B290,AC$109:$AG$208,AC$107,FALSE),"")</f>
        <v/>
      </c>
      <c r="AD290" s="2152">
        <f>IFERROR(VLOOKUP($B290,AD$109:$AG$208,AD$107,FALSE),"")</f>
        <v>0</v>
      </c>
      <c r="AE290" s="2152" t="str">
        <f>IFERROR(VLOOKUP($B290,AE$109:$AG$208,AE$107,FALSE),"")</f>
        <v/>
      </c>
      <c r="AF290" s="2152" t="str">
        <f>IFERROR(VLOOKUP($B290,AF$109:$AG$208,AF$107,FALSE),"")</f>
        <v/>
      </c>
    </row>
    <row r="291" spans="2:32">
      <c r="B291" s="2168">
        <f t="shared" si="21"/>
        <v>77</v>
      </c>
      <c r="F291" s="2152" t="str">
        <f>IFERROR(VLOOKUP($B291,F$109:$AG$208,F$107,FALSE),"")</f>
        <v/>
      </c>
      <c r="G291" s="2152" t="str">
        <f>IFERROR(VLOOKUP($B291,G$109:$AG$208,G$107,FALSE),"")</f>
        <v/>
      </c>
      <c r="H291" s="2152" t="str">
        <f>IFERROR(VLOOKUP($B291,H$109:$AG$208,H$107,FALSE),"")</f>
        <v/>
      </c>
      <c r="I291" s="2152" t="str">
        <f>IFERROR(VLOOKUP($B291,I$109:$AG$208,I$107,FALSE),"")</f>
        <v/>
      </c>
      <c r="J291" s="2152" t="str">
        <f>IFERROR(VLOOKUP($B291,J$109:$AG$208,J$107,FALSE),"")</f>
        <v/>
      </c>
      <c r="K291" s="2152" t="str">
        <f>IFERROR(VLOOKUP($B291,K$109:$AG$208,K$107,FALSE),"")</f>
        <v/>
      </c>
      <c r="L291" s="2152" t="str">
        <f>IFERROR(VLOOKUP($B291,L$109:$AG$208,L$107,FALSE),"")</f>
        <v/>
      </c>
      <c r="M291" s="2152" t="str">
        <f>IFERROR(VLOOKUP($B291,M$109:$AG$208,M$107,FALSE),"")</f>
        <v/>
      </c>
      <c r="N291" s="2152" t="str">
        <f>IFERROR(VLOOKUP($B291,N$109:$AG$208,N$107,FALSE),"")</f>
        <v/>
      </c>
      <c r="O291" s="2152" t="str">
        <f>IFERROR(VLOOKUP($B291,O$109:$AG$208,O$107,FALSE),"")</f>
        <v/>
      </c>
      <c r="P291" s="2152" t="str">
        <f>IFERROR(VLOOKUP($B291,P$109:$AG$208,P$107,FALSE),"")</f>
        <v/>
      </c>
      <c r="Q291" s="2152" t="str">
        <f>IFERROR(VLOOKUP($B291,Q$109:$AG$208,Q$107,FALSE),"")</f>
        <v/>
      </c>
      <c r="R291" s="2152" t="str">
        <f>IFERROR(VLOOKUP($B291,R$109:$AG$208,R$107,FALSE),"")</f>
        <v/>
      </c>
      <c r="S291" s="2152" t="str">
        <f>IFERROR(VLOOKUP($B291,S$109:$AG$208,S$107,FALSE),"")</f>
        <v/>
      </c>
      <c r="T291" s="2152" t="str">
        <f>IFERROR(VLOOKUP($B291,T$109:$AG$208,T$107,FALSE),"")</f>
        <v/>
      </c>
      <c r="U291" s="2152" t="str">
        <f>IFERROR(VLOOKUP($B291,U$109:$AG$208,U$107,FALSE),"")</f>
        <v/>
      </c>
      <c r="V291" s="2152" t="str">
        <f>IFERROR(VLOOKUP($B291,V$109:$AG$208,V$107,FALSE),"")</f>
        <v/>
      </c>
      <c r="W291" s="2152" t="str">
        <f>IFERROR(VLOOKUP($B291,W$109:$AG$208,W$107,FALSE),"")</f>
        <v/>
      </c>
      <c r="X291" s="2152" t="str">
        <f>IFERROR(VLOOKUP($B291,X$109:$AG$208,X$107,FALSE),"")</f>
        <v/>
      </c>
      <c r="Y291" s="2152" t="str">
        <f>IFERROR(VLOOKUP($B291,Y$109:$AG$208,Y$107,FALSE),"")</f>
        <v/>
      </c>
      <c r="Z291" s="2152" t="str">
        <f>IFERROR(VLOOKUP($B291,Z$109:$AG$208,Z$107,FALSE),"")</f>
        <v/>
      </c>
      <c r="AA291" s="2152" t="str">
        <f>IFERROR(VLOOKUP($B291,AA$109:$AG$208,AA$107,FALSE),"")</f>
        <v/>
      </c>
      <c r="AB291" s="2152" t="str">
        <f>IFERROR(VLOOKUP($B291,AB$109:$AG$208,AB$107,FALSE),"")</f>
        <v/>
      </c>
      <c r="AC291" s="2152" t="str">
        <f>IFERROR(VLOOKUP($B291,AC$109:$AG$208,AC$107,FALSE),"")</f>
        <v/>
      </c>
      <c r="AD291" s="2152">
        <f>IFERROR(VLOOKUP($B291,AD$109:$AG$208,AD$107,FALSE),"")</f>
        <v>0</v>
      </c>
      <c r="AE291" s="2152" t="str">
        <f>IFERROR(VLOOKUP($B291,AE$109:$AG$208,AE$107,FALSE),"")</f>
        <v/>
      </c>
      <c r="AF291" s="2152" t="str">
        <f>IFERROR(VLOOKUP($B291,AF$109:$AG$208,AF$107,FALSE),"")</f>
        <v/>
      </c>
    </row>
    <row r="292" spans="2:32">
      <c r="B292" s="2168">
        <f t="shared" si="21"/>
        <v>78</v>
      </c>
      <c r="F292" s="2152" t="str">
        <f>IFERROR(VLOOKUP($B292,F$109:$AG$208,F$107,FALSE),"")</f>
        <v/>
      </c>
      <c r="G292" s="2152" t="str">
        <f>IFERROR(VLOOKUP($B292,G$109:$AG$208,G$107,FALSE),"")</f>
        <v/>
      </c>
      <c r="H292" s="2152" t="str">
        <f>IFERROR(VLOOKUP($B292,H$109:$AG$208,H$107,FALSE),"")</f>
        <v/>
      </c>
      <c r="I292" s="2152" t="str">
        <f>IFERROR(VLOOKUP($B292,I$109:$AG$208,I$107,FALSE),"")</f>
        <v/>
      </c>
      <c r="J292" s="2152" t="str">
        <f>IFERROR(VLOOKUP($B292,J$109:$AG$208,J$107,FALSE),"")</f>
        <v/>
      </c>
      <c r="K292" s="2152" t="str">
        <f>IFERROR(VLOOKUP($B292,K$109:$AG$208,K$107,FALSE),"")</f>
        <v/>
      </c>
      <c r="L292" s="2152" t="str">
        <f>IFERROR(VLOOKUP($B292,L$109:$AG$208,L$107,FALSE),"")</f>
        <v/>
      </c>
      <c r="M292" s="2152" t="str">
        <f>IFERROR(VLOOKUP($B292,M$109:$AG$208,M$107,FALSE),"")</f>
        <v/>
      </c>
      <c r="N292" s="2152" t="str">
        <f>IFERROR(VLOOKUP($B292,N$109:$AG$208,N$107,FALSE),"")</f>
        <v/>
      </c>
      <c r="O292" s="2152" t="str">
        <f>IFERROR(VLOOKUP($B292,O$109:$AG$208,O$107,FALSE),"")</f>
        <v/>
      </c>
      <c r="P292" s="2152" t="str">
        <f>IFERROR(VLOOKUP($B292,P$109:$AG$208,P$107,FALSE),"")</f>
        <v/>
      </c>
      <c r="Q292" s="2152" t="str">
        <f>IFERROR(VLOOKUP($B292,Q$109:$AG$208,Q$107,FALSE),"")</f>
        <v/>
      </c>
      <c r="R292" s="2152" t="str">
        <f>IFERROR(VLOOKUP($B292,R$109:$AG$208,R$107,FALSE),"")</f>
        <v/>
      </c>
      <c r="S292" s="2152" t="str">
        <f>IFERROR(VLOOKUP($B292,S$109:$AG$208,S$107,FALSE),"")</f>
        <v/>
      </c>
      <c r="T292" s="2152" t="str">
        <f>IFERROR(VLOOKUP($B292,T$109:$AG$208,T$107,FALSE),"")</f>
        <v/>
      </c>
      <c r="U292" s="2152" t="str">
        <f>IFERROR(VLOOKUP($B292,U$109:$AG$208,U$107,FALSE),"")</f>
        <v/>
      </c>
      <c r="V292" s="2152" t="str">
        <f>IFERROR(VLOOKUP($B292,V$109:$AG$208,V$107,FALSE),"")</f>
        <v/>
      </c>
      <c r="W292" s="2152" t="str">
        <f>IFERROR(VLOOKUP($B292,W$109:$AG$208,W$107,FALSE),"")</f>
        <v/>
      </c>
      <c r="X292" s="2152" t="str">
        <f>IFERROR(VLOOKUP($B292,X$109:$AG$208,X$107,FALSE),"")</f>
        <v/>
      </c>
      <c r="Y292" s="2152" t="str">
        <f>IFERROR(VLOOKUP($B292,Y$109:$AG$208,Y$107,FALSE),"")</f>
        <v/>
      </c>
      <c r="Z292" s="2152" t="str">
        <f>IFERROR(VLOOKUP($B292,Z$109:$AG$208,Z$107,FALSE),"")</f>
        <v/>
      </c>
      <c r="AA292" s="2152" t="str">
        <f>IFERROR(VLOOKUP($B292,AA$109:$AG$208,AA$107,FALSE),"")</f>
        <v/>
      </c>
      <c r="AB292" s="2152" t="str">
        <f>IFERROR(VLOOKUP($B292,AB$109:$AG$208,AB$107,FALSE),"")</f>
        <v/>
      </c>
      <c r="AC292" s="2152" t="str">
        <f>IFERROR(VLOOKUP($B292,AC$109:$AG$208,AC$107,FALSE),"")</f>
        <v/>
      </c>
      <c r="AD292" s="2152">
        <f>IFERROR(VLOOKUP($B292,AD$109:$AG$208,AD$107,FALSE),"")</f>
        <v>0</v>
      </c>
      <c r="AE292" s="2152" t="str">
        <f>IFERROR(VLOOKUP($B292,AE$109:$AG$208,AE$107,FALSE),"")</f>
        <v/>
      </c>
      <c r="AF292" s="2152" t="str">
        <f>IFERROR(VLOOKUP($B292,AF$109:$AG$208,AF$107,FALSE),"")</f>
        <v/>
      </c>
    </row>
    <row r="293" spans="2:32">
      <c r="B293" s="2168">
        <f t="shared" si="21"/>
        <v>79</v>
      </c>
      <c r="F293" s="2152" t="str">
        <f>IFERROR(VLOOKUP($B293,F$109:$AG$208,F$107,FALSE),"")</f>
        <v/>
      </c>
      <c r="G293" s="2152" t="str">
        <f>IFERROR(VLOOKUP($B293,G$109:$AG$208,G$107,FALSE),"")</f>
        <v/>
      </c>
      <c r="H293" s="2152" t="str">
        <f>IFERROR(VLOOKUP($B293,H$109:$AG$208,H$107,FALSE),"")</f>
        <v/>
      </c>
      <c r="I293" s="2152" t="str">
        <f>IFERROR(VLOOKUP($B293,I$109:$AG$208,I$107,FALSE),"")</f>
        <v/>
      </c>
      <c r="J293" s="2152" t="str">
        <f>IFERROR(VLOOKUP($B293,J$109:$AG$208,J$107,FALSE),"")</f>
        <v/>
      </c>
      <c r="K293" s="2152" t="str">
        <f>IFERROR(VLOOKUP($B293,K$109:$AG$208,K$107,FALSE),"")</f>
        <v/>
      </c>
      <c r="L293" s="2152" t="str">
        <f>IFERROR(VLOOKUP($B293,L$109:$AG$208,L$107,FALSE),"")</f>
        <v/>
      </c>
      <c r="M293" s="2152" t="str">
        <f>IFERROR(VLOOKUP($B293,M$109:$AG$208,M$107,FALSE),"")</f>
        <v/>
      </c>
      <c r="N293" s="2152" t="str">
        <f>IFERROR(VLOOKUP($B293,N$109:$AG$208,N$107,FALSE),"")</f>
        <v/>
      </c>
      <c r="O293" s="2152" t="str">
        <f>IFERROR(VLOOKUP($B293,O$109:$AG$208,O$107,FALSE),"")</f>
        <v/>
      </c>
      <c r="P293" s="2152" t="str">
        <f>IFERROR(VLOOKUP($B293,P$109:$AG$208,P$107,FALSE),"")</f>
        <v/>
      </c>
      <c r="Q293" s="2152" t="str">
        <f>IFERROR(VLOOKUP($B293,Q$109:$AG$208,Q$107,FALSE),"")</f>
        <v/>
      </c>
      <c r="R293" s="2152" t="str">
        <f>IFERROR(VLOOKUP($B293,R$109:$AG$208,R$107,FALSE),"")</f>
        <v/>
      </c>
      <c r="S293" s="2152" t="str">
        <f>IFERROR(VLOOKUP($B293,S$109:$AG$208,S$107,FALSE),"")</f>
        <v/>
      </c>
      <c r="T293" s="2152" t="str">
        <f>IFERROR(VLOOKUP($B293,T$109:$AG$208,T$107,FALSE),"")</f>
        <v/>
      </c>
      <c r="U293" s="2152" t="str">
        <f>IFERROR(VLOOKUP($B293,U$109:$AG$208,U$107,FALSE),"")</f>
        <v/>
      </c>
      <c r="V293" s="2152" t="str">
        <f>IFERROR(VLOOKUP($B293,V$109:$AG$208,V$107,FALSE),"")</f>
        <v/>
      </c>
      <c r="W293" s="2152" t="str">
        <f>IFERROR(VLOOKUP($B293,W$109:$AG$208,W$107,FALSE),"")</f>
        <v/>
      </c>
      <c r="X293" s="2152" t="str">
        <f>IFERROR(VLOOKUP($B293,X$109:$AG$208,X$107,FALSE),"")</f>
        <v/>
      </c>
      <c r="Y293" s="2152" t="str">
        <f>IFERROR(VLOOKUP($B293,Y$109:$AG$208,Y$107,FALSE),"")</f>
        <v/>
      </c>
      <c r="Z293" s="2152" t="str">
        <f>IFERROR(VLOOKUP($B293,Z$109:$AG$208,Z$107,FALSE),"")</f>
        <v/>
      </c>
      <c r="AA293" s="2152" t="str">
        <f>IFERROR(VLOOKUP($B293,AA$109:$AG$208,AA$107,FALSE),"")</f>
        <v/>
      </c>
      <c r="AB293" s="2152" t="str">
        <f>IFERROR(VLOOKUP($B293,AB$109:$AG$208,AB$107,FALSE),"")</f>
        <v/>
      </c>
      <c r="AC293" s="2152" t="str">
        <f>IFERROR(VLOOKUP($B293,AC$109:$AG$208,AC$107,FALSE),"")</f>
        <v/>
      </c>
      <c r="AD293" s="2152">
        <f>IFERROR(VLOOKUP($B293,AD$109:$AG$208,AD$107,FALSE),"")</f>
        <v>0</v>
      </c>
      <c r="AE293" s="2152" t="str">
        <f>IFERROR(VLOOKUP($B293,AE$109:$AG$208,AE$107,FALSE),"")</f>
        <v/>
      </c>
      <c r="AF293" s="2152" t="str">
        <f>IFERROR(VLOOKUP($B293,AF$109:$AG$208,AF$107,FALSE),"")</f>
        <v/>
      </c>
    </row>
    <row r="294" spans="2:32">
      <c r="B294" s="2168">
        <f t="shared" si="21"/>
        <v>80</v>
      </c>
      <c r="F294" s="2152" t="str">
        <f>IFERROR(VLOOKUP($B294,F$109:$AG$208,F$107,FALSE),"")</f>
        <v/>
      </c>
      <c r="G294" s="2152" t="str">
        <f>IFERROR(VLOOKUP($B294,G$109:$AG$208,G$107,FALSE),"")</f>
        <v/>
      </c>
      <c r="H294" s="2152" t="str">
        <f>IFERROR(VLOOKUP($B294,H$109:$AG$208,H$107,FALSE),"")</f>
        <v/>
      </c>
      <c r="I294" s="2152" t="str">
        <f>IFERROR(VLOOKUP($B294,I$109:$AG$208,I$107,FALSE),"")</f>
        <v/>
      </c>
      <c r="J294" s="2152" t="str">
        <f>IFERROR(VLOOKUP($B294,J$109:$AG$208,J$107,FALSE),"")</f>
        <v/>
      </c>
      <c r="K294" s="2152" t="str">
        <f>IFERROR(VLOOKUP($B294,K$109:$AG$208,K$107,FALSE),"")</f>
        <v/>
      </c>
      <c r="L294" s="2152" t="str">
        <f>IFERROR(VLOOKUP($B294,L$109:$AG$208,L$107,FALSE),"")</f>
        <v/>
      </c>
      <c r="M294" s="2152" t="str">
        <f>IFERROR(VLOOKUP($B294,M$109:$AG$208,M$107,FALSE),"")</f>
        <v/>
      </c>
      <c r="N294" s="2152" t="str">
        <f>IFERROR(VLOOKUP($B294,N$109:$AG$208,N$107,FALSE),"")</f>
        <v/>
      </c>
      <c r="O294" s="2152" t="str">
        <f>IFERROR(VLOOKUP($B294,O$109:$AG$208,O$107,FALSE),"")</f>
        <v/>
      </c>
      <c r="P294" s="2152" t="str">
        <f>IFERROR(VLOOKUP($B294,P$109:$AG$208,P$107,FALSE),"")</f>
        <v/>
      </c>
      <c r="Q294" s="2152" t="str">
        <f>IFERROR(VLOOKUP($B294,Q$109:$AG$208,Q$107,FALSE),"")</f>
        <v/>
      </c>
      <c r="R294" s="2152" t="str">
        <f>IFERROR(VLOOKUP($B294,R$109:$AG$208,R$107,FALSE),"")</f>
        <v/>
      </c>
      <c r="S294" s="2152" t="str">
        <f>IFERROR(VLOOKUP($B294,S$109:$AG$208,S$107,FALSE),"")</f>
        <v/>
      </c>
      <c r="T294" s="2152" t="str">
        <f>IFERROR(VLOOKUP($B294,T$109:$AG$208,T$107,FALSE),"")</f>
        <v/>
      </c>
      <c r="U294" s="2152" t="str">
        <f>IFERROR(VLOOKUP($B294,U$109:$AG$208,U$107,FALSE),"")</f>
        <v/>
      </c>
      <c r="V294" s="2152" t="str">
        <f>IFERROR(VLOOKUP($B294,V$109:$AG$208,V$107,FALSE),"")</f>
        <v/>
      </c>
      <c r="W294" s="2152" t="str">
        <f>IFERROR(VLOOKUP($B294,W$109:$AG$208,W$107,FALSE),"")</f>
        <v/>
      </c>
      <c r="X294" s="2152" t="str">
        <f>IFERROR(VLOOKUP($B294,X$109:$AG$208,X$107,FALSE),"")</f>
        <v/>
      </c>
      <c r="Y294" s="2152" t="str">
        <f>IFERROR(VLOOKUP($B294,Y$109:$AG$208,Y$107,FALSE),"")</f>
        <v/>
      </c>
      <c r="Z294" s="2152" t="str">
        <f>IFERROR(VLOOKUP($B294,Z$109:$AG$208,Z$107,FALSE),"")</f>
        <v/>
      </c>
      <c r="AA294" s="2152" t="str">
        <f>IFERROR(VLOOKUP($B294,AA$109:$AG$208,AA$107,FALSE),"")</f>
        <v/>
      </c>
      <c r="AB294" s="2152" t="str">
        <f>IFERROR(VLOOKUP($B294,AB$109:$AG$208,AB$107,FALSE),"")</f>
        <v/>
      </c>
      <c r="AC294" s="2152" t="str">
        <f>IFERROR(VLOOKUP($B294,AC$109:$AG$208,AC$107,FALSE),"")</f>
        <v/>
      </c>
      <c r="AD294" s="2152">
        <f>IFERROR(VLOOKUP($B294,AD$109:$AG$208,AD$107,FALSE),"")</f>
        <v>0</v>
      </c>
      <c r="AE294" s="2152" t="str">
        <f>IFERROR(VLOOKUP($B294,AE$109:$AG$208,AE$107,FALSE),"")</f>
        <v/>
      </c>
      <c r="AF294" s="2152" t="str">
        <f>IFERROR(VLOOKUP($B294,AF$109:$AG$208,AF$107,FALSE),"")</f>
        <v/>
      </c>
    </row>
    <row r="295" spans="2:32">
      <c r="B295" s="2168">
        <f t="shared" si="21"/>
        <v>81</v>
      </c>
      <c r="F295" s="2152" t="str">
        <f>IFERROR(VLOOKUP($B295,F$109:$AG$208,F$107,FALSE),"")</f>
        <v/>
      </c>
      <c r="G295" s="2152" t="str">
        <f>IFERROR(VLOOKUP($B295,G$109:$AG$208,G$107,FALSE),"")</f>
        <v/>
      </c>
      <c r="H295" s="2152" t="str">
        <f>IFERROR(VLOOKUP($B295,H$109:$AG$208,H$107,FALSE),"")</f>
        <v/>
      </c>
      <c r="I295" s="2152" t="str">
        <f>IFERROR(VLOOKUP($B295,I$109:$AG$208,I$107,FALSE),"")</f>
        <v/>
      </c>
      <c r="J295" s="2152" t="str">
        <f>IFERROR(VLOOKUP($B295,J$109:$AG$208,J$107,FALSE),"")</f>
        <v/>
      </c>
      <c r="K295" s="2152" t="str">
        <f>IFERROR(VLOOKUP($B295,K$109:$AG$208,K$107,FALSE),"")</f>
        <v/>
      </c>
      <c r="L295" s="2152" t="str">
        <f>IFERROR(VLOOKUP($B295,L$109:$AG$208,L$107,FALSE),"")</f>
        <v/>
      </c>
      <c r="M295" s="2152" t="str">
        <f>IFERROR(VLOOKUP($B295,M$109:$AG$208,M$107,FALSE),"")</f>
        <v/>
      </c>
      <c r="N295" s="2152" t="str">
        <f>IFERROR(VLOOKUP($B295,N$109:$AG$208,N$107,FALSE),"")</f>
        <v/>
      </c>
      <c r="O295" s="2152" t="str">
        <f>IFERROR(VLOOKUP($B295,O$109:$AG$208,O$107,FALSE),"")</f>
        <v/>
      </c>
      <c r="P295" s="2152" t="str">
        <f>IFERROR(VLOOKUP($B295,P$109:$AG$208,P$107,FALSE),"")</f>
        <v/>
      </c>
      <c r="Q295" s="2152" t="str">
        <f>IFERROR(VLOOKUP($B295,Q$109:$AG$208,Q$107,FALSE),"")</f>
        <v/>
      </c>
      <c r="R295" s="2152" t="str">
        <f>IFERROR(VLOOKUP($B295,R$109:$AG$208,R$107,FALSE),"")</f>
        <v/>
      </c>
      <c r="S295" s="2152" t="str">
        <f>IFERROR(VLOOKUP($B295,S$109:$AG$208,S$107,FALSE),"")</f>
        <v/>
      </c>
      <c r="T295" s="2152" t="str">
        <f>IFERROR(VLOOKUP($B295,T$109:$AG$208,T$107,FALSE),"")</f>
        <v/>
      </c>
      <c r="U295" s="2152" t="str">
        <f>IFERROR(VLOOKUP($B295,U$109:$AG$208,U$107,FALSE),"")</f>
        <v/>
      </c>
      <c r="V295" s="2152" t="str">
        <f>IFERROR(VLOOKUP($B295,V$109:$AG$208,V$107,FALSE),"")</f>
        <v/>
      </c>
      <c r="W295" s="2152" t="str">
        <f>IFERROR(VLOOKUP($B295,W$109:$AG$208,W$107,FALSE),"")</f>
        <v/>
      </c>
      <c r="X295" s="2152" t="str">
        <f>IFERROR(VLOOKUP($B295,X$109:$AG$208,X$107,FALSE),"")</f>
        <v/>
      </c>
      <c r="Y295" s="2152" t="str">
        <f>IFERROR(VLOOKUP($B295,Y$109:$AG$208,Y$107,FALSE),"")</f>
        <v/>
      </c>
      <c r="Z295" s="2152" t="str">
        <f>IFERROR(VLOOKUP($B295,Z$109:$AG$208,Z$107,FALSE),"")</f>
        <v/>
      </c>
      <c r="AA295" s="2152" t="str">
        <f>IFERROR(VLOOKUP($B295,AA$109:$AG$208,AA$107,FALSE),"")</f>
        <v/>
      </c>
      <c r="AB295" s="2152" t="str">
        <f>IFERROR(VLOOKUP($B295,AB$109:$AG$208,AB$107,FALSE),"")</f>
        <v/>
      </c>
      <c r="AC295" s="2152" t="str">
        <f>IFERROR(VLOOKUP($B295,AC$109:$AG$208,AC$107,FALSE),"")</f>
        <v/>
      </c>
      <c r="AD295" s="2152">
        <f>IFERROR(VLOOKUP($B295,AD$109:$AG$208,AD$107,FALSE),"")</f>
        <v>0</v>
      </c>
      <c r="AE295" s="2152" t="str">
        <f>IFERROR(VLOOKUP($B295,AE$109:$AG$208,AE$107,FALSE),"")</f>
        <v/>
      </c>
      <c r="AF295" s="2152" t="str">
        <f>IFERROR(VLOOKUP($B295,AF$109:$AG$208,AF$107,FALSE),"")</f>
        <v/>
      </c>
    </row>
    <row r="296" spans="2:32">
      <c r="B296" s="2168">
        <f t="shared" si="21"/>
        <v>82</v>
      </c>
      <c r="F296" s="2152" t="str">
        <f>IFERROR(VLOOKUP($B296,F$109:$AG$208,F$107,FALSE),"")</f>
        <v/>
      </c>
      <c r="G296" s="2152" t="str">
        <f>IFERROR(VLOOKUP($B296,G$109:$AG$208,G$107,FALSE),"")</f>
        <v/>
      </c>
      <c r="H296" s="2152" t="str">
        <f>IFERROR(VLOOKUP($B296,H$109:$AG$208,H$107,FALSE),"")</f>
        <v/>
      </c>
      <c r="I296" s="2152" t="str">
        <f>IFERROR(VLOOKUP($B296,I$109:$AG$208,I$107,FALSE),"")</f>
        <v/>
      </c>
      <c r="J296" s="2152" t="str">
        <f>IFERROR(VLOOKUP($B296,J$109:$AG$208,J$107,FALSE),"")</f>
        <v/>
      </c>
      <c r="K296" s="2152" t="str">
        <f>IFERROR(VLOOKUP($B296,K$109:$AG$208,K$107,FALSE),"")</f>
        <v/>
      </c>
      <c r="L296" s="2152" t="str">
        <f>IFERROR(VLOOKUP($B296,L$109:$AG$208,L$107,FALSE),"")</f>
        <v/>
      </c>
      <c r="M296" s="2152" t="str">
        <f>IFERROR(VLOOKUP($B296,M$109:$AG$208,M$107,FALSE),"")</f>
        <v/>
      </c>
      <c r="N296" s="2152" t="str">
        <f>IFERROR(VLOOKUP($B296,N$109:$AG$208,N$107,FALSE),"")</f>
        <v/>
      </c>
      <c r="O296" s="2152" t="str">
        <f>IFERROR(VLOOKUP($B296,O$109:$AG$208,O$107,FALSE),"")</f>
        <v/>
      </c>
      <c r="P296" s="2152" t="str">
        <f>IFERROR(VLOOKUP($B296,P$109:$AG$208,P$107,FALSE),"")</f>
        <v/>
      </c>
      <c r="Q296" s="2152" t="str">
        <f>IFERROR(VLOOKUP($B296,Q$109:$AG$208,Q$107,FALSE),"")</f>
        <v/>
      </c>
      <c r="R296" s="2152" t="str">
        <f>IFERROR(VLOOKUP($B296,R$109:$AG$208,R$107,FALSE),"")</f>
        <v/>
      </c>
      <c r="S296" s="2152" t="str">
        <f>IFERROR(VLOOKUP($B296,S$109:$AG$208,S$107,FALSE),"")</f>
        <v/>
      </c>
      <c r="T296" s="2152" t="str">
        <f>IFERROR(VLOOKUP($B296,T$109:$AG$208,T$107,FALSE),"")</f>
        <v/>
      </c>
      <c r="U296" s="2152" t="str">
        <f>IFERROR(VLOOKUP($B296,U$109:$AG$208,U$107,FALSE),"")</f>
        <v/>
      </c>
      <c r="V296" s="2152" t="str">
        <f>IFERROR(VLOOKUP($B296,V$109:$AG$208,V$107,FALSE),"")</f>
        <v/>
      </c>
      <c r="W296" s="2152" t="str">
        <f>IFERROR(VLOOKUP($B296,W$109:$AG$208,W$107,FALSE),"")</f>
        <v/>
      </c>
      <c r="X296" s="2152" t="str">
        <f>IFERROR(VLOOKUP($B296,X$109:$AG$208,X$107,FALSE),"")</f>
        <v/>
      </c>
      <c r="Y296" s="2152" t="str">
        <f>IFERROR(VLOOKUP($B296,Y$109:$AG$208,Y$107,FALSE),"")</f>
        <v/>
      </c>
      <c r="Z296" s="2152" t="str">
        <f>IFERROR(VLOOKUP($B296,Z$109:$AG$208,Z$107,FALSE),"")</f>
        <v/>
      </c>
      <c r="AA296" s="2152" t="str">
        <f>IFERROR(VLOOKUP($B296,AA$109:$AG$208,AA$107,FALSE),"")</f>
        <v/>
      </c>
      <c r="AB296" s="2152" t="str">
        <f>IFERROR(VLOOKUP($B296,AB$109:$AG$208,AB$107,FALSE),"")</f>
        <v/>
      </c>
      <c r="AC296" s="2152" t="str">
        <f>IFERROR(VLOOKUP($B296,AC$109:$AG$208,AC$107,FALSE),"")</f>
        <v/>
      </c>
      <c r="AD296" s="2152">
        <f>IFERROR(VLOOKUP($B296,AD$109:$AG$208,AD$107,FALSE),"")</f>
        <v>0</v>
      </c>
      <c r="AE296" s="2152" t="str">
        <f>IFERROR(VLOOKUP($B296,AE$109:$AG$208,AE$107,FALSE),"")</f>
        <v/>
      </c>
      <c r="AF296" s="2152" t="str">
        <f>IFERROR(VLOOKUP($B296,AF$109:$AG$208,AF$107,FALSE),"")</f>
        <v/>
      </c>
    </row>
    <row r="297" spans="2:32">
      <c r="B297" s="2168">
        <f t="shared" si="21"/>
        <v>83</v>
      </c>
      <c r="F297" s="2152" t="str">
        <f>IFERROR(VLOOKUP($B297,F$109:$AG$208,F$107,FALSE),"")</f>
        <v/>
      </c>
      <c r="G297" s="2152" t="str">
        <f>IFERROR(VLOOKUP($B297,G$109:$AG$208,G$107,FALSE),"")</f>
        <v/>
      </c>
      <c r="H297" s="2152" t="str">
        <f>IFERROR(VLOOKUP($B297,H$109:$AG$208,H$107,FALSE),"")</f>
        <v/>
      </c>
      <c r="I297" s="2152" t="str">
        <f>IFERROR(VLOOKUP($B297,I$109:$AG$208,I$107,FALSE),"")</f>
        <v/>
      </c>
      <c r="J297" s="2152" t="str">
        <f>IFERROR(VLOOKUP($B297,J$109:$AG$208,J$107,FALSE),"")</f>
        <v/>
      </c>
      <c r="K297" s="2152" t="str">
        <f>IFERROR(VLOOKUP($B297,K$109:$AG$208,K$107,FALSE),"")</f>
        <v/>
      </c>
      <c r="L297" s="2152" t="str">
        <f>IFERROR(VLOOKUP($B297,L$109:$AG$208,L$107,FALSE),"")</f>
        <v/>
      </c>
      <c r="M297" s="2152" t="str">
        <f>IFERROR(VLOOKUP($B297,M$109:$AG$208,M$107,FALSE),"")</f>
        <v/>
      </c>
      <c r="N297" s="2152" t="str">
        <f>IFERROR(VLOOKUP($B297,N$109:$AG$208,N$107,FALSE),"")</f>
        <v/>
      </c>
      <c r="O297" s="2152" t="str">
        <f>IFERROR(VLOOKUP($B297,O$109:$AG$208,O$107,FALSE),"")</f>
        <v/>
      </c>
      <c r="P297" s="2152" t="str">
        <f>IFERROR(VLOOKUP($B297,P$109:$AG$208,P$107,FALSE),"")</f>
        <v/>
      </c>
      <c r="Q297" s="2152" t="str">
        <f>IFERROR(VLOOKUP($B297,Q$109:$AG$208,Q$107,FALSE),"")</f>
        <v/>
      </c>
      <c r="R297" s="2152" t="str">
        <f>IFERROR(VLOOKUP($B297,R$109:$AG$208,R$107,FALSE),"")</f>
        <v/>
      </c>
      <c r="S297" s="2152" t="str">
        <f>IFERROR(VLOOKUP($B297,S$109:$AG$208,S$107,FALSE),"")</f>
        <v/>
      </c>
      <c r="T297" s="2152" t="str">
        <f>IFERROR(VLOOKUP($B297,T$109:$AG$208,T$107,FALSE),"")</f>
        <v/>
      </c>
      <c r="U297" s="2152" t="str">
        <f>IFERROR(VLOOKUP($B297,U$109:$AG$208,U$107,FALSE),"")</f>
        <v/>
      </c>
      <c r="V297" s="2152" t="str">
        <f>IFERROR(VLOOKUP($B297,V$109:$AG$208,V$107,FALSE),"")</f>
        <v/>
      </c>
      <c r="W297" s="2152" t="str">
        <f>IFERROR(VLOOKUP($B297,W$109:$AG$208,W$107,FALSE),"")</f>
        <v/>
      </c>
      <c r="X297" s="2152" t="str">
        <f>IFERROR(VLOOKUP($B297,X$109:$AG$208,X$107,FALSE),"")</f>
        <v/>
      </c>
      <c r="Y297" s="2152" t="str">
        <f>IFERROR(VLOOKUP($B297,Y$109:$AG$208,Y$107,FALSE),"")</f>
        <v/>
      </c>
      <c r="Z297" s="2152" t="str">
        <f>IFERROR(VLOOKUP($B297,Z$109:$AG$208,Z$107,FALSE),"")</f>
        <v/>
      </c>
      <c r="AA297" s="2152" t="str">
        <f>IFERROR(VLOOKUP($B297,AA$109:$AG$208,AA$107,FALSE),"")</f>
        <v/>
      </c>
      <c r="AB297" s="2152" t="str">
        <f>IFERROR(VLOOKUP($B297,AB$109:$AG$208,AB$107,FALSE),"")</f>
        <v/>
      </c>
      <c r="AC297" s="2152" t="str">
        <f>IFERROR(VLOOKUP($B297,AC$109:$AG$208,AC$107,FALSE),"")</f>
        <v/>
      </c>
      <c r="AD297" s="2152">
        <f>IFERROR(VLOOKUP($B297,AD$109:$AG$208,AD$107,FALSE),"")</f>
        <v>0</v>
      </c>
      <c r="AE297" s="2152" t="str">
        <f>IFERROR(VLOOKUP($B297,AE$109:$AG$208,AE$107,FALSE),"")</f>
        <v/>
      </c>
      <c r="AF297" s="2152" t="str">
        <f>IFERROR(VLOOKUP($B297,AF$109:$AG$208,AF$107,FALSE),"")</f>
        <v/>
      </c>
    </row>
    <row r="298" spans="2:32">
      <c r="B298" s="2168">
        <f t="shared" si="21"/>
        <v>84</v>
      </c>
      <c r="F298" s="2152" t="str">
        <f>IFERROR(VLOOKUP($B298,F$109:$AG$208,F$107,FALSE),"")</f>
        <v/>
      </c>
      <c r="G298" s="2152" t="str">
        <f>IFERROR(VLOOKUP($B298,G$109:$AG$208,G$107,FALSE),"")</f>
        <v/>
      </c>
      <c r="H298" s="2152" t="str">
        <f>IFERROR(VLOOKUP($B298,H$109:$AG$208,H$107,FALSE),"")</f>
        <v/>
      </c>
      <c r="I298" s="2152" t="str">
        <f>IFERROR(VLOOKUP($B298,I$109:$AG$208,I$107,FALSE),"")</f>
        <v/>
      </c>
      <c r="J298" s="2152" t="str">
        <f>IFERROR(VLOOKUP($B298,J$109:$AG$208,J$107,FALSE),"")</f>
        <v/>
      </c>
      <c r="K298" s="2152" t="str">
        <f>IFERROR(VLOOKUP($B298,K$109:$AG$208,K$107,FALSE),"")</f>
        <v/>
      </c>
      <c r="L298" s="2152" t="str">
        <f>IFERROR(VLOOKUP($B298,L$109:$AG$208,L$107,FALSE),"")</f>
        <v/>
      </c>
      <c r="M298" s="2152" t="str">
        <f>IFERROR(VLOOKUP($B298,M$109:$AG$208,M$107,FALSE),"")</f>
        <v/>
      </c>
      <c r="N298" s="2152" t="str">
        <f>IFERROR(VLOOKUP($B298,N$109:$AG$208,N$107,FALSE),"")</f>
        <v/>
      </c>
      <c r="O298" s="2152" t="str">
        <f>IFERROR(VLOOKUP($B298,O$109:$AG$208,O$107,FALSE),"")</f>
        <v/>
      </c>
      <c r="P298" s="2152" t="str">
        <f>IFERROR(VLOOKUP($B298,P$109:$AG$208,P$107,FALSE),"")</f>
        <v/>
      </c>
      <c r="Q298" s="2152" t="str">
        <f>IFERROR(VLOOKUP($B298,Q$109:$AG$208,Q$107,FALSE),"")</f>
        <v/>
      </c>
      <c r="R298" s="2152" t="str">
        <f>IFERROR(VLOOKUP($B298,R$109:$AG$208,R$107,FALSE),"")</f>
        <v/>
      </c>
      <c r="S298" s="2152" t="str">
        <f>IFERROR(VLOOKUP($B298,S$109:$AG$208,S$107,FALSE),"")</f>
        <v/>
      </c>
      <c r="T298" s="2152" t="str">
        <f>IFERROR(VLOOKUP($B298,T$109:$AG$208,T$107,FALSE),"")</f>
        <v/>
      </c>
      <c r="U298" s="2152" t="str">
        <f>IFERROR(VLOOKUP($B298,U$109:$AG$208,U$107,FALSE),"")</f>
        <v/>
      </c>
      <c r="V298" s="2152" t="str">
        <f>IFERROR(VLOOKUP($B298,V$109:$AG$208,V$107,FALSE),"")</f>
        <v/>
      </c>
      <c r="W298" s="2152" t="str">
        <f>IFERROR(VLOOKUP($B298,W$109:$AG$208,W$107,FALSE),"")</f>
        <v/>
      </c>
      <c r="X298" s="2152" t="str">
        <f>IFERROR(VLOOKUP($B298,X$109:$AG$208,X$107,FALSE),"")</f>
        <v/>
      </c>
      <c r="Y298" s="2152" t="str">
        <f>IFERROR(VLOOKUP($B298,Y$109:$AG$208,Y$107,FALSE),"")</f>
        <v/>
      </c>
      <c r="Z298" s="2152" t="str">
        <f>IFERROR(VLOOKUP($B298,Z$109:$AG$208,Z$107,FALSE),"")</f>
        <v/>
      </c>
      <c r="AA298" s="2152" t="str">
        <f>IFERROR(VLOOKUP($B298,AA$109:$AG$208,AA$107,FALSE),"")</f>
        <v/>
      </c>
      <c r="AB298" s="2152" t="str">
        <f>IFERROR(VLOOKUP($B298,AB$109:$AG$208,AB$107,FALSE),"")</f>
        <v/>
      </c>
      <c r="AC298" s="2152" t="str">
        <f>IFERROR(VLOOKUP($B298,AC$109:$AG$208,AC$107,FALSE),"")</f>
        <v/>
      </c>
      <c r="AD298" s="2152">
        <f>IFERROR(VLOOKUP($B298,AD$109:$AG$208,AD$107,FALSE),"")</f>
        <v>0</v>
      </c>
      <c r="AE298" s="2152" t="str">
        <f>IFERROR(VLOOKUP($B298,AE$109:$AG$208,AE$107,FALSE),"")</f>
        <v/>
      </c>
      <c r="AF298" s="2152" t="str">
        <f>IFERROR(VLOOKUP($B298,AF$109:$AG$208,AF$107,FALSE),"")</f>
        <v/>
      </c>
    </row>
    <row r="299" spans="2:32">
      <c r="B299" s="2168">
        <f t="shared" si="21"/>
        <v>85</v>
      </c>
      <c r="F299" s="2152" t="str">
        <f>IFERROR(VLOOKUP($B299,F$109:$AG$208,F$107,FALSE),"")</f>
        <v/>
      </c>
      <c r="G299" s="2152" t="str">
        <f>IFERROR(VLOOKUP($B299,G$109:$AG$208,G$107,FALSE),"")</f>
        <v/>
      </c>
      <c r="H299" s="2152" t="str">
        <f>IFERROR(VLOOKUP($B299,H$109:$AG$208,H$107,FALSE),"")</f>
        <v/>
      </c>
      <c r="I299" s="2152" t="str">
        <f>IFERROR(VLOOKUP($B299,I$109:$AG$208,I$107,FALSE),"")</f>
        <v/>
      </c>
      <c r="J299" s="2152" t="str">
        <f>IFERROR(VLOOKUP($B299,J$109:$AG$208,J$107,FALSE),"")</f>
        <v/>
      </c>
      <c r="K299" s="2152" t="str">
        <f>IFERROR(VLOOKUP($B299,K$109:$AG$208,K$107,FALSE),"")</f>
        <v/>
      </c>
      <c r="L299" s="2152" t="str">
        <f>IFERROR(VLOOKUP($B299,L$109:$AG$208,L$107,FALSE),"")</f>
        <v/>
      </c>
      <c r="M299" s="2152" t="str">
        <f>IFERROR(VLOOKUP($B299,M$109:$AG$208,M$107,FALSE),"")</f>
        <v/>
      </c>
      <c r="N299" s="2152" t="str">
        <f>IFERROR(VLOOKUP($B299,N$109:$AG$208,N$107,FALSE),"")</f>
        <v/>
      </c>
      <c r="O299" s="2152" t="str">
        <f>IFERROR(VLOOKUP($B299,O$109:$AG$208,O$107,FALSE),"")</f>
        <v/>
      </c>
      <c r="P299" s="2152" t="str">
        <f>IFERROR(VLOOKUP($B299,P$109:$AG$208,P$107,FALSE),"")</f>
        <v/>
      </c>
      <c r="Q299" s="2152" t="str">
        <f>IFERROR(VLOOKUP($B299,Q$109:$AG$208,Q$107,FALSE),"")</f>
        <v/>
      </c>
      <c r="R299" s="2152" t="str">
        <f>IFERROR(VLOOKUP($B299,R$109:$AG$208,R$107,FALSE),"")</f>
        <v/>
      </c>
      <c r="S299" s="2152" t="str">
        <f>IFERROR(VLOOKUP($B299,S$109:$AG$208,S$107,FALSE),"")</f>
        <v/>
      </c>
      <c r="T299" s="2152" t="str">
        <f>IFERROR(VLOOKUP($B299,T$109:$AG$208,T$107,FALSE),"")</f>
        <v/>
      </c>
      <c r="U299" s="2152" t="str">
        <f>IFERROR(VLOOKUP($B299,U$109:$AG$208,U$107,FALSE),"")</f>
        <v/>
      </c>
      <c r="V299" s="2152" t="str">
        <f>IFERROR(VLOOKUP($B299,V$109:$AG$208,V$107,FALSE),"")</f>
        <v/>
      </c>
      <c r="W299" s="2152" t="str">
        <f>IFERROR(VLOOKUP($B299,W$109:$AG$208,W$107,FALSE),"")</f>
        <v/>
      </c>
      <c r="X299" s="2152" t="str">
        <f>IFERROR(VLOOKUP($B299,X$109:$AG$208,X$107,FALSE),"")</f>
        <v/>
      </c>
      <c r="Y299" s="2152" t="str">
        <f>IFERROR(VLOOKUP($B299,Y$109:$AG$208,Y$107,FALSE),"")</f>
        <v/>
      </c>
      <c r="Z299" s="2152" t="str">
        <f>IFERROR(VLOOKUP($B299,Z$109:$AG$208,Z$107,FALSE),"")</f>
        <v/>
      </c>
      <c r="AA299" s="2152" t="str">
        <f>IFERROR(VLOOKUP($B299,AA$109:$AG$208,AA$107,FALSE),"")</f>
        <v/>
      </c>
      <c r="AB299" s="2152" t="str">
        <f>IFERROR(VLOOKUP($B299,AB$109:$AG$208,AB$107,FALSE),"")</f>
        <v/>
      </c>
      <c r="AC299" s="2152" t="str">
        <f>IFERROR(VLOOKUP($B299,AC$109:$AG$208,AC$107,FALSE),"")</f>
        <v/>
      </c>
      <c r="AD299" s="2152">
        <f>IFERROR(VLOOKUP($B299,AD$109:$AG$208,AD$107,FALSE),"")</f>
        <v>0</v>
      </c>
      <c r="AE299" s="2152" t="str">
        <f>IFERROR(VLOOKUP($B299,AE$109:$AG$208,AE$107,FALSE),"")</f>
        <v/>
      </c>
      <c r="AF299" s="2152" t="str">
        <f>IFERROR(VLOOKUP($B299,AF$109:$AG$208,AF$107,FALSE),"")</f>
        <v/>
      </c>
    </row>
    <row r="300" spans="2:32">
      <c r="B300" s="2168">
        <f t="shared" si="21"/>
        <v>86</v>
      </c>
      <c r="F300" s="2152" t="str">
        <f>IFERROR(VLOOKUP($B300,F$109:$AG$208,F$107,FALSE),"")</f>
        <v/>
      </c>
      <c r="G300" s="2152" t="str">
        <f>IFERROR(VLOOKUP($B300,G$109:$AG$208,G$107,FALSE),"")</f>
        <v/>
      </c>
      <c r="H300" s="2152" t="str">
        <f>IFERROR(VLOOKUP($B300,H$109:$AG$208,H$107,FALSE),"")</f>
        <v/>
      </c>
      <c r="I300" s="2152" t="str">
        <f>IFERROR(VLOOKUP($B300,I$109:$AG$208,I$107,FALSE),"")</f>
        <v/>
      </c>
      <c r="J300" s="2152" t="str">
        <f>IFERROR(VLOOKUP($B300,J$109:$AG$208,J$107,FALSE),"")</f>
        <v/>
      </c>
      <c r="K300" s="2152" t="str">
        <f>IFERROR(VLOOKUP($B300,K$109:$AG$208,K$107,FALSE),"")</f>
        <v/>
      </c>
      <c r="L300" s="2152" t="str">
        <f>IFERROR(VLOOKUP($B300,L$109:$AG$208,L$107,FALSE),"")</f>
        <v/>
      </c>
      <c r="M300" s="2152" t="str">
        <f>IFERROR(VLOOKUP($B300,M$109:$AG$208,M$107,FALSE),"")</f>
        <v/>
      </c>
      <c r="N300" s="2152" t="str">
        <f>IFERROR(VLOOKUP($B300,N$109:$AG$208,N$107,FALSE),"")</f>
        <v/>
      </c>
      <c r="O300" s="2152" t="str">
        <f>IFERROR(VLOOKUP($B300,O$109:$AG$208,O$107,FALSE),"")</f>
        <v/>
      </c>
      <c r="P300" s="2152" t="str">
        <f>IFERROR(VLOOKUP($B300,P$109:$AG$208,P$107,FALSE),"")</f>
        <v/>
      </c>
      <c r="Q300" s="2152" t="str">
        <f>IFERROR(VLOOKUP($B300,Q$109:$AG$208,Q$107,FALSE),"")</f>
        <v/>
      </c>
      <c r="R300" s="2152" t="str">
        <f>IFERROR(VLOOKUP($B300,R$109:$AG$208,R$107,FALSE),"")</f>
        <v/>
      </c>
      <c r="S300" s="2152" t="str">
        <f>IFERROR(VLOOKUP($B300,S$109:$AG$208,S$107,FALSE),"")</f>
        <v/>
      </c>
      <c r="T300" s="2152" t="str">
        <f>IFERROR(VLOOKUP($B300,T$109:$AG$208,T$107,FALSE),"")</f>
        <v/>
      </c>
      <c r="U300" s="2152" t="str">
        <f>IFERROR(VLOOKUP($B300,U$109:$AG$208,U$107,FALSE),"")</f>
        <v/>
      </c>
      <c r="V300" s="2152" t="str">
        <f>IFERROR(VLOOKUP($B300,V$109:$AG$208,V$107,FALSE),"")</f>
        <v/>
      </c>
      <c r="W300" s="2152" t="str">
        <f>IFERROR(VLOOKUP($B300,W$109:$AG$208,W$107,FALSE),"")</f>
        <v/>
      </c>
      <c r="X300" s="2152" t="str">
        <f>IFERROR(VLOOKUP($B300,X$109:$AG$208,X$107,FALSE),"")</f>
        <v/>
      </c>
      <c r="Y300" s="2152" t="str">
        <f>IFERROR(VLOOKUP($B300,Y$109:$AG$208,Y$107,FALSE),"")</f>
        <v/>
      </c>
      <c r="Z300" s="2152" t="str">
        <f>IFERROR(VLOOKUP($B300,Z$109:$AG$208,Z$107,FALSE),"")</f>
        <v/>
      </c>
      <c r="AA300" s="2152" t="str">
        <f>IFERROR(VLOOKUP($B300,AA$109:$AG$208,AA$107,FALSE),"")</f>
        <v/>
      </c>
      <c r="AB300" s="2152" t="str">
        <f>IFERROR(VLOOKUP($B300,AB$109:$AG$208,AB$107,FALSE),"")</f>
        <v/>
      </c>
      <c r="AC300" s="2152" t="str">
        <f>IFERROR(VLOOKUP($B300,AC$109:$AG$208,AC$107,FALSE),"")</f>
        <v/>
      </c>
      <c r="AD300" s="2152">
        <f>IFERROR(VLOOKUP($B300,AD$109:$AG$208,AD$107,FALSE),"")</f>
        <v>0</v>
      </c>
      <c r="AE300" s="2152" t="str">
        <f>IFERROR(VLOOKUP($B300,AE$109:$AG$208,AE$107,FALSE),"")</f>
        <v/>
      </c>
      <c r="AF300" s="2152" t="str">
        <f>IFERROR(VLOOKUP($B300,AF$109:$AG$208,AF$107,FALSE),"")</f>
        <v/>
      </c>
    </row>
    <row r="301" spans="2:32">
      <c r="B301" s="2168">
        <f t="shared" si="21"/>
        <v>87</v>
      </c>
      <c r="F301" s="2152" t="str">
        <f>IFERROR(VLOOKUP($B301,F$109:$AG$208,F$107,FALSE),"")</f>
        <v/>
      </c>
      <c r="G301" s="2152" t="str">
        <f>IFERROR(VLOOKUP($B301,G$109:$AG$208,G$107,FALSE),"")</f>
        <v/>
      </c>
      <c r="H301" s="2152" t="str">
        <f>IFERROR(VLOOKUP($B301,H$109:$AG$208,H$107,FALSE),"")</f>
        <v/>
      </c>
      <c r="I301" s="2152" t="str">
        <f>IFERROR(VLOOKUP($B301,I$109:$AG$208,I$107,FALSE),"")</f>
        <v/>
      </c>
      <c r="J301" s="2152" t="str">
        <f>IFERROR(VLOOKUP($B301,J$109:$AG$208,J$107,FALSE),"")</f>
        <v/>
      </c>
      <c r="K301" s="2152" t="str">
        <f>IFERROR(VLOOKUP($B301,K$109:$AG$208,K$107,FALSE),"")</f>
        <v/>
      </c>
      <c r="L301" s="2152" t="str">
        <f>IFERROR(VLOOKUP($B301,L$109:$AG$208,L$107,FALSE),"")</f>
        <v/>
      </c>
      <c r="M301" s="2152" t="str">
        <f>IFERROR(VLOOKUP($B301,M$109:$AG$208,M$107,FALSE),"")</f>
        <v/>
      </c>
      <c r="N301" s="2152" t="str">
        <f>IFERROR(VLOOKUP($B301,N$109:$AG$208,N$107,FALSE),"")</f>
        <v/>
      </c>
      <c r="O301" s="2152" t="str">
        <f>IFERROR(VLOOKUP($B301,O$109:$AG$208,O$107,FALSE),"")</f>
        <v/>
      </c>
      <c r="P301" s="2152" t="str">
        <f>IFERROR(VLOOKUP($B301,P$109:$AG$208,P$107,FALSE),"")</f>
        <v/>
      </c>
      <c r="Q301" s="2152" t="str">
        <f>IFERROR(VLOOKUP($B301,Q$109:$AG$208,Q$107,FALSE),"")</f>
        <v/>
      </c>
      <c r="R301" s="2152" t="str">
        <f>IFERROR(VLOOKUP($B301,R$109:$AG$208,R$107,FALSE),"")</f>
        <v/>
      </c>
      <c r="S301" s="2152" t="str">
        <f>IFERROR(VLOOKUP($B301,S$109:$AG$208,S$107,FALSE),"")</f>
        <v/>
      </c>
      <c r="T301" s="2152" t="str">
        <f>IFERROR(VLOOKUP($B301,T$109:$AG$208,T$107,FALSE),"")</f>
        <v/>
      </c>
      <c r="U301" s="2152" t="str">
        <f>IFERROR(VLOOKUP($B301,U$109:$AG$208,U$107,FALSE),"")</f>
        <v/>
      </c>
      <c r="V301" s="2152" t="str">
        <f>IFERROR(VLOOKUP($B301,V$109:$AG$208,V$107,FALSE),"")</f>
        <v/>
      </c>
      <c r="W301" s="2152" t="str">
        <f>IFERROR(VLOOKUP($B301,W$109:$AG$208,W$107,FALSE),"")</f>
        <v/>
      </c>
      <c r="X301" s="2152" t="str">
        <f>IFERROR(VLOOKUP($B301,X$109:$AG$208,X$107,FALSE),"")</f>
        <v/>
      </c>
      <c r="Y301" s="2152" t="str">
        <f>IFERROR(VLOOKUP($B301,Y$109:$AG$208,Y$107,FALSE),"")</f>
        <v/>
      </c>
      <c r="Z301" s="2152" t="str">
        <f>IFERROR(VLOOKUP($B301,Z$109:$AG$208,Z$107,FALSE),"")</f>
        <v/>
      </c>
      <c r="AA301" s="2152" t="str">
        <f>IFERROR(VLOOKUP($B301,AA$109:$AG$208,AA$107,FALSE),"")</f>
        <v/>
      </c>
      <c r="AB301" s="2152" t="str">
        <f>IFERROR(VLOOKUP($B301,AB$109:$AG$208,AB$107,FALSE),"")</f>
        <v/>
      </c>
      <c r="AC301" s="2152" t="str">
        <f>IFERROR(VLOOKUP($B301,AC$109:$AG$208,AC$107,FALSE),"")</f>
        <v/>
      </c>
      <c r="AD301" s="2152">
        <f>IFERROR(VLOOKUP($B301,AD$109:$AG$208,AD$107,FALSE),"")</f>
        <v>0</v>
      </c>
      <c r="AE301" s="2152" t="str">
        <f>IFERROR(VLOOKUP($B301,AE$109:$AG$208,AE$107,FALSE),"")</f>
        <v/>
      </c>
      <c r="AF301" s="2152" t="str">
        <f>IFERROR(VLOOKUP($B301,AF$109:$AG$208,AF$107,FALSE),"")</f>
        <v/>
      </c>
    </row>
    <row r="302" spans="2:32">
      <c r="B302" s="2168">
        <f t="shared" si="21"/>
        <v>88</v>
      </c>
      <c r="F302" s="2152" t="str">
        <f>IFERROR(VLOOKUP($B302,F$109:$AG$208,F$107,FALSE),"")</f>
        <v/>
      </c>
      <c r="G302" s="2152" t="str">
        <f>IFERROR(VLOOKUP($B302,G$109:$AG$208,G$107,FALSE),"")</f>
        <v/>
      </c>
      <c r="H302" s="2152" t="str">
        <f>IFERROR(VLOOKUP($B302,H$109:$AG$208,H$107,FALSE),"")</f>
        <v/>
      </c>
      <c r="I302" s="2152" t="str">
        <f>IFERROR(VLOOKUP($B302,I$109:$AG$208,I$107,FALSE),"")</f>
        <v/>
      </c>
      <c r="J302" s="2152" t="str">
        <f>IFERROR(VLOOKUP($B302,J$109:$AG$208,J$107,FALSE),"")</f>
        <v/>
      </c>
      <c r="K302" s="2152" t="str">
        <f>IFERROR(VLOOKUP($B302,K$109:$AG$208,K$107,FALSE),"")</f>
        <v/>
      </c>
      <c r="L302" s="2152" t="str">
        <f>IFERROR(VLOOKUP($B302,L$109:$AG$208,L$107,FALSE),"")</f>
        <v/>
      </c>
      <c r="M302" s="2152" t="str">
        <f>IFERROR(VLOOKUP($B302,M$109:$AG$208,M$107,FALSE),"")</f>
        <v/>
      </c>
      <c r="N302" s="2152" t="str">
        <f>IFERROR(VLOOKUP($B302,N$109:$AG$208,N$107,FALSE),"")</f>
        <v/>
      </c>
      <c r="O302" s="2152" t="str">
        <f>IFERROR(VLOOKUP($B302,O$109:$AG$208,O$107,FALSE),"")</f>
        <v/>
      </c>
      <c r="P302" s="2152" t="str">
        <f>IFERROR(VLOOKUP($B302,P$109:$AG$208,P$107,FALSE),"")</f>
        <v/>
      </c>
      <c r="Q302" s="2152" t="str">
        <f>IFERROR(VLOOKUP($B302,Q$109:$AG$208,Q$107,FALSE),"")</f>
        <v/>
      </c>
      <c r="R302" s="2152" t="str">
        <f>IFERROR(VLOOKUP($B302,R$109:$AG$208,R$107,FALSE),"")</f>
        <v/>
      </c>
      <c r="S302" s="2152" t="str">
        <f>IFERROR(VLOOKUP($B302,S$109:$AG$208,S$107,FALSE),"")</f>
        <v/>
      </c>
      <c r="T302" s="2152" t="str">
        <f>IFERROR(VLOOKUP($B302,T$109:$AG$208,T$107,FALSE),"")</f>
        <v/>
      </c>
      <c r="U302" s="2152" t="str">
        <f>IFERROR(VLOOKUP($B302,U$109:$AG$208,U$107,FALSE),"")</f>
        <v/>
      </c>
      <c r="V302" s="2152" t="str">
        <f>IFERROR(VLOOKUP($B302,V$109:$AG$208,V$107,FALSE),"")</f>
        <v/>
      </c>
      <c r="W302" s="2152" t="str">
        <f>IFERROR(VLOOKUP($B302,W$109:$AG$208,W$107,FALSE),"")</f>
        <v/>
      </c>
      <c r="X302" s="2152" t="str">
        <f>IFERROR(VLOOKUP($B302,X$109:$AG$208,X$107,FALSE),"")</f>
        <v/>
      </c>
      <c r="Y302" s="2152" t="str">
        <f>IFERROR(VLOOKUP($B302,Y$109:$AG$208,Y$107,FALSE),"")</f>
        <v/>
      </c>
      <c r="Z302" s="2152" t="str">
        <f>IFERROR(VLOOKUP($B302,Z$109:$AG$208,Z$107,FALSE),"")</f>
        <v/>
      </c>
      <c r="AA302" s="2152" t="str">
        <f>IFERROR(VLOOKUP($B302,AA$109:$AG$208,AA$107,FALSE),"")</f>
        <v/>
      </c>
      <c r="AB302" s="2152" t="str">
        <f>IFERROR(VLOOKUP($B302,AB$109:$AG$208,AB$107,FALSE),"")</f>
        <v/>
      </c>
      <c r="AC302" s="2152" t="str">
        <f>IFERROR(VLOOKUP($B302,AC$109:$AG$208,AC$107,FALSE),"")</f>
        <v/>
      </c>
      <c r="AD302" s="2152">
        <f>IFERROR(VLOOKUP($B302,AD$109:$AG$208,AD$107,FALSE),"")</f>
        <v>0</v>
      </c>
      <c r="AE302" s="2152" t="str">
        <f>IFERROR(VLOOKUP($B302,AE$109:$AG$208,AE$107,FALSE),"")</f>
        <v/>
      </c>
      <c r="AF302" s="2152" t="str">
        <f>IFERROR(VLOOKUP($B302,AF$109:$AG$208,AF$107,FALSE),"")</f>
        <v/>
      </c>
    </row>
    <row r="303" spans="2:32">
      <c r="B303" s="2168">
        <f t="shared" si="21"/>
        <v>89</v>
      </c>
      <c r="F303" s="2152" t="str">
        <f>IFERROR(VLOOKUP($B303,F$109:$AG$208,F$107,FALSE),"")</f>
        <v/>
      </c>
      <c r="G303" s="2152" t="str">
        <f>IFERROR(VLOOKUP($B303,G$109:$AG$208,G$107,FALSE),"")</f>
        <v/>
      </c>
      <c r="H303" s="2152" t="str">
        <f>IFERROR(VLOOKUP($B303,H$109:$AG$208,H$107,FALSE),"")</f>
        <v/>
      </c>
      <c r="I303" s="2152" t="str">
        <f>IFERROR(VLOOKUP($B303,I$109:$AG$208,I$107,FALSE),"")</f>
        <v/>
      </c>
      <c r="J303" s="2152" t="str">
        <f>IFERROR(VLOOKUP($B303,J$109:$AG$208,J$107,FALSE),"")</f>
        <v/>
      </c>
      <c r="K303" s="2152" t="str">
        <f>IFERROR(VLOOKUP($B303,K$109:$AG$208,K$107,FALSE),"")</f>
        <v/>
      </c>
      <c r="L303" s="2152" t="str">
        <f>IFERROR(VLOOKUP($B303,L$109:$AG$208,L$107,FALSE),"")</f>
        <v/>
      </c>
      <c r="M303" s="2152" t="str">
        <f>IFERROR(VLOOKUP($B303,M$109:$AG$208,M$107,FALSE),"")</f>
        <v/>
      </c>
      <c r="N303" s="2152" t="str">
        <f>IFERROR(VLOOKUP($B303,N$109:$AG$208,N$107,FALSE),"")</f>
        <v/>
      </c>
      <c r="O303" s="2152" t="str">
        <f>IFERROR(VLOOKUP($B303,O$109:$AG$208,O$107,FALSE),"")</f>
        <v/>
      </c>
      <c r="P303" s="2152" t="str">
        <f>IFERROR(VLOOKUP($B303,P$109:$AG$208,P$107,FALSE),"")</f>
        <v/>
      </c>
      <c r="Q303" s="2152" t="str">
        <f>IFERROR(VLOOKUP($B303,Q$109:$AG$208,Q$107,FALSE),"")</f>
        <v/>
      </c>
      <c r="R303" s="2152" t="str">
        <f>IFERROR(VLOOKUP($B303,R$109:$AG$208,R$107,FALSE),"")</f>
        <v/>
      </c>
      <c r="S303" s="2152" t="str">
        <f>IFERROR(VLOOKUP($B303,S$109:$AG$208,S$107,FALSE),"")</f>
        <v/>
      </c>
      <c r="T303" s="2152" t="str">
        <f>IFERROR(VLOOKUP($B303,T$109:$AG$208,T$107,FALSE),"")</f>
        <v/>
      </c>
      <c r="U303" s="2152" t="str">
        <f>IFERROR(VLOOKUP($B303,U$109:$AG$208,U$107,FALSE),"")</f>
        <v/>
      </c>
      <c r="V303" s="2152" t="str">
        <f>IFERROR(VLOOKUP($B303,V$109:$AG$208,V$107,FALSE),"")</f>
        <v/>
      </c>
      <c r="W303" s="2152" t="str">
        <f>IFERROR(VLOOKUP($B303,W$109:$AG$208,W$107,FALSE),"")</f>
        <v/>
      </c>
      <c r="X303" s="2152" t="str">
        <f>IFERROR(VLOOKUP($B303,X$109:$AG$208,X$107,FALSE),"")</f>
        <v/>
      </c>
      <c r="Y303" s="2152" t="str">
        <f>IFERROR(VLOOKUP($B303,Y$109:$AG$208,Y$107,FALSE),"")</f>
        <v/>
      </c>
      <c r="Z303" s="2152" t="str">
        <f>IFERROR(VLOOKUP($B303,Z$109:$AG$208,Z$107,FALSE),"")</f>
        <v/>
      </c>
      <c r="AA303" s="2152" t="str">
        <f>IFERROR(VLOOKUP($B303,AA$109:$AG$208,AA$107,FALSE),"")</f>
        <v/>
      </c>
      <c r="AB303" s="2152" t="str">
        <f>IFERROR(VLOOKUP($B303,AB$109:$AG$208,AB$107,FALSE),"")</f>
        <v/>
      </c>
      <c r="AC303" s="2152" t="str">
        <f>IFERROR(VLOOKUP($B303,AC$109:$AG$208,AC$107,FALSE),"")</f>
        <v/>
      </c>
      <c r="AD303" s="2152">
        <f>IFERROR(VLOOKUP($B303,AD$109:$AG$208,AD$107,FALSE),"")</f>
        <v>0</v>
      </c>
      <c r="AE303" s="2152" t="str">
        <f>IFERROR(VLOOKUP($B303,AE$109:$AG$208,AE$107,FALSE),"")</f>
        <v/>
      </c>
      <c r="AF303" s="2152" t="str">
        <f>IFERROR(VLOOKUP($B303,AF$109:$AG$208,AF$107,FALSE),"")</f>
        <v/>
      </c>
    </row>
    <row r="304" spans="2:32">
      <c r="B304" s="2168">
        <f t="shared" si="21"/>
        <v>90</v>
      </c>
      <c r="F304" s="2152" t="str">
        <f>IFERROR(VLOOKUP($B304,F$109:$AG$208,F$107,FALSE),"")</f>
        <v/>
      </c>
      <c r="G304" s="2152" t="str">
        <f>IFERROR(VLOOKUP($B304,G$109:$AG$208,G$107,FALSE),"")</f>
        <v/>
      </c>
      <c r="H304" s="2152" t="str">
        <f>IFERROR(VLOOKUP($B304,H$109:$AG$208,H$107,FALSE),"")</f>
        <v/>
      </c>
      <c r="I304" s="2152" t="str">
        <f>IFERROR(VLOOKUP($B304,I$109:$AG$208,I$107,FALSE),"")</f>
        <v/>
      </c>
      <c r="J304" s="2152" t="str">
        <f>IFERROR(VLOOKUP($B304,J$109:$AG$208,J$107,FALSE),"")</f>
        <v/>
      </c>
      <c r="K304" s="2152" t="str">
        <f>IFERROR(VLOOKUP($B304,K$109:$AG$208,K$107,FALSE),"")</f>
        <v/>
      </c>
      <c r="L304" s="2152" t="str">
        <f>IFERROR(VLOOKUP($B304,L$109:$AG$208,L$107,FALSE),"")</f>
        <v/>
      </c>
      <c r="M304" s="2152" t="str">
        <f>IFERROR(VLOOKUP($B304,M$109:$AG$208,M$107,FALSE),"")</f>
        <v/>
      </c>
      <c r="N304" s="2152" t="str">
        <f>IFERROR(VLOOKUP($B304,N$109:$AG$208,N$107,FALSE),"")</f>
        <v/>
      </c>
      <c r="O304" s="2152" t="str">
        <f>IFERROR(VLOOKUP($B304,O$109:$AG$208,O$107,FALSE),"")</f>
        <v/>
      </c>
      <c r="P304" s="2152" t="str">
        <f>IFERROR(VLOOKUP($B304,P$109:$AG$208,P$107,FALSE),"")</f>
        <v/>
      </c>
      <c r="Q304" s="2152" t="str">
        <f>IFERROR(VLOOKUP($B304,Q$109:$AG$208,Q$107,FALSE),"")</f>
        <v/>
      </c>
      <c r="R304" s="2152" t="str">
        <f>IFERROR(VLOOKUP($B304,R$109:$AG$208,R$107,FALSE),"")</f>
        <v/>
      </c>
      <c r="S304" s="2152" t="str">
        <f>IFERROR(VLOOKUP($B304,S$109:$AG$208,S$107,FALSE),"")</f>
        <v/>
      </c>
      <c r="T304" s="2152" t="str">
        <f>IFERROR(VLOOKUP($B304,T$109:$AG$208,T$107,FALSE),"")</f>
        <v/>
      </c>
      <c r="U304" s="2152" t="str">
        <f>IFERROR(VLOOKUP($B304,U$109:$AG$208,U$107,FALSE),"")</f>
        <v/>
      </c>
      <c r="V304" s="2152" t="str">
        <f>IFERROR(VLOOKUP($B304,V$109:$AG$208,V$107,FALSE),"")</f>
        <v/>
      </c>
      <c r="W304" s="2152" t="str">
        <f>IFERROR(VLOOKUP($B304,W$109:$AG$208,W$107,FALSE),"")</f>
        <v/>
      </c>
      <c r="X304" s="2152" t="str">
        <f>IFERROR(VLOOKUP($B304,X$109:$AG$208,X$107,FALSE),"")</f>
        <v/>
      </c>
      <c r="Y304" s="2152" t="str">
        <f>IFERROR(VLOOKUP($B304,Y$109:$AG$208,Y$107,FALSE),"")</f>
        <v/>
      </c>
      <c r="Z304" s="2152" t="str">
        <f>IFERROR(VLOOKUP($B304,Z$109:$AG$208,Z$107,FALSE),"")</f>
        <v/>
      </c>
      <c r="AA304" s="2152" t="str">
        <f>IFERROR(VLOOKUP($B304,AA$109:$AG$208,AA$107,FALSE),"")</f>
        <v/>
      </c>
      <c r="AB304" s="2152" t="str">
        <f>IFERROR(VLOOKUP($B304,AB$109:$AG$208,AB$107,FALSE),"")</f>
        <v/>
      </c>
      <c r="AC304" s="2152" t="str">
        <f>IFERROR(VLOOKUP($B304,AC$109:$AG$208,AC$107,FALSE),"")</f>
        <v/>
      </c>
      <c r="AD304" s="2152">
        <f>IFERROR(VLOOKUP($B304,AD$109:$AG$208,AD$107,FALSE),"")</f>
        <v>0</v>
      </c>
      <c r="AE304" s="2152" t="str">
        <f>IFERROR(VLOOKUP($B304,AE$109:$AG$208,AE$107,FALSE),"")</f>
        <v/>
      </c>
      <c r="AF304" s="2152" t="str">
        <f>IFERROR(VLOOKUP($B304,AF$109:$AG$208,AF$107,FALSE),"")</f>
        <v/>
      </c>
    </row>
    <row r="305" spans="2:32">
      <c r="B305" s="2168">
        <f t="shared" si="21"/>
        <v>91</v>
      </c>
      <c r="F305" s="2152" t="str">
        <f>IFERROR(VLOOKUP($B305,F$109:$AG$208,F$107,FALSE),"")</f>
        <v/>
      </c>
      <c r="G305" s="2152" t="str">
        <f>IFERROR(VLOOKUP($B305,G$109:$AG$208,G$107,FALSE),"")</f>
        <v/>
      </c>
      <c r="H305" s="2152" t="str">
        <f>IFERROR(VLOOKUP($B305,H$109:$AG$208,H$107,FALSE),"")</f>
        <v/>
      </c>
      <c r="I305" s="2152" t="str">
        <f>IFERROR(VLOOKUP($B305,I$109:$AG$208,I$107,FALSE),"")</f>
        <v/>
      </c>
      <c r="J305" s="2152" t="str">
        <f>IFERROR(VLOOKUP($B305,J$109:$AG$208,J$107,FALSE),"")</f>
        <v/>
      </c>
      <c r="K305" s="2152" t="str">
        <f>IFERROR(VLOOKUP($B305,K$109:$AG$208,K$107,FALSE),"")</f>
        <v/>
      </c>
      <c r="L305" s="2152" t="str">
        <f>IFERROR(VLOOKUP($B305,L$109:$AG$208,L$107,FALSE),"")</f>
        <v/>
      </c>
      <c r="M305" s="2152" t="str">
        <f>IFERROR(VLOOKUP($B305,M$109:$AG$208,M$107,FALSE),"")</f>
        <v/>
      </c>
      <c r="N305" s="2152" t="str">
        <f>IFERROR(VLOOKUP($B305,N$109:$AG$208,N$107,FALSE),"")</f>
        <v/>
      </c>
      <c r="O305" s="2152" t="str">
        <f>IFERROR(VLOOKUP($B305,O$109:$AG$208,O$107,FALSE),"")</f>
        <v/>
      </c>
      <c r="P305" s="2152" t="str">
        <f>IFERROR(VLOOKUP($B305,P$109:$AG$208,P$107,FALSE),"")</f>
        <v/>
      </c>
      <c r="Q305" s="2152" t="str">
        <f>IFERROR(VLOOKUP($B305,Q$109:$AG$208,Q$107,FALSE),"")</f>
        <v/>
      </c>
      <c r="R305" s="2152" t="str">
        <f>IFERROR(VLOOKUP($B305,R$109:$AG$208,R$107,FALSE),"")</f>
        <v/>
      </c>
      <c r="S305" s="2152" t="str">
        <f>IFERROR(VLOOKUP($B305,S$109:$AG$208,S$107,FALSE),"")</f>
        <v/>
      </c>
      <c r="T305" s="2152" t="str">
        <f>IFERROR(VLOOKUP($B305,T$109:$AG$208,T$107,FALSE),"")</f>
        <v/>
      </c>
      <c r="U305" s="2152" t="str">
        <f>IFERROR(VLOOKUP($B305,U$109:$AG$208,U$107,FALSE),"")</f>
        <v/>
      </c>
      <c r="V305" s="2152" t="str">
        <f>IFERROR(VLOOKUP($B305,V$109:$AG$208,V$107,FALSE),"")</f>
        <v/>
      </c>
      <c r="W305" s="2152" t="str">
        <f>IFERROR(VLOOKUP($B305,W$109:$AG$208,W$107,FALSE),"")</f>
        <v/>
      </c>
      <c r="X305" s="2152" t="str">
        <f>IFERROR(VLOOKUP($B305,X$109:$AG$208,X$107,FALSE),"")</f>
        <v/>
      </c>
      <c r="Y305" s="2152" t="str">
        <f>IFERROR(VLOOKUP($B305,Y$109:$AG$208,Y$107,FALSE),"")</f>
        <v/>
      </c>
      <c r="Z305" s="2152" t="str">
        <f>IFERROR(VLOOKUP($B305,Z$109:$AG$208,Z$107,FALSE),"")</f>
        <v/>
      </c>
      <c r="AA305" s="2152" t="str">
        <f>IFERROR(VLOOKUP($B305,AA$109:$AG$208,AA$107,FALSE),"")</f>
        <v/>
      </c>
      <c r="AB305" s="2152" t="str">
        <f>IFERROR(VLOOKUP($B305,AB$109:$AG$208,AB$107,FALSE),"")</f>
        <v/>
      </c>
      <c r="AC305" s="2152" t="str">
        <f>IFERROR(VLOOKUP($B305,AC$109:$AG$208,AC$107,FALSE),"")</f>
        <v/>
      </c>
      <c r="AD305" s="2152">
        <f>IFERROR(VLOOKUP($B305,AD$109:$AG$208,AD$107,FALSE),"")</f>
        <v>0</v>
      </c>
      <c r="AE305" s="2152" t="str">
        <f>IFERROR(VLOOKUP($B305,AE$109:$AG$208,AE$107,FALSE),"")</f>
        <v/>
      </c>
      <c r="AF305" s="2152" t="str">
        <f>IFERROR(VLOOKUP($B305,AF$109:$AG$208,AF$107,FALSE),"")</f>
        <v/>
      </c>
    </row>
    <row r="306" spans="2:32">
      <c r="B306" s="2168">
        <f t="shared" si="21"/>
        <v>92</v>
      </c>
      <c r="F306" s="2152" t="str">
        <f>IFERROR(VLOOKUP($B306,F$109:$AG$208,F$107,FALSE),"")</f>
        <v/>
      </c>
      <c r="G306" s="2152" t="str">
        <f>IFERROR(VLOOKUP($B306,G$109:$AG$208,G$107,FALSE),"")</f>
        <v/>
      </c>
      <c r="H306" s="2152" t="str">
        <f>IFERROR(VLOOKUP($B306,H$109:$AG$208,H$107,FALSE),"")</f>
        <v/>
      </c>
      <c r="I306" s="2152" t="str">
        <f>IFERROR(VLOOKUP($B306,I$109:$AG$208,I$107,FALSE),"")</f>
        <v/>
      </c>
      <c r="J306" s="2152" t="str">
        <f>IFERROR(VLOOKUP($B306,J$109:$AG$208,J$107,FALSE),"")</f>
        <v/>
      </c>
      <c r="K306" s="2152" t="str">
        <f>IFERROR(VLOOKUP($B306,K$109:$AG$208,K$107,FALSE),"")</f>
        <v/>
      </c>
      <c r="L306" s="2152" t="str">
        <f>IFERROR(VLOOKUP($B306,L$109:$AG$208,L$107,FALSE),"")</f>
        <v/>
      </c>
      <c r="M306" s="2152" t="str">
        <f>IFERROR(VLOOKUP($B306,M$109:$AG$208,M$107,FALSE),"")</f>
        <v/>
      </c>
      <c r="N306" s="2152" t="str">
        <f>IFERROR(VLOOKUP($B306,N$109:$AG$208,N$107,FALSE),"")</f>
        <v/>
      </c>
      <c r="O306" s="2152" t="str">
        <f>IFERROR(VLOOKUP($B306,O$109:$AG$208,O$107,FALSE),"")</f>
        <v/>
      </c>
      <c r="P306" s="2152" t="str">
        <f>IFERROR(VLOOKUP($B306,P$109:$AG$208,P$107,FALSE),"")</f>
        <v/>
      </c>
      <c r="Q306" s="2152" t="str">
        <f>IFERROR(VLOOKUP($B306,Q$109:$AG$208,Q$107,FALSE),"")</f>
        <v/>
      </c>
      <c r="R306" s="2152" t="str">
        <f>IFERROR(VLOOKUP($B306,R$109:$AG$208,R$107,FALSE),"")</f>
        <v/>
      </c>
      <c r="S306" s="2152" t="str">
        <f>IFERROR(VLOOKUP($B306,S$109:$AG$208,S$107,FALSE),"")</f>
        <v/>
      </c>
      <c r="T306" s="2152" t="str">
        <f>IFERROR(VLOOKUP($B306,T$109:$AG$208,T$107,FALSE),"")</f>
        <v/>
      </c>
      <c r="U306" s="2152" t="str">
        <f>IFERROR(VLOOKUP($B306,U$109:$AG$208,U$107,FALSE),"")</f>
        <v/>
      </c>
      <c r="V306" s="2152" t="str">
        <f>IFERROR(VLOOKUP($B306,V$109:$AG$208,V$107,FALSE),"")</f>
        <v/>
      </c>
      <c r="W306" s="2152" t="str">
        <f>IFERROR(VLOOKUP($B306,W$109:$AG$208,W$107,FALSE),"")</f>
        <v/>
      </c>
      <c r="X306" s="2152" t="str">
        <f>IFERROR(VLOOKUP($B306,X$109:$AG$208,X$107,FALSE),"")</f>
        <v/>
      </c>
      <c r="Y306" s="2152" t="str">
        <f>IFERROR(VLOOKUP($B306,Y$109:$AG$208,Y$107,FALSE),"")</f>
        <v/>
      </c>
      <c r="Z306" s="2152" t="str">
        <f>IFERROR(VLOOKUP($B306,Z$109:$AG$208,Z$107,FALSE),"")</f>
        <v/>
      </c>
      <c r="AA306" s="2152" t="str">
        <f>IFERROR(VLOOKUP($B306,AA$109:$AG$208,AA$107,FALSE),"")</f>
        <v/>
      </c>
      <c r="AB306" s="2152" t="str">
        <f>IFERROR(VLOOKUP($B306,AB$109:$AG$208,AB$107,FALSE),"")</f>
        <v/>
      </c>
      <c r="AC306" s="2152" t="str">
        <f>IFERROR(VLOOKUP($B306,AC$109:$AG$208,AC$107,FALSE),"")</f>
        <v/>
      </c>
      <c r="AD306" s="2152">
        <f>IFERROR(VLOOKUP($B306,AD$109:$AG$208,AD$107,FALSE),"")</f>
        <v>0</v>
      </c>
      <c r="AE306" s="2152" t="str">
        <f>IFERROR(VLOOKUP($B306,AE$109:$AG$208,AE$107,FALSE),"")</f>
        <v/>
      </c>
      <c r="AF306" s="2152" t="str">
        <f>IFERROR(VLOOKUP($B306,AF$109:$AG$208,AF$107,FALSE),"")</f>
        <v/>
      </c>
    </row>
    <row r="307" spans="2:32">
      <c r="B307" s="2168">
        <f t="shared" si="21"/>
        <v>93</v>
      </c>
      <c r="F307" s="2152" t="str">
        <f>IFERROR(VLOOKUP($B307,F$109:$AG$208,F$107,FALSE),"")</f>
        <v/>
      </c>
      <c r="G307" s="2152" t="str">
        <f>IFERROR(VLOOKUP($B307,G$109:$AG$208,G$107,FALSE),"")</f>
        <v/>
      </c>
      <c r="H307" s="2152" t="str">
        <f>IFERROR(VLOOKUP($B307,H$109:$AG$208,H$107,FALSE),"")</f>
        <v/>
      </c>
      <c r="I307" s="2152" t="str">
        <f>IFERROR(VLOOKUP($B307,I$109:$AG$208,I$107,FALSE),"")</f>
        <v/>
      </c>
      <c r="J307" s="2152" t="str">
        <f>IFERROR(VLOOKUP($B307,J$109:$AG$208,J$107,FALSE),"")</f>
        <v/>
      </c>
      <c r="K307" s="2152" t="str">
        <f>IFERROR(VLOOKUP($B307,K$109:$AG$208,K$107,FALSE),"")</f>
        <v/>
      </c>
      <c r="L307" s="2152" t="str">
        <f>IFERROR(VLOOKUP($B307,L$109:$AG$208,L$107,FALSE),"")</f>
        <v/>
      </c>
      <c r="M307" s="2152" t="str">
        <f>IFERROR(VLOOKUP($B307,M$109:$AG$208,M$107,FALSE),"")</f>
        <v/>
      </c>
      <c r="N307" s="2152" t="str">
        <f>IFERROR(VLOOKUP($B307,N$109:$AG$208,N$107,FALSE),"")</f>
        <v/>
      </c>
      <c r="O307" s="2152" t="str">
        <f>IFERROR(VLOOKUP($B307,O$109:$AG$208,O$107,FALSE),"")</f>
        <v/>
      </c>
      <c r="P307" s="2152" t="str">
        <f>IFERROR(VLOOKUP($B307,P$109:$AG$208,P$107,FALSE),"")</f>
        <v/>
      </c>
      <c r="Q307" s="2152" t="str">
        <f>IFERROR(VLOOKUP($B307,Q$109:$AG$208,Q$107,FALSE),"")</f>
        <v/>
      </c>
      <c r="R307" s="2152" t="str">
        <f>IFERROR(VLOOKUP($B307,R$109:$AG$208,R$107,FALSE),"")</f>
        <v/>
      </c>
      <c r="S307" s="2152" t="str">
        <f>IFERROR(VLOOKUP($B307,S$109:$AG$208,S$107,FALSE),"")</f>
        <v/>
      </c>
      <c r="T307" s="2152" t="str">
        <f>IFERROR(VLOOKUP($B307,T$109:$AG$208,T$107,FALSE),"")</f>
        <v/>
      </c>
      <c r="U307" s="2152" t="str">
        <f>IFERROR(VLOOKUP($B307,U$109:$AG$208,U$107,FALSE),"")</f>
        <v/>
      </c>
      <c r="V307" s="2152" t="str">
        <f>IFERROR(VLOOKUP($B307,V$109:$AG$208,V$107,FALSE),"")</f>
        <v/>
      </c>
      <c r="W307" s="2152" t="str">
        <f>IFERROR(VLOOKUP($B307,W$109:$AG$208,W$107,FALSE),"")</f>
        <v/>
      </c>
      <c r="X307" s="2152" t="str">
        <f>IFERROR(VLOOKUP($B307,X$109:$AG$208,X$107,FALSE),"")</f>
        <v/>
      </c>
      <c r="Y307" s="2152" t="str">
        <f>IFERROR(VLOOKUP($B307,Y$109:$AG$208,Y$107,FALSE),"")</f>
        <v/>
      </c>
      <c r="Z307" s="2152" t="str">
        <f>IFERROR(VLOOKUP($B307,Z$109:$AG$208,Z$107,FALSE),"")</f>
        <v/>
      </c>
      <c r="AA307" s="2152" t="str">
        <f>IFERROR(VLOOKUP($B307,AA$109:$AG$208,AA$107,FALSE),"")</f>
        <v/>
      </c>
      <c r="AB307" s="2152" t="str">
        <f>IFERROR(VLOOKUP($B307,AB$109:$AG$208,AB$107,FALSE),"")</f>
        <v/>
      </c>
      <c r="AC307" s="2152" t="str">
        <f>IFERROR(VLOOKUP($B307,AC$109:$AG$208,AC$107,FALSE),"")</f>
        <v/>
      </c>
      <c r="AD307" s="2152">
        <f>IFERROR(VLOOKUP($B307,AD$109:$AG$208,AD$107,FALSE),"")</f>
        <v>0</v>
      </c>
      <c r="AE307" s="2152" t="str">
        <f>IFERROR(VLOOKUP($B307,AE$109:$AG$208,AE$107,FALSE),"")</f>
        <v/>
      </c>
      <c r="AF307" s="2152" t="str">
        <f>IFERROR(VLOOKUP($B307,AF$109:$AG$208,AF$107,FALSE),"")</f>
        <v/>
      </c>
    </row>
    <row r="308" spans="2:32">
      <c r="B308" s="2168">
        <f t="shared" si="21"/>
        <v>94</v>
      </c>
      <c r="F308" s="2152" t="str">
        <f>IFERROR(VLOOKUP($B308,F$109:$AG$208,F$107,FALSE),"")</f>
        <v/>
      </c>
      <c r="G308" s="2152" t="str">
        <f>IFERROR(VLOOKUP($B308,G$109:$AG$208,G$107,FALSE),"")</f>
        <v/>
      </c>
      <c r="H308" s="2152" t="str">
        <f>IFERROR(VLOOKUP($B308,H$109:$AG$208,H$107,FALSE),"")</f>
        <v/>
      </c>
      <c r="I308" s="2152" t="str">
        <f>IFERROR(VLOOKUP($B308,I$109:$AG$208,I$107,FALSE),"")</f>
        <v/>
      </c>
      <c r="J308" s="2152" t="str">
        <f>IFERROR(VLOOKUP($B308,J$109:$AG$208,J$107,FALSE),"")</f>
        <v/>
      </c>
      <c r="K308" s="2152" t="str">
        <f>IFERROR(VLOOKUP($B308,K$109:$AG$208,K$107,FALSE),"")</f>
        <v/>
      </c>
      <c r="L308" s="2152" t="str">
        <f>IFERROR(VLOOKUP($B308,L$109:$AG$208,L$107,FALSE),"")</f>
        <v/>
      </c>
      <c r="M308" s="2152" t="str">
        <f>IFERROR(VLOOKUP($B308,M$109:$AG$208,M$107,FALSE),"")</f>
        <v/>
      </c>
      <c r="N308" s="2152" t="str">
        <f>IFERROR(VLOOKUP($B308,N$109:$AG$208,N$107,FALSE),"")</f>
        <v/>
      </c>
      <c r="O308" s="2152" t="str">
        <f>IFERROR(VLOOKUP($B308,O$109:$AG$208,O$107,FALSE),"")</f>
        <v/>
      </c>
      <c r="P308" s="2152" t="str">
        <f>IFERROR(VLOOKUP($B308,P$109:$AG$208,P$107,FALSE),"")</f>
        <v/>
      </c>
      <c r="Q308" s="2152" t="str">
        <f>IFERROR(VLOOKUP($B308,Q$109:$AG$208,Q$107,FALSE),"")</f>
        <v/>
      </c>
      <c r="R308" s="2152" t="str">
        <f>IFERROR(VLOOKUP($B308,R$109:$AG$208,R$107,FALSE),"")</f>
        <v/>
      </c>
      <c r="S308" s="2152" t="str">
        <f>IFERROR(VLOOKUP($B308,S$109:$AG$208,S$107,FALSE),"")</f>
        <v/>
      </c>
      <c r="T308" s="2152" t="str">
        <f>IFERROR(VLOOKUP($B308,T$109:$AG$208,T$107,FALSE),"")</f>
        <v/>
      </c>
      <c r="U308" s="2152" t="str">
        <f>IFERROR(VLOOKUP($B308,U$109:$AG$208,U$107,FALSE),"")</f>
        <v/>
      </c>
      <c r="V308" s="2152" t="str">
        <f>IFERROR(VLOOKUP($B308,V$109:$AG$208,V$107,FALSE),"")</f>
        <v/>
      </c>
      <c r="W308" s="2152" t="str">
        <f>IFERROR(VLOOKUP($B308,W$109:$AG$208,W$107,FALSE),"")</f>
        <v/>
      </c>
      <c r="X308" s="2152" t="str">
        <f>IFERROR(VLOOKUP($B308,X$109:$AG$208,X$107,FALSE),"")</f>
        <v/>
      </c>
      <c r="Y308" s="2152" t="str">
        <f>IFERROR(VLOOKUP($B308,Y$109:$AG$208,Y$107,FALSE),"")</f>
        <v/>
      </c>
      <c r="Z308" s="2152" t="str">
        <f>IFERROR(VLOOKUP($B308,Z$109:$AG$208,Z$107,FALSE),"")</f>
        <v/>
      </c>
      <c r="AA308" s="2152" t="str">
        <f>IFERROR(VLOOKUP($B308,AA$109:$AG$208,AA$107,FALSE),"")</f>
        <v/>
      </c>
      <c r="AB308" s="2152" t="str">
        <f>IFERROR(VLOOKUP($B308,AB$109:$AG$208,AB$107,FALSE),"")</f>
        <v/>
      </c>
      <c r="AC308" s="2152" t="str">
        <f>IFERROR(VLOOKUP($B308,AC$109:$AG$208,AC$107,FALSE),"")</f>
        <v/>
      </c>
      <c r="AD308" s="2152" t="str">
        <f>IFERROR(VLOOKUP($B308,AD$109:$AG$208,AD$107,FALSE),"")</f>
        <v/>
      </c>
      <c r="AE308" s="2152" t="str">
        <f>IFERROR(VLOOKUP($B308,AE$109:$AG$208,AE$107,FALSE),"")</f>
        <v/>
      </c>
      <c r="AF308" s="2152" t="str">
        <f>IFERROR(VLOOKUP($B308,AF$109:$AG$208,AF$107,FALSE),"")</f>
        <v/>
      </c>
    </row>
    <row r="309" spans="2:32">
      <c r="B309" s="2168">
        <f t="shared" si="21"/>
        <v>95</v>
      </c>
      <c r="F309" s="2152" t="str">
        <f>IFERROR(VLOOKUP($B309,F$109:$AG$208,F$107,FALSE),"")</f>
        <v/>
      </c>
      <c r="G309" s="2152" t="str">
        <f>IFERROR(VLOOKUP($B309,G$109:$AG$208,G$107,FALSE),"")</f>
        <v/>
      </c>
      <c r="H309" s="2152" t="str">
        <f>IFERROR(VLOOKUP($B309,H$109:$AG$208,H$107,FALSE),"")</f>
        <v/>
      </c>
      <c r="I309" s="2152" t="str">
        <f>IFERROR(VLOOKUP($B309,I$109:$AG$208,I$107,FALSE),"")</f>
        <v/>
      </c>
      <c r="J309" s="2152" t="str">
        <f>IFERROR(VLOOKUP($B309,J$109:$AG$208,J$107,FALSE),"")</f>
        <v/>
      </c>
      <c r="K309" s="2152" t="str">
        <f>IFERROR(VLOOKUP($B309,K$109:$AG$208,K$107,FALSE),"")</f>
        <v/>
      </c>
      <c r="L309" s="2152" t="str">
        <f>IFERROR(VLOOKUP($B309,L$109:$AG$208,L$107,FALSE),"")</f>
        <v/>
      </c>
      <c r="M309" s="2152" t="str">
        <f>IFERROR(VLOOKUP($B309,M$109:$AG$208,M$107,FALSE),"")</f>
        <v/>
      </c>
      <c r="N309" s="2152" t="str">
        <f>IFERROR(VLOOKUP($B309,N$109:$AG$208,N$107,FALSE),"")</f>
        <v/>
      </c>
      <c r="O309" s="2152" t="str">
        <f>IFERROR(VLOOKUP($B309,O$109:$AG$208,O$107,FALSE),"")</f>
        <v/>
      </c>
      <c r="P309" s="2152" t="str">
        <f>IFERROR(VLOOKUP($B309,P$109:$AG$208,P$107,FALSE),"")</f>
        <v/>
      </c>
      <c r="Q309" s="2152" t="str">
        <f>IFERROR(VLOOKUP($B309,Q$109:$AG$208,Q$107,FALSE),"")</f>
        <v/>
      </c>
      <c r="R309" s="2152" t="str">
        <f>IFERROR(VLOOKUP($B309,R$109:$AG$208,R$107,FALSE),"")</f>
        <v/>
      </c>
      <c r="S309" s="2152" t="str">
        <f>IFERROR(VLOOKUP($B309,S$109:$AG$208,S$107,FALSE),"")</f>
        <v/>
      </c>
      <c r="T309" s="2152" t="str">
        <f>IFERROR(VLOOKUP($B309,T$109:$AG$208,T$107,FALSE),"")</f>
        <v/>
      </c>
      <c r="U309" s="2152" t="str">
        <f>IFERROR(VLOOKUP($B309,U$109:$AG$208,U$107,FALSE),"")</f>
        <v/>
      </c>
      <c r="V309" s="2152" t="str">
        <f>IFERROR(VLOOKUP($B309,V$109:$AG$208,V$107,FALSE),"")</f>
        <v/>
      </c>
      <c r="W309" s="2152" t="str">
        <f>IFERROR(VLOOKUP($B309,W$109:$AG$208,W$107,FALSE),"")</f>
        <v/>
      </c>
      <c r="X309" s="2152" t="str">
        <f>IFERROR(VLOOKUP($B309,X$109:$AG$208,X$107,FALSE),"")</f>
        <v/>
      </c>
      <c r="Y309" s="2152" t="str">
        <f>IFERROR(VLOOKUP($B309,Y$109:$AG$208,Y$107,FALSE),"")</f>
        <v/>
      </c>
      <c r="Z309" s="2152" t="str">
        <f>IFERROR(VLOOKUP($B309,Z$109:$AG$208,Z$107,FALSE),"")</f>
        <v/>
      </c>
      <c r="AA309" s="2152" t="str">
        <f>IFERROR(VLOOKUP($B309,AA$109:$AG$208,AA$107,FALSE),"")</f>
        <v/>
      </c>
      <c r="AB309" s="2152" t="str">
        <f>IFERROR(VLOOKUP($B309,AB$109:$AG$208,AB$107,FALSE),"")</f>
        <v/>
      </c>
      <c r="AC309" s="2152" t="str">
        <f>IFERROR(VLOOKUP($B309,AC$109:$AG$208,AC$107,FALSE),"")</f>
        <v/>
      </c>
      <c r="AD309" s="2152" t="str">
        <f>IFERROR(VLOOKUP($B309,AD$109:$AG$208,AD$107,FALSE),"")</f>
        <v/>
      </c>
      <c r="AE309" s="2152" t="str">
        <f>IFERROR(VLOOKUP($B309,AE$109:$AG$208,AE$107,FALSE),"")</f>
        <v/>
      </c>
      <c r="AF309" s="2152" t="str">
        <f>IFERROR(VLOOKUP($B309,AF$109:$AG$208,AF$107,FALSE),"")</f>
        <v/>
      </c>
    </row>
    <row r="310" spans="2:32">
      <c r="B310" s="2168">
        <f t="shared" si="21"/>
        <v>96</v>
      </c>
      <c r="F310" s="2152" t="str">
        <f>IFERROR(VLOOKUP($B310,F$109:$AG$208,F$107,FALSE),"")</f>
        <v/>
      </c>
      <c r="G310" s="2152" t="str">
        <f>IFERROR(VLOOKUP($B310,G$109:$AG$208,G$107,FALSE),"")</f>
        <v/>
      </c>
      <c r="H310" s="2152" t="str">
        <f>IFERROR(VLOOKUP($B310,H$109:$AG$208,H$107,FALSE),"")</f>
        <v/>
      </c>
      <c r="I310" s="2152" t="str">
        <f>IFERROR(VLOOKUP($B310,I$109:$AG$208,I$107,FALSE),"")</f>
        <v/>
      </c>
      <c r="J310" s="2152" t="str">
        <f>IFERROR(VLOOKUP($B310,J$109:$AG$208,J$107,FALSE),"")</f>
        <v/>
      </c>
      <c r="K310" s="2152" t="str">
        <f>IFERROR(VLOOKUP($B310,K$109:$AG$208,K$107,FALSE),"")</f>
        <v/>
      </c>
      <c r="L310" s="2152" t="str">
        <f>IFERROR(VLOOKUP($B310,L$109:$AG$208,L$107,FALSE),"")</f>
        <v/>
      </c>
      <c r="M310" s="2152" t="str">
        <f>IFERROR(VLOOKUP($B310,M$109:$AG$208,M$107,FALSE),"")</f>
        <v/>
      </c>
      <c r="N310" s="2152" t="str">
        <f>IFERROR(VLOOKUP($B310,N$109:$AG$208,N$107,FALSE),"")</f>
        <v/>
      </c>
      <c r="O310" s="2152" t="str">
        <f>IFERROR(VLOOKUP($B310,O$109:$AG$208,O$107,FALSE),"")</f>
        <v/>
      </c>
      <c r="P310" s="2152" t="str">
        <f>IFERROR(VLOOKUP($B310,P$109:$AG$208,P$107,FALSE),"")</f>
        <v/>
      </c>
      <c r="Q310" s="2152" t="str">
        <f>IFERROR(VLOOKUP($B310,Q$109:$AG$208,Q$107,FALSE),"")</f>
        <v/>
      </c>
      <c r="R310" s="2152" t="str">
        <f>IFERROR(VLOOKUP($B310,R$109:$AG$208,R$107,FALSE),"")</f>
        <v/>
      </c>
      <c r="S310" s="2152" t="str">
        <f>IFERROR(VLOOKUP($B310,S$109:$AG$208,S$107,FALSE),"")</f>
        <v/>
      </c>
      <c r="T310" s="2152" t="str">
        <f>IFERROR(VLOOKUP($B310,T$109:$AG$208,T$107,FALSE),"")</f>
        <v/>
      </c>
      <c r="U310" s="2152" t="str">
        <f>IFERROR(VLOOKUP($B310,U$109:$AG$208,U$107,FALSE),"")</f>
        <v/>
      </c>
      <c r="V310" s="2152" t="str">
        <f>IFERROR(VLOOKUP($B310,V$109:$AG$208,V$107,FALSE),"")</f>
        <v/>
      </c>
      <c r="W310" s="2152" t="str">
        <f>IFERROR(VLOOKUP($B310,W$109:$AG$208,W$107,FALSE),"")</f>
        <v/>
      </c>
      <c r="X310" s="2152" t="str">
        <f>IFERROR(VLOOKUP($B310,X$109:$AG$208,X$107,FALSE),"")</f>
        <v/>
      </c>
      <c r="Y310" s="2152" t="str">
        <f>IFERROR(VLOOKUP($B310,Y$109:$AG$208,Y$107,FALSE),"")</f>
        <v/>
      </c>
      <c r="Z310" s="2152" t="str">
        <f>IFERROR(VLOOKUP($B310,Z$109:$AG$208,Z$107,FALSE),"")</f>
        <v/>
      </c>
      <c r="AA310" s="2152" t="str">
        <f>IFERROR(VLOOKUP($B310,AA$109:$AG$208,AA$107,FALSE),"")</f>
        <v/>
      </c>
      <c r="AB310" s="2152" t="str">
        <f>IFERROR(VLOOKUP($B310,AB$109:$AG$208,AB$107,FALSE),"")</f>
        <v/>
      </c>
      <c r="AC310" s="2152" t="str">
        <f>IFERROR(VLOOKUP($B310,AC$109:$AG$208,AC$107,FALSE),"")</f>
        <v/>
      </c>
      <c r="AD310" s="2152" t="str">
        <f>IFERROR(VLOOKUP($B310,AD$109:$AG$208,AD$107,FALSE),"")</f>
        <v/>
      </c>
      <c r="AE310" s="2152" t="str">
        <f>IFERROR(VLOOKUP($B310,AE$109:$AG$208,AE$107,FALSE),"")</f>
        <v/>
      </c>
      <c r="AF310" s="2152" t="str">
        <f>IFERROR(VLOOKUP($B310,AF$109:$AG$208,AF$107,FALSE),"")</f>
        <v/>
      </c>
    </row>
    <row r="311" spans="2:32">
      <c r="B311" s="2168">
        <f t="shared" si="21"/>
        <v>97</v>
      </c>
      <c r="F311" s="2152" t="str">
        <f>IFERROR(VLOOKUP($B311,F$109:$AG$208,F$107,FALSE),"")</f>
        <v/>
      </c>
      <c r="G311" s="2152" t="str">
        <f>IFERROR(VLOOKUP($B311,G$109:$AG$208,G$107,FALSE),"")</f>
        <v/>
      </c>
      <c r="H311" s="2152" t="str">
        <f>IFERROR(VLOOKUP($B311,H$109:$AG$208,H$107,FALSE),"")</f>
        <v/>
      </c>
      <c r="I311" s="2152" t="str">
        <f>IFERROR(VLOOKUP($B311,I$109:$AG$208,I$107,FALSE),"")</f>
        <v/>
      </c>
      <c r="J311" s="2152" t="str">
        <f>IFERROR(VLOOKUP($B311,J$109:$AG$208,J$107,FALSE),"")</f>
        <v/>
      </c>
      <c r="K311" s="2152" t="str">
        <f>IFERROR(VLOOKUP($B311,K$109:$AG$208,K$107,FALSE),"")</f>
        <v/>
      </c>
      <c r="L311" s="2152" t="str">
        <f>IFERROR(VLOOKUP($B311,L$109:$AG$208,L$107,FALSE),"")</f>
        <v/>
      </c>
      <c r="M311" s="2152" t="str">
        <f>IFERROR(VLOOKUP($B311,M$109:$AG$208,M$107,FALSE),"")</f>
        <v/>
      </c>
      <c r="N311" s="2152" t="str">
        <f>IFERROR(VLOOKUP($B311,N$109:$AG$208,N$107,FALSE),"")</f>
        <v/>
      </c>
      <c r="O311" s="2152" t="str">
        <f>IFERROR(VLOOKUP($B311,O$109:$AG$208,O$107,FALSE),"")</f>
        <v/>
      </c>
      <c r="P311" s="2152" t="str">
        <f>IFERROR(VLOOKUP($B311,P$109:$AG$208,P$107,FALSE),"")</f>
        <v/>
      </c>
      <c r="Q311" s="2152" t="str">
        <f>IFERROR(VLOOKUP($B311,Q$109:$AG$208,Q$107,FALSE),"")</f>
        <v/>
      </c>
      <c r="R311" s="2152" t="str">
        <f>IFERROR(VLOOKUP($B311,R$109:$AG$208,R$107,FALSE),"")</f>
        <v/>
      </c>
      <c r="S311" s="2152" t="str">
        <f>IFERROR(VLOOKUP($B311,S$109:$AG$208,S$107,FALSE),"")</f>
        <v/>
      </c>
      <c r="T311" s="2152" t="str">
        <f>IFERROR(VLOOKUP($B311,T$109:$AG$208,T$107,FALSE),"")</f>
        <v/>
      </c>
      <c r="U311" s="2152" t="str">
        <f>IFERROR(VLOOKUP($B311,U$109:$AG$208,U$107,FALSE),"")</f>
        <v/>
      </c>
      <c r="V311" s="2152" t="str">
        <f>IFERROR(VLOOKUP($B311,V$109:$AG$208,V$107,FALSE),"")</f>
        <v/>
      </c>
      <c r="W311" s="2152" t="str">
        <f>IFERROR(VLOOKUP($B311,W$109:$AG$208,W$107,FALSE),"")</f>
        <v/>
      </c>
      <c r="X311" s="2152" t="str">
        <f>IFERROR(VLOOKUP($B311,X$109:$AG$208,X$107,FALSE),"")</f>
        <v/>
      </c>
      <c r="Y311" s="2152" t="str">
        <f>IFERROR(VLOOKUP($B311,Y$109:$AG$208,Y$107,FALSE),"")</f>
        <v/>
      </c>
      <c r="Z311" s="2152" t="str">
        <f>IFERROR(VLOOKUP($B311,Z$109:$AG$208,Z$107,FALSE),"")</f>
        <v/>
      </c>
      <c r="AA311" s="2152" t="str">
        <f>IFERROR(VLOOKUP($B311,AA$109:$AG$208,AA$107,FALSE),"")</f>
        <v/>
      </c>
      <c r="AB311" s="2152" t="str">
        <f>IFERROR(VLOOKUP($B311,AB$109:$AG$208,AB$107,FALSE),"")</f>
        <v/>
      </c>
      <c r="AC311" s="2152" t="str">
        <f>IFERROR(VLOOKUP($B311,AC$109:$AG$208,AC$107,FALSE),"")</f>
        <v/>
      </c>
      <c r="AD311" s="2152" t="str">
        <f>IFERROR(VLOOKUP($B311,AD$109:$AG$208,AD$107,FALSE),"")</f>
        <v/>
      </c>
      <c r="AE311" s="2152" t="str">
        <f>IFERROR(VLOOKUP($B311,AE$109:$AG$208,AE$107,FALSE),"")</f>
        <v/>
      </c>
      <c r="AF311" s="2152" t="str">
        <f>IFERROR(VLOOKUP($B311,AF$109:$AG$208,AF$107,FALSE),"")</f>
        <v/>
      </c>
    </row>
    <row r="312" spans="2:32">
      <c r="B312" s="2168">
        <f t="shared" si="21"/>
        <v>98</v>
      </c>
      <c r="F312" s="2152" t="str">
        <f>IFERROR(VLOOKUP($B312,F$109:$AG$208,F$107,FALSE),"")</f>
        <v/>
      </c>
      <c r="G312" s="2152" t="str">
        <f>IFERROR(VLOOKUP($B312,G$109:$AG$208,G$107,FALSE),"")</f>
        <v/>
      </c>
      <c r="H312" s="2152" t="str">
        <f>IFERROR(VLOOKUP($B312,H$109:$AG$208,H$107,FALSE),"")</f>
        <v/>
      </c>
      <c r="I312" s="2152" t="str">
        <f>IFERROR(VLOOKUP($B312,I$109:$AG$208,I$107,FALSE),"")</f>
        <v/>
      </c>
      <c r="J312" s="2152" t="str">
        <f>IFERROR(VLOOKUP($B312,J$109:$AG$208,J$107,FALSE),"")</f>
        <v/>
      </c>
      <c r="K312" s="2152" t="str">
        <f>IFERROR(VLOOKUP($B312,K$109:$AG$208,K$107,FALSE),"")</f>
        <v/>
      </c>
      <c r="L312" s="2152" t="str">
        <f>IFERROR(VLOOKUP($B312,L$109:$AG$208,L$107,FALSE),"")</f>
        <v/>
      </c>
      <c r="M312" s="2152" t="str">
        <f>IFERROR(VLOOKUP($B312,M$109:$AG$208,M$107,FALSE),"")</f>
        <v/>
      </c>
      <c r="N312" s="2152" t="str">
        <f>IFERROR(VLOOKUP($B312,N$109:$AG$208,N$107,FALSE),"")</f>
        <v/>
      </c>
      <c r="O312" s="2152" t="str">
        <f>IFERROR(VLOOKUP($B312,O$109:$AG$208,O$107,FALSE),"")</f>
        <v/>
      </c>
      <c r="P312" s="2152" t="str">
        <f>IFERROR(VLOOKUP($B312,P$109:$AG$208,P$107,FALSE),"")</f>
        <v/>
      </c>
      <c r="Q312" s="2152" t="str">
        <f>IFERROR(VLOOKUP($B312,Q$109:$AG$208,Q$107,FALSE),"")</f>
        <v/>
      </c>
      <c r="R312" s="2152" t="str">
        <f>IFERROR(VLOOKUP($B312,R$109:$AG$208,R$107,FALSE),"")</f>
        <v/>
      </c>
      <c r="S312" s="2152" t="str">
        <f>IFERROR(VLOOKUP($B312,S$109:$AG$208,S$107,FALSE),"")</f>
        <v/>
      </c>
      <c r="T312" s="2152" t="str">
        <f>IFERROR(VLOOKUP($B312,T$109:$AG$208,T$107,FALSE),"")</f>
        <v/>
      </c>
      <c r="U312" s="2152" t="str">
        <f>IFERROR(VLOOKUP($B312,U$109:$AG$208,U$107,FALSE),"")</f>
        <v/>
      </c>
      <c r="V312" s="2152" t="str">
        <f>IFERROR(VLOOKUP($B312,V$109:$AG$208,V$107,FALSE),"")</f>
        <v/>
      </c>
      <c r="W312" s="2152" t="str">
        <f>IFERROR(VLOOKUP($B312,W$109:$AG$208,W$107,FALSE),"")</f>
        <v/>
      </c>
      <c r="X312" s="2152" t="str">
        <f>IFERROR(VLOOKUP($B312,X$109:$AG$208,X$107,FALSE),"")</f>
        <v/>
      </c>
      <c r="Y312" s="2152" t="str">
        <f>IFERROR(VLOOKUP($B312,Y$109:$AG$208,Y$107,FALSE),"")</f>
        <v/>
      </c>
      <c r="Z312" s="2152" t="str">
        <f>IFERROR(VLOOKUP($B312,Z$109:$AG$208,Z$107,FALSE),"")</f>
        <v/>
      </c>
      <c r="AA312" s="2152" t="str">
        <f>IFERROR(VLOOKUP($B312,AA$109:$AG$208,AA$107,FALSE),"")</f>
        <v/>
      </c>
      <c r="AB312" s="2152" t="str">
        <f>IFERROR(VLOOKUP($B312,AB$109:$AG$208,AB$107,FALSE),"")</f>
        <v/>
      </c>
      <c r="AC312" s="2152" t="str">
        <f>IFERROR(VLOOKUP($B312,AC$109:$AG$208,AC$107,FALSE),"")</f>
        <v/>
      </c>
      <c r="AD312" s="2152" t="str">
        <f>IFERROR(VLOOKUP($B312,AD$109:$AG$208,AD$107,FALSE),"")</f>
        <v/>
      </c>
      <c r="AE312" s="2152" t="str">
        <f>IFERROR(VLOOKUP($B312,AE$109:$AG$208,AE$107,FALSE),"")</f>
        <v/>
      </c>
      <c r="AF312" s="2152" t="str">
        <f>IFERROR(VLOOKUP($B312,AF$109:$AG$208,AF$107,FALSE),"")</f>
        <v/>
      </c>
    </row>
    <row r="313" spans="2:32">
      <c r="B313" s="2168">
        <f t="shared" si="21"/>
        <v>99</v>
      </c>
      <c r="F313" s="2152" t="str">
        <f>IFERROR(VLOOKUP($B313,F$109:$AG$208,F$107,FALSE),"")</f>
        <v/>
      </c>
      <c r="G313" s="2152" t="str">
        <f>IFERROR(VLOOKUP($B313,G$109:$AG$208,G$107,FALSE),"")</f>
        <v/>
      </c>
      <c r="H313" s="2152" t="str">
        <f>IFERROR(VLOOKUP($B313,H$109:$AG$208,H$107,FALSE),"")</f>
        <v/>
      </c>
      <c r="I313" s="2152" t="str">
        <f>IFERROR(VLOOKUP($B313,I$109:$AG$208,I$107,FALSE),"")</f>
        <v/>
      </c>
      <c r="J313" s="2152" t="str">
        <f>IFERROR(VLOOKUP($B313,J$109:$AG$208,J$107,FALSE),"")</f>
        <v/>
      </c>
      <c r="K313" s="2152" t="str">
        <f>IFERROR(VLOOKUP($B313,K$109:$AG$208,K$107,FALSE),"")</f>
        <v/>
      </c>
      <c r="L313" s="2152" t="str">
        <f>IFERROR(VLOOKUP($B313,L$109:$AG$208,L$107,FALSE),"")</f>
        <v/>
      </c>
      <c r="M313" s="2152" t="str">
        <f>IFERROR(VLOOKUP($B313,M$109:$AG$208,M$107,FALSE),"")</f>
        <v/>
      </c>
      <c r="N313" s="2152" t="str">
        <f>IFERROR(VLOOKUP($B313,N$109:$AG$208,N$107,FALSE),"")</f>
        <v/>
      </c>
      <c r="O313" s="2152" t="str">
        <f>IFERROR(VLOOKUP($B313,O$109:$AG$208,O$107,FALSE),"")</f>
        <v/>
      </c>
      <c r="P313" s="2152" t="str">
        <f>IFERROR(VLOOKUP($B313,P$109:$AG$208,P$107,FALSE),"")</f>
        <v/>
      </c>
      <c r="Q313" s="2152" t="str">
        <f>IFERROR(VLOOKUP($B313,Q$109:$AG$208,Q$107,FALSE),"")</f>
        <v/>
      </c>
      <c r="R313" s="2152" t="str">
        <f>IFERROR(VLOOKUP($B313,R$109:$AG$208,R$107,FALSE),"")</f>
        <v/>
      </c>
      <c r="S313" s="2152" t="str">
        <f>IFERROR(VLOOKUP($B313,S$109:$AG$208,S$107,FALSE),"")</f>
        <v/>
      </c>
      <c r="T313" s="2152" t="str">
        <f>IFERROR(VLOOKUP($B313,T$109:$AG$208,T$107,FALSE),"")</f>
        <v/>
      </c>
      <c r="U313" s="2152" t="str">
        <f>IFERROR(VLOOKUP($B313,U$109:$AG$208,U$107,FALSE),"")</f>
        <v/>
      </c>
      <c r="V313" s="2152" t="str">
        <f>IFERROR(VLOOKUP($B313,V$109:$AG$208,V$107,FALSE),"")</f>
        <v/>
      </c>
      <c r="W313" s="2152" t="str">
        <f>IFERROR(VLOOKUP($B313,W$109:$AG$208,W$107,FALSE),"")</f>
        <v/>
      </c>
      <c r="X313" s="2152" t="str">
        <f>IFERROR(VLOOKUP($B313,X$109:$AG$208,X$107,FALSE),"")</f>
        <v/>
      </c>
      <c r="Y313" s="2152" t="str">
        <f>IFERROR(VLOOKUP($B313,Y$109:$AG$208,Y$107,FALSE),"")</f>
        <v/>
      </c>
      <c r="Z313" s="2152" t="str">
        <f>IFERROR(VLOOKUP($B313,Z$109:$AG$208,Z$107,FALSE),"")</f>
        <v/>
      </c>
      <c r="AA313" s="2152" t="str">
        <f>IFERROR(VLOOKUP($B313,AA$109:$AG$208,AA$107,FALSE),"")</f>
        <v/>
      </c>
      <c r="AB313" s="2152" t="str">
        <f>IFERROR(VLOOKUP($B313,AB$109:$AG$208,AB$107,FALSE),"")</f>
        <v/>
      </c>
      <c r="AC313" s="2152" t="str">
        <f>IFERROR(VLOOKUP($B313,AC$109:$AG$208,AC$107,FALSE),"")</f>
        <v/>
      </c>
      <c r="AD313" s="2152" t="str">
        <f>IFERROR(VLOOKUP($B313,AD$109:$AG$208,AD$107,FALSE),"")</f>
        <v/>
      </c>
      <c r="AE313" s="2152" t="str">
        <f>IFERROR(VLOOKUP($B313,AE$109:$AG$208,AE$107,FALSE),"")</f>
        <v/>
      </c>
      <c r="AF313" s="2152" t="str">
        <f>IFERROR(VLOOKUP($B313,AF$109:$AG$208,AF$107,FALSE),"")</f>
        <v/>
      </c>
    </row>
  </sheetData>
  <sheetProtection sheet="1" objects="1" scenarios="1"/>
  <conditionalFormatting sqref="D24 D94:D103">
    <cfRule type="cellIs" dxfId="7" priority="8" stopIfTrue="1" operator="equal">
      <formula>0</formula>
    </cfRule>
  </conditionalFormatting>
  <conditionalFormatting sqref="C94:C102">
    <cfRule type="cellIs" dxfId="6" priority="7" stopIfTrue="1" operator="equal">
      <formula>0</formula>
    </cfRule>
  </conditionalFormatting>
  <conditionalFormatting sqref="E94:E102">
    <cfRule type="cellIs" dxfId="5" priority="6" stopIfTrue="1" operator="equal">
      <formula>0</formula>
    </cfRule>
  </conditionalFormatting>
  <conditionalFormatting sqref="D5:D23">
    <cfRule type="cellIs" dxfId="4" priority="5" stopIfTrue="1" operator="equal">
      <formula>0</formula>
    </cfRule>
  </conditionalFormatting>
  <conditionalFormatting sqref="D25:D34 D38:D50">
    <cfRule type="cellIs" dxfId="3" priority="4" stopIfTrue="1" operator="equal">
      <formula>0</formula>
    </cfRule>
  </conditionalFormatting>
  <conditionalFormatting sqref="D51:D76">
    <cfRule type="cellIs" dxfId="2" priority="3" stopIfTrue="1" operator="equal">
      <formula>0</formula>
    </cfRule>
  </conditionalFormatting>
  <conditionalFormatting sqref="D77:D93">
    <cfRule type="cellIs" dxfId="1" priority="2" stopIfTrue="1" operator="equal">
      <formula>0</formula>
    </cfRule>
  </conditionalFormatting>
  <conditionalFormatting sqref="D35:D37">
    <cfRule type="cellIs" dxfId="0" priority="1"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1"/>
  <headerFooter alignWithMargins="0">
    <oddFooter>&amp;L&amp;11LEL Schwäbisch Gmünd&amp;C&amp;11&amp;P+8&amp;R&amp;11&amp;F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tabColor rgb="FF00B0F0"/>
  </sheetPr>
  <dimension ref="A1:AY66"/>
  <sheetViews>
    <sheetView showZeros="0" zoomScaleNormal="100" workbookViewId="0"/>
  </sheetViews>
  <sheetFormatPr baseColWidth="10" defaultColWidth="12" defaultRowHeight="15"/>
  <cols>
    <col min="1" max="1" width="1.75" style="2152" customWidth="1"/>
    <col min="2" max="2" width="5.75" style="2153" bestFit="1" customWidth="1"/>
    <col min="3" max="3" width="31.625" style="2152" customWidth="1"/>
    <col min="4" max="4" width="19" style="2154" customWidth="1"/>
    <col min="5" max="5" width="2.25" style="2153" customWidth="1"/>
    <col min="6" max="6" width="3.75" style="2153" customWidth="1"/>
    <col min="7" max="7" width="3.625" style="2152" customWidth="1"/>
    <col min="8" max="8" width="11.125" style="2152" customWidth="1"/>
    <col min="9" max="9" width="9.75" style="2152" customWidth="1"/>
    <col min="10" max="10" width="8" style="2152" customWidth="1"/>
    <col min="11" max="11" width="11.25" style="2152" customWidth="1"/>
    <col min="12" max="15" width="9.75" style="2152" customWidth="1"/>
    <col min="16" max="16" width="9.75" style="2152" hidden="1" customWidth="1"/>
    <col min="17" max="23" width="9.75" style="2152" customWidth="1"/>
    <col min="24" max="24" width="14.5" style="2152" customWidth="1"/>
    <col min="25" max="25" width="9.75" style="2152" customWidth="1"/>
    <col min="26" max="26" width="5.125" style="2152" customWidth="1"/>
    <col min="27" max="27" width="16.5" style="2152" customWidth="1"/>
    <col min="28" max="32" width="5.125" style="2152" customWidth="1"/>
    <col min="33" max="33" width="5.75" style="2152" customWidth="1"/>
    <col min="34" max="37" width="5.125" style="2152" customWidth="1"/>
    <col min="38" max="38" width="6" style="2152" customWidth="1"/>
    <col min="39" max="39" width="12" style="2152" customWidth="1"/>
    <col min="40" max="40" width="4.75" style="2152" customWidth="1"/>
    <col min="41" max="41" width="1.75" style="2152" customWidth="1"/>
    <col min="42" max="42" width="5.75" style="2152" customWidth="1"/>
    <col min="43" max="43" width="12" style="2152" customWidth="1"/>
    <col min="44" max="44" width="9.25" style="2152" customWidth="1"/>
    <col min="45" max="45" width="12" style="2152" customWidth="1"/>
    <col min="46" max="46" width="4.375" style="2152" customWidth="1"/>
    <col min="47" max="47" width="3" style="2152" customWidth="1"/>
    <col min="48" max="48" width="1.25" style="2152" customWidth="1"/>
    <col min="49" max="49" width="1.75" style="2152" customWidth="1"/>
    <col min="50" max="16384" width="12" style="2152"/>
  </cols>
  <sheetData>
    <row r="1" spans="1:51" ht="23.25">
      <c r="A1" s="2195"/>
      <c r="C1" s="1973"/>
      <c r="AG1" s="2194"/>
    </row>
    <row r="2" spans="1:51">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ht="40.700000000000003" customHeight="1">
      <c r="C3" s="2190" t="s">
        <v>1584</v>
      </c>
      <c r="E3" s="33"/>
      <c r="F3" s="33"/>
      <c r="L3" s="2193"/>
      <c r="M3" s="278"/>
      <c r="N3" s="2192"/>
      <c r="O3" s="2191" t="str">
        <f>'SDK1'!O2</f>
        <v>Marktfrüchte Konventionell</v>
      </c>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ht="23.1" customHeight="1" thickBot="1">
      <c r="B4" s="2190"/>
      <c r="E4" s="33"/>
      <c r="F4" s="33"/>
      <c r="M4" s="606"/>
      <c r="N4" s="4379">
        <f>SDÖ1!O3</f>
        <v>0</v>
      </c>
      <c r="O4" s="4379"/>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row>
    <row r="5" spans="1:51" ht="49.7" customHeight="1" thickBot="1">
      <c r="B5" s="2189" t="s">
        <v>647</v>
      </c>
      <c r="C5" s="2188" t="s">
        <v>731</v>
      </c>
      <c r="D5" s="4380" t="s">
        <v>1583</v>
      </c>
      <c r="E5" s="4381"/>
      <c r="F5" s="33"/>
      <c r="G5" s="2188" t="s">
        <v>1582</v>
      </c>
      <c r="H5" s="2187"/>
      <c r="I5" s="2187"/>
      <c r="J5" s="2187"/>
      <c r="K5" s="2187"/>
      <c r="L5" s="2187"/>
      <c r="M5" s="2186"/>
      <c r="N5" s="2186"/>
      <c r="O5" s="2185"/>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25.15" customHeight="1">
      <c r="B6" s="2168">
        <v>1</v>
      </c>
      <c r="C6" s="2173" t="s">
        <v>1581</v>
      </c>
      <c r="D6" s="4382">
        <v>10</v>
      </c>
      <c r="E6" s="4383"/>
      <c r="F6" s="33"/>
      <c r="G6" s="2181" t="s">
        <v>1580</v>
      </c>
      <c r="H6" s="2162"/>
      <c r="I6" s="2162"/>
      <c r="J6" s="2162"/>
      <c r="K6" s="2162"/>
      <c r="L6" s="2162"/>
      <c r="M6" s="631"/>
      <c r="N6" s="631"/>
      <c r="O6" s="1106"/>
      <c r="P6" s="15" t="s">
        <v>1579</v>
      </c>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25.15" customHeight="1">
      <c r="B7" s="2168">
        <f t="shared" ref="B7:B32" si="0">B6+1</f>
        <v>2</v>
      </c>
      <c r="C7" s="2184" t="s">
        <v>1578</v>
      </c>
      <c r="D7" s="4382">
        <v>53</v>
      </c>
      <c r="E7" s="4383"/>
      <c r="F7" s="15"/>
      <c r="G7" s="2181" t="s">
        <v>1577</v>
      </c>
      <c r="H7" s="2162"/>
      <c r="I7" s="2162"/>
      <c r="J7" s="2162"/>
      <c r="K7" s="2162"/>
      <c r="L7" s="2162"/>
      <c r="M7" s="34"/>
      <c r="N7" s="34"/>
      <c r="O7" s="2183"/>
      <c r="P7" s="15" t="s">
        <v>1576</v>
      </c>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ht="25.15" customHeight="1">
      <c r="B8" s="2168">
        <f t="shared" si="0"/>
        <v>3</v>
      </c>
      <c r="C8" s="2173" t="s">
        <v>1575</v>
      </c>
      <c r="D8" s="4382">
        <v>1500</v>
      </c>
      <c r="E8" s="4383"/>
      <c r="F8" s="33"/>
      <c r="G8" s="2181" t="s">
        <v>1574</v>
      </c>
      <c r="H8" s="2162"/>
      <c r="I8" s="2162"/>
      <c r="J8" s="2162"/>
      <c r="K8" s="2162"/>
      <c r="L8" s="2162"/>
      <c r="M8" s="631"/>
      <c r="N8" s="631"/>
      <c r="O8" s="1106"/>
      <c r="P8" s="15" t="s">
        <v>1573</v>
      </c>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ht="25.15" customHeight="1">
      <c r="B9" s="2168">
        <f t="shared" si="0"/>
        <v>4</v>
      </c>
      <c r="C9" s="2167" t="s">
        <v>1572</v>
      </c>
      <c r="D9" s="4382">
        <v>114</v>
      </c>
      <c r="E9" s="4383"/>
      <c r="F9" s="33"/>
      <c r="G9" s="2181" t="s">
        <v>1571</v>
      </c>
      <c r="H9" s="2162"/>
      <c r="I9" s="2162"/>
      <c r="J9" s="2162"/>
      <c r="K9" s="2162"/>
      <c r="L9" s="2162"/>
      <c r="M9" s="631"/>
      <c r="N9" s="631"/>
      <c r="O9" s="1106"/>
      <c r="P9" s="2174" t="s">
        <v>1562</v>
      </c>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row>
    <row r="10" spans="1:51" ht="25.15" customHeight="1">
      <c r="B10" s="2168">
        <f t="shared" si="0"/>
        <v>5</v>
      </c>
      <c r="C10" s="2167" t="s">
        <v>1570</v>
      </c>
      <c r="D10" s="4382">
        <v>44</v>
      </c>
      <c r="E10" s="4383"/>
      <c r="F10" s="33"/>
      <c r="G10" s="2181" t="s">
        <v>1569</v>
      </c>
      <c r="H10" s="2162"/>
      <c r="I10" s="2162"/>
      <c r="J10" s="2162"/>
      <c r="K10" s="2162"/>
      <c r="L10" s="2162"/>
      <c r="M10" s="631"/>
      <c r="N10" s="631"/>
      <c r="O10" s="1106"/>
      <c r="P10" s="2174" t="s">
        <v>1562</v>
      </c>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row>
    <row r="11" spans="1:51" ht="25.15" customHeight="1">
      <c r="B11" s="2168">
        <f t="shared" si="0"/>
        <v>6</v>
      </c>
      <c r="C11" s="2167" t="s">
        <v>1568</v>
      </c>
      <c r="D11" s="4382">
        <v>144</v>
      </c>
      <c r="E11" s="4383"/>
      <c r="F11" s="33"/>
      <c r="G11" s="2181" t="s">
        <v>1567</v>
      </c>
      <c r="H11" s="2162"/>
      <c r="I11" s="2162"/>
      <c r="J11" s="2162"/>
      <c r="K11" s="2162"/>
      <c r="L11" s="2162"/>
      <c r="M11" s="631"/>
      <c r="N11" s="631"/>
      <c r="O11" s="1106"/>
      <c r="P11" s="2174" t="s">
        <v>1562</v>
      </c>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row>
    <row r="12" spans="1:51" ht="25.15" customHeight="1">
      <c r="B12" s="2168">
        <f t="shared" si="0"/>
        <v>7</v>
      </c>
      <c r="C12" s="2167" t="s">
        <v>1566</v>
      </c>
      <c r="D12" s="4382">
        <v>86</v>
      </c>
      <c r="E12" s="4383"/>
      <c r="F12" s="33"/>
      <c r="G12" s="2181" t="s">
        <v>1565</v>
      </c>
      <c r="H12" s="2162"/>
      <c r="I12" s="2162"/>
      <c r="J12" s="2162"/>
      <c r="K12" s="2162"/>
      <c r="L12" s="2162"/>
      <c r="M12" s="631"/>
      <c r="N12" s="631"/>
      <c r="O12" s="1106"/>
      <c r="P12" s="2174" t="s">
        <v>1562</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row>
    <row r="13" spans="1:51" ht="25.15" customHeight="1">
      <c r="B13" s="2168">
        <f t="shared" si="0"/>
        <v>8</v>
      </c>
      <c r="C13" s="2167" t="s">
        <v>1564</v>
      </c>
      <c r="D13" s="4382">
        <v>68</v>
      </c>
      <c r="E13" s="4383"/>
      <c r="F13" s="33"/>
      <c r="G13" s="2181" t="s">
        <v>1563</v>
      </c>
      <c r="H13" s="2162"/>
      <c r="I13" s="2162"/>
      <c r="J13" s="2162"/>
      <c r="K13" s="2162"/>
      <c r="L13" s="2162"/>
      <c r="M13" s="631"/>
      <c r="N13" s="631"/>
      <c r="O13" s="1106"/>
      <c r="P13" s="2174" t="s">
        <v>1562</v>
      </c>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row>
    <row r="14" spans="1:51" ht="25.15" customHeight="1">
      <c r="B14" s="2168">
        <f t="shared" si="0"/>
        <v>9</v>
      </c>
      <c r="C14" s="2167"/>
      <c r="D14" s="4384"/>
      <c r="E14" s="4385"/>
      <c r="F14" s="33"/>
      <c r="G14" s="2181"/>
      <c r="H14" s="2162"/>
      <c r="I14" s="2162"/>
      <c r="J14" s="2162"/>
      <c r="K14" s="2162"/>
      <c r="L14" s="2162"/>
      <c r="M14" s="631"/>
      <c r="N14" s="631"/>
      <c r="O14" s="1106"/>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51" ht="25.15" customHeight="1" thickBot="1">
      <c r="B15" s="2168">
        <f t="shared" si="0"/>
        <v>10</v>
      </c>
      <c r="C15" s="2182"/>
      <c r="D15" s="4386"/>
      <c r="E15" s="4387"/>
      <c r="F15" s="33"/>
      <c r="G15" s="2181"/>
      <c r="H15" s="2162"/>
      <c r="I15" s="2162"/>
      <c r="J15" s="2162"/>
      <c r="K15" s="2162"/>
      <c r="L15" s="2162"/>
      <c r="M15" s="631"/>
      <c r="N15" s="631"/>
      <c r="O15" s="1106"/>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row>
    <row r="16" spans="1:51" ht="49.7" customHeight="1" thickBot="1">
      <c r="B16" s="2180">
        <f t="shared" si="0"/>
        <v>11</v>
      </c>
      <c r="C16" s="2179" t="s">
        <v>1561</v>
      </c>
      <c r="D16" s="2178"/>
      <c r="E16" s="2177"/>
      <c r="F16" s="33"/>
      <c r="G16" s="2176"/>
      <c r="H16" s="2162"/>
      <c r="I16" s="2162"/>
      <c r="J16" s="2162"/>
      <c r="K16" s="2162"/>
      <c r="L16" s="2162"/>
      <c r="M16" s="631"/>
      <c r="N16" s="2162"/>
      <c r="O16" s="2175"/>
      <c r="P16" s="15" t="s">
        <v>1560</v>
      </c>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row>
    <row r="17" spans="1:51" ht="25.15" customHeight="1">
      <c r="B17" s="2168">
        <f t="shared" si="0"/>
        <v>12</v>
      </c>
      <c r="C17" s="2173" t="s">
        <v>1559</v>
      </c>
      <c r="D17" s="2170">
        <v>0.3</v>
      </c>
      <c r="E17" s="2169"/>
      <c r="G17" s="2164" t="s">
        <v>1558</v>
      </c>
      <c r="H17" s="2163"/>
      <c r="I17" s="2163"/>
      <c r="J17" s="2163"/>
      <c r="K17" s="2163"/>
      <c r="L17" s="2162"/>
      <c r="M17" s="631"/>
      <c r="N17" s="631"/>
      <c r="O17" s="1106"/>
      <c r="P17" s="2174" t="s">
        <v>1549</v>
      </c>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row>
    <row r="18" spans="1:51" ht="25.15" customHeight="1">
      <c r="B18" s="2168">
        <f t="shared" si="0"/>
        <v>13</v>
      </c>
      <c r="C18" s="2173"/>
      <c r="D18" s="2170"/>
      <c r="E18" s="2169"/>
      <c r="G18" s="2164"/>
      <c r="H18" s="2163"/>
      <c r="I18" s="2163"/>
      <c r="J18" s="2163"/>
      <c r="K18" s="2163"/>
      <c r="L18" s="2162"/>
      <c r="M18" s="2162"/>
      <c r="N18" s="631"/>
      <c r="O18" s="1106"/>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row>
    <row r="19" spans="1:51" ht="25.15" customHeight="1">
      <c r="B19" s="2168">
        <f t="shared" si="0"/>
        <v>14</v>
      </c>
      <c r="C19" s="2173" t="s">
        <v>1557</v>
      </c>
      <c r="D19" s="2170">
        <v>0.26</v>
      </c>
      <c r="E19" s="2169"/>
      <c r="G19" s="2164" t="s">
        <v>1556</v>
      </c>
      <c r="H19" s="2163"/>
      <c r="I19" s="2163"/>
      <c r="J19" s="2163"/>
      <c r="K19" s="2163"/>
      <c r="L19" s="2162"/>
      <c r="M19" s="631"/>
      <c r="N19" s="631"/>
      <c r="O19" s="1106"/>
      <c r="P19" s="2174" t="s">
        <v>1549</v>
      </c>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row>
    <row r="20" spans="1:51" ht="25.15" customHeight="1">
      <c r="B20" s="2168">
        <f t="shared" si="0"/>
        <v>15</v>
      </c>
      <c r="C20" s="2173"/>
      <c r="D20" s="2172"/>
      <c r="E20" s="2169"/>
      <c r="G20" s="2164"/>
      <c r="H20" s="2163"/>
      <c r="I20" s="2163"/>
      <c r="J20" s="2163"/>
      <c r="K20" s="2163"/>
      <c r="L20" s="2162"/>
      <c r="M20" s="631"/>
      <c r="N20" s="631"/>
      <c r="O20" s="1106"/>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row>
    <row r="21" spans="1:51" ht="25.15" customHeight="1">
      <c r="A21" s="33"/>
      <c r="B21" s="2168">
        <f t="shared" si="0"/>
        <v>16</v>
      </c>
      <c r="C21" s="2173" t="s">
        <v>1555</v>
      </c>
      <c r="D21" s="2170">
        <v>0.28999999999999998</v>
      </c>
      <c r="E21" s="2169"/>
      <c r="G21" s="2164" t="s">
        <v>1554</v>
      </c>
      <c r="H21" s="2163"/>
      <c r="I21" s="2163"/>
      <c r="J21" s="2163"/>
      <c r="K21" s="2163"/>
      <c r="L21" s="2162"/>
      <c r="M21" s="2162"/>
      <c r="N21" s="631"/>
      <c r="O21" s="1106"/>
      <c r="P21" s="2174" t="s">
        <v>1549</v>
      </c>
      <c r="Q21" s="33"/>
      <c r="R21" s="33"/>
      <c r="S21" s="33"/>
      <c r="T21" s="33"/>
      <c r="U21" s="33"/>
      <c r="V21" s="33"/>
      <c r="W21" s="33"/>
      <c r="X21" s="33"/>
      <c r="Y21" s="33"/>
      <c r="Z21" s="33"/>
      <c r="AA21" s="33"/>
      <c r="AB21" s="33"/>
      <c r="AC21" s="33"/>
      <c r="AD21" s="33"/>
      <c r="AE21" s="33"/>
      <c r="AF21" s="33"/>
    </row>
    <row r="22" spans="1:51" ht="25.15" customHeight="1">
      <c r="A22" s="33"/>
      <c r="B22" s="2168">
        <f t="shared" si="0"/>
        <v>17</v>
      </c>
      <c r="C22" s="2173"/>
      <c r="D22" s="2172"/>
      <c r="E22" s="2169"/>
      <c r="G22" s="2164"/>
      <c r="H22" s="2163"/>
      <c r="I22" s="2163"/>
      <c r="J22" s="2163"/>
      <c r="K22" s="2163"/>
      <c r="L22" s="2162"/>
      <c r="M22" s="2162"/>
      <c r="N22" s="631"/>
      <c r="O22" s="1106"/>
      <c r="P22" s="33"/>
      <c r="Q22" s="33"/>
      <c r="R22" s="33"/>
      <c r="S22" s="33"/>
      <c r="T22" s="33"/>
      <c r="U22" s="33"/>
      <c r="V22" s="33"/>
      <c r="W22" s="33"/>
      <c r="X22" s="33"/>
      <c r="Y22" s="33"/>
      <c r="Z22" s="33"/>
      <c r="AA22" s="33"/>
      <c r="AB22" s="33"/>
      <c r="AC22" s="33"/>
      <c r="AD22" s="33"/>
      <c r="AE22" s="33"/>
      <c r="AF22" s="33"/>
    </row>
    <row r="23" spans="1:51" ht="25.15" customHeight="1">
      <c r="A23" s="33"/>
      <c r="B23" s="2168">
        <f t="shared" si="0"/>
        <v>18</v>
      </c>
      <c r="C23" s="2167" t="s">
        <v>1553</v>
      </c>
      <c r="D23" s="2170">
        <v>1.3</v>
      </c>
      <c r="E23" s="2169"/>
      <c r="G23" s="2164" t="s">
        <v>1552</v>
      </c>
      <c r="H23" s="2163"/>
      <c r="I23" s="2163"/>
      <c r="J23" s="2163"/>
      <c r="K23" s="2163"/>
      <c r="L23" s="2162"/>
      <c r="M23" s="2162"/>
      <c r="N23" s="631"/>
      <c r="O23" s="1106"/>
      <c r="P23" s="2174" t="s">
        <v>1549</v>
      </c>
      <c r="Q23" s="33"/>
      <c r="R23" s="33"/>
      <c r="S23" s="33"/>
      <c r="T23" s="33"/>
      <c r="U23" s="33"/>
      <c r="V23" s="33"/>
      <c r="W23" s="33"/>
      <c r="X23" s="33"/>
      <c r="Y23" s="33"/>
      <c r="Z23" s="33"/>
      <c r="AA23" s="33"/>
      <c r="AB23" s="33"/>
      <c r="AC23" s="33"/>
      <c r="AD23" s="33"/>
      <c r="AE23" s="33"/>
      <c r="AF23" s="33"/>
    </row>
    <row r="24" spans="1:51" ht="25.15" customHeight="1">
      <c r="A24" s="33"/>
      <c r="B24" s="2168">
        <f t="shared" si="0"/>
        <v>19</v>
      </c>
      <c r="C24" s="2167"/>
      <c r="D24" s="2172"/>
      <c r="E24" s="2169"/>
      <c r="G24" s="2164"/>
      <c r="H24" s="2163"/>
      <c r="I24" s="2163"/>
      <c r="J24" s="2163"/>
      <c r="K24" s="2163"/>
      <c r="L24" s="2162"/>
      <c r="M24" s="2162"/>
      <c r="N24" s="631"/>
      <c r="O24" s="1106"/>
      <c r="P24" s="33"/>
      <c r="Q24" s="33"/>
      <c r="R24" s="33"/>
      <c r="S24" s="33"/>
      <c r="T24" s="33"/>
      <c r="U24" s="33"/>
      <c r="V24" s="33"/>
      <c r="W24" s="33"/>
      <c r="X24" s="33"/>
      <c r="Y24" s="33"/>
      <c r="Z24" s="33"/>
      <c r="AA24" s="33"/>
      <c r="AB24" s="33"/>
      <c r="AC24" s="33"/>
      <c r="AD24" s="33"/>
      <c r="AE24" s="33"/>
      <c r="AF24" s="33"/>
    </row>
    <row r="25" spans="1:51" ht="25.15" customHeight="1">
      <c r="A25" s="33"/>
      <c r="B25" s="2168">
        <f t="shared" si="0"/>
        <v>20</v>
      </c>
      <c r="C25" s="2173" t="s">
        <v>1551</v>
      </c>
      <c r="D25" s="2170">
        <v>7.0000000000000007E-2</v>
      </c>
      <c r="E25" s="2169"/>
      <c r="G25" s="2164" t="s">
        <v>1550</v>
      </c>
      <c r="H25" s="2163"/>
      <c r="I25" s="2163"/>
      <c r="J25" s="2163"/>
      <c r="K25" s="2163"/>
      <c r="L25" s="2162"/>
      <c r="M25" s="2162"/>
      <c r="N25" s="631"/>
      <c r="O25" s="1106"/>
      <c r="P25" s="2174" t="s">
        <v>1549</v>
      </c>
      <c r="Q25" s="33"/>
      <c r="R25" s="33"/>
      <c r="S25" s="33"/>
      <c r="T25" s="33"/>
      <c r="U25" s="33"/>
      <c r="V25" s="33"/>
      <c r="W25" s="33"/>
      <c r="X25" s="33"/>
      <c r="Y25" s="33"/>
      <c r="Z25" s="33"/>
      <c r="AA25" s="33"/>
      <c r="AB25" s="33"/>
      <c r="AC25" s="33"/>
      <c r="AD25" s="33"/>
      <c r="AE25" s="33"/>
      <c r="AF25" s="33"/>
    </row>
    <row r="26" spans="1:51" ht="25.15" customHeight="1">
      <c r="A26" s="33"/>
      <c r="B26" s="2168">
        <f t="shared" si="0"/>
        <v>21</v>
      </c>
      <c r="C26" s="2173"/>
      <c r="D26" s="2172"/>
      <c r="E26" s="2169"/>
      <c r="G26" s="2164"/>
      <c r="H26" s="2163"/>
      <c r="I26" s="2163"/>
      <c r="J26" s="2163"/>
      <c r="K26" s="2163"/>
      <c r="L26" s="2162"/>
      <c r="M26" s="2162"/>
      <c r="N26" s="631"/>
      <c r="O26" s="1106"/>
      <c r="P26" s="33"/>
      <c r="Q26" s="33"/>
      <c r="R26" s="33"/>
      <c r="S26" s="33"/>
      <c r="T26" s="33"/>
      <c r="U26" s="33"/>
      <c r="V26" s="33"/>
      <c r="W26" s="33"/>
      <c r="X26" s="33"/>
      <c r="Y26" s="33"/>
      <c r="Z26" s="33"/>
      <c r="AA26" s="33"/>
      <c r="AB26" s="33"/>
      <c r="AC26" s="33"/>
      <c r="AD26" s="33"/>
      <c r="AE26" s="33"/>
      <c r="AF26" s="33"/>
    </row>
    <row r="27" spans="1:51" ht="25.15" customHeight="1">
      <c r="A27" s="33"/>
      <c r="B27" s="2168">
        <f t="shared" si="0"/>
        <v>22</v>
      </c>
      <c r="C27" s="2167" t="s">
        <v>1548</v>
      </c>
      <c r="D27" s="2170">
        <v>12.3</v>
      </c>
      <c r="E27" s="2169"/>
      <c r="G27" s="2164" t="s">
        <v>1547</v>
      </c>
      <c r="H27" s="2163"/>
      <c r="I27" s="2163"/>
      <c r="J27" s="2163"/>
      <c r="K27" s="2163"/>
      <c r="L27" s="2162"/>
      <c r="M27" s="2162"/>
      <c r="N27" s="631"/>
      <c r="O27" s="1106"/>
      <c r="P27" s="33"/>
      <c r="Q27" s="33"/>
      <c r="R27" s="33"/>
      <c r="T27" s="33"/>
      <c r="U27" s="33"/>
      <c r="V27" s="33"/>
      <c r="W27" s="33"/>
      <c r="X27" s="33"/>
      <c r="Y27" s="33"/>
      <c r="Z27" s="33"/>
      <c r="AA27" s="33"/>
      <c r="AB27" s="33"/>
      <c r="AC27" s="33"/>
      <c r="AD27" s="33"/>
      <c r="AE27" s="33"/>
      <c r="AF27" s="33"/>
    </row>
    <row r="28" spans="1:51" ht="25.15" customHeight="1">
      <c r="A28" s="33"/>
      <c r="B28" s="2168">
        <f t="shared" si="0"/>
        <v>23</v>
      </c>
      <c r="C28" s="2167" t="s">
        <v>1546</v>
      </c>
      <c r="D28" s="2170">
        <v>18.2</v>
      </c>
      <c r="E28" s="2171"/>
      <c r="G28" s="2164" t="s">
        <v>1545</v>
      </c>
      <c r="H28" s="2163"/>
      <c r="I28" s="2163"/>
      <c r="J28" s="2163"/>
      <c r="K28" s="2163"/>
      <c r="L28" s="2162"/>
      <c r="M28" s="2162"/>
      <c r="N28" s="631"/>
      <c r="O28" s="1106"/>
      <c r="P28" s="33"/>
      <c r="Q28" s="33"/>
      <c r="R28" s="33"/>
      <c r="T28" s="33"/>
      <c r="U28" s="33"/>
      <c r="V28" s="33"/>
      <c r="W28" s="33"/>
      <c r="X28" s="33"/>
      <c r="Y28" s="33"/>
      <c r="Z28" s="33"/>
      <c r="AA28" s="33"/>
      <c r="AB28" s="33"/>
      <c r="AC28" s="33"/>
      <c r="AD28" s="33"/>
      <c r="AE28" s="33"/>
      <c r="AF28" s="33"/>
    </row>
    <row r="29" spans="1:51" ht="25.15" customHeight="1">
      <c r="A29" s="33"/>
      <c r="B29" s="2168">
        <f t="shared" si="0"/>
        <v>24</v>
      </c>
      <c r="C29" s="2167"/>
      <c r="D29" s="2170"/>
      <c r="E29" s="2169"/>
      <c r="G29" s="2164"/>
      <c r="H29" s="2163"/>
      <c r="I29" s="2163"/>
      <c r="J29" s="2163"/>
      <c r="K29" s="2163"/>
      <c r="L29" s="2162"/>
      <c r="M29" s="2162"/>
      <c r="N29" s="631"/>
      <c r="O29" s="1106"/>
      <c r="P29" s="33"/>
      <c r="T29" s="33"/>
      <c r="U29" s="33"/>
      <c r="V29" s="33"/>
      <c r="W29" s="33"/>
      <c r="X29" s="33"/>
      <c r="Y29" s="33"/>
      <c r="Z29" s="33"/>
      <c r="AA29" s="33"/>
      <c r="AB29" s="33"/>
      <c r="AC29" s="33"/>
      <c r="AD29" s="33"/>
      <c r="AE29" s="33"/>
      <c r="AF29" s="33"/>
    </row>
    <row r="30" spans="1:51" ht="25.15" customHeight="1">
      <c r="A30" s="33"/>
      <c r="B30" s="2168">
        <f t="shared" si="0"/>
        <v>25</v>
      </c>
      <c r="C30" s="2167" t="s">
        <v>1544</v>
      </c>
      <c r="D30" s="2170">
        <v>10.6</v>
      </c>
      <c r="E30" s="2169"/>
      <c r="G30" s="2164" t="s">
        <v>1543</v>
      </c>
      <c r="H30" s="2163"/>
      <c r="I30" s="2163"/>
      <c r="J30" s="2163"/>
      <c r="K30" s="2163"/>
      <c r="L30" s="2162"/>
      <c r="M30" s="2162"/>
      <c r="N30" s="631"/>
      <c r="O30" s="1106"/>
      <c r="P30" s="33"/>
      <c r="Q30" s="33"/>
      <c r="R30" s="33"/>
      <c r="S30" s="33"/>
      <c r="T30" s="33"/>
      <c r="U30" s="33"/>
      <c r="V30" s="33"/>
      <c r="W30" s="33"/>
      <c r="X30" s="33"/>
      <c r="Y30" s="33"/>
      <c r="Z30" s="33"/>
      <c r="AA30" s="33"/>
      <c r="AB30" s="33"/>
      <c r="AC30" s="33"/>
      <c r="AD30" s="33"/>
      <c r="AE30" s="33"/>
      <c r="AF30" s="33"/>
    </row>
    <row r="31" spans="1:51" ht="25.15" customHeight="1">
      <c r="A31" s="33"/>
      <c r="B31" s="2168">
        <f t="shared" si="0"/>
        <v>26</v>
      </c>
      <c r="C31" s="2167" t="s">
        <v>1542</v>
      </c>
      <c r="D31" s="2170">
        <v>22.9</v>
      </c>
      <c r="E31" s="2169"/>
      <c r="G31" s="2164" t="s">
        <v>1541</v>
      </c>
      <c r="H31" s="2163"/>
      <c r="I31" s="2163"/>
      <c r="J31" s="2163"/>
      <c r="K31" s="2163"/>
      <c r="L31" s="2162"/>
      <c r="M31" s="2162"/>
      <c r="N31" s="631"/>
      <c r="O31" s="1106"/>
      <c r="P31" s="33"/>
      <c r="Q31" s="33"/>
      <c r="R31" s="33"/>
      <c r="S31" s="33"/>
      <c r="T31" s="33"/>
      <c r="U31" s="33"/>
      <c r="V31" s="33"/>
      <c r="W31" s="33"/>
      <c r="X31" s="33"/>
      <c r="Y31" s="33"/>
      <c r="Z31" s="33"/>
      <c r="AA31" s="33"/>
      <c r="AB31" s="33"/>
      <c r="AC31" s="33"/>
      <c r="AD31" s="33"/>
      <c r="AE31" s="33"/>
      <c r="AF31" s="33"/>
    </row>
    <row r="32" spans="1:51" ht="25.15" customHeight="1">
      <c r="A32" s="33"/>
      <c r="B32" s="2168">
        <f t="shared" si="0"/>
        <v>27</v>
      </c>
      <c r="C32" s="2167"/>
      <c r="D32" s="2166"/>
      <c r="E32" s="2165"/>
      <c r="G32" s="2164"/>
      <c r="H32" s="2163"/>
      <c r="I32" s="2163"/>
      <c r="J32" s="2163"/>
      <c r="K32" s="2163"/>
      <c r="L32" s="2162"/>
      <c r="M32" s="2162"/>
      <c r="N32" s="631"/>
      <c r="O32" s="1106"/>
      <c r="P32" s="33"/>
      <c r="Q32" s="33"/>
      <c r="R32" s="33"/>
      <c r="S32" s="33"/>
      <c r="T32" s="33"/>
      <c r="U32" s="33"/>
      <c r="V32" s="33"/>
      <c r="W32" s="33"/>
      <c r="X32" s="33"/>
      <c r="Y32" s="33"/>
      <c r="Z32" s="33"/>
      <c r="AA32" s="33"/>
      <c r="AB32" s="33"/>
      <c r="AC32" s="33"/>
      <c r="AD32" s="33"/>
      <c r="AE32" s="33"/>
      <c r="AF32" s="33"/>
    </row>
    <row r="33" spans="1:32" ht="25.15" customHeight="1" thickBot="1">
      <c r="A33" s="33"/>
      <c r="B33" s="2161">
        <v>28</v>
      </c>
      <c r="C33" s="2160"/>
      <c r="D33" s="2159"/>
      <c r="E33" s="2158"/>
      <c r="G33" s="2157"/>
      <c r="H33" s="2156"/>
      <c r="I33" s="2156"/>
      <c r="J33" s="2156"/>
      <c r="K33" s="2156"/>
      <c r="L33" s="2156"/>
      <c r="M33" s="2156"/>
      <c r="N33" s="2155"/>
      <c r="O33" s="1046"/>
      <c r="P33" s="33"/>
      <c r="Q33" s="33"/>
      <c r="R33" s="33"/>
      <c r="S33" s="33"/>
      <c r="T33" s="33"/>
      <c r="U33" s="33"/>
      <c r="V33" s="33"/>
      <c r="W33" s="33"/>
      <c r="X33" s="33"/>
      <c r="Y33" s="33"/>
      <c r="Z33" s="33"/>
      <c r="AA33" s="33"/>
      <c r="AB33" s="33"/>
      <c r="AC33" s="33"/>
      <c r="AD33" s="33"/>
      <c r="AE33" s="33"/>
      <c r="AF33" s="33"/>
    </row>
    <row r="34" spans="1:32">
      <c r="A34" s="33"/>
      <c r="N34" s="33"/>
      <c r="O34" s="33"/>
      <c r="P34" s="33"/>
      <c r="Q34" s="33"/>
      <c r="R34" s="33"/>
      <c r="S34" s="33"/>
      <c r="T34" s="33"/>
      <c r="U34" s="33"/>
      <c r="V34" s="33"/>
      <c r="W34" s="33"/>
      <c r="X34" s="33"/>
      <c r="Y34" s="33"/>
      <c r="Z34" s="33"/>
      <c r="AA34" s="33"/>
      <c r="AB34" s="33"/>
      <c r="AC34" s="33"/>
      <c r="AD34" s="33"/>
      <c r="AE34" s="33"/>
      <c r="AF34" s="33"/>
    </row>
    <row r="35" spans="1:32">
      <c r="A35" s="33"/>
      <c r="O35" s="33"/>
      <c r="P35" s="33"/>
      <c r="Q35" s="33"/>
      <c r="R35" s="33"/>
      <c r="S35" s="33"/>
      <c r="T35" s="33"/>
      <c r="U35" s="33"/>
      <c r="V35" s="33"/>
      <c r="W35" s="33"/>
      <c r="X35" s="33"/>
      <c r="Y35" s="33"/>
      <c r="Z35" s="33"/>
      <c r="AA35" s="33"/>
      <c r="AB35" s="33"/>
      <c r="AC35" s="33"/>
      <c r="AD35" s="33"/>
      <c r="AE35" s="33"/>
      <c r="AF35" s="33"/>
    </row>
    <row r="36" spans="1:32" ht="18">
      <c r="A36" s="33"/>
      <c r="C36" s="4388" t="s">
        <v>1540</v>
      </c>
      <c r="D36" s="4388"/>
      <c r="E36" s="4388"/>
      <c r="F36" s="4388"/>
      <c r="G36" s="4388"/>
      <c r="H36" s="4388"/>
      <c r="I36" s="4388"/>
      <c r="J36" s="4388"/>
      <c r="K36" s="4388"/>
      <c r="L36" s="4388"/>
      <c r="M36" s="4388"/>
      <c r="N36" s="4388"/>
      <c r="O36" s="4388"/>
      <c r="P36" s="33"/>
      <c r="Q36" s="33"/>
      <c r="R36" s="33"/>
      <c r="S36" s="33"/>
      <c r="T36" s="33"/>
      <c r="U36" s="33"/>
      <c r="V36" s="33"/>
      <c r="W36" s="33"/>
      <c r="X36" s="33"/>
      <c r="Y36" s="33"/>
      <c r="Z36" s="33"/>
      <c r="AA36" s="33"/>
      <c r="AB36" s="33"/>
      <c r="AC36" s="33"/>
      <c r="AD36" s="33"/>
      <c r="AE36" s="33"/>
      <c r="AF36" s="33"/>
    </row>
    <row r="37" spans="1:32" ht="18">
      <c r="A37" s="33"/>
      <c r="C37" s="4389" t="s">
        <v>1539</v>
      </c>
      <c r="D37" s="4389"/>
      <c r="E37" s="4389"/>
      <c r="F37" s="4389"/>
      <c r="G37" s="4389"/>
      <c r="H37" s="4389"/>
      <c r="I37" s="4389"/>
      <c r="J37" s="4389"/>
      <c r="K37" s="4389"/>
      <c r="L37" s="4389"/>
      <c r="M37" s="4389"/>
      <c r="N37" s="4389"/>
      <c r="O37" s="4389"/>
      <c r="P37" s="33"/>
      <c r="Q37" s="33"/>
      <c r="R37" s="33"/>
      <c r="S37" s="33"/>
      <c r="T37" s="33"/>
      <c r="U37" s="33"/>
      <c r="V37" s="33"/>
      <c r="W37" s="33"/>
      <c r="X37" s="33"/>
      <c r="Y37" s="33"/>
      <c r="Z37" s="33"/>
      <c r="AA37" s="33"/>
      <c r="AB37" s="33"/>
      <c r="AC37" s="33"/>
      <c r="AD37" s="33"/>
      <c r="AE37" s="33"/>
      <c r="AF37" s="33"/>
    </row>
    <row r="38" spans="1:32" ht="15.6" customHeight="1">
      <c r="A38" s="33"/>
      <c r="C38" s="4388" t="s">
        <v>1538</v>
      </c>
      <c r="D38" s="4388"/>
      <c r="E38" s="4388"/>
      <c r="F38" s="4388"/>
      <c r="G38" s="4388"/>
      <c r="H38" s="4388"/>
      <c r="I38" s="4388"/>
      <c r="J38" s="4388"/>
      <c r="K38" s="4388"/>
      <c r="L38" s="4388"/>
      <c r="M38" s="4388"/>
      <c r="N38" s="4388"/>
      <c r="O38" s="4388"/>
      <c r="P38" s="33"/>
      <c r="Q38" s="33"/>
      <c r="R38" s="33"/>
      <c r="S38" s="33"/>
      <c r="T38" s="33"/>
      <c r="U38" s="33"/>
      <c r="V38" s="33"/>
      <c r="W38" s="33"/>
      <c r="X38" s="33"/>
      <c r="Y38" s="33"/>
      <c r="Z38" s="33"/>
      <c r="AA38" s="33"/>
      <c r="AB38" s="33"/>
      <c r="AC38" s="33"/>
      <c r="AD38" s="33"/>
      <c r="AE38" s="33"/>
      <c r="AF38" s="33"/>
    </row>
    <row r="39" spans="1:32">
      <c r="A39" s="33"/>
      <c r="O39" s="33"/>
      <c r="P39" s="33"/>
      <c r="Q39" s="33"/>
      <c r="R39" s="33"/>
      <c r="S39" s="33"/>
      <c r="T39" s="33"/>
      <c r="U39" s="33"/>
      <c r="V39" s="33"/>
      <c r="W39" s="33"/>
      <c r="X39" s="33"/>
      <c r="Y39" s="33"/>
      <c r="Z39" s="33"/>
      <c r="AA39" s="33"/>
      <c r="AB39" s="33"/>
      <c r="AC39" s="33"/>
      <c r="AD39" s="33"/>
      <c r="AE39" s="33"/>
      <c r="AF39" s="33"/>
    </row>
    <row r="40" spans="1:32">
      <c r="A40" s="33"/>
      <c r="O40" s="33"/>
      <c r="P40" s="33"/>
      <c r="Q40" s="33"/>
      <c r="R40" s="33"/>
      <c r="S40" s="33"/>
      <c r="T40" s="33"/>
      <c r="U40" s="33"/>
      <c r="V40" s="33"/>
      <c r="W40" s="33"/>
      <c r="X40" s="33"/>
      <c r="Y40" s="33"/>
      <c r="Z40" s="33"/>
      <c r="AA40" s="33"/>
      <c r="AB40" s="33"/>
      <c r="AC40" s="33"/>
      <c r="AD40" s="33"/>
      <c r="AE40" s="33"/>
      <c r="AF40" s="33"/>
    </row>
    <row r="41" spans="1:32">
      <c r="A41" s="33"/>
      <c r="O41" s="33"/>
      <c r="P41" s="33"/>
      <c r="Q41" s="33"/>
      <c r="R41" s="33"/>
      <c r="S41" s="33"/>
      <c r="T41" s="33"/>
      <c r="U41" s="33"/>
      <c r="V41" s="33"/>
      <c r="W41" s="33"/>
      <c r="X41" s="33"/>
      <c r="Y41" s="33"/>
      <c r="Z41" s="33"/>
      <c r="AA41" s="33"/>
      <c r="AB41" s="33"/>
      <c r="AC41" s="33"/>
      <c r="AD41" s="33"/>
      <c r="AE41" s="33"/>
      <c r="AF41" s="33"/>
    </row>
    <row r="42" spans="1:32">
      <c r="A42" s="33"/>
      <c r="O42" s="33"/>
      <c r="P42" s="33"/>
      <c r="Q42" s="33"/>
      <c r="R42" s="33"/>
      <c r="S42" s="33"/>
      <c r="T42" s="33"/>
      <c r="U42" s="33"/>
      <c r="V42" s="33"/>
      <c r="W42" s="33"/>
      <c r="X42" s="33"/>
      <c r="Y42" s="33"/>
      <c r="Z42" s="33"/>
      <c r="AA42" s="33"/>
      <c r="AB42" s="33"/>
      <c r="AC42" s="33"/>
      <c r="AD42" s="33"/>
      <c r="AE42" s="33"/>
      <c r="AF42" s="33"/>
    </row>
    <row r="43" spans="1:32">
      <c r="A43" s="33"/>
      <c r="O43" s="33"/>
      <c r="P43" s="33"/>
      <c r="Q43" s="33"/>
      <c r="R43" s="33"/>
      <c r="S43" s="33"/>
      <c r="T43" s="33"/>
      <c r="U43" s="33"/>
      <c r="V43" s="33"/>
      <c r="W43" s="33"/>
      <c r="X43" s="33"/>
      <c r="Y43" s="33"/>
      <c r="Z43" s="33"/>
      <c r="AA43" s="33"/>
      <c r="AB43" s="33"/>
      <c r="AC43" s="33"/>
      <c r="AD43" s="33"/>
      <c r="AE43" s="33"/>
      <c r="AF43" s="33"/>
    </row>
    <row r="44" spans="1:32">
      <c r="A44" s="33"/>
      <c r="O44" s="33"/>
      <c r="P44" s="33"/>
      <c r="Q44" s="33"/>
      <c r="R44" s="33"/>
      <c r="S44" s="33"/>
      <c r="T44" s="33"/>
      <c r="U44" s="33"/>
      <c r="V44" s="33"/>
      <c r="W44" s="33"/>
      <c r="X44" s="33"/>
      <c r="Y44" s="33"/>
      <c r="Z44" s="33"/>
      <c r="AA44" s="33"/>
      <c r="AB44" s="33"/>
      <c r="AC44" s="33"/>
      <c r="AD44" s="33"/>
      <c r="AE44" s="33"/>
      <c r="AF44" s="33"/>
    </row>
    <row r="66" spans="2:7">
      <c r="B66" s="31"/>
      <c r="C66" s="31"/>
      <c r="D66" s="31"/>
      <c r="E66" s="33"/>
      <c r="F66" s="31"/>
      <c r="G66" s="33"/>
    </row>
  </sheetData>
  <sheetProtection sheet="1" selectLockedCells="1"/>
  <mergeCells count="15">
    <mergeCell ref="D15:E15"/>
    <mergeCell ref="C38:O38"/>
    <mergeCell ref="D7:E7"/>
    <mergeCell ref="D8:E8"/>
    <mergeCell ref="D9:E9"/>
    <mergeCell ref="D10:E10"/>
    <mergeCell ref="C36:O36"/>
    <mergeCell ref="C37:O37"/>
    <mergeCell ref="D11:E11"/>
    <mergeCell ref="D12:E12"/>
    <mergeCell ref="N4:O4"/>
    <mergeCell ref="D5:E5"/>
    <mergeCell ref="D6:E6"/>
    <mergeCell ref="D13:E13"/>
    <mergeCell ref="D14:E14"/>
  </mergeCells>
  <hyperlinks>
    <hyperlink ref="C37:O37" r:id="rId1" display=" https://www.landwirtschaft-bw.info/pb/MLR.LEL-SG,Lde/Startseite/Unsere+Themen/Pflanze "/>
    <hyperlink ref="C37" r:id="rId2"/>
  </hyperlink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3"/>
  <headerFooter alignWithMargins="0">
    <oddFooter>&amp;L&amp;11LEL Schwäbisch Gmünd&amp;R&amp;11&amp;F</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B0F0"/>
    <pageSetUpPr fitToPage="1"/>
  </sheetPr>
  <dimension ref="A1:U1232"/>
  <sheetViews>
    <sheetView showZeros="0" zoomScaleNormal="100" workbookViewId="0"/>
  </sheetViews>
  <sheetFormatPr baseColWidth="10" defaultColWidth="11.25" defaultRowHeight="12.75"/>
  <cols>
    <col min="1" max="1" width="1.5" style="33" customWidth="1"/>
    <col min="2" max="2" width="12" style="630" customWidth="1"/>
    <col min="3" max="3" width="7.75" style="627" customWidth="1"/>
    <col min="4" max="4" width="10.75" style="627" customWidth="1"/>
    <col min="5" max="5" width="6.875" style="629" customWidth="1"/>
    <col min="6" max="7" width="6.875" style="628" customWidth="1"/>
    <col min="8" max="8" width="6.875" style="33" customWidth="1"/>
    <col min="9" max="9" width="6.875" style="627" customWidth="1"/>
    <col min="10" max="13" width="6.875" style="33" customWidth="1"/>
    <col min="14" max="14" width="6.875" style="627" customWidth="1"/>
    <col min="15" max="15" width="9.625" style="33" customWidth="1"/>
    <col min="16" max="16" width="10" style="33" customWidth="1"/>
    <col min="17" max="17" width="9.25" style="33" customWidth="1"/>
    <col min="18" max="16384" width="11.25" style="33"/>
  </cols>
  <sheetData>
    <row r="1" spans="1:17" ht="15" customHeight="1">
      <c r="B1" s="678">
        <f>COLUMNS($B$1:B1)</f>
        <v>1</v>
      </c>
      <c r="C1" s="678">
        <f>COLUMNS($B$1:C1)</f>
        <v>2</v>
      </c>
      <c r="D1" s="678">
        <f>COLUMNS($D$1:D1)</f>
        <v>1</v>
      </c>
      <c r="E1" s="678">
        <f>COLUMNS($D$1:E1)</f>
        <v>2</v>
      </c>
      <c r="F1" s="678">
        <f>COLUMNS($F$1:F1)</f>
        <v>1</v>
      </c>
      <c r="G1" s="678">
        <f>COLUMNS($F$1:G1)</f>
        <v>2</v>
      </c>
      <c r="H1" s="678">
        <f>COLUMNS($H$1:H1)</f>
        <v>1</v>
      </c>
      <c r="I1" s="678">
        <f>COLUMNS($H$1:I1)</f>
        <v>2</v>
      </c>
      <c r="J1" s="678">
        <f>COLUMNS($J$1:J1)</f>
        <v>1</v>
      </c>
      <c r="K1" s="678">
        <f>COLUMNS($J$1:K1)</f>
        <v>2</v>
      </c>
      <c r="L1" s="678">
        <f>COLUMNS($L$1:L1)</f>
        <v>1</v>
      </c>
      <c r="M1" s="678">
        <f>COLUMNS($L$1:M1)</f>
        <v>2</v>
      </c>
      <c r="N1" s="678">
        <f>COLUMNS($N$1:N1)</f>
        <v>1</v>
      </c>
      <c r="O1" s="678">
        <f>COLUMNS($N$1:O1)</f>
        <v>2</v>
      </c>
      <c r="P1" s="678">
        <f>COLUMNS($P$1:P1)</f>
        <v>1</v>
      </c>
      <c r="Q1" s="678">
        <f>COLUMNS($P$1:Q1)</f>
        <v>2</v>
      </c>
    </row>
    <row r="2" spans="1:17" ht="20.25">
      <c r="B2" s="677" t="s">
        <v>737</v>
      </c>
      <c r="F2" s="4390">
        <f>'SDK1'!O3</f>
        <v>0</v>
      </c>
      <c r="G2" s="4390"/>
      <c r="H2" s="4390"/>
      <c r="I2" s="632"/>
      <c r="M2" s="676"/>
      <c r="N2" s="675"/>
    </row>
    <row r="3" spans="1:17">
      <c r="B3" s="674" t="s">
        <v>2100</v>
      </c>
      <c r="C3" s="673"/>
      <c r="D3" s="673"/>
      <c r="E3" s="672"/>
    </row>
    <row r="4" spans="1:17" ht="18.75" customHeight="1">
      <c r="B4" s="4402" t="s">
        <v>736</v>
      </c>
      <c r="C4" s="4392"/>
      <c r="D4" s="4391" t="s">
        <v>735</v>
      </c>
      <c r="E4" s="4392"/>
      <c r="F4" s="4391" t="s">
        <v>263</v>
      </c>
      <c r="G4" s="4392"/>
      <c r="H4" s="4404" t="s">
        <v>70</v>
      </c>
      <c r="I4" s="4405"/>
      <c r="J4" s="4404" t="s">
        <v>265</v>
      </c>
      <c r="K4" s="4408"/>
      <c r="L4" s="4410" t="s">
        <v>60</v>
      </c>
      <c r="M4" s="4411"/>
      <c r="N4" s="4414" t="s">
        <v>50</v>
      </c>
      <c r="O4" s="4415"/>
      <c r="P4" s="4398" t="s">
        <v>57</v>
      </c>
      <c r="Q4" s="4399"/>
    </row>
    <row r="5" spans="1:17" ht="14.25" customHeight="1">
      <c r="B5" s="4403"/>
      <c r="C5" s="4394"/>
      <c r="D5" s="4393"/>
      <c r="E5" s="4394"/>
      <c r="F5" s="4393"/>
      <c r="G5" s="4394"/>
      <c r="H5" s="4406"/>
      <c r="I5" s="4407"/>
      <c r="J5" s="4406"/>
      <c r="K5" s="4409"/>
      <c r="L5" s="4412"/>
      <c r="M5" s="4413"/>
      <c r="N5" s="4395" t="s">
        <v>734</v>
      </c>
      <c r="O5" s="4396"/>
      <c r="P5" s="4400"/>
      <c r="Q5" s="4401"/>
    </row>
    <row r="6" spans="1:17">
      <c r="B6" s="669">
        <v>0.15</v>
      </c>
      <c r="C6" s="671"/>
      <c r="D6" s="669">
        <v>0.15</v>
      </c>
      <c r="E6" s="671"/>
      <c r="F6" s="669">
        <v>0.13</v>
      </c>
      <c r="G6" s="670"/>
      <c r="H6" s="669">
        <v>0.15</v>
      </c>
      <c r="I6" s="668"/>
      <c r="J6" s="666">
        <v>0.09</v>
      </c>
      <c r="K6" s="665"/>
      <c r="L6" s="666">
        <v>0.09</v>
      </c>
      <c r="M6" s="667"/>
      <c r="N6" s="666">
        <v>0.15</v>
      </c>
      <c r="O6" s="665"/>
      <c r="P6" s="666">
        <v>0.09</v>
      </c>
      <c r="Q6" s="665"/>
    </row>
    <row r="7" spans="1:17">
      <c r="B7" s="663" t="s">
        <v>113</v>
      </c>
      <c r="C7" s="662" t="s">
        <v>228</v>
      </c>
      <c r="D7" s="664" t="s">
        <v>113</v>
      </c>
      <c r="E7" s="662" t="s">
        <v>228</v>
      </c>
      <c r="F7" s="664" t="s">
        <v>113</v>
      </c>
      <c r="G7" s="662" t="s">
        <v>228</v>
      </c>
      <c r="H7" s="663" t="s">
        <v>113</v>
      </c>
      <c r="I7" s="664" t="s">
        <v>733</v>
      </c>
      <c r="J7" s="663" t="s">
        <v>113</v>
      </c>
      <c r="K7" s="662" t="s">
        <v>228</v>
      </c>
      <c r="L7" s="663" t="s">
        <v>113</v>
      </c>
      <c r="M7" s="664" t="s">
        <v>228</v>
      </c>
      <c r="N7" s="663" t="s">
        <v>113</v>
      </c>
      <c r="O7" s="662" t="s">
        <v>228</v>
      </c>
      <c r="P7" s="663" t="s">
        <v>113</v>
      </c>
      <c r="Q7" s="662" t="s">
        <v>228</v>
      </c>
    </row>
    <row r="8" spans="1:17" s="656" customFormat="1" ht="10.15" customHeight="1">
      <c r="A8" s="660"/>
      <c r="B8" s="651">
        <v>15.1</v>
      </c>
      <c r="C8" s="654">
        <v>2.8</v>
      </c>
      <c r="D8" s="651">
        <v>15.1</v>
      </c>
      <c r="E8" s="654">
        <v>3.3</v>
      </c>
      <c r="F8" s="651">
        <v>13.1</v>
      </c>
      <c r="G8" s="654">
        <v>2.4</v>
      </c>
      <c r="H8" s="651">
        <v>15.1</v>
      </c>
      <c r="I8" s="654">
        <v>2.5</v>
      </c>
      <c r="J8" s="651">
        <v>9.1</v>
      </c>
      <c r="K8" s="654">
        <v>2.4</v>
      </c>
      <c r="L8" s="651">
        <v>9.1</v>
      </c>
      <c r="M8" s="650">
        <v>3</v>
      </c>
      <c r="N8" s="651">
        <v>15.1</v>
      </c>
      <c r="O8" s="661">
        <v>0.74</v>
      </c>
      <c r="P8" s="651">
        <v>9.1</v>
      </c>
      <c r="Q8" s="650">
        <v>3</v>
      </c>
    </row>
    <row r="9" spans="1:17" s="656" customFormat="1" ht="10.15" customHeight="1">
      <c r="B9" s="651">
        <v>15.2</v>
      </c>
      <c r="C9" s="654">
        <v>2.8899999999999997</v>
      </c>
      <c r="D9" s="651">
        <v>15.2</v>
      </c>
      <c r="E9" s="654">
        <v>3.4200000000000004</v>
      </c>
      <c r="F9" s="651">
        <v>13.2</v>
      </c>
      <c r="G9" s="654">
        <v>2.48</v>
      </c>
      <c r="H9" s="651">
        <v>15.2</v>
      </c>
      <c r="I9" s="654">
        <v>2.5</v>
      </c>
      <c r="J9" s="651">
        <v>9.1999999999999993</v>
      </c>
      <c r="K9" s="654">
        <v>2.48</v>
      </c>
      <c r="L9" s="651">
        <v>9.1999999999999993</v>
      </c>
      <c r="M9" s="650">
        <v>3.1</v>
      </c>
      <c r="N9" s="651">
        <v>15.2</v>
      </c>
      <c r="O9" s="650">
        <v>0.76559999999999995</v>
      </c>
      <c r="P9" s="651">
        <v>9.1999999999999993</v>
      </c>
      <c r="Q9" s="650">
        <v>3.1</v>
      </c>
    </row>
    <row r="10" spans="1:17" s="656" customFormat="1" ht="10.15" customHeight="1">
      <c r="B10" s="651">
        <v>15.3</v>
      </c>
      <c r="C10" s="654">
        <v>2.98</v>
      </c>
      <c r="D10" s="651">
        <v>15.3</v>
      </c>
      <c r="E10" s="654">
        <v>3.54</v>
      </c>
      <c r="F10" s="651">
        <v>13.3</v>
      </c>
      <c r="G10" s="654">
        <v>2.56</v>
      </c>
      <c r="H10" s="651">
        <v>15.3</v>
      </c>
      <c r="I10" s="654">
        <v>2.5</v>
      </c>
      <c r="J10" s="651">
        <v>9.3000000000000007</v>
      </c>
      <c r="K10" s="654">
        <v>2.56</v>
      </c>
      <c r="L10" s="651">
        <v>9.3000000000000007</v>
      </c>
      <c r="M10" s="650">
        <v>3.2</v>
      </c>
      <c r="N10" s="651">
        <v>15.3</v>
      </c>
      <c r="O10" s="650">
        <v>0.7911999999999999</v>
      </c>
      <c r="P10" s="651">
        <v>9.3000000000000007</v>
      </c>
      <c r="Q10" s="650">
        <v>3.2</v>
      </c>
    </row>
    <row r="11" spans="1:17" s="656" customFormat="1" ht="10.15" customHeight="1">
      <c r="B11" s="651">
        <v>15.4</v>
      </c>
      <c r="C11" s="654">
        <v>3.07</v>
      </c>
      <c r="D11" s="651">
        <v>15.4</v>
      </c>
      <c r="E11" s="654">
        <v>3.66</v>
      </c>
      <c r="F11" s="651">
        <v>13.4</v>
      </c>
      <c r="G11" s="654">
        <v>2.6399999999999997</v>
      </c>
      <c r="H11" s="651">
        <v>15.4</v>
      </c>
      <c r="I11" s="654">
        <v>2.5</v>
      </c>
      <c r="J11" s="651">
        <v>9.4</v>
      </c>
      <c r="K11" s="654">
        <v>2.6399999999999997</v>
      </c>
      <c r="L11" s="651">
        <v>9.4</v>
      </c>
      <c r="M11" s="650">
        <v>3.3</v>
      </c>
      <c r="N11" s="651">
        <v>15.4</v>
      </c>
      <c r="O11" s="650">
        <v>0.81679999999999986</v>
      </c>
      <c r="P11" s="651">
        <v>9.4</v>
      </c>
      <c r="Q11" s="650">
        <v>3.3</v>
      </c>
    </row>
    <row r="12" spans="1:17" s="656" customFormat="1" ht="10.15" customHeight="1">
      <c r="B12" s="651">
        <v>15.5</v>
      </c>
      <c r="C12" s="654">
        <v>3.16</v>
      </c>
      <c r="D12" s="651">
        <v>15.5</v>
      </c>
      <c r="E12" s="654">
        <v>3.78</v>
      </c>
      <c r="F12" s="651">
        <v>13.5</v>
      </c>
      <c r="G12" s="654">
        <v>2.7199999999999998</v>
      </c>
      <c r="H12" s="651">
        <v>15.5</v>
      </c>
      <c r="I12" s="654">
        <v>2.5</v>
      </c>
      <c r="J12" s="651">
        <v>9.5</v>
      </c>
      <c r="K12" s="654">
        <v>2.7199999999999998</v>
      </c>
      <c r="L12" s="651">
        <v>9.5</v>
      </c>
      <c r="M12" s="650">
        <v>3.4</v>
      </c>
      <c r="N12" s="651">
        <v>15.5</v>
      </c>
      <c r="O12" s="650">
        <v>0.84239999999999982</v>
      </c>
      <c r="P12" s="651">
        <v>9.5</v>
      </c>
      <c r="Q12" s="650">
        <v>3.4</v>
      </c>
    </row>
    <row r="13" spans="1:17" s="656" customFormat="1" ht="10.15" customHeight="1">
      <c r="B13" s="651">
        <v>15.6</v>
      </c>
      <c r="C13" s="654">
        <v>3.25</v>
      </c>
      <c r="D13" s="651">
        <v>15.6</v>
      </c>
      <c r="E13" s="654">
        <v>3.9</v>
      </c>
      <c r="F13" s="651">
        <v>13.6</v>
      </c>
      <c r="G13" s="654">
        <v>2.8</v>
      </c>
      <c r="H13" s="651">
        <v>15.6</v>
      </c>
      <c r="I13" s="654">
        <v>2.5</v>
      </c>
      <c r="J13" s="651">
        <v>9.6</v>
      </c>
      <c r="K13" s="654">
        <v>2.8</v>
      </c>
      <c r="L13" s="651">
        <v>9.6</v>
      </c>
      <c r="M13" s="650">
        <v>3.5</v>
      </c>
      <c r="N13" s="651">
        <v>15.6</v>
      </c>
      <c r="O13" s="650">
        <v>0.86799999999999977</v>
      </c>
      <c r="P13" s="651">
        <v>9.6</v>
      </c>
      <c r="Q13" s="650">
        <v>3.5</v>
      </c>
    </row>
    <row r="14" spans="1:17" s="656" customFormat="1" ht="10.15" customHeight="1">
      <c r="B14" s="651">
        <v>15.7</v>
      </c>
      <c r="C14" s="654">
        <v>3.34</v>
      </c>
      <c r="D14" s="651">
        <v>15.7</v>
      </c>
      <c r="E14" s="654">
        <v>4.0200000000000005</v>
      </c>
      <c r="F14" s="651">
        <v>13.7</v>
      </c>
      <c r="G14" s="654">
        <v>2.88</v>
      </c>
      <c r="H14" s="651">
        <v>15.7</v>
      </c>
      <c r="I14" s="654">
        <v>2.5</v>
      </c>
      <c r="J14" s="651">
        <v>9.6999999999999993</v>
      </c>
      <c r="K14" s="654">
        <v>2.88</v>
      </c>
      <c r="L14" s="651">
        <v>9.7000000000000099</v>
      </c>
      <c r="M14" s="650">
        <v>3.6</v>
      </c>
      <c r="N14" s="651">
        <v>15.7</v>
      </c>
      <c r="O14" s="650">
        <v>0.89359999999999973</v>
      </c>
      <c r="P14" s="651">
        <v>9.6999999999999993</v>
      </c>
      <c r="Q14" s="650">
        <v>3.6</v>
      </c>
    </row>
    <row r="15" spans="1:17" s="656" customFormat="1" ht="10.15" customHeight="1">
      <c r="B15" s="651">
        <v>15.8</v>
      </c>
      <c r="C15" s="654">
        <v>3.4299999999999997</v>
      </c>
      <c r="D15" s="651">
        <v>15.8</v>
      </c>
      <c r="E15" s="654">
        <v>4.1399999999999997</v>
      </c>
      <c r="F15" s="651">
        <v>13.8</v>
      </c>
      <c r="G15" s="654">
        <v>2.96</v>
      </c>
      <c r="H15" s="651">
        <v>15.8</v>
      </c>
      <c r="I15" s="654">
        <v>2.5</v>
      </c>
      <c r="J15" s="651">
        <v>9.8000000000000007</v>
      </c>
      <c r="K15" s="654">
        <v>2.96</v>
      </c>
      <c r="L15" s="651">
        <v>9.8000000000000096</v>
      </c>
      <c r="M15" s="650">
        <v>3.7</v>
      </c>
      <c r="N15" s="651">
        <v>15.8</v>
      </c>
      <c r="O15" s="650">
        <v>0.91919999999999968</v>
      </c>
      <c r="P15" s="651">
        <v>9.8000000000000007</v>
      </c>
      <c r="Q15" s="650">
        <v>3.7</v>
      </c>
    </row>
    <row r="16" spans="1:17" s="656" customFormat="1" ht="10.15" customHeight="1">
      <c r="B16" s="653">
        <v>15.9</v>
      </c>
      <c r="C16" s="654">
        <v>3.5200000000000005</v>
      </c>
      <c r="D16" s="653">
        <v>15.9</v>
      </c>
      <c r="E16" s="654">
        <v>4.26</v>
      </c>
      <c r="F16" s="653">
        <v>13.9</v>
      </c>
      <c r="G16" s="654">
        <v>3.04</v>
      </c>
      <c r="H16" s="653">
        <v>15.9</v>
      </c>
      <c r="I16" s="654">
        <v>2.5</v>
      </c>
      <c r="J16" s="653">
        <v>9.9</v>
      </c>
      <c r="K16" s="654">
        <v>3.04</v>
      </c>
      <c r="L16" s="653">
        <v>9.9000000000000092</v>
      </c>
      <c r="M16" s="650">
        <v>3.8</v>
      </c>
      <c r="N16" s="653">
        <v>15.9</v>
      </c>
      <c r="O16" s="655">
        <v>0.94479999999999964</v>
      </c>
      <c r="P16" s="653">
        <v>9.9</v>
      </c>
      <c r="Q16" s="650">
        <v>3.8</v>
      </c>
    </row>
    <row r="17" spans="1:17" s="656" customFormat="1" ht="10.15" customHeight="1">
      <c r="B17" s="651">
        <v>16</v>
      </c>
      <c r="C17" s="654">
        <v>3.6100000000000003</v>
      </c>
      <c r="D17" s="651">
        <v>16</v>
      </c>
      <c r="E17" s="654">
        <v>4.38</v>
      </c>
      <c r="F17" s="651">
        <v>14</v>
      </c>
      <c r="G17" s="654">
        <v>3.12</v>
      </c>
      <c r="H17" s="651">
        <v>16</v>
      </c>
      <c r="I17" s="654">
        <v>2.8</v>
      </c>
      <c r="J17" s="651">
        <v>10</v>
      </c>
      <c r="K17" s="654">
        <v>3.12</v>
      </c>
      <c r="L17" s="651">
        <v>10</v>
      </c>
      <c r="M17" s="650">
        <v>3.9</v>
      </c>
      <c r="N17" s="651">
        <v>16</v>
      </c>
      <c r="O17" s="650">
        <v>0.9703999999999996</v>
      </c>
      <c r="P17" s="651">
        <v>10</v>
      </c>
      <c r="Q17" s="650">
        <v>3.9</v>
      </c>
    </row>
    <row r="18" spans="1:17" s="656" customFormat="1" ht="10.15" customHeight="1">
      <c r="B18" s="651">
        <v>16.100000000000001</v>
      </c>
      <c r="C18" s="654">
        <v>3.7</v>
      </c>
      <c r="D18" s="651">
        <v>16.100000000000001</v>
      </c>
      <c r="E18" s="654">
        <v>4.5</v>
      </c>
      <c r="F18" s="651">
        <v>14.1</v>
      </c>
      <c r="G18" s="654">
        <v>3.2</v>
      </c>
      <c r="H18" s="651">
        <v>16.100000000000001</v>
      </c>
      <c r="I18" s="654">
        <v>2.8</v>
      </c>
      <c r="J18" s="651">
        <v>10.1</v>
      </c>
      <c r="K18" s="654">
        <v>3.2</v>
      </c>
      <c r="L18" s="651">
        <v>10.1</v>
      </c>
      <c r="M18" s="650">
        <v>4</v>
      </c>
      <c r="N18" s="651">
        <v>16.100000000000001</v>
      </c>
      <c r="O18" s="650">
        <v>0.99599999999999955</v>
      </c>
      <c r="P18" s="651">
        <v>10.1</v>
      </c>
      <c r="Q18" s="650">
        <v>4</v>
      </c>
    </row>
    <row r="19" spans="1:17" s="656" customFormat="1" ht="10.15" customHeight="1">
      <c r="B19" s="651">
        <v>16.2</v>
      </c>
      <c r="C19" s="654">
        <v>3.79</v>
      </c>
      <c r="D19" s="651">
        <v>16.2</v>
      </c>
      <c r="E19" s="654">
        <v>4.62</v>
      </c>
      <c r="F19" s="651">
        <v>14.2</v>
      </c>
      <c r="G19" s="654">
        <v>3.28</v>
      </c>
      <c r="H19" s="651">
        <v>16.2</v>
      </c>
      <c r="I19" s="654">
        <v>2.8</v>
      </c>
      <c r="J19" s="651">
        <v>10.199999999999999</v>
      </c>
      <c r="K19" s="654">
        <v>3.28</v>
      </c>
      <c r="L19" s="651">
        <v>10.199999999999999</v>
      </c>
      <c r="M19" s="650">
        <v>4.0999999999999996</v>
      </c>
      <c r="N19" s="651">
        <v>16.2</v>
      </c>
      <c r="O19" s="650">
        <v>1.0215999999999996</v>
      </c>
      <c r="P19" s="651">
        <v>10.199999999999999</v>
      </c>
      <c r="Q19" s="650">
        <v>4.0999999999999996</v>
      </c>
    </row>
    <row r="20" spans="1:17" s="656" customFormat="1" ht="10.15" customHeight="1">
      <c r="B20" s="651">
        <v>16.3</v>
      </c>
      <c r="C20" s="654">
        <v>3.88</v>
      </c>
      <c r="D20" s="651">
        <v>16.3</v>
      </c>
      <c r="E20" s="654">
        <v>4.74</v>
      </c>
      <c r="F20" s="651">
        <v>14.3</v>
      </c>
      <c r="G20" s="654">
        <v>3.3600000000000003</v>
      </c>
      <c r="H20" s="651">
        <v>16.3</v>
      </c>
      <c r="I20" s="654">
        <v>2.8</v>
      </c>
      <c r="J20" s="651">
        <v>10.3</v>
      </c>
      <c r="K20" s="654">
        <v>3.3600000000000003</v>
      </c>
      <c r="L20" s="651">
        <v>10.3</v>
      </c>
      <c r="M20" s="650">
        <v>4.2</v>
      </c>
      <c r="N20" s="651">
        <v>16.3</v>
      </c>
      <c r="O20" s="650">
        <v>1.0471999999999997</v>
      </c>
      <c r="P20" s="651">
        <v>10.3</v>
      </c>
      <c r="Q20" s="650">
        <v>4.2</v>
      </c>
    </row>
    <row r="21" spans="1:17" s="656" customFormat="1" ht="10.15" customHeight="1">
      <c r="B21" s="651">
        <v>16.399999999999999</v>
      </c>
      <c r="C21" s="654">
        <v>3.97</v>
      </c>
      <c r="D21" s="651">
        <v>16.399999999999999</v>
      </c>
      <c r="E21" s="654">
        <v>4.8600000000000003</v>
      </c>
      <c r="F21" s="651">
        <v>14.4</v>
      </c>
      <c r="G21" s="654">
        <v>3.44</v>
      </c>
      <c r="H21" s="651">
        <v>16.399999999999999</v>
      </c>
      <c r="I21" s="654">
        <v>2.8</v>
      </c>
      <c r="J21" s="651">
        <v>10.4</v>
      </c>
      <c r="K21" s="654">
        <v>3.44</v>
      </c>
      <c r="L21" s="651">
        <v>10.4</v>
      </c>
      <c r="M21" s="650">
        <v>4.3</v>
      </c>
      <c r="N21" s="651">
        <v>16.399999999999999</v>
      </c>
      <c r="O21" s="650">
        <v>1.0727999999999998</v>
      </c>
      <c r="P21" s="651">
        <v>10.4</v>
      </c>
      <c r="Q21" s="650">
        <v>4.3</v>
      </c>
    </row>
    <row r="22" spans="1:17" s="656" customFormat="1" ht="10.15" customHeight="1">
      <c r="B22" s="651">
        <v>16.5</v>
      </c>
      <c r="C22" s="654">
        <v>4.0600000000000005</v>
      </c>
      <c r="D22" s="651">
        <v>16.5</v>
      </c>
      <c r="E22" s="654">
        <v>4.9799999999999995</v>
      </c>
      <c r="F22" s="651">
        <v>14.5</v>
      </c>
      <c r="G22" s="654">
        <v>3.5200000000000005</v>
      </c>
      <c r="H22" s="651">
        <v>16.5</v>
      </c>
      <c r="I22" s="654">
        <v>2.8</v>
      </c>
      <c r="J22" s="651">
        <v>10.5</v>
      </c>
      <c r="K22" s="654">
        <v>3.5200000000000005</v>
      </c>
      <c r="L22" s="651">
        <v>10.5</v>
      </c>
      <c r="M22" s="650">
        <v>4.4000000000000004</v>
      </c>
      <c r="N22" s="651">
        <v>16.5</v>
      </c>
      <c r="O22" s="650">
        <v>1.0983999999999998</v>
      </c>
      <c r="P22" s="651">
        <v>10.5</v>
      </c>
      <c r="Q22" s="650">
        <v>4.4000000000000004</v>
      </c>
    </row>
    <row r="23" spans="1:17" s="656" customFormat="1" ht="10.15" customHeight="1">
      <c r="B23" s="651">
        <v>16.600000000000001</v>
      </c>
      <c r="C23" s="654">
        <v>4.1500000000000004</v>
      </c>
      <c r="D23" s="651">
        <v>16.600000000000001</v>
      </c>
      <c r="E23" s="654">
        <v>5.0999999999999996</v>
      </c>
      <c r="F23" s="651">
        <v>14.6</v>
      </c>
      <c r="G23" s="654">
        <v>3.6</v>
      </c>
      <c r="H23" s="651">
        <v>16.600000000000001</v>
      </c>
      <c r="I23" s="654">
        <v>2.8</v>
      </c>
      <c r="J23" s="651">
        <v>10.6</v>
      </c>
      <c r="K23" s="654">
        <v>3.6</v>
      </c>
      <c r="L23" s="651">
        <v>10.6</v>
      </c>
      <c r="M23" s="650">
        <v>4.5</v>
      </c>
      <c r="N23" s="651">
        <v>16.600000000000001</v>
      </c>
      <c r="O23" s="650">
        <v>1.1239999999999999</v>
      </c>
      <c r="P23" s="651">
        <v>10.6</v>
      </c>
      <c r="Q23" s="650">
        <v>4.5</v>
      </c>
    </row>
    <row r="24" spans="1:17" s="656" customFormat="1" ht="10.15" customHeight="1">
      <c r="B24" s="651">
        <v>16.7</v>
      </c>
      <c r="C24" s="654">
        <v>4.24</v>
      </c>
      <c r="D24" s="651">
        <v>16.7</v>
      </c>
      <c r="E24" s="654">
        <v>5.2200000000000006</v>
      </c>
      <c r="F24" s="651">
        <v>14.7</v>
      </c>
      <c r="G24" s="654">
        <v>3.6799999999999997</v>
      </c>
      <c r="H24" s="651">
        <v>16.7</v>
      </c>
      <c r="I24" s="654">
        <v>2.8</v>
      </c>
      <c r="J24" s="651">
        <v>10.7</v>
      </c>
      <c r="K24" s="654">
        <v>3.6799999999999997</v>
      </c>
      <c r="L24" s="651">
        <v>10.7</v>
      </c>
      <c r="M24" s="650">
        <v>4.5999999999999996</v>
      </c>
      <c r="N24" s="651">
        <v>16.7</v>
      </c>
      <c r="O24" s="650">
        <v>1.1496</v>
      </c>
      <c r="P24" s="651">
        <v>10.7</v>
      </c>
      <c r="Q24" s="650">
        <v>4.5999999999999996</v>
      </c>
    </row>
    <row r="25" spans="1:17" s="656" customFormat="1" ht="10.15" customHeight="1">
      <c r="B25" s="651">
        <v>16.8</v>
      </c>
      <c r="C25" s="654">
        <v>4.33</v>
      </c>
      <c r="D25" s="651">
        <v>16.8</v>
      </c>
      <c r="E25" s="654">
        <v>5.34</v>
      </c>
      <c r="F25" s="651">
        <v>14.8</v>
      </c>
      <c r="G25" s="654">
        <v>3.7600000000000002</v>
      </c>
      <c r="H25" s="651">
        <v>16.8</v>
      </c>
      <c r="I25" s="654">
        <v>2.8</v>
      </c>
      <c r="J25" s="651">
        <v>10.8</v>
      </c>
      <c r="K25" s="654">
        <v>3.7600000000000002</v>
      </c>
      <c r="L25" s="651">
        <v>10.8</v>
      </c>
      <c r="M25" s="650">
        <v>4.7</v>
      </c>
      <c r="N25" s="651">
        <v>16.8</v>
      </c>
      <c r="O25" s="650">
        <v>1.1752</v>
      </c>
      <c r="P25" s="651">
        <v>10.8</v>
      </c>
      <c r="Q25" s="650">
        <v>4.7</v>
      </c>
    </row>
    <row r="26" spans="1:17" s="656" customFormat="1" ht="10.15" customHeight="1">
      <c r="B26" s="653">
        <v>16.899999999999999</v>
      </c>
      <c r="C26" s="654">
        <v>4.42</v>
      </c>
      <c r="D26" s="653">
        <v>16.899999999999999</v>
      </c>
      <c r="E26" s="654">
        <v>5.46</v>
      </c>
      <c r="F26" s="653">
        <v>14.9</v>
      </c>
      <c r="G26" s="654">
        <v>3.84</v>
      </c>
      <c r="H26" s="653">
        <v>16.899999999999999</v>
      </c>
      <c r="I26" s="654">
        <v>2.8</v>
      </c>
      <c r="J26" s="653">
        <v>10.9</v>
      </c>
      <c r="K26" s="654">
        <v>3.84</v>
      </c>
      <c r="L26" s="653">
        <v>10.9</v>
      </c>
      <c r="M26" s="650">
        <v>4.8</v>
      </c>
      <c r="N26" s="653">
        <v>16.899999999999999</v>
      </c>
      <c r="O26" s="655">
        <v>1.2008000000000001</v>
      </c>
      <c r="P26" s="653">
        <v>10.9</v>
      </c>
      <c r="Q26" s="650">
        <v>4.8</v>
      </c>
    </row>
    <row r="27" spans="1:17" s="656" customFormat="1" ht="10.15" customHeight="1">
      <c r="A27" s="660"/>
      <c r="B27" s="651">
        <v>17</v>
      </c>
      <c r="C27" s="654">
        <v>4.51</v>
      </c>
      <c r="D27" s="651">
        <v>17</v>
      </c>
      <c r="E27" s="654">
        <v>5.58</v>
      </c>
      <c r="F27" s="651">
        <v>15</v>
      </c>
      <c r="G27" s="654">
        <v>3.9200000000000004</v>
      </c>
      <c r="H27" s="651">
        <v>17</v>
      </c>
      <c r="I27" s="654">
        <v>3.1</v>
      </c>
      <c r="J27" s="651">
        <v>11</v>
      </c>
      <c r="K27" s="654">
        <v>3.9200000000000004</v>
      </c>
      <c r="L27" s="651">
        <v>11</v>
      </c>
      <c r="M27" s="650">
        <v>4.9000000000000004</v>
      </c>
      <c r="N27" s="651">
        <v>17</v>
      </c>
      <c r="O27" s="650">
        <v>1.2264000000000002</v>
      </c>
      <c r="P27" s="651">
        <v>11</v>
      </c>
      <c r="Q27" s="650">
        <v>4.9000000000000004</v>
      </c>
    </row>
    <row r="28" spans="1:17" s="656" customFormat="1" ht="10.15" customHeight="1">
      <c r="B28" s="651">
        <v>17.100000000000001</v>
      </c>
      <c r="C28" s="654">
        <v>4.5999999999999996</v>
      </c>
      <c r="D28" s="651">
        <v>17.100000000000001</v>
      </c>
      <c r="E28" s="654">
        <v>5.7</v>
      </c>
      <c r="F28" s="651">
        <v>15.1</v>
      </c>
      <c r="G28" s="654">
        <v>4</v>
      </c>
      <c r="H28" s="651">
        <v>17.100000000000001</v>
      </c>
      <c r="I28" s="654">
        <v>3.1</v>
      </c>
      <c r="J28" s="651">
        <v>11.1</v>
      </c>
      <c r="K28" s="654">
        <v>4</v>
      </c>
      <c r="L28" s="651">
        <v>11.1</v>
      </c>
      <c r="M28" s="650">
        <v>5</v>
      </c>
      <c r="N28" s="651">
        <v>17.100000000000001</v>
      </c>
      <c r="O28" s="650">
        <v>1.2520000000000002</v>
      </c>
      <c r="P28" s="651">
        <v>11.1</v>
      </c>
      <c r="Q28" s="650">
        <v>5</v>
      </c>
    </row>
    <row r="29" spans="1:17" s="656" customFormat="1" ht="10.15" customHeight="1">
      <c r="B29" s="651">
        <v>17.2</v>
      </c>
      <c r="C29" s="654">
        <v>4.6899999999999995</v>
      </c>
      <c r="D29" s="651">
        <v>17.2</v>
      </c>
      <c r="E29" s="654">
        <v>5.82</v>
      </c>
      <c r="F29" s="651">
        <v>15.2</v>
      </c>
      <c r="G29" s="654">
        <v>4.08</v>
      </c>
      <c r="H29" s="651">
        <v>17.2</v>
      </c>
      <c r="I29" s="654">
        <v>3.1</v>
      </c>
      <c r="J29" s="651">
        <v>11.2</v>
      </c>
      <c r="K29" s="654">
        <v>4.08</v>
      </c>
      <c r="L29" s="651">
        <v>11.2</v>
      </c>
      <c r="M29" s="650">
        <v>5.0999999999999996</v>
      </c>
      <c r="N29" s="651">
        <v>17.2</v>
      </c>
      <c r="O29" s="650">
        <v>1.2776000000000003</v>
      </c>
      <c r="P29" s="651">
        <v>11.2</v>
      </c>
      <c r="Q29" s="650">
        <v>5.0999999999999996</v>
      </c>
    </row>
    <row r="30" spans="1:17" s="656" customFormat="1" ht="10.15" customHeight="1">
      <c r="B30" s="651">
        <v>17.3</v>
      </c>
      <c r="C30" s="654">
        <v>4.7799999999999994</v>
      </c>
      <c r="D30" s="651">
        <v>17.3</v>
      </c>
      <c r="E30" s="654">
        <v>5.9399999999999995</v>
      </c>
      <c r="F30" s="651">
        <v>15.3</v>
      </c>
      <c r="G30" s="654">
        <v>4.16</v>
      </c>
      <c r="H30" s="651">
        <v>17.3</v>
      </c>
      <c r="I30" s="654">
        <v>3.1</v>
      </c>
      <c r="J30" s="651">
        <v>11.3</v>
      </c>
      <c r="K30" s="654">
        <v>4.16</v>
      </c>
      <c r="L30" s="651">
        <v>11.3</v>
      </c>
      <c r="M30" s="650">
        <v>5.2</v>
      </c>
      <c r="N30" s="651">
        <v>17.3</v>
      </c>
      <c r="O30" s="650">
        <v>1.3032000000000004</v>
      </c>
      <c r="P30" s="651">
        <v>11.3</v>
      </c>
      <c r="Q30" s="650">
        <v>5.2</v>
      </c>
    </row>
    <row r="31" spans="1:17" s="656" customFormat="1" ht="10.15" customHeight="1">
      <c r="B31" s="651">
        <v>17.399999999999999</v>
      </c>
      <c r="C31" s="654">
        <v>4.87</v>
      </c>
      <c r="D31" s="651">
        <v>17.399999999999999</v>
      </c>
      <c r="E31" s="654">
        <v>6.0600000000000005</v>
      </c>
      <c r="F31" s="651">
        <v>15.4</v>
      </c>
      <c r="G31" s="654">
        <v>4.24</v>
      </c>
      <c r="H31" s="651">
        <v>17.399999999999999</v>
      </c>
      <c r="I31" s="654">
        <v>3.1</v>
      </c>
      <c r="J31" s="651">
        <v>11.4</v>
      </c>
      <c r="K31" s="654">
        <v>4.24</v>
      </c>
      <c r="L31" s="651">
        <v>11.4</v>
      </c>
      <c r="M31" s="650">
        <v>5.3</v>
      </c>
      <c r="N31" s="651">
        <v>17.399999999999999</v>
      </c>
      <c r="O31" s="650">
        <v>1.3288000000000004</v>
      </c>
      <c r="P31" s="651">
        <v>11.4</v>
      </c>
      <c r="Q31" s="650">
        <v>5.3</v>
      </c>
    </row>
    <row r="32" spans="1:17" s="656" customFormat="1" ht="10.15" customHeight="1">
      <c r="B32" s="651">
        <v>17.5</v>
      </c>
      <c r="C32" s="654">
        <v>4.96</v>
      </c>
      <c r="D32" s="651">
        <v>17.5</v>
      </c>
      <c r="E32" s="654">
        <v>6.18</v>
      </c>
      <c r="F32" s="651">
        <v>15.5</v>
      </c>
      <c r="G32" s="654">
        <v>4.32</v>
      </c>
      <c r="H32" s="651">
        <v>17.5</v>
      </c>
      <c r="I32" s="654">
        <v>3.1</v>
      </c>
      <c r="J32" s="651">
        <v>11.5</v>
      </c>
      <c r="K32" s="654">
        <v>4.32</v>
      </c>
      <c r="L32" s="651">
        <v>11.5</v>
      </c>
      <c r="M32" s="650">
        <v>5.4</v>
      </c>
      <c r="N32" s="651">
        <v>17.5</v>
      </c>
      <c r="O32" s="650">
        <v>1.3544000000000005</v>
      </c>
      <c r="P32" s="651">
        <v>11.5</v>
      </c>
      <c r="Q32" s="650">
        <v>5.4</v>
      </c>
    </row>
    <row r="33" spans="1:17" s="656" customFormat="1" ht="10.15" customHeight="1">
      <c r="B33" s="651">
        <v>17.600000000000001</v>
      </c>
      <c r="C33" s="654">
        <v>5.05</v>
      </c>
      <c r="D33" s="651">
        <v>17.600000000000001</v>
      </c>
      <c r="E33" s="654">
        <v>6.3</v>
      </c>
      <c r="F33" s="651">
        <v>15.6</v>
      </c>
      <c r="G33" s="654">
        <v>4.4000000000000004</v>
      </c>
      <c r="H33" s="651">
        <v>17.600000000000001</v>
      </c>
      <c r="I33" s="654">
        <v>3.1</v>
      </c>
      <c r="J33" s="651">
        <v>11.6</v>
      </c>
      <c r="K33" s="654">
        <v>4.4000000000000004</v>
      </c>
      <c r="L33" s="651">
        <v>11.6</v>
      </c>
      <c r="M33" s="650">
        <v>5.5</v>
      </c>
      <c r="N33" s="651">
        <v>17.600000000000001</v>
      </c>
      <c r="O33" s="650">
        <v>1.3800000000000006</v>
      </c>
      <c r="P33" s="651">
        <v>11.6</v>
      </c>
      <c r="Q33" s="650">
        <v>5.5</v>
      </c>
    </row>
    <row r="34" spans="1:17" s="656" customFormat="1" ht="10.15" customHeight="1">
      <c r="B34" s="651">
        <v>17.7</v>
      </c>
      <c r="C34" s="654">
        <v>5.14</v>
      </c>
      <c r="D34" s="651">
        <v>17.7</v>
      </c>
      <c r="E34" s="654">
        <v>6.42</v>
      </c>
      <c r="F34" s="651">
        <v>15.7</v>
      </c>
      <c r="G34" s="654">
        <v>4.4799999999999995</v>
      </c>
      <c r="H34" s="651">
        <v>17.7</v>
      </c>
      <c r="I34" s="654">
        <v>3.1</v>
      </c>
      <c r="J34" s="651">
        <v>11.7</v>
      </c>
      <c r="K34" s="654">
        <v>4.4799999999999995</v>
      </c>
      <c r="L34" s="651">
        <v>11.7</v>
      </c>
      <c r="M34" s="650">
        <v>5.6</v>
      </c>
      <c r="N34" s="651">
        <v>17.7</v>
      </c>
      <c r="O34" s="650">
        <v>1.4056000000000006</v>
      </c>
      <c r="P34" s="651">
        <v>11.7</v>
      </c>
      <c r="Q34" s="650">
        <v>5.6</v>
      </c>
    </row>
    <row r="35" spans="1:17" s="656" customFormat="1" ht="10.15" customHeight="1">
      <c r="B35" s="651">
        <v>17.8</v>
      </c>
      <c r="C35" s="654">
        <v>5.2299999999999995</v>
      </c>
      <c r="D35" s="651">
        <v>17.8</v>
      </c>
      <c r="E35" s="654">
        <v>6.5400000000000009</v>
      </c>
      <c r="F35" s="651">
        <v>15.8</v>
      </c>
      <c r="G35" s="654">
        <v>4.5600000000000005</v>
      </c>
      <c r="H35" s="651">
        <v>17.8</v>
      </c>
      <c r="I35" s="654">
        <v>3.1</v>
      </c>
      <c r="J35" s="651">
        <v>11.8</v>
      </c>
      <c r="K35" s="654">
        <v>4.5600000000000005</v>
      </c>
      <c r="L35" s="651">
        <v>11.8</v>
      </c>
      <c r="M35" s="650">
        <v>5.7</v>
      </c>
      <c r="N35" s="651">
        <v>17.8</v>
      </c>
      <c r="O35" s="650">
        <v>1.4312000000000007</v>
      </c>
      <c r="P35" s="651">
        <v>11.8</v>
      </c>
      <c r="Q35" s="650">
        <v>5.7</v>
      </c>
    </row>
    <row r="36" spans="1:17" s="656" customFormat="1" ht="10.15" customHeight="1">
      <c r="B36" s="653">
        <v>17.899999999999999</v>
      </c>
      <c r="C36" s="654">
        <v>5.32</v>
      </c>
      <c r="D36" s="653">
        <v>17.899999999999999</v>
      </c>
      <c r="E36" s="654">
        <v>6.6599999999999993</v>
      </c>
      <c r="F36" s="653">
        <v>15.9</v>
      </c>
      <c r="G36" s="654">
        <v>4.6399999999999997</v>
      </c>
      <c r="H36" s="653">
        <v>17.899999999999999</v>
      </c>
      <c r="I36" s="654">
        <v>3.1</v>
      </c>
      <c r="J36" s="653">
        <v>11.9</v>
      </c>
      <c r="K36" s="654">
        <v>4.6399999999999997</v>
      </c>
      <c r="L36" s="653">
        <v>11.9</v>
      </c>
      <c r="M36" s="650">
        <v>5.8</v>
      </c>
      <c r="N36" s="653">
        <v>17.899999999999999</v>
      </c>
      <c r="O36" s="655">
        <v>1.4568000000000008</v>
      </c>
      <c r="P36" s="653">
        <v>11.9</v>
      </c>
      <c r="Q36" s="650">
        <v>5.8</v>
      </c>
    </row>
    <row r="37" spans="1:17" s="656" customFormat="1" ht="10.15" customHeight="1">
      <c r="B37" s="651">
        <v>18</v>
      </c>
      <c r="C37" s="654">
        <v>5.41</v>
      </c>
      <c r="D37" s="651">
        <v>18</v>
      </c>
      <c r="E37" s="654">
        <v>6.7799999999999994</v>
      </c>
      <c r="F37" s="651">
        <v>16</v>
      </c>
      <c r="G37" s="654">
        <v>4.7200000000000006</v>
      </c>
      <c r="H37" s="651">
        <v>18</v>
      </c>
      <c r="I37" s="654">
        <v>3.4</v>
      </c>
      <c r="J37" s="651">
        <v>12</v>
      </c>
      <c r="K37" s="654">
        <v>4.7200000000000006</v>
      </c>
      <c r="L37" s="651">
        <v>12</v>
      </c>
      <c r="M37" s="650">
        <v>5.9</v>
      </c>
      <c r="N37" s="651">
        <v>18</v>
      </c>
      <c r="O37" s="650">
        <v>1.4824000000000008</v>
      </c>
      <c r="P37" s="651">
        <v>12</v>
      </c>
      <c r="Q37" s="650">
        <v>5.9</v>
      </c>
    </row>
    <row r="38" spans="1:17" s="656" customFormat="1" ht="10.15" customHeight="1">
      <c r="B38" s="651">
        <v>18.100000000000001</v>
      </c>
      <c r="C38" s="654">
        <v>5.5</v>
      </c>
      <c r="D38" s="651">
        <v>18.100000000000001</v>
      </c>
      <c r="E38" s="654">
        <v>6.9</v>
      </c>
      <c r="F38" s="651">
        <v>16.100000000000001</v>
      </c>
      <c r="G38" s="654">
        <v>4.8</v>
      </c>
      <c r="H38" s="651">
        <v>18.100000000000001</v>
      </c>
      <c r="I38" s="654">
        <v>3.4</v>
      </c>
      <c r="J38" s="651">
        <v>12.1</v>
      </c>
      <c r="K38" s="654">
        <v>4.8</v>
      </c>
      <c r="L38" s="651">
        <v>12.1</v>
      </c>
      <c r="M38" s="650">
        <v>6</v>
      </c>
      <c r="N38" s="651">
        <v>18.100000000000001</v>
      </c>
      <c r="O38" s="650">
        <v>1.5080000000000009</v>
      </c>
      <c r="P38" s="651">
        <v>12.1</v>
      </c>
      <c r="Q38" s="650">
        <v>6</v>
      </c>
    </row>
    <row r="39" spans="1:17" s="656" customFormat="1" ht="10.15" customHeight="1">
      <c r="B39" s="651">
        <v>18.2</v>
      </c>
      <c r="C39" s="654">
        <v>5.59</v>
      </c>
      <c r="D39" s="651">
        <v>18.2</v>
      </c>
      <c r="E39" s="654">
        <v>7.0200000000000005</v>
      </c>
      <c r="F39" s="651">
        <v>16.2</v>
      </c>
      <c r="G39" s="654">
        <v>4.88</v>
      </c>
      <c r="H39" s="651">
        <v>18.2</v>
      </c>
      <c r="I39" s="654">
        <v>3.4</v>
      </c>
      <c r="J39" s="651">
        <v>12.2</v>
      </c>
      <c r="K39" s="654">
        <v>4.88</v>
      </c>
      <c r="L39" s="651">
        <v>12.2</v>
      </c>
      <c r="M39" s="650">
        <v>6.1</v>
      </c>
      <c r="N39" s="651">
        <v>18.2</v>
      </c>
      <c r="O39" s="650">
        <v>1.533600000000001</v>
      </c>
      <c r="P39" s="651">
        <v>12.2</v>
      </c>
      <c r="Q39" s="650">
        <v>6.1</v>
      </c>
    </row>
    <row r="40" spans="1:17" s="656" customFormat="1" ht="10.15" customHeight="1">
      <c r="B40" s="651">
        <v>18.3</v>
      </c>
      <c r="C40" s="654">
        <v>5.68</v>
      </c>
      <c r="D40" s="651">
        <v>18.3</v>
      </c>
      <c r="E40" s="654">
        <v>7.1400000000000006</v>
      </c>
      <c r="F40" s="651">
        <v>16.3</v>
      </c>
      <c r="G40" s="654">
        <v>4.96</v>
      </c>
      <c r="H40" s="651">
        <v>18.3</v>
      </c>
      <c r="I40" s="654">
        <v>3.4</v>
      </c>
      <c r="J40" s="651">
        <v>12.3</v>
      </c>
      <c r="K40" s="654">
        <v>4.96</v>
      </c>
      <c r="L40" s="651">
        <v>12.3</v>
      </c>
      <c r="M40" s="650">
        <v>6.2</v>
      </c>
      <c r="N40" s="651">
        <v>18.3</v>
      </c>
      <c r="O40" s="650">
        <v>1.559200000000001</v>
      </c>
      <c r="P40" s="651">
        <v>12.3</v>
      </c>
      <c r="Q40" s="650">
        <v>6.2</v>
      </c>
    </row>
    <row r="41" spans="1:17" s="656" customFormat="1" ht="10.15" customHeight="1">
      <c r="B41" s="651">
        <v>18.399999999999999</v>
      </c>
      <c r="C41" s="654">
        <v>5.7700000000000005</v>
      </c>
      <c r="D41" s="651">
        <v>18.399999999999999</v>
      </c>
      <c r="E41" s="654">
        <v>7.26</v>
      </c>
      <c r="F41" s="651">
        <v>16.399999999999999</v>
      </c>
      <c r="G41" s="654">
        <v>5.04</v>
      </c>
      <c r="H41" s="651">
        <v>18.399999999999999</v>
      </c>
      <c r="I41" s="654">
        <v>3.4</v>
      </c>
      <c r="J41" s="651">
        <v>12.4</v>
      </c>
      <c r="K41" s="654">
        <v>5.04</v>
      </c>
      <c r="L41" s="651">
        <v>12.4</v>
      </c>
      <c r="M41" s="650">
        <v>6.3</v>
      </c>
      <c r="N41" s="651">
        <v>18.399999999999999</v>
      </c>
      <c r="O41" s="650">
        <v>1.5848000000000011</v>
      </c>
      <c r="P41" s="651">
        <v>12.4</v>
      </c>
      <c r="Q41" s="650">
        <v>6.3</v>
      </c>
    </row>
    <row r="42" spans="1:17" s="656" customFormat="1" ht="10.15" customHeight="1">
      <c r="B42" s="651">
        <v>18.5</v>
      </c>
      <c r="C42" s="654">
        <v>5.86</v>
      </c>
      <c r="D42" s="651">
        <v>18.5</v>
      </c>
      <c r="E42" s="654">
        <v>7.38</v>
      </c>
      <c r="F42" s="651">
        <v>16.5</v>
      </c>
      <c r="G42" s="654">
        <v>5.12</v>
      </c>
      <c r="H42" s="651">
        <v>18.5</v>
      </c>
      <c r="I42" s="654">
        <v>3.4</v>
      </c>
      <c r="J42" s="651">
        <v>12.5</v>
      </c>
      <c r="K42" s="654">
        <v>5.12</v>
      </c>
      <c r="L42" s="651">
        <v>12.5</v>
      </c>
      <c r="M42" s="650">
        <v>6.4</v>
      </c>
      <c r="N42" s="651">
        <v>18.5</v>
      </c>
      <c r="O42" s="650">
        <v>1.6104000000000012</v>
      </c>
      <c r="P42" s="651">
        <v>12.5</v>
      </c>
      <c r="Q42" s="650">
        <v>6.4</v>
      </c>
    </row>
    <row r="43" spans="1:17" s="656" customFormat="1" ht="10.15" customHeight="1">
      <c r="B43" s="651">
        <v>18.600000000000001</v>
      </c>
      <c r="C43" s="654">
        <v>5.95</v>
      </c>
      <c r="D43" s="651">
        <v>18.600000000000001</v>
      </c>
      <c r="E43" s="654">
        <v>7.5</v>
      </c>
      <c r="F43" s="651">
        <v>16.600000000000001</v>
      </c>
      <c r="G43" s="654">
        <v>5.2</v>
      </c>
      <c r="H43" s="651">
        <v>18.600000000000001</v>
      </c>
      <c r="I43" s="654">
        <v>3.4</v>
      </c>
      <c r="J43" s="651">
        <v>12.6</v>
      </c>
      <c r="K43" s="654">
        <v>5.2</v>
      </c>
      <c r="L43" s="651">
        <v>12.6</v>
      </c>
      <c r="M43" s="650">
        <v>6.5</v>
      </c>
      <c r="N43" s="651">
        <v>18.600000000000101</v>
      </c>
      <c r="O43" s="650">
        <v>1.6360000000000012</v>
      </c>
      <c r="P43" s="651">
        <v>12.6</v>
      </c>
      <c r="Q43" s="650">
        <v>6.5</v>
      </c>
    </row>
    <row r="44" spans="1:17" s="656" customFormat="1" ht="10.15" customHeight="1">
      <c r="B44" s="651">
        <v>18.7</v>
      </c>
      <c r="C44" s="654">
        <v>6.04</v>
      </c>
      <c r="D44" s="651">
        <v>18.7</v>
      </c>
      <c r="E44" s="654">
        <v>7.62</v>
      </c>
      <c r="F44" s="651">
        <v>16.7</v>
      </c>
      <c r="G44" s="654">
        <v>5.2799999999999994</v>
      </c>
      <c r="H44" s="651">
        <v>18.7</v>
      </c>
      <c r="I44" s="654">
        <v>3.4</v>
      </c>
      <c r="J44" s="651">
        <v>12.7</v>
      </c>
      <c r="K44" s="654">
        <v>5.2799999999999994</v>
      </c>
      <c r="L44" s="651">
        <v>12.7</v>
      </c>
      <c r="M44" s="650">
        <v>6.6</v>
      </c>
      <c r="N44" s="651">
        <v>18.7</v>
      </c>
      <c r="O44" s="650">
        <v>1.6616000000000013</v>
      </c>
      <c r="P44" s="651">
        <v>12.7</v>
      </c>
      <c r="Q44" s="650">
        <v>6.6</v>
      </c>
    </row>
    <row r="45" spans="1:17" s="656" customFormat="1" ht="10.15" customHeight="1">
      <c r="B45" s="651">
        <v>18.8</v>
      </c>
      <c r="C45" s="654">
        <v>6.13</v>
      </c>
      <c r="D45" s="651">
        <v>18.8</v>
      </c>
      <c r="E45" s="654">
        <v>7.74</v>
      </c>
      <c r="F45" s="651">
        <v>16.8</v>
      </c>
      <c r="G45" s="654">
        <v>5.36</v>
      </c>
      <c r="H45" s="651">
        <v>18.8</v>
      </c>
      <c r="I45" s="654">
        <v>3.4</v>
      </c>
      <c r="J45" s="651">
        <v>12.8</v>
      </c>
      <c r="K45" s="654">
        <v>5.36</v>
      </c>
      <c r="L45" s="651">
        <v>12.8</v>
      </c>
      <c r="M45" s="650">
        <v>6.7</v>
      </c>
      <c r="N45" s="651">
        <v>18.8000000000001</v>
      </c>
      <c r="O45" s="650">
        <v>1.6872000000000014</v>
      </c>
      <c r="P45" s="651">
        <v>12.8</v>
      </c>
      <c r="Q45" s="650">
        <v>6.7</v>
      </c>
    </row>
    <row r="46" spans="1:17" s="656" customFormat="1" ht="10.15" customHeight="1">
      <c r="B46" s="653">
        <v>18.899999999999999</v>
      </c>
      <c r="C46" s="654">
        <v>6.2200000000000006</v>
      </c>
      <c r="D46" s="653">
        <v>18.899999999999999</v>
      </c>
      <c r="E46" s="654">
        <v>7.8599999999999994</v>
      </c>
      <c r="F46" s="653">
        <v>16.899999999999999</v>
      </c>
      <c r="G46" s="654">
        <v>5.4399999999999995</v>
      </c>
      <c r="H46" s="653">
        <v>18.899999999999999</v>
      </c>
      <c r="I46" s="654">
        <v>3.4</v>
      </c>
      <c r="J46" s="653">
        <v>12.9</v>
      </c>
      <c r="K46" s="654">
        <v>5.4399999999999995</v>
      </c>
      <c r="L46" s="653">
        <v>12.9</v>
      </c>
      <c r="M46" s="650">
        <v>6.8</v>
      </c>
      <c r="N46" s="653">
        <v>18.899999999999999</v>
      </c>
      <c r="O46" s="655">
        <v>1.7128000000000014</v>
      </c>
      <c r="P46" s="653">
        <v>12.9</v>
      </c>
      <c r="Q46" s="650">
        <v>6.8</v>
      </c>
    </row>
    <row r="47" spans="1:17" s="656" customFormat="1" ht="10.15" customHeight="1">
      <c r="A47" s="660"/>
      <c r="B47" s="651">
        <v>19</v>
      </c>
      <c r="C47" s="654">
        <v>6.3100000000000005</v>
      </c>
      <c r="D47" s="651">
        <v>19</v>
      </c>
      <c r="E47" s="654">
        <v>7.9799999999999995</v>
      </c>
      <c r="F47" s="651">
        <v>17</v>
      </c>
      <c r="G47" s="654">
        <v>5.5200000000000005</v>
      </c>
      <c r="H47" s="651">
        <v>19</v>
      </c>
      <c r="I47" s="654">
        <v>3.7</v>
      </c>
      <c r="J47" s="651">
        <v>13</v>
      </c>
      <c r="K47" s="654">
        <v>5.5200000000000005</v>
      </c>
      <c r="L47" s="651">
        <v>13</v>
      </c>
      <c r="M47" s="650">
        <v>6.9</v>
      </c>
      <c r="N47" s="651">
        <v>19</v>
      </c>
      <c r="O47" s="650">
        <v>1.7384000000000015</v>
      </c>
      <c r="P47" s="651">
        <v>13</v>
      </c>
      <c r="Q47" s="650">
        <v>6.9</v>
      </c>
    </row>
    <row r="48" spans="1:17" s="656" customFormat="1" ht="10.15" customHeight="1">
      <c r="B48" s="651">
        <v>19.100000000000001</v>
      </c>
      <c r="C48" s="654">
        <v>6.4</v>
      </c>
      <c r="D48" s="651">
        <v>19.100000000000001</v>
      </c>
      <c r="E48" s="654">
        <v>8.1</v>
      </c>
      <c r="F48" s="651">
        <v>17.100000000000001</v>
      </c>
      <c r="G48" s="654">
        <v>5.6</v>
      </c>
      <c r="H48" s="651">
        <v>19.100000000000001</v>
      </c>
      <c r="I48" s="654">
        <v>3.7</v>
      </c>
      <c r="J48" s="651">
        <v>13.1</v>
      </c>
      <c r="K48" s="654">
        <v>5.6</v>
      </c>
      <c r="L48" s="651">
        <v>13.100000000000099</v>
      </c>
      <c r="M48" s="650">
        <v>7</v>
      </c>
      <c r="N48" s="651">
        <v>19.100000000000101</v>
      </c>
      <c r="O48" s="650">
        <v>1.7640000000000016</v>
      </c>
      <c r="P48" s="651">
        <v>13.1</v>
      </c>
      <c r="Q48" s="650">
        <v>7</v>
      </c>
    </row>
    <row r="49" spans="2:17" s="656" customFormat="1" ht="10.15" customHeight="1">
      <c r="B49" s="651">
        <v>19.2</v>
      </c>
      <c r="C49" s="654">
        <v>6.49</v>
      </c>
      <c r="D49" s="651">
        <v>19.2</v>
      </c>
      <c r="E49" s="654">
        <v>8.2200000000000006</v>
      </c>
      <c r="F49" s="651">
        <v>17.2</v>
      </c>
      <c r="G49" s="654">
        <v>5.68</v>
      </c>
      <c r="H49" s="651">
        <v>19.2</v>
      </c>
      <c r="I49" s="654">
        <v>3.7</v>
      </c>
      <c r="J49" s="651">
        <v>13.2</v>
      </c>
      <c r="K49" s="654">
        <v>5.68</v>
      </c>
      <c r="L49" s="651">
        <v>13.200000000000101</v>
      </c>
      <c r="M49" s="650">
        <v>7.1</v>
      </c>
      <c r="N49" s="651">
        <v>19.200000000000099</v>
      </c>
      <c r="O49" s="650">
        <v>1.7896000000000016</v>
      </c>
      <c r="P49" s="651">
        <v>13.2</v>
      </c>
      <c r="Q49" s="650">
        <v>7.1</v>
      </c>
    </row>
    <row r="50" spans="2:17" s="656" customFormat="1" ht="10.15" customHeight="1">
      <c r="B50" s="651">
        <v>19.3</v>
      </c>
      <c r="C50" s="654">
        <v>6.58</v>
      </c>
      <c r="D50" s="651">
        <v>19.3</v>
      </c>
      <c r="E50" s="654">
        <v>8.34</v>
      </c>
      <c r="F50" s="651">
        <v>17.3</v>
      </c>
      <c r="G50" s="654">
        <v>5.76</v>
      </c>
      <c r="H50" s="651">
        <v>19.3</v>
      </c>
      <c r="I50" s="654">
        <v>3.7</v>
      </c>
      <c r="J50" s="651">
        <v>13.3</v>
      </c>
      <c r="K50" s="654">
        <v>5.76</v>
      </c>
      <c r="L50" s="651">
        <v>13.3000000000001</v>
      </c>
      <c r="M50" s="650">
        <v>7.2</v>
      </c>
      <c r="N50" s="651">
        <v>19.3000000000001</v>
      </c>
      <c r="O50" s="650">
        <v>1.8152000000000017</v>
      </c>
      <c r="P50" s="651">
        <v>13.3</v>
      </c>
      <c r="Q50" s="650">
        <v>7.2</v>
      </c>
    </row>
    <row r="51" spans="2:17" s="656" customFormat="1" ht="10.15" customHeight="1">
      <c r="B51" s="651">
        <v>19.399999999999999</v>
      </c>
      <c r="C51" s="654">
        <v>6.67</v>
      </c>
      <c r="D51" s="651">
        <v>19.399999999999999</v>
      </c>
      <c r="E51" s="654">
        <v>8.4599999999999991</v>
      </c>
      <c r="F51" s="651">
        <v>17.399999999999999</v>
      </c>
      <c r="G51" s="654">
        <v>5.84</v>
      </c>
      <c r="H51" s="651">
        <v>19.399999999999999</v>
      </c>
      <c r="I51" s="654">
        <v>3.7</v>
      </c>
      <c r="J51" s="651">
        <v>13.4</v>
      </c>
      <c r="K51" s="654">
        <v>5.84</v>
      </c>
      <c r="L51" s="651">
        <v>13.4000000000001</v>
      </c>
      <c r="M51" s="650">
        <v>7.3</v>
      </c>
      <c r="N51" s="651">
        <v>19.400000000000102</v>
      </c>
      <c r="O51" s="650">
        <v>1.8408000000000018</v>
      </c>
      <c r="P51" s="651">
        <v>13.4</v>
      </c>
      <c r="Q51" s="650">
        <v>7.3</v>
      </c>
    </row>
    <row r="52" spans="2:17" s="656" customFormat="1" ht="10.15" customHeight="1">
      <c r="B52" s="651">
        <v>19.5</v>
      </c>
      <c r="C52" s="654">
        <v>6.76</v>
      </c>
      <c r="D52" s="651">
        <v>19.5</v>
      </c>
      <c r="E52" s="654">
        <v>8.58</v>
      </c>
      <c r="F52" s="651">
        <v>17.5</v>
      </c>
      <c r="G52" s="654">
        <v>5.92</v>
      </c>
      <c r="H52" s="651">
        <v>19.5</v>
      </c>
      <c r="I52" s="654">
        <v>3.7</v>
      </c>
      <c r="J52" s="651">
        <v>13.5</v>
      </c>
      <c r="K52" s="654">
        <v>5.92</v>
      </c>
      <c r="L52" s="651">
        <v>13.500000000000099</v>
      </c>
      <c r="M52" s="650">
        <v>7.4</v>
      </c>
      <c r="N52" s="651">
        <v>19.500000000000099</v>
      </c>
      <c r="O52" s="650">
        <v>1.8664000000000018</v>
      </c>
      <c r="P52" s="651">
        <v>13.5</v>
      </c>
      <c r="Q52" s="650">
        <v>7.4</v>
      </c>
    </row>
    <row r="53" spans="2:17" s="656" customFormat="1" ht="10.15" customHeight="1">
      <c r="B53" s="651">
        <v>19.600000000000001</v>
      </c>
      <c r="C53" s="654">
        <v>6.85</v>
      </c>
      <c r="D53" s="651">
        <v>19.600000000000001</v>
      </c>
      <c r="E53" s="654">
        <v>8.6999999999999993</v>
      </c>
      <c r="F53" s="651">
        <v>17.600000000000001</v>
      </c>
      <c r="G53" s="654">
        <v>6</v>
      </c>
      <c r="H53" s="651">
        <v>19.600000000000001</v>
      </c>
      <c r="I53" s="654">
        <v>3.7</v>
      </c>
      <c r="J53" s="651">
        <v>13.6</v>
      </c>
      <c r="K53" s="654">
        <v>6</v>
      </c>
      <c r="L53" s="651">
        <v>13.600000000000099</v>
      </c>
      <c r="M53" s="650">
        <v>7.5</v>
      </c>
      <c r="N53" s="651">
        <v>19.600000000000101</v>
      </c>
      <c r="O53" s="650">
        <v>1.8920000000000019</v>
      </c>
      <c r="P53" s="651">
        <v>13.6</v>
      </c>
      <c r="Q53" s="650">
        <v>7.5</v>
      </c>
    </row>
    <row r="54" spans="2:17" s="656" customFormat="1" ht="10.15" customHeight="1">
      <c r="B54" s="651">
        <v>19.7</v>
      </c>
      <c r="C54" s="654">
        <v>6.94</v>
      </c>
      <c r="D54" s="651">
        <v>19.7</v>
      </c>
      <c r="E54" s="654">
        <v>8.82</v>
      </c>
      <c r="F54" s="651">
        <v>17.7</v>
      </c>
      <c r="G54" s="654">
        <v>6.08</v>
      </c>
      <c r="H54" s="651">
        <v>19.7</v>
      </c>
      <c r="I54" s="654">
        <v>3.7</v>
      </c>
      <c r="J54" s="651">
        <v>13.7</v>
      </c>
      <c r="K54" s="654">
        <v>6.08</v>
      </c>
      <c r="L54" s="651">
        <v>13.700000000000101</v>
      </c>
      <c r="M54" s="650">
        <v>7.6</v>
      </c>
      <c r="N54" s="651">
        <v>19.700000000000099</v>
      </c>
      <c r="O54" s="650">
        <v>1.917600000000002</v>
      </c>
      <c r="P54" s="651">
        <v>13.7</v>
      </c>
      <c r="Q54" s="650">
        <v>7.6</v>
      </c>
    </row>
    <row r="55" spans="2:17" s="656" customFormat="1" ht="10.15" customHeight="1">
      <c r="B55" s="651">
        <v>19.8</v>
      </c>
      <c r="C55" s="654">
        <v>7.0299999999999994</v>
      </c>
      <c r="D55" s="651">
        <v>19.8</v>
      </c>
      <c r="E55" s="654">
        <v>8.9400000000000013</v>
      </c>
      <c r="F55" s="651">
        <v>17.8</v>
      </c>
      <c r="G55" s="654">
        <v>6.16</v>
      </c>
      <c r="H55" s="651">
        <v>19.8</v>
      </c>
      <c r="I55" s="654">
        <v>3.7</v>
      </c>
      <c r="J55" s="651">
        <v>13.8</v>
      </c>
      <c r="K55" s="654">
        <v>6.16</v>
      </c>
      <c r="L55" s="651">
        <v>13.8000000000001</v>
      </c>
      <c r="M55" s="650">
        <v>7.7</v>
      </c>
      <c r="N55" s="651">
        <v>19.8000000000001</v>
      </c>
      <c r="O55" s="650">
        <v>1.943200000000002</v>
      </c>
      <c r="P55" s="651">
        <v>13.8</v>
      </c>
      <c r="Q55" s="650">
        <v>7.7</v>
      </c>
    </row>
    <row r="56" spans="2:17" s="656" customFormat="1" ht="10.15" customHeight="1">
      <c r="B56" s="653">
        <v>19.899999999999999</v>
      </c>
      <c r="C56" s="654">
        <v>7.12</v>
      </c>
      <c r="D56" s="653">
        <v>19.899999999999999</v>
      </c>
      <c r="E56" s="654">
        <v>9.0599999999999987</v>
      </c>
      <c r="F56" s="653">
        <v>17.899999999999999</v>
      </c>
      <c r="G56" s="654">
        <v>6.24</v>
      </c>
      <c r="H56" s="653">
        <v>19.899999999999999</v>
      </c>
      <c r="I56" s="654">
        <v>3.7</v>
      </c>
      <c r="J56" s="653">
        <v>13.9</v>
      </c>
      <c r="K56" s="654">
        <v>6.24</v>
      </c>
      <c r="L56" s="653">
        <v>13.9000000000001</v>
      </c>
      <c r="M56" s="650">
        <v>7.8</v>
      </c>
      <c r="N56" s="653">
        <v>19.900000000000102</v>
      </c>
      <c r="O56" s="655">
        <v>1.9688000000000021</v>
      </c>
      <c r="P56" s="653">
        <v>13.9</v>
      </c>
      <c r="Q56" s="650">
        <v>7.8</v>
      </c>
    </row>
    <row r="57" spans="2:17" s="656" customFormat="1" ht="10.15" customHeight="1">
      <c r="B57" s="651">
        <v>20</v>
      </c>
      <c r="C57" s="654">
        <v>7.2099999999999991</v>
      </c>
      <c r="D57" s="651">
        <v>20</v>
      </c>
      <c r="E57" s="654">
        <v>9.18</v>
      </c>
      <c r="F57" s="651">
        <v>18</v>
      </c>
      <c r="G57" s="654">
        <v>6.32</v>
      </c>
      <c r="H57" s="651">
        <v>20</v>
      </c>
      <c r="I57" s="654">
        <v>4</v>
      </c>
      <c r="J57" s="651">
        <v>14</v>
      </c>
      <c r="K57" s="654">
        <v>6.32</v>
      </c>
      <c r="L57" s="651">
        <v>14.000000000000099</v>
      </c>
      <c r="M57" s="650">
        <v>7.9</v>
      </c>
      <c r="N57" s="651">
        <v>20.000000000000099</v>
      </c>
      <c r="O57" s="650">
        <v>1.9944000000000022</v>
      </c>
      <c r="P57" s="651">
        <v>14</v>
      </c>
      <c r="Q57" s="650">
        <v>7.9</v>
      </c>
    </row>
    <row r="58" spans="2:17" s="656" customFormat="1" ht="10.15" customHeight="1">
      <c r="B58" s="651">
        <v>20.100000000000001</v>
      </c>
      <c r="C58" s="654">
        <v>7.3</v>
      </c>
      <c r="D58" s="651">
        <v>20.100000000000001</v>
      </c>
      <c r="E58" s="654">
        <v>9.3000000000000007</v>
      </c>
      <c r="F58" s="651">
        <v>18.100000000000001</v>
      </c>
      <c r="G58" s="654">
        <v>6.4</v>
      </c>
      <c r="H58" s="651">
        <v>20.100000000000001</v>
      </c>
      <c r="I58" s="654">
        <v>4</v>
      </c>
      <c r="J58" s="651">
        <v>14.1</v>
      </c>
      <c r="K58" s="654">
        <v>6.4</v>
      </c>
      <c r="L58" s="651">
        <v>14.100000000000099</v>
      </c>
      <c r="M58" s="650">
        <v>8</v>
      </c>
      <c r="N58" s="651">
        <v>20.100000000000101</v>
      </c>
      <c r="O58" s="650">
        <v>2.0200000000000022</v>
      </c>
      <c r="P58" s="651">
        <v>14.1</v>
      </c>
      <c r="Q58" s="650">
        <v>8</v>
      </c>
    </row>
    <row r="59" spans="2:17" s="656" customFormat="1" ht="10.15" customHeight="1">
      <c r="B59" s="651">
        <v>20.2</v>
      </c>
      <c r="C59" s="654">
        <v>7.3900000000000006</v>
      </c>
      <c r="D59" s="651">
        <v>20.2</v>
      </c>
      <c r="E59" s="654">
        <v>9.42</v>
      </c>
      <c r="F59" s="651">
        <v>18.2</v>
      </c>
      <c r="G59" s="654">
        <v>6.4799999999999995</v>
      </c>
      <c r="H59" s="651">
        <v>20.2</v>
      </c>
      <c r="I59" s="654">
        <v>4</v>
      </c>
      <c r="J59" s="651">
        <v>14.2</v>
      </c>
      <c r="K59" s="654">
        <v>6.4799999999999995</v>
      </c>
      <c r="L59" s="651">
        <v>14.200000000000101</v>
      </c>
      <c r="M59" s="650">
        <v>8.1</v>
      </c>
      <c r="N59" s="651">
        <v>20.200000000000099</v>
      </c>
      <c r="O59" s="650">
        <v>2.0456000000000021</v>
      </c>
      <c r="P59" s="651">
        <v>14.2</v>
      </c>
      <c r="Q59" s="650">
        <v>8.1</v>
      </c>
    </row>
    <row r="60" spans="2:17" s="656" customFormat="1" ht="10.15" customHeight="1">
      <c r="B60" s="651">
        <v>20.3</v>
      </c>
      <c r="C60" s="654">
        <v>7.4799999999999995</v>
      </c>
      <c r="D60" s="651">
        <v>20.3</v>
      </c>
      <c r="E60" s="654">
        <v>9.5400000000000009</v>
      </c>
      <c r="F60" s="651">
        <v>18.3</v>
      </c>
      <c r="G60" s="654">
        <v>6.56</v>
      </c>
      <c r="H60" s="651">
        <v>20.3</v>
      </c>
      <c r="I60" s="654">
        <v>4</v>
      </c>
      <c r="J60" s="651">
        <v>14.3</v>
      </c>
      <c r="K60" s="654">
        <v>6.56</v>
      </c>
      <c r="L60" s="651">
        <v>14.3000000000001</v>
      </c>
      <c r="M60" s="650">
        <v>8.1999999999999993</v>
      </c>
      <c r="N60" s="651">
        <v>20.3000000000001</v>
      </c>
      <c r="O60" s="650">
        <v>2.0712000000000019</v>
      </c>
      <c r="P60" s="651">
        <v>14.3</v>
      </c>
      <c r="Q60" s="650">
        <v>8.1999999999999993</v>
      </c>
    </row>
    <row r="61" spans="2:17" s="656" customFormat="1" ht="10.15" customHeight="1">
      <c r="B61" s="651">
        <v>20.399999999999999</v>
      </c>
      <c r="C61" s="654">
        <v>7.57</v>
      </c>
      <c r="D61" s="651">
        <v>20.399999999999999</v>
      </c>
      <c r="E61" s="654">
        <v>9.66</v>
      </c>
      <c r="F61" s="651">
        <v>18.399999999999999</v>
      </c>
      <c r="G61" s="654">
        <v>6.6400000000000006</v>
      </c>
      <c r="H61" s="651">
        <v>20.399999999999999</v>
      </c>
      <c r="I61" s="654">
        <v>4</v>
      </c>
      <c r="J61" s="651">
        <v>14.4</v>
      </c>
      <c r="K61" s="654">
        <v>6.6400000000000006</v>
      </c>
      <c r="L61" s="651">
        <v>14.4000000000001</v>
      </c>
      <c r="M61" s="650">
        <v>8.3000000000000007</v>
      </c>
      <c r="N61" s="651">
        <v>20.400000000000102</v>
      </c>
      <c r="O61" s="650">
        <v>2.0968000000000018</v>
      </c>
      <c r="P61" s="651">
        <v>14.4</v>
      </c>
      <c r="Q61" s="650">
        <v>8.3000000000000007</v>
      </c>
    </row>
    <row r="62" spans="2:17" s="656" customFormat="1" ht="10.15" customHeight="1">
      <c r="B62" s="651">
        <v>20.5</v>
      </c>
      <c r="C62" s="654">
        <v>7.6599999999999993</v>
      </c>
      <c r="D62" s="651">
        <v>20.5</v>
      </c>
      <c r="E62" s="654">
        <v>9.7799999999999994</v>
      </c>
      <c r="F62" s="651">
        <v>18.5</v>
      </c>
      <c r="G62" s="654">
        <v>6.7200000000000006</v>
      </c>
      <c r="H62" s="651">
        <v>20.5</v>
      </c>
      <c r="I62" s="654">
        <v>4</v>
      </c>
      <c r="J62" s="651">
        <v>14.5</v>
      </c>
      <c r="K62" s="654">
        <v>6.7200000000000006</v>
      </c>
      <c r="L62" s="651">
        <v>14.500000000000099</v>
      </c>
      <c r="M62" s="650">
        <v>8.4</v>
      </c>
      <c r="N62" s="651">
        <v>20.500000000000099</v>
      </c>
      <c r="O62" s="650">
        <v>2.1224000000000016</v>
      </c>
      <c r="P62" s="651">
        <v>14.5</v>
      </c>
      <c r="Q62" s="650">
        <v>8.4</v>
      </c>
    </row>
    <row r="63" spans="2:17" s="656" customFormat="1" ht="10.15" customHeight="1">
      <c r="B63" s="651">
        <v>20.6</v>
      </c>
      <c r="C63" s="654">
        <v>7.75</v>
      </c>
      <c r="D63" s="651">
        <v>20.6</v>
      </c>
      <c r="E63" s="654">
        <v>9.9</v>
      </c>
      <c r="F63" s="651">
        <v>18.600000000000001</v>
      </c>
      <c r="G63" s="654">
        <v>6.8</v>
      </c>
      <c r="H63" s="651">
        <v>20.6</v>
      </c>
      <c r="I63" s="654">
        <v>4</v>
      </c>
      <c r="J63" s="651">
        <v>14.6</v>
      </c>
      <c r="K63" s="654">
        <v>6.8</v>
      </c>
      <c r="L63" s="651">
        <v>14.600000000000099</v>
      </c>
      <c r="M63" s="650">
        <v>8.5</v>
      </c>
      <c r="N63" s="651">
        <v>20.600000000000101</v>
      </c>
      <c r="O63" s="650">
        <v>2.1480000000000015</v>
      </c>
      <c r="P63" s="651">
        <v>14.6</v>
      </c>
      <c r="Q63" s="650">
        <v>8.5</v>
      </c>
    </row>
    <row r="64" spans="2:17" s="656" customFormat="1" ht="10.15" customHeight="1">
      <c r="B64" s="651">
        <v>20.7</v>
      </c>
      <c r="C64" s="654">
        <v>7.8400000000000007</v>
      </c>
      <c r="D64" s="651">
        <v>20.7</v>
      </c>
      <c r="E64" s="654">
        <v>10.02</v>
      </c>
      <c r="F64" s="651">
        <v>18.7</v>
      </c>
      <c r="G64" s="654">
        <v>6.88</v>
      </c>
      <c r="H64" s="651">
        <v>20.7</v>
      </c>
      <c r="I64" s="654">
        <v>4</v>
      </c>
      <c r="J64" s="651">
        <v>14.7</v>
      </c>
      <c r="K64" s="654">
        <v>6.88</v>
      </c>
      <c r="L64" s="651">
        <v>14.700000000000101</v>
      </c>
      <c r="M64" s="650">
        <v>8.6</v>
      </c>
      <c r="N64" s="651">
        <v>20.700000000000099</v>
      </c>
      <c r="O64" s="650">
        <v>2.1736000000000013</v>
      </c>
      <c r="P64" s="651">
        <v>14.7</v>
      </c>
      <c r="Q64" s="650">
        <v>8.6</v>
      </c>
    </row>
    <row r="65" spans="1:17" s="656" customFormat="1" ht="10.15" customHeight="1">
      <c r="B65" s="651">
        <v>20.8</v>
      </c>
      <c r="C65" s="654">
        <v>7.93</v>
      </c>
      <c r="D65" s="651">
        <v>20.8</v>
      </c>
      <c r="E65" s="654">
        <v>10.14</v>
      </c>
      <c r="F65" s="651">
        <v>18.8</v>
      </c>
      <c r="G65" s="654">
        <v>6.9599999999999991</v>
      </c>
      <c r="H65" s="651">
        <v>20.8</v>
      </c>
      <c r="I65" s="654">
        <v>4</v>
      </c>
      <c r="J65" s="651">
        <v>14.8</v>
      </c>
      <c r="K65" s="654">
        <v>6.9599999999999991</v>
      </c>
      <c r="L65" s="651">
        <v>14.8000000000001</v>
      </c>
      <c r="M65" s="650">
        <v>8.6999999999999993</v>
      </c>
      <c r="N65" s="651">
        <v>20.8000000000001</v>
      </c>
      <c r="O65" s="650">
        <v>2.1992000000000012</v>
      </c>
      <c r="P65" s="651">
        <v>14.8</v>
      </c>
      <c r="Q65" s="650">
        <v>8.6999999999999993</v>
      </c>
    </row>
    <row r="66" spans="1:17" s="656" customFormat="1" ht="10.15" customHeight="1">
      <c r="B66" s="653">
        <v>20.9</v>
      </c>
      <c r="C66" s="654">
        <v>8.02</v>
      </c>
      <c r="D66" s="653">
        <v>20.9</v>
      </c>
      <c r="E66" s="654">
        <v>10.26</v>
      </c>
      <c r="F66" s="653">
        <v>18.899999999999999</v>
      </c>
      <c r="G66" s="654">
        <v>7.0400000000000009</v>
      </c>
      <c r="H66" s="653">
        <v>20.9</v>
      </c>
      <c r="I66" s="654">
        <v>4</v>
      </c>
      <c r="J66" s="653">
        <v>14.9</v>
      </c>
      <c r="K66" s="654">
        <v>7.0400000000000009</v>
      </c>
      <c r="L66" s="653">
        <v>14.9000000000001</v>
      </c>
      <c r="M66" s="650">
        <v>8.8000000000000007</v>
      </c>
      <c r="N66" s="653">
        <v>20.900000000000102</v>
      </c>
      <c r="O66" s="655">
        <v>2.224800000000001</v>
      </c>
      <c r="P66" s="653">
        <v>14.9</v>
      </c>
      <c r="Q66" s="650">
        <v>8.8000000000000007</v>
      </c>
    </row>
    <row r="67" spans="1:17" s="656" customFormat="1" ht="10.15" customHeight="1">
      <c r="A67" s="660"/>
      <c r="B67" s="651">
        <v>21</v>
      </c>
      <c r="C67" s="654">
        <v>8.11</v>
      </c>
      <c r="D67" s="651">
        <v>21</v>
      </c>
      <c r="E67" s="654">
        <v>10.379999999999999</v>
      </c>
      <c r="F67" s="651">
        <v>19</v>
      </c>
      <c r="G67" s="654">
        <v>7.12</v>
      </c>
      <c r="H67" s="651">
        <v>21</v>
      </c>
      <c r="I67" s="654">
        <v>4.3</v>
      </c>
      <c r="J67" s="651">
        <v>15</v>
      </c>
      <c r="K67" s="654">
        <v>7.1400000000000006</v>
      </c>
      <c r="L67" s="651">
        <v>15.000000000000099</v>
      </c>
      <c r="M67" s="650">
        <v>8.9</v>
      </c>
      <c r="N67" s="651">
        <v>21.000000000000099</v>
      </c>
      <c r="O67" s="650">
        <v>2.2504000000000008</v>
      </c>
      <c r="P67" s="651">
        <v>15</v>
      </c>
      <c r="Q67" s="650">
        <v>8.9</v>
      </c>
    </row>
    <row r="68" spans="1:17" s="656" customFormat="1" ht="10.15" customHeight="1">
      <c r="B68" s="651">
        <v>21.1</v>
      </c>
      <c r="C68" s="654">
        <v>8.1999999999999993</v>
      </c>
      <c r="D68" s="651">
        <v>21.1</v>
      </c>
      <c r="E68" s="654">
        <v>10.5</v>
      </c>
      <c r="F68" s="651">
        <v>19.100000000000001</v>
      </c>
      <c r="G68" s="654">
        <v>7.2</v>
      </c>
      <c r="H68" s="651">
        <v>21.1</v>
      </c>
      <c r="I68" s="654">
        <v>4.3</v>
      </c>
      <c r="J68" s="651">
        <v>15.1</v>
      </c>
      <c r="K68" s="654">
        <v>7.24</v>
      </c>
      <c r="L68" s="651">
        <v>15.100000000000099</v>
      </c>
      <c r="M68" s="650">
        <v>9</v>
      </c>
      <c r="N68" s="651">
        <v>21.100000000000101</v>
      </c>
      <c r="O68" s="650">
        <v>2.2760000000000007</v>
      </c>
      <c r="P68" s="651">
        <v>15.1</v>
      </c>
      <c r="Q68" s="650">
        <v>9</v>
      </c>
    </row>
    <row r="69" spans="1:17" s="656" customFormat="1" ht="10.15" customHeight="1">
      <c r="B69" s="651">
        <v>21.2</v>
      </c>
      <c r="C69" s="654">
        <v>8.2900000000000009</v>
      </c>
      <c r="D69" s="651">
        <v>21.2</v>
      </c>
      <c r="E69" s="654">
        <v>10.620000000000001</v>
      </c>
      <c r="F69" s="651">
        <v>19.2</v>
      </c>
      <c r="G69" s="654">
        <v>7.2799999999999994</v>
      </c>
      <c r="H69" s="651">
        <v>21.2</v>
      </c>
      <c r="I69" s="654">
        <v>4.3</v>
      </c>
      <c r="J69" s="651">
        <v>15.2</v>
      </c>
      <c r="K69" s="654">
        <v>7.3400000000000007</v>
      </c>
      <c r="L69" s="651">
        <v>15.200000000000101</v>
      </c>
      <c r="M69" s="650">
        <v>9.1</v>
      </c>
      <c r="N69" s="651">
        <v>21.200000000000099</v>
      </c>
      <c r="O69" s="650">
        <v>2.3016000000000005</v>
      </c>
      <c r="P69" s="651">
        <v>15.2</v>
      </c>
      <c r="Q69" s="650">
        <v>9.1</v>
      </c>
    </row>
    <row r="70" spans="1:17" s="656" customFormat="1" ht="10.15" customHeight="1">
      <c r="B70" s="651">
        <v>21.3</v>
      </c>
      <c r="C70" s="654">
        <v>8.379999999999999</v>
      </c>
      <c r="D70" s="651">
        <v>21.3000000000001</v>
      </c>
      <c r="E70" s="654">
        <v>10.74</v>
      </c>
      <c r="F70" s="651">
        <v>19.3</v>
      </c>
      <c r="G70" s="654">
        <v>7.3599999999999994</v>
      </c>
      <c r="H70" s="651">
        <v>21.3</v>
      </c>
      <c r="I70" s="654">
        <v>4.3</v>
      </c>
      <c r="J70" s="651">
        <v>15.3</v>
      </c>
      <c r="K70" s="654">
        <v>7.44</v>
      </c>
      <c r="L70" s="651">
        <v>15.3000000000001</v>
      </c>
      <c r="M70" s="650">
        <v>9.1999999999999993</v>
      </c>
      <c r="N70" s="651">
        <v>21.3000000000001</v>
      </c>
      <c r="O70" s="650">
        <v>2.3272000000000004</v>
      </c>
      <c r="P70" s="651">
        <v>15.3</v>
      </c>
      <c r="Q70" s="650">
        <v>9.1999999999999993</v>
      </c>
    </row>
    <row r="71" spans="1:17" s="656" customFormat="1" ht="10.15" customHeight="1">
      <c r="B71" s="651">
        <v>21.4</v>
      </c>
      <c r="C71" s="654">
        <v>8.4700000000000006</v>
      </c>
      <c r="D71" s="651">
        <v>21.4</v>
      </c>
      <c r="E71" s="654">
        <v>10.86</v>
      </c>
      <c r="F71" s="651">
        <v>19.399999999999999</v>
      </c>
      <c r="G71" s="654">
        <v>7.44</v>
      </c>
      <c r="H71" s="651">
        <v>21.4</v>
      </c>
      <c r="I71" s="654">
        <v>4.3</v>
      </c>
      <c r="J71" s="651">
        <v>15.4</v>
      </c>
      <c r="K71" s="654">
        <v>7.5400000000000009</v>
      </c>
      <c r="L71" s="651">
        <v>15.4000000000001</v>
      </c>
      <c r="M71" s="650">
        <v>9.3000000000000007</v>
      </c>
      <c r="N71" s="651">
        <v>21.400000000000102</v>
      </c>
      <c r="O71" s="650">
        <v>2.3528000000000002</v>
      </c>
      <c r="P71" s="651">
        <v>15.4</v>
      </c>
      <c r="Q71" s="650">
        <v>9.3000000000000007</v>
      </c>
    </row>
    <row r="72" spans="1:17" s="656" customFormat="1" ht="10.15" customHeight="1">
      <c r="B72" s="651">
        <v>21.5</v>
      </c>
      <c r="C72" s="654">
        <v>8.5599999999999987</v>
      </c>
      <c r="D72" s="651">
        <v>21.5</v>
      </c>
      <c r="E72" s="654">
        <v>10.98</v>
      </c>
      <c r="F72" s="651">
        <v>19.5</v>
      </c>
      <c r="G72" s="654">
        <v>7.5200000000000005</v>
      </c>
      <c r="H72" s="651">
        <v>21.5</v>
      </c>
      <c r="I72" s="654">
        <v>4.3</v>
      </c>
      <c r="J72" s="651">
        <v>15.5</v>
      </c>
      <c r="K72" s="654">
        <v>7.6400000000000006</v>
      </c>
      <c r="L72" s="651">
        <v>15.500000000000099</v>
      </c>
      <c r="M72" s="650">
        <v>9.4</v>
      </c>
      <c r="N72" s="651">
        <v>21.500000000000099</v>
      </c>
      <c r="O72" s="650">
        <v>2.3784000000000001</v>
      </c>
      <c r="P72" s="651">
        <v>15.5</v>
      </c>
      <c r="Q72" s="650">
        <v>9.4</v>
      </c>
    </row>
    <row r="73" spans="1:17" s="656" customFormat="1" ht="10.15" customHeight="1">
      <c r="B73" s="651">
        <v>21.6</v>
      </c>
      <c r="C73" s="654">
        <v>8.65</v>
      </c>
      <c r="D73" s="651">
        <v>21.600000000000101</v>
      </c>
      <c r="E73" s="654">
        <v>11.1</v>
      </c>
      <c r="F73" s="651">
        <v>19.600000000000001</v>
      </c>
      <c r="G73" s="654">
        <v>7.6</v>
      </c>
      <c r="H73" s="651">
        <v>21.6</v>
      </c>
      <c r="I73" s="654">
        <v>4.3</v>
      </c>
      <c r="J73" s="651">
        <v>15.6</v>
      </c>
      <c r="K73" s="654">
        <v>7.74</v>
      </c>
      <c r="L73" s="651">
        <v>15.600000000000099</v>
      </c>
      <c r="M73" s="650">
        <v>9.5</v>
      </c>
      <c r="N73" s="651">
        <v>21.600000000000101</v>
      </c>
      <c r="O73" s="650">
        <v>2.4039999999999999</v>
      </c>
      <c r="P73" s="651">
        <v>15.6</v>
      </c>
      <c r="Q73" s="650">
        <v>9.5</v>
      </c>
    </row>
    <row r="74" spans="1:17" s="656" customFormat="1" ht="10.15" customHeight="1">
      <c r="B74" s="651">
        <v>21.7</v>
      </c>
      <c r="C74" s="654">
        <v>8.74</v>
      </c>
      <c r="D74" s="651">
        <v>21.7</v>
      </c>
      <c r="E74" s="654">
        <v>11.22</v>
      </c>
      <c r="F74" s="651">
        <v>19.7</v>
      </c>
      <c r="G74" s="654">
        <v>7.68</v>
      </c>
      <c r="H74" s="651">
        <v>21.7</v>
      </c>
      <c r="I74" s="654">
        <v>4.3</v>
      </c>
      <c r="J74" s="651">
        <v>15.7</v>
      </c>
      <c r="K74" s="654">
        <v>7.8400000000000007</v>
      </c>
      <c r="L74" s="651">
        <v>15.700000000000101</v>
      </c>
      <c r="M74" s="650">
        <v>9.6</v>
      </c>
      <c r="N74" s="651">
        <v>21.700000000000099</v>
      </c>
      <c r="O74" s="650">
        <v>2.4295999999999998</v>
      </c>
      <c r="P74" s="651">
        <v>15.7</v>
      </c>
      <c r="Q74" s="650">
        <v>9.6</v>
      </c>
    </row>
    <row r="75" spans="1:17" s="656" customFormat="1" ht="10.15" customHeight="1">
      <c r="B75" s="651">
        <v>21.8</v>
      </c>
      <c r="C75" s="654">
        <v>8.83</v>
      </c>
      <c r="D75" s="651">
        <v>21.8000000000001</v>
      </c>
      <c r="E75" s="654">
        <v>11.34</v>
      </c>
      <c r="F75" s="651">
        <v>19.8</v>
      </c>
      <c r="G75" s="654">
        <v>7.76</v>
      </c>
      <c r="H75" s="651">
        <v>21.8</v>
      </c>
      <c r="I75" s="654">
        <v>4.3</v>
      </c>
      <c r="J75" s="651">
        <v>15.8</v>
      </c>
      <c r="K75" s="654">
        <v>7.94</v>
      </c>
      <c r="L75" s="651">
        <v>15.8000000000001</v>
      </c>
      <c r="M75" s="650">
        <v>9.6999999999999993</v>
      </c>
      <c r="N75" s="651">
        <v>21.8000000000001</v>
      </c>
      <c r="O75" s="650">
        <v>2.4551999999999996</v>
      </c>
      <c r="P75" s="651">
        <v>15.8</v>
      </c>
      <c r="Q75" s="650">
        <v>9.6999999999999993</v>
      </c>
    </row>
    <row r="76" spans="1:17" s="656" customFormat="1" ht="10.15" customHeight="1">
      <c r="B76" s="653">
        <v>21.9</v>
      </c>
      <c r="C76" s="654">
        <v>8.92</v>
      </c>
      <c r="D76" s="653">
        <v>21.900000000000102</v>
      </c>
      <c r="E76" s="654">
        <v>11.459999999999999</v>
      </c>
      <c r="F76" s="653">
        <v>19.899999999999999</v>
      </c>
      <c r="G76" s="654">
        <v>7.8400000000000007</v>
      </c>
      <c r="H76" s="653">
        <v>21.9</v>
      </c>
      <c r="I76" s="654">
        <v>4.3</v>
      </c>
      <c r="J76" s="653">
        <v>15.9</v>
      </c>
      <c r="K76" s="654">
        <v>8.0400000000000009</v>
      </c>
      <c r="L76" s="653">
        <v>15.9000000000001</v>
      </c>
      <c r="M76" s="650">
        <v>9.8000000000000007</v>
      </c>
      <c r="N76" s="653">
        <v>21.900000000000102</v>
      </c>
      <c r="O76" s="655">
        <v>2.4807999999999995</v>
      </c>
      <c r="P76" s="653">
        <v>15.9</v>
      </c>
      <c r="Q76" s="650">
        <v>9.8000000000000007</v>
      </c>
    </row>
    <row r="77" spans="1:17" s="656" customFormat="1" ht="10.15" customHeight="1">
      <c r="B77" s="651">
        <v>22</v>
      </c>
      <c r="C77" s="654">
        <v>9.01</v>
      </c>
      <c r="D77" s="651">
        <v>22.000000000000099</v>
      </c>
      <c r="E77" s="654">
        <v>11.58</v>
      </c>
      <c r="F77" s="651">
        <v>20</v>
      </c>
      <c r="G77" s="654">
        <v>7.92</v>
      </c>
      <c r="H77" s="651">
        <v>22</v>
      </c>
      <c r="I77" s="654">
        <v>4.5999999999999996</v>
      </c>
      <c r="J77" s="651">
        <v>16</v>
      </c>
      <c r="K77" s="654">
        <v>8.14</v>
      </c>
      <c r="L77" s="651">
        <v>16.000000000000099</v>
      </c>
      <c r="M77" s="650">
        <v>9.9</v>
      </c>
      <c r="N77" s="651">
        <v>22.000000000000099</v>
      </c>
      <c r="O77" s="650">
        <v>2.5063999999999993</v>
      </c>
      <c r="P77" s="651">
        <v>16</v>
      </c>
      <c r="Q77" s="650">
        <v>9.9</v>
      </c>
    </row>
    <row r="78" spans="1:17" s="656" customFormat="1" ht="10.15" customHeight="1">
      <c r="B78" s="651">
        <v>22.1</v>
      </c>
      <c r="C78" s="654">
        <v>9.1</v>
      </c>
      <c r="D78" s="651">
        <v>22.100000000000101</v>
      </c>
      <c r="E78" s="654">
        <v>11.7</v>
      </c>
      <c r="F78" s="651">
        <v>20.100000000000001</v>
      </c>
      <c r="G78" s="654">
        <v>8</v>
      </c>
      <c r="H78" s="651">
        <v>22.1</v>
      </c>
      <c r="I78" s="654">
        <v>4.5999999999999996</v>
      </c>
      <c r="J78" s="651">
        <v>16.100000000000001</v>
      </c>
      <c r="K78" s="654">
        <v>8.24</v>
      </c>
      <c r="L78" s="651">
        <v>16.100000000000101</v>
      </c>
      <c r="M78" s="650">
        <v>10</v>
      </c>
      <c r="N78" s="651">
        <v>22.100000000000101</v>
      </c>
      <c r="O78" s="650">
        <v>2.5319999999999991</v>
      </c>
      <c r="P78" s="651">
        <v>16.100000000000001</v>
      </c>
      <c r="Q78" s="650">
        <v>10</v>
      </c>
    </row>
    <row r="79" spans="1:17" s="656" customFormat="1" ht="10.15" customHeight="1">
      <c r="B79" s="651">
        <v>22.2</v>
      </c>
      <c r="C79" s="654">
        <v>9.1900000000000013</v>
      </c>
      <c r="D79" s="651">
        <v>22.200000000000099</v>
      </c>
      <c r="E79" s="654">
        <v>11.82</v>
      </c>
      <c r="F79" s="651">
        <v>20.2</v>
      </c>
      <c r="G79" s="654">
        <v>8.08</v>
      </c>
      <c r="H79" s="651">
        <v>22.2</v>
      </c>
      <c r="I79" s="654">
        <v>4.5999999999999996</v>
      </c>
      <c r="J79" s="651">
        <v>16.2</v>
      </c>
      <c r="K79" s="654">
        <v>8.34</v>
      </c>
      <c r="L79" s="651">
        <v>16.200000000000099</v>
      </c>
      <c r="M79" s="650">
        <v>10.1</v>
      </c>
      <c r="N79" s="651">
        <v>22.200000000000099</v>
      </c>
      <c r="O79" s="650">
        <v>2.557599999999999</v>
      </c>
      <c r="P79" s="651">
        <v>16.2</v>
      </c>
      <c r="Q79" s="650">
        <v>10.1</v>
      </c>
    </row>
    <row r="80" spans="1:17" s="656" customFormat="1" ht="10.15" customHeight="1">
      <c r="B80" s="651">
        <v>22.3</v>
      </c>
      <c r="C80" s="654">
        <v>9.2799999999999994</v>
      </c>
      <c r="D80" s="651">
        <v>22.3000000000001</v>
      </c>
      <c r="E80" s="654">
        <v>11.940000000000001</v>
      </c>
      <c r="F80" s="651">
        <v>20.3</v>
      </c>
      <c r="G80" s="654">
        <v>8.16</v>
      </c>
      <c r="H80" s="651">
        <v>22.3</v>
      </c>
      <c r="I80" s="654">
        <v>4.5999999999999996</v>
      </c>
      <c r="J80" s="651">
        <v>16.3</v>
      </c>
      <c r="K80" s="654">
        <v>8.4400000000000013</v>
      </c>
      <c r="L80" s="651">
        <v>16.3000000000001</v>
      </c>
      <c r="M80" s="650">
        <v>10.199999999999999</v>
      </c>
      <c r="N80" s="651">
        <v>22.3000000000001</v>
      </c>
      <c r="O80" s="650">
        <v>2.5831999999999988</v>
      </c>
      <c r="P80" s="651">
        <v>16.3</v>
      </c>
      <c r="Q80" s="650">
        <v>10.199999999999999</v>
      </c>
    </row>
    <row r="81" spans="2:21" s="656" customFormat="1" ht="10.15" customHeight="1">
      <c r="B81" s="651">
        <v>22.4</v>
      </c>
      <c r="C81" s="654">
        <v>9.370000000000001</v>
      </c>
      <c r="D81" s="651">
        <v>22.400000000000102</v>
      </c>
      <c r="E81" s="654">
        <v>12.059999999999999</v>
      </c>
      <c r="F81" s="651">
        <v>20.399999999999999</v>
      </c>
      <c r="G81" s="654">
        <v>8.24</v>
      </c>
      <c r="H81" s="651">
        <v>22.4</v>
      </c>
      <c r="I81" s="654">
        <v>4.5999999999999996</v>
      </c>
      <c r="J81" s="651">
        <v>16.399999999999999</v>
      </c>
      <c r="K81" s="654">
        <v>8.5400000000000009</v>
      </c>
      <c r="L81" s="651">
        <v>16.400000000000102</v>
      </c>
      <c r="M81" s="650">
        <v>10.3</v>
      </c>
      <c r="N81" s="651">
        <v>22.400000000000102</v>
      </c>
      <c r="O81" s="650">
        <v>2.6087999999999987</v>
      </c>
      <c r="P81" s="651">
        <v>16.399999999999999</v>
      </c>
      <c r="Q81" s="650">
        <v>10.3</v>
      </c>
    </row>
    <row r="82" spans="2:21" s="656" customFormat="1" ht="10.15" customHeight="1">
      <c r="B82" s="651">
        <v>22.5</v>
      </c>
      <c r="C82" s="654">
        <v>9.4599999999999991</v>
      </c>
      <c r="D82" s="651">
        <v>22.500000000000099</v>
      </c>
      <c r="E82" s="654">
        <v>12.18</v>
      </c>
      <c r="F82" s="651">
        <v>20.5</v>
      </c>
      <c r="G82" s="654">
        <v>8.32</v>
      </c>
      <c r="H82" s="651">
        <v>22.5</v>
      </c>
      <c r="I82" s="654">
        <v>4.5999999999999996</v>
      </c>
      <c r="J82" s="651">
        <v>16.5</v>
      </c>
      <c r="K82" s="654">
        <v>8.64</v>
      </c>
      <c r="L82" s="651">
        <v>16.500000000000099</v>
      </c>
      <c r="M82" s="650">
        <v>10.4</v>
      </c>
      <c r="N82" s="651">
        <v>22.500000000000099</v>
      </c>
      <c r="O82" s="650">
        <v>2.6343999999999985</v>
      </c>
      <c r="P82" s="651">
        <v>16.5</v>
      </c>
      <c r="Q82" s="650">
        <v>10.4</v>
      </c>
    </row>
    <row r="83" spans="2:21" s="656" customFormat="1" ht="10.15" customHeight="1">
      <c r="B83" s="651">
        <v>22.6</v>
      </c>
      <c r="C83" s="654">
        <v>9.5500000000000007</v>
      </c>
      <c r="D83" s="651">
        <v>22.600000000000101</v>
      </c>
      <c r="E83" s="654">
        <v>12.3</v>
      </c>
      <c r="F83" s="651">
        <v>20.6</v>
      </c>
      <c r="G83" s="654">
        <v>8.4</v>
      </c>
      <c r="H83" s="651">
        <v>22.6</v>
      </c>
      <c r="I83" s="654">
        <v>4.5999999999999996</v>
      </c>
      <c r="J83" s="651">
        <v>16.600000000000001</v>
      </c>
      <c r="K83" s="654">
        <v>8.74</v>
      </c>
      <c r="L83" s="651">
        <v>16.600000000000101</v>
      </c>
      <c r="M83" s="650">
        <v>10.5</v>
      </c>
      <c r="N83" s="651">
        <v>22.600000000000101</v>
      </c>
      <c r="O83" s="650">
        <v>2.6599999999999984</v>
      </c>
      <c r="P83" s="651">
        <v>16.600000000000001</v>
      </c>
      <c r="Q83" s="650">
        <v>10.5</v>
      </c>
    </row>
    <row r="84" spans="2:21" s="656" customFormat="1" ht="10.15" customHeight="1">
      <c r="B84" s="651">
        <v>22.7</v>
      </c>
      <c r="C84" s="654">
        <v>9.64</v>
      </c>
      <c r="D84" s="651">
        <v>22.700000000000099</v>
      </c>
      <c r="E84" s="654">
        <v>12.42</v>
      </c>
      <c r="F84" s="651">
        <v>20.7</v>
      </c>
      <c r="G84" s="654">
        <v>8.48</v>
      </c>
      <c r="H84" s="651">
        <v>22.7</v>
      </c>
      <c r="I84" s="654">
        <v>4.5999999999999996</v>
      </c>
      <c r="J84" s="651">
        <v>16.7</v>
      </c>
      <c r="K84" s="654">
        <v>8.84</v>
      </c>
      <c r="L84" s="651">
        <v>16.700000000000099</v>
      </c>
      <c r="M84" s="650">
        <v>10.6</v>
      </c>
      <c r="N84" s="651">
        <v>22.700000000000099</v>
      </c>
      <c r="O84" s="650">
        <v>2.6855999999999982</v>
      </c>
      <c r="P84" s="651">
        <v>16.7</v>
      </c>
      <c r="Q84" s="650">
        <v>10.6</v>
      </c>
    </row>
    <row r="85" spans="2:21" s="656" customFormat="1" ht="10.15" customHeight="1">
      <c r="B85" s="651">
        <v>22.8</v>
      </c>
      <c r="C85" s="654">
        <v>9.73</v>
      </c>
      <c r="D85" s="651">
        <v>22.8000000000001</v>
      </c>
      <c r="E85" s="654">
        <v>12.540000000000001</v>
      </c>
      <c r="F85" s="651">
        <v>20.8</v>
      </c>
      <c r="G85" s="654">
        <v>8.5599999999999987</v>
      </c>
      <c r="H85" s="651">
        <v>22.8</v>
      </c>
      <c r="I85" s="654">
        <v>4.5999999999999996</v>
      </c>
      <c r="J85" s="651">
        <v>16.8</v>
      </c>
      <c r="K85" s="654">
        <v>8.9400000000000013</v>
      </c>
      <c r="L85" s="651">
        <v>16.8000000000001</v>
      </c>
      <c r="M85" s="650">
        <v>10.7</v>
      </c>
      <c r="N85" s="651">
        <v>22.8000000000001</v>
      </c>
      <c r="O85" s="650">
        <v>2.7111999999999981</v>
      </c>
      <c r="P85" s="651">
        <v>16.8</v>
      </c>
      <c r="Q85" s="650">
        <v>10.7</v>
      </c>
    </row>
    <row r="86" spans="2:21" s="656" customFormat="1" ht="10.15" customHeight="1">
      <c r="B86" s="653">
        <v>22.9</v>
      </c>
      <c r="C86" s="654">
        <v>9.82</v>
      </c>
      <c r="D86" s="653">
        <v>22.900000000000102</v>
      </c>
      <c r="E86" s="654">
        <v>12.66</v>
      </c>
      <c r="F86" s="653">
        <v>20.9</v>
      </c>
      <c r="G86" s="654">
        <v>8.64</v>
      </c>
      <c r="H86" s="653">
        <v>22.9</v>
      </c>
      <c r="I86" s="654">
        <v>4.5999999999999996</v>
      </c>
      <c r="J86" s="653">
        <v>16.899999999999999</v>
      </c>
      <c r="K86" s="654">
        <v>9.0400000000000009</v>
      </c>
      <c r="L86" s="653">
        <v>16.900000000000102</v>
      </c>
      <c r="M86" s="650">
        <v>10.8</v>
      </c>
      <c r="N86" s="653">
        <v>22.900000000000102</v>
      </c>
      <c r="O86" s="655">
        <v>2.7367999999999979</v>
      </c>
      <c r="P86" s="653">
        <v>16.899999999999999</v>
      </c>
      <c r="Q86" s="650">
        <v>10.8</v>
      </c>
      <c r="R86" s="657"/>
      <c r="S86" s="123"/>
      <c r="T86" s="628"/>
      <c r="U86" s="123"/>
    </row>
    <row r="87" spans="2:21" s="656" customFormat="1" ht="10.15" customHeight="1" thickBot="1">
      <c r="B87" s="651">
        <v>23</v>
      </c>
      <c r="C87" s="654">
        <v>9.91</v>
      </c>
      <c r="D87" s="651">
        <v>23.000000000000099</v>
      </c>
      <c r="E87" s="654">
        <v>12.78</v>
      </c>
      <c r="F87" s="652">
        <v>21</v>
      </c>
      <c r="G87" s="654">
        <v>8.7200000000000006</v>
      </c>
      <c r="H87" s="652">
        <v>23</v>
      </c>
      <c r="I87" s="654">
        <v>4.9000000000000004</v>
      </c>
      <c r="J87" s="652">
        <v>17</v>
      </c>
      <c r="K87" s="654">
        <v>9.14</v>
      </c>
      <c r="L87" s="652">
        <v>17.000000000000099</v>
      </c>
      <c r="M87" s="650">
        <v>10.9</v>
      </c>
      <c r="N87" s="659">
        <v>23.000000000000099</v>
      </c>
      <c r="O87" s="658">
        <v>2.7623999999999977</v>
      </c>
      <c r="P87" s="652">
        <v>17.000000000000099</v>
      </c>
      <c r="Q87" s="650">
        <v>10.9</v>
      </c>
      <c r="R87" s="657"/>
      <c r="S87" s="123"/>
      <c r="T87" s="628"/>
      <c r="U87" s="123"/>
    </row>
    <row r="88" spans="2:21" ht="10.15" customHeight="1">
      <c r="B88" s="651">
        <v>23.1</v>
      </c>
      <c r="C88" s="654">
        <v>10</v>
      </c>
      <c r="D88" s="651">
        <v>23.100000000000101</v>
      </c>
      <c r="E88" s="654">
        <v>12.9</v>
      </c>
      <c r="F88" s="651">
        <v>21.1</v>
      </c>
      <c r="G88" s="654">
        <v>8.8000000000000007</v>
      </c>
      <c r="H88" s="651">
        <v>23.1</v>
      </c>
      <c r="I88" s="654">
        <v>4.9000000000000004</v>
      </c>
      <c r="J88" s="651">
        <v>17.100000000000001</v>
      </c>
      <c r="K88" s="654">
        <v>9.24</v>
      </c>
      <c r="L88" s="651">
        <v>17.100000000000001</v>
      </c>
      <c r="M88" s="650">
        <v>11</v>
      </c>
      <c r="N88" s="400"/>
      <c r="O88" s="400"/>
      <c r="P88" s="651">
        <v>17.100000000000001</v>
      </c>
      <c r="Q88" s="650">
        <v>11</v>
      </c>
    </row>
    <row r="89" spans="2:21" ht="10.15" customHeight="1">
      <c r="B89" s="651">
        <v>23.2</v>
      </c>
      <c r="C89" s="654">
        <v>10.09</v>
      </c>
      <c r="D89" s="651">
        <v>23.200000000000099</v>
      </c>
      <c r="E89" s="654">
        <v>13.02</v>
      </c>
      <c r="F89" s="651">
        <v>21.2</v>
      </c>
      <c r="G89" s="654">
        <v>8.879999999999999</v>
      </c>
      <c r="H89" s="651">
        <v>23.2</v>
      </c>
      <c r="I89" s="654">
        <v>4.9000000000000004</v>
      </c>
      <c r="J89" s="651">
        <v>17.2</v>
      </c>
      <c r="K89" s="654">
        <v>9.34</v>
      </c>
      <c r="L89" s="651">
        <v>17.2</v>
      </c>
      <c r="M89" s="650">
        <v>11.1</v>
      </c>
      <c r="N89" s="400"/>
      <c r="O89" s="400"/>
      <c r="P89" s="651">
        <v>17.2</v>
      </c>
      <c r="Q89" s="650">
        <v>11.1</v>
      </c>
    </row>
    <row r="90" spans="2:21" ht="10.15" customHeight="1">
      <c r="B90" s="651">
        <v>23.3000000000001</v>
      </c>
      <c r="C90" s="654">
        <v>10.18</v>
      </c>
      <c r="D90" s="651">
        <v>23.3000000000001</v>
      </c>
      <c r="E90" s="654">
        <v>13.14</v>
      </c>
      <c r="F90" s="651">
        <v>21.3</v>
      </c>
      <c r="G90" s="654">
        <v>8.9599999999999991</v>
      </c>
      <c r="H90" s="651">
        <v>23.3</v>
      </c>
      <c r="I90" s="654">
        <v>4.9000000000000004</v>
      </c>
      <c r="J90" s="651">
        <v>17.3</v>
      </c>
      <c r="K90" s="654">
        <v>9.4400000000000013</v>
      </c>
      <c r="L90" s="651">
        <v>17.3</v>
      </c>
      <c r="M90" s="650">
        <v>11.2</v>
      </c>
      <c r="N90" s="400"/>
      <c r="O90" s="400"/>
      <c r="P90" s="651">
        <v>17.3</v>
      </c>
      <c r="Q90" s="650">
        <v>11.2</v>
      </c>
    </row>
    <row r="91" spans="2:21" ht="10.15" customHeight="1">
      <c r="B91" s="651">
        <v>23.4</v>
      </c>
      <c r="C91" s="654">
        <v>10.27</v>
      </c>
      <c r="D91" s="651">
        <v>23.400000000000102</v>
      </c>
      <c r="E91" s="654">
        <v>13.26</v>
      </c>
      <c r="F91" s="651">
        <v>21.4</v>
      </c>
      <c r="G91" s="654">
        <v>9.0400000000000009</v>
      </c>
      <c r="H91" s="651">
        <v>23.4</v>
      </c>
      <c r="I91" s="654">
        <v>4.9000000000000004</v>
      </c>
      <c r="J91" s="651">
        <v>17.399999999999999</v>
      </c>
      <c r="K91" s="654">
        <v>9.5400000000000009</v>
      </c>
      <c r="L91" s="651">
        <v>17.399999999999999</v>
      </c>
      <c r="M91" s="650">
        <v>11.3</v>
      </c>
      <c r="N91" s="400"/>
      <c r="O91" s="400"/>
      <c r="P91" s="651">
        <v>17.399999999999999</v>
      </c>
      <c r="Q91" s="650">
        <v>11.3</v>
      </c>
    </row>
    <row r="92" spans="2:21" ht="12.4" customHeight="1">
      <c r="B92" s="651">
        <v>23.5</v>
      </c>
      <c r="C92" s="654">
        <v>10.36</v>
      </c>
      <c r="D92" s="651">
        <v>23.500000000000099</v>
      </c>
      <c r="E92" s="654">
        <v>13.38</v>
      </c>
      <c r="F92" s="651">
        <v>21.5</v>
      </c>
      <c r="G92" s="654">
        <v>9.120000000000001</v>
      </c>
      <c r="H92" s="651">
        <v>23.5</v>
      </c>
      <c r="I92" s="654">
        <v>4.9000000000000004</v>
      </c>
      <c r="J92" s="651">
        <v>17.5</v>
      </c>
      <c r="K92" s="654">
        <v>9.64</v>
      </c>
      <c r="L92" s="651">
        <v>17.5</v>
      </c>
      <c r="M92" s="650">
        <v>11.4</v>
      </c>
      <c r="N92" s="400"/>
      <c r="O92" s="400"/>
      <c r="P92" s="651">
        <v>17.5</v>
      </c>
      <c r="Q92" s="650">
        <v>11.4</v>
      </c>
    </row>
    <row r="93" spans="2:21" ht="12.4" customHeight="1">
      <c r="B93" s="651">
        <v>23.600000000000101</v>
      </c>
      <c r="C93" s="654">
        <v>10.45</v>
      </c>
      <c r="D93" s="651">
        <v>23.600000000000101</v>
      </c>
      <c r="E93" s="654">
        <v>13.5</v>
      </c>
      <c r="F93" s="651">
        <v>21.6</v>
      </c>
      <c r="G93" s="654">
        <v>9.1999999999999993</v>
      </c>
      <c r="H93" s="651">
        <v>23.6</v>
      </c>
      <c r="I93" s="654">
        <v>4.9000000000000004</v>
      </c>
      <c r="J93" s="651">
        <v>17.600000000000001</v>
      </c>
      <c r="K93" s="654">
        <v>9.74</v>
      </c>
      <c r="L93" s="651">
        <v>17.600000000000001</v>
      </c>
      <c r="M93" s="650">
        <v>11.5</v>
      </c>
      <c r="N93" s="400"/>
      <c r="O93" s="400"/>
      <c r="P93" s="651">
        <v>17.600000000000001</v>
      </c>
      <c r="Q93" s="650">
        <v>11.5</v>
      </c>
    </row>
    <row r="94" spans="2:21" ht="12.4" customHeight="1">
      <c r="B94" s="651">
        <v>23.7</v>
      </c>
      <c r="C94" s="654">
        <v>10.540000000000001</v>
      </c>
      <c r="D94" s="651">
        <v>23.700000000000099</v>
      </c>
      <c r="E94" s="654">
        <v>13.62</v>
      </c>
      <c r="F94" s="651">
        <v>21.7</v>
      </c>
      <c r="G94" s="654">
        <v>9.2799999999999994</v>
      </c>
      <c r="H94" s="651">
        <v>23.7</v>
      </c>
      <c r="I94" s="654">
        <v>4.9000000000000004</v>
      </c>
      <c r="J94" s="651">
        <v>17.7</v>
      </c>
      <c r="K94" s="654">
        <v>9.84</v>
      </c>
      <c r="L94" s="651">
        <v>17.7</v>
      </c>
      <c r="M94" s="650">
        <v>11.6</v>
      </c>
      <c r="N94" s="400"/>
      <c r="O94" s="400"/>
      <c r="P94" s="651">
        <v>17.7</v>
      </c>
      <c r="Q94" s="650">
        <v>11.6</v>
      </c>
    </row>
    <row r="95" spans="2:21" ht="12.4" customHeight="1">
      <c r="B95" s="651">
        <v>23.8000000000001</v>
      </c>
      <c r="C95" s="654">
        <v>10.629999999999999</v>
      </c>
      <c r="D95" s="651">
        <v>23.8000000000001</v>
      </c>
      <c r="E95" s="654">
        <v>13.74</v>
      </c>
      <c r="F95" s="651">
        <v>21.8</v>
      </c>
      <c r="G95" s="654">
        <v>9.36</v>
      </c>
      <c r="H95" s="651">
        <v>23.8</v>
      </c>
      <c r="I95" s="654">
        <v>4.9000000000000004</v>
      </c>
      <c r="J95" s="651">
        <v>17.8</v>
      </c>
      <c r="K95" s="654">
        <v>9.9400000000000013</v>
      </c>
      <c r="L95" s="651">
        <v>17.8</v>
      </c>
      <c r="M95" s="650">
        <v>11.7</v>
      </c>
      <c r="N95" s="400"/>
      <c r="O95" s="400"/>
      <c r="P95" s="651">
        <v>17.8</v>
      </c>
      <c r="Q95" s="650">
        <v>11.7</v>
      </c>
    </row>
    <row r="96" spans="2:21" ht="12.4" customHeight="1">
      <c r="B96" s="653">
        <v>23.900000000000102</v>
      </c>
      <c r="C96" s="654">
        <v>10.72</v>
      </c>
      <c r="D96" s="653">
        <v>23.900000000000102</v>
      </c>
      <c r="E96" s="654">
        <v>13.86</v>
      </c>
      <c r="F96" s="651">
        <v>21.9</v>
      </c>
      <c r="G96" s="654">
        <v>9.4400000000000013</v>
      </c>
      <c r="H96" s="651">
        <v>23.9</v>
      </c>
      <c r="I96" s="654">
        <v>4.9000000000000004</v>
      </c>
      <c r="J96" s="651">
        <v>17.899999999999999</v>
      </c>
      <c r="K96" s="654">
        <v>10.040000000000001</v>
      </c>
      <c r="L96" s="651">
        <v>17.899999999999999</v>
      </c>
      <c r="M96" s="650">
        <v>11.8</v>
      </c>
      <c r="N96" s="400"/>
      <c r="O96" s="400"/>
      <c r="P96" s="651">
        <v>17.899999999999999</v>
      </c>
      <c r="Q96" s="650">
        <v>11.8</v>
      </c>
    </row>
    <row r="97" spans="2:17" ht="12.4" customHeight="1">
      <c r="B97" s="651">
        <v>24.000000000000099</v>
      </c>
      <c r="C97" s="654">
        <v>10.809999999999999</v>
      </c>
      <c r="D97" s="651">
        <v>24.000000000000099</v>
      </c>
      <c r="E97" s="654">
        <v>13.98</v>
      </c>
      <c r="F97" s="652">
        <v>22</v>
      </c>
      <c r="G97" s="654">
        <v>9.52</v>
      </c>
      <c r="H97" s="652">
        <v>24</v>
      </c>
      <c r="I97" s="654">
        <v>5.2</v>
      </c>
      <c r="J97" s="652">
        <v>18</v>
      </c>
      <c r="K97" s="654">
        <v>10.14</v>
      </c>
      <c r="L97" s="652">
        <v>18</v>
      </c>
      <c r="M97" s="650">
        <v>11.9</v>
      </c>
      <c r="N97" s="400"/>
      <c r="O97" s="400"/>
      <c r="P97" s="652">
        <v>18</v>
      </c>
      <c r="Q97" s="650">
        <v>11.9</v>
      </c>
    </row>
    <row r="98" spans="2:17" ht="10.15" customHeight="1">
      <c r="B98" s="651">
        <v>24.100000000000101</v>
      </c>
      <c r="C98" s="654">
        <v>10.9</v>
      </c>
      <c r="D98" s="651">
        <v>24.100000000000101</v>
      </c>
      <c r="E98" s="654">
        <v>14.1</v>
      </c>
      <c r="F98" s="651">
        <v>22.1</v>
      </c>
      <c r="G98" s="654">
        <v>9.6</v>
      </c>
      <c r="H98" s="651">
        <v>24.1</v>
      </c>
      <c r="I98" s="654">
        <v>5.2</v>
      </c>
      <c r="J98" s="651">
        <v>18.100000000000001</v>
      </c>
      <c r="K98" s="654">
        <v>10.24</v>
      </c>
      <c r="L98" s="651">
        <v>18.100000000000001</v>
      </c>
      <c r="M98" s="650">
        <v>12</v>
      </c>
      <c r="N98" s="400"/>
      <c r="O98" s="400"/>
      <c r="P98" s="651">
        <v>18.100000000000001</v>
      </c>
      <c r="Q98" s="650">
        <v>12</v>
      </c>
    </row>
    <row r="99" spans="2:17" ht="10.15" customHeight="1">
      <c r="B99" s="651">
        <v>24.200000000000099</v>
      </c>
      <c r="C99" s="654">
        <v>10.99</v>
      </c>
      <c r="D99" s="651">
        <v>24.200000000000099</v>
      </c>
      <c r="E99" s="654">
        <v>14.219999999999999</v>
      </c>
      <c r="F99" s="651">
        <v>22.2</v>
      </c>
      <c r="G99" s="654">
        <v>9.68</v>
      </c>
      <c r="H99" s="651">
        <v>24.2</v>
      </c>
      <c r="I99" s="654">
        <v>5.2</v>
      </c>
      <c r="J99" s="651">
        <v>18.2</v>
      </c>
      <c r="K99" s="654">
        <v>10.34</v>
      </c>
      <c r="L99" s="651">
        <v>18.2</v>
      </c>
      <c r="M99" s="650">
        <v>12.1</v>
      </c>
      <c r="N99" s="400"/>
      <c r="O99" s="400"/>
      <c r="P99" s="651">
        <v>18.2</v>
      </c>
      <c r="Q99" s="650">
        <v>12.1</v>
      </c>
    </row>
    <row r="100" spans="2:17" ht="10.15" customHeight="1">
      <c r="B100" s="651">
        <v>24.3000000000001</v>
      </c>
      <c r="C100" s="654">
        <v>11.08</v>
      </c>
      <c r="D100" s="651">
        <v>24.3000000000001</v>
      </c>
      <c r="E100" s="654">
        <v>14.34</v>
      </c>
      <c r="F100" s="651">
        <v>22.3</v>
      </c>
      <c r="G100" s="654">
        <v>9.76</v>
      </c>
      <c r="H100" s="651">
        <v>24.3</v>
      </c>
      <c r="I100" s="654">
        <v>5.2</v>
      </c>
      <c r="J100" s="651">
        <v>18.3</v>
      </c>
      <c r="K100" s="654">
        <v>10.440000000000001</v>
      </c>
      <c r="L100" s="651">
        <v>18.3</v>
      </c>
      <c r="M100" s="650">
        <v>12.2</v>
      </c>
      <c r="N100" s="400"/>
      <c r="O100" s="400"/>
      <c r="P100" s="651">
        <v>18.3</v>
      </c>
      <c r="Q100" s="650">
        <v>12.2</v>
      </c>
    </row>
    <row r="101" spans="2:17" ht="10.15" customHeight="1">
      <c r="B101" s="651">
        <v>24.400000000000102</v>
      </c>
      <c r="C101" s="654">
        <v>11.17</v>
      </c>
      <c r="D101" s="651">
        <v>24.400000000000102</v>
      </c>
      <c r="E101" s="654">
        <v>14.459999999999999</v>
      </c>
      <c r="F101" s="651">
        <v>22.4</v>
      </c>
      <c r="G101" s="654">
        <v>9.84</v>
      </c>
      <c r="H101" s="651">
        <v>24.4</v>
      </c>
      <c r="I101" s="654">
        <v>5.2</v>
      </c>
      <c r="J101" s="651">
        <v>18.399999999999999</v>
      </c>
      <c r="K101" s="654">
        <v>10.540000000000001</v>
      </c>
      <c r="L101" s="651">
        <v>18.399999999999999</v>
      </c>
      <c r="M101" s="650">
        <v>12.3</v>
      </c>
      <c r="N101" s="400"/>
      <c r="O101" s="400"/>
      <c r="P101" s="651">
        <v>18.399999999999999</v>
      </c>
      <c r="Q101" s="650">
        <v>12.3</v>
      </c>
    </row>
    <row r="102" spans="2:17" ht="10.15" customHeight="1">
      <c r="B102" s="651">
        <v>24.500000000000099</v>
      </c>
      <c r="C102" s="654">
        <v>11.26</v>
      </c>
      <c r="D102" s="651">
        <v>24.500000000000099</v>
      </c>
      <c r="E102" s="654">
        <v>14.580000000000002</v>
      </c>
      <c r="F102" s="651">
        <v>22.5</v>
      </c>
      <c r="G102" s="654">
        <v>9.92</v>
      </c>
      <c r="H102" s="651">
        <v>24.5</v>
      </c>
      <c r="I102" s="654">
        <v>5.2</v>
      </c>
      <c r="J102" s="651">
        <v>18.5</v>
      </c>
      <c r="K102" s="654">
        <v>10.64</v>
      </c>
      <c r="L102" s="651">
        <v>18.5</v>
      </c>
      <c r="M102" s="650">
        <v>12.4</v>
      </c>
      <c r="N102" s="400"/>
      <c r="O102" s="400"/>
      <c r="P102" s="651">
        <v>18.5</v>
      </c>
      <c r="Q102" s="650">
        <v>12.4</v>
      </c>
    </row>
    <row r="103" spans="2:17" ht="10.15" customHeight="1">
      <c r="B103" s="651">
        <v>24.600000000000101</v>
      </c>
      <c r="C103" s="654">
        <v>11.35</v>
      </c>
      <c r="D103" s="651">
        <v>24.600000000000101</v>
      </c>
      <c r="E103" s="654">
        <v>14.7</v>
      </c>
      <c r="F103" s="651">
        <v>22.6</v>
      </c>
      <c r="G103" s="654">
        <v>10</v>
      </c>
      <c r="H103" s="651">
        <v>24.6</v>
      </c>
      <c r="I103" s="654">
        <v>5.2</v>
      </c>
      <c r="J103" s="651">
        <v>18.600000000000001</v>
      </c>
      <c r="K103" s="654">
        <v>10.74</v>
      </c>
      <c r="L103" s="651">
        <v>18.600000000000001</v>
      </c>
      <c r="M103" s="650">
        <v>12.5</v>
      </c>
      <c r="N103" s="400"/>
      <c r="O103" s="400"/>
      <c r="P103" s="651">
        <v>18.600000000000001</v>
      </c>
      <c r="Q103" s="650">
        <v>12.5</v>
      </c>
    </row>
    <row r="104" spans="2:17" ht="10.15" customHeight="1">
      <c r="B104" s="651">
        <v>24.700000000000099</v>
      </c>
      <c r="C104" s="654">
        <v>11.44</v>
      </c>
      <c r="D104" s="651">
        <v>24.700000000000099</v>
      </c>
      <c r="E104" s="654">
        <v>14.819999999999999</v>
      </c>
      <c r="F104" s="651">
        <v>22.7</v>
      </c>
      <c r="G104" s="654">
        <v>10.08</v>
      </c>
      <c r="H104" s="651">
        <v>24.7</v>
      </c>
      <c r="I104" s="654">
        <v>5.2</v>
      </c>
      <c r="J104" s="651">
        <v>18.7</v>
      </c>
      <c r="K104" s="654">
        <v>10.84</v>
      </c>
      <c r="L104" s="651">
        <v>18.7</v>
      </c>
      <c r="M104" s="650">
        <v>12.6</v>
      </c>
      <c r="N104" s="400"/>
      <c r="O104" s="400"/>
      <c r="P104" s="651">
        <v>18.7</v>
      </c>
      <c r="Q104" s="650">
        <v>12.6</v>
      </c>
    </row>
    <row r="105" spans="2:17" ht="10.15" customHeight="1">
      <c r="B105" s="651">
        <v>24.8000000000001</v>
      </c>
      <c r="C105" s="654">
        <v>11.53</v>
      </c>
      <c r="D105" s="651">
        <v>24.8000000000001</v>
      </c>
      <c r="E105" s="654">
        <v>14.940000000000001</v>
      </c>
      <c r="F105" s="651">
        <v>22.8</v>
      </c>
      <c r="G105" s="654">
        <v>10.16</v>
      </c>
      <c r="H105" s="651">
        <v>24.8</v>
      </c>
      <c r="I105" s="654">
        <v>5.2</v>
      </c>
      <c r="J105" s="651">
        <v>18.8</v>
      </c>
      <c r="K105" s="654">
        <v>10.940000000000001</v>
      </c>
      <c r="L105" s="651">
        <v>18.8</v>
      </c>
      <c r="M105" s="650">
        <v>12.7</v>
      </c>
      <c r="N105" s="400"/>
      <c r="O105" s="400"/>
      <c r="P105" s="651">
        <v>18.8</v>
      </c>
      <c r="Q105" s="650">
        <v>12.7</v>
      </c>
    </row>
    <row r="106" spans="2:17" ht="10.15" customHeight="1" thickBot="1">
      <c r="B106" s="646">
        <v>24.900000000000102</v>
      </c>
      <c r="C106" s="645">
        <v>11.62</v>
      </c>
      <c r="D106" s="653">
        <v>24.900000000000102</v>
      </c>
      <c r="E106" s="654">
        <v>15.059999999999999</v>
      </c>
      <c r="F106" s="651">
        <v>22.9</v>
      </c>
      <c r="G106" s="654">
        <v>10.24</v>
      </c>
      <c r="H106" s="651">
        <v>24.9</v>
      </c>
      <c r="I106" s="654">
        <v>5.2</v>
      </c>
      <c r="J106" s="651">
        <v>18.899999999999999</v>
      </c>
      <c r="K106" s="654">
        <v>11.040000000000001</v>
      </c>
      <c r="L106" s="651">
        <v>18.899999999999999</v>
      </c>
      <c r="M106" s="650">
        <v>12.8</v>
      </c>
      <c r="N106" s="400"/>
      <c r="O106" s="400"/>
      <c r="P106" s="651">
        <v>18.899999999999999</v>
      </c>
      <c r="Q106" s="650">
        <v>12.8</v>
      </c>
    </row>
    <row r="107" spans="2:17" ht="10.15" customHeight="1">
      <c r="B107" s="400"/>
      <c r="C107" s="400"/>
      <c r="D107" s="651">
        <v>25.000000000000099</v>
      </c>
      <c r="E107" s="654">
        <v>15.180000000000001</v>
      </c>
      <c r="F107" s="652">
        <v>23</v>
      </c>
      <c r="G107" s="654">
        <v>10.32</v>
      </c>
      <c r="H107" s="652">
        <v>25</v>
      </c>
      <c r="I107" s="654">
        <v>5.5</v>
      </c>
      <c r="J107" s="652">
        <v>19</v>
      </c>
      <c r="K107" s="654">
        <v>11.14</v>
      </c>
      <c r="L107" s="652">
        <v>19</v>
      </c>
      <c r="M107" s="650">
        <v>12.9</v>
      </c>
      <c r="N107" s="400"/>
      <c r="O107" s="400"/>
      <c r="P107" s="652">
        <v>19</v>
      </c>
      <c r="Q107" s="650">
        <v>12.9</v>
      </c>
    </row>
    <row r="108" spans="2:17" ht="10.15" customHeight="1">
      <c r="B108" s="400"/>
      <c r="C108" s="400"/>
      <c r="D108" s="651">
        <v>25.100000000000101</v>
      </c>
      <c r="E108" s="654">
        <v>15.3</v>
      </c>
      <c r="F108" s="651">
        <v>23.1</v>
      </c>
      <c r="G108" s="654">
        <v>10.4</v>
      </c>
      <c r="H108" s="651">
        <v>25.1</v>
      </c>
      <c r="I108" s="654">
        <v>5.5</v>
      </c>
      <c r="J108" s="651">
        <v>19.100000000000001</v>
      </c>
      <c r="K108" s="654">
        <v>11.24</v>
      </c>
      <c r="L108" s="651">
        <v>19.100000000000001</v>
      </c>
      <c r="M108" s="650">
        <v>13</v>
      </c>
      <c r="N108" s="400"/>
      <c r="O108" s="400"/>
      <c r="P108" s="651">
        <v>19.100000000000001</v>
      </c>
      <c r="Q108" s="650">
        <v>13</v>
      </c>
    </row>
    <row r="109" spans="2:17" ht="10.15" customHeight="1">
      <c r="B109" s="400"/>
      <c r="C109" s="400"/>
      <c r="D109" s="651">
        <v>25.200000000000099</v>
      </c>
      <c r="E109" s="654">
        <v>15.419999999999998</v>
      </c>
      <c r="F109" s="651">
        <v>23.2</v>
      </c>
      <c r="G109" s="654">
        <v>10.48</v>
      </c>
      <c r="H109" s="651">
        <v>25.2</v>
      </c>
      <c r="I109" s="654">
        <v>5.5</v>
      </c>
      <c r="J109" s="651">
        <v>19.2</v>
      </c>
      <c r="K109" s="654">
        <v>11.34</v>
      </c>
      <c r="L109" s="651">
        <v>19.2</v>
      </c>
      <c r="M109" s="650">
        <v>13.1</v>
      </c>
      <c r="N109" s="400"/>
      <c r="O109" s="400"/>
      <c r="P109" s="651">
        <v>19.2</v>
      </c>
      <c r="Q109" s="650">
        <v>13.1</v>
      </c>
    </row>
    <row r="110" spans="2:17" ht="10.15" customHeight="1">
      <c r="B110" s="400"/>
      <c r="C110" s="400"/>
      <c r="D110" s="651">
        <v>25.3000000000001</v>
      </c>
      <c r="E110" s="654">
        <v>15.540000000000001</v>
      </c>
      <c r="F110" s="651">
        <v>23.3</v>
      </c>
      <c r="G110" s="654">
        <v>10.559999999999999</v>
      </c>
      <c r="H110" s="651">
        <v>25.3</v>
      </c>
      <c r="I110" s="654">
        <v>5.5</v>
      </c>
      <c r="J110" s="651">
        <v>19.3</v>
      </c>
      <c r="K110" s="654">
        <v>11.440000000000001</v>
      </c>
      <c r="L110" s="651">
        <v>19.3</v>
      </c>
      <c r="M110" s="650">
        <v>13.2</v>
      </c>
      <c r="N110" s="400"/>
      <c r="O110" s="400"/>
      <c r="P110" s="651">
        <v>19.3</v>
      </c>
      <c r="Q110" s="650">
        <v>13.2</v>
      </c>
    </row>
    <row r="111" spans="2:17" ht="10.15" customHeight="1">
      <c r="B111" s="400"/>
      <c r="C111" s="400"/>
      <c r="D111" s="651">
        <v>25.400000000000102</v>
      </c>
      <c r="E111" s="654">
        <v>15.66</v>
      </c>
      <c r="F111" s="651">
        <v>23.4</v>
      </c>
      <c r="G111" s="654">
        <v>10.64</v>
      </c>
      <c r="H111" s="651">
        <v>25.4</v>
      </c>
      <c r="I111" s="654">
        <v>5.5</v>
      </c>
      <c r="J111" s="651">
        <v>19.399999999999999</v>
      </c>
      <c r="K111" s="654">
        <v>11.54</v>
      </c>
      <c r="L111" s="651">
        <v>19.399999999999999</v>
      </c>
      <c r="M111" s="650">
        <v>13.3</v>
      </c>
      <c r="N111" s="400"/>
      <c r="O111" s="400"/>
      <c r="P111" s="651">
        <v>19.399999999999999</v>
      </c>
      <c r="Q111" s="650">
        <v>13.3</v>
      </c>
    </row>
    <row r="112" spans="2:17" ht="10.15" customHeight="1">
      <c r="B112" s="400"/>
      <c r="C112" s="400"/>
      <c r="D112" s="651">
        <v>25.500000000000099</v>
      </c>
      <c r="E112" s="654">
        <v>15.780000000000001</v>
      </c>
      <c r="F112" s="651">
        <v>23.5</v>
      </c>
      <c r="G112" s="654">
        <v>10.72</v>
      </c>
      <c r="H112" s="651">
        <v>25.5</v>
      </c>
      <c r="I112" s="654">
        <v>5.5</v>
      </c>
      <c r="J112" s="651">
        <v>19.5</v>
      </c>
      <c r="K112" s="654">
        <v>11.64</v>
      </c>
      <c r="L112" s="651">
        <v>19.5</v>
      </c>
      <c r="M112" s="650">
        <v>13.4</v>
      </c>
      <c r="N112" s="400"/>
      <c r="O112" s="400"/>
      <c r="P112" s="651">
        <v>19.5</v>
      </c>
      <c r="Q112" s="650">
        <v>13.4</v>
      </c>
    </row>
    <row r="113" spans="2:17" ht="10.15" customHeight="1">
      <c r="B113" s="400"/>
      <c r="C113" s="400"/>
      <c r="D113" s="651">
        <v>25.600000000000101</v>
      </c>
      <c r="E113" s="654">
        <v>15.9</v>
      </c>
      <c r="F113" s="651">
        <v>23.6</v>
      </c>
      <c r="G113" s="654">
        <v>10.8</v>
      </c>
      <c r="H113" s="651">
        <v>25.6</v>
      </c>
      <c r="I113" s="654">
        <v>5.5</v>
      </c>
      <c r="J113" s="651">
        <v>19.600000000000001</v>
      </c>
      <c r="K113" s="654">
        <v>11.74</v>
      </c>
      <c r="L113" s="651">
        <v>19.600000000000001</v>
      </c>
      <c r="M113" s="650">
        <v>13.5</v>
      </c>
      <c r="N113" s="400"/>
      <c r="O113" s="400"/>
      <c r="P113" s="651">
        <v>19.600000000000001</v>
      </c>
      <c r="Q113" s="650">
        <v>13.5</v>
      </c>
    </row>
    <row r="114" spans="2:17" ht="10.15" customHeight="1">
      <c r="B114" s="400"/>
      <c r="C114" s="400"/>
      <c r="D114" s="651">
        <v>25.700000000000099</v>
      </c>
      <c r="E114" s="654">
        <v>16.02</v>
      </c>
      <c r="F114" s="651">
        <v>23.7</v>
      </c>
      <c r="G114" s="654">
        <v>10.879999999999999</v>
      </c>
      <c r="H114" s="651">
        <v>25.7</v>
      </c>
      <c r="I114" s="654">
        <v>5.5</v>
      </c>
      <c r="J114" s="651">
        <v>19.6999999999999</v>
      </c>
      <c r="K114" s="654">
        <v>11.84</v>
      </c>
      <c r="L114" s="651">
        <v>19.7</v>
      </c>
      <c r="M114" s="650">
        <v>13.6</v>
      </c>
      <c r="N114" s="400"/>
      <c r="O114" s="400"/>
      <c r="P114" s="651">
        <v>19.7</v>
      </c>
      <c r="Q114" s="650">
        <v>13.6</v>
      </c>
    </row>
    <row r="115" spans="2:17" ht="10.15" customHeight="1">
      <c r="B115" s="400"/>
      <c r="C115" s="400"/>
      <c r="D115" s="651">
        <v>25.8000000000001</v>
      </c>
      <c r="E115" s="654">
        <v>16.14</v>
      </c>
      <c r="F115" s="651">
        <v>23.8</v>
      </c>
      <c r="G115" s="654">
        <v>10.959999999999999</v>
      </c>
      <c r="H115" s="651">
        <v>25.8</v>
      </c>
      <c r="I115" s="654">
        <v>5.5</v>
      </c>
      <c r="J115" s="651">
        <v>19.799999999999901</v>
      </c>
      <c r="K115" s="654">
        <v>11.940000000000001</v>
      </c>
      <c r="L115" s="651">
        <v>19.8</v>
      </c>
      <c r="M115" s="650">
        <v>13.7</v>
      </c>
      <c r="N115" s="400"/>
      <c r="O115" s="400"/>
      <c r="P115" s="651">
        <v>19.8</v>
      </c>
      <c r="Q115" s="650">
        <v>13.7</v>
      </c>
    </row>
    <row r="116" spans="2:17" ht="10.15" customHeight="1">
      <c r="B116" s="400"/>
      <c r="C116" s="400"/>
      <c r="D116" s="653">
        <v>25.900000000000102</v>
      </c>
      <c r="E116" s="654">
        <v>16.259999999999998</v>
      </c>
      <c r="F116" s="651">
        <v>23.9</v>
      </c>
      <c r="G116" s="654">
        <v>11.040000000000001</v>
      </c>
      <c r="H116" s="651">
        <v>25.9</v>
      </c>
      <c r="I116" s="654">
        <v>5.5</v>
      </c>
      <c r="J116" s="651">
        <v>19.899999999999899</v>
      </c>
      <c r="K116" s="654">
        <v>12.040000000000001</v>
      </c>
      <c r="L116" s="651">
        <v>19.899999999999999</v>
      </c>
      <c r="M116" s="650">
        <v>13.8</v>
      </c>
      <c r="N116" s="400"/>
      <c r="O116" s="400"/>
      <c r="P116" s="651">
        <v>19.899999999999999</v>
      </c>
      <c r="Q116" s="650">
        <v>13.8</v>
      </c>
    </row>
    <row r="117" spans="2:17" ht="10.15" customHeight="1">
      <c r="B117" s="400"/>
      <c r="C117" s="400"/>
      <c r="D117" s="651">
        <v>26.000000000000099</v>
      </c>
      <c r="E117" s="654">
        <v>16.380000000000003</v>
      </c>
      <c r="F117" s="652">
        <v>24</v>
      </c>
      <c r="G117" s="654">
        <v>11.120000000000001</v>
      </c>
      <c r="H117" s="652">
        <v>26</v>
      </c>
      <c r="I117" s="654">
        <v>5.8</v>
      </c>
      <c r="J117" s="652">
        <v>19.999999999999901</v>
      </c>
      <c r="K117" s="654">
        <v>12.14</v>
      </c>
      <c r="L117" s="652">
        <v>20</v>
      </c>
      <c r="M117" s="650">
        <v>13.9</v>
      </c>
      <c r="N117" s="400"/>
      <c r="O117" s="400"/>
      <c r="P117" s="652">
        <v>20</v>
      </c>
      <c r="Q117" s="650">
        <v>13.9</v>
      </c>
    </row>
    <row r="118" spans="2:17" ht="10.15" customHeight="1">
      <c r="B118" s="400"/>
      <c r="C118" s="400"/>
      <c r="D118" s="651">
        <v>26.100000000000101</v>
      </c>
      <c r="E118" s="654">
        <v>16.5</v>
      </c>
      <c r="F118" s="651">
        <v>24.1</v>
      </c>
      <c r="G118" s="654">
        <v>11.2</v>
      </c>
      <c r="H118" s="651">
        <v>26.1</v>
      </c>
      <c r="I118" s="654">
        <v>5.8</v>
      </c>
      <c r="J118" s="651">
        <v>20.099999999999898</v>
      </c>
      <c r="K118" s="654">
        <v>12.24</v>
      </c>
      <c r="L118" s="651">
        <v>20.100000000000001</v>
      </c>
      <c r="M118" s="650">
        <v>14</v>
      </c>
      <c r="N118" s="400"/>
      <c r="O118" s="400"/>
      <c r="P118" s="651">
        <v>20.100000000000001</v>
      </c>
      <c r="Q118" s="650">
        <v>14</v>
      </c>
    </row>
    <row r="119" spans="2:17" ht="10.15" customHeight="1">
      <c r="B119" s="400"/>
      <c r="C119" s="400"/>
      <c r="D119" s="651">
        <v>26.200000000000099</v>
      </c>
      <c r="E119" s="654">
        <v>16.619999999999997</v>
      </c>
      <c r="F119" s="651">
        <v>24.2</v>
      </c>
      <c r="G119" s="654">
        <v>11.28</v>
      </c>
      <c r="H119" s="651">
        <v>26.2</v>
      </c>
      <c r="I119" s="654">
        <v>5.8</v>
      </c>
      <c r="J119" s="651">
        <v>20.1999999999999</v>
      </c>
      <c r="K119" s="654">
        <v>12.34</v>
      </c>
      <c r="L119" s="651">
        <v>20.2</v>
      </c>
      <c r="M119" s="650">
        <v>14.1</v>
      </c>
      <c r="N119" s="400"/>
      <c r="O119" s="400"/>
      <c r="P119" s="651">
        <v>20.2</v>
      </c>
      <c r="Q119" s="650">
        <v>14.1</v>
      </c>
    </row>
    <row r="120" spans="2:17" ht="10.15" customHeight="1">
      <c r="B120" s="400"/>
      <c r="C120" s="400"/>
      <c r="D120" s="651">
        <v>26.3000000000001</v>
      </c>
      <c r="E120" s="654">
        <v>16.740000000000002</v>
      </c>
      <c r="F120" s="651">
        <v>24.3</v>
      </c>
      <c r="G120" s="654">
        <v>11.36</v>
      </c>
      <c r="H120" s="651">
        <v>26.3</v>
      </c>
      <c r="I120" s="654">
        <v>5.8</v>
      </c>
      <c r="J120" s="651">
        <v>20.299999999999901</v>
      </c>
      <c r="K120" s="654">
        <v>12.440000000000001</v>
      </c>
      <c r="L120" s="651">
        <v>20.3</v>
      </c>
      <c r="M120" s="650">
        <v>14.2</v>
      </c>
      <c r="N120" s="400"/>
      <c r="O120" s="400"/>
      <c r="P120" s="651">
        <v>20.3</v>
      </c>
      <c r="Q120" s="650">
        <v>14.2</v>
      </c>
    </row>
    <row r="121" spans="2:17" ht="10.15" customHeight="1">
      <c r="B121" s="400"/>
      <c r="C121" s="400"/>
      <c r="D121" s="651">
        <v>26.400000000000102</v>
      </c>
      <c r="E121" s="654">
        <v>16.86</v>
      </c>
      <c r="F121" s="651">
        <v>24.4</v>
      </c>
      <c r="G121" s="654">
        <v>11.440000000000001</v>
      </c>
      <c r="H121" s="651">
        <v>26.4</v>
      </c>
      <c r="I121" s="654">
        <v>5.8</v>
      </c>
      <c r="J121" s="651">
        <v>20.399999999999899</v>
      </c>
      <c r="K121" s="654">
        <v>12.540000000000001</v>
      </c>
      <c r="L121" s="651">
        <v>20.399999999999999</v>
      </c>
      <c r="M121" s="650">
        <v>14.3</v>
      </c>
      <c r="N121" s="400"/>
      <c r="O121" s="400"/>
      <c r="P121" s="651">
        <v>20.399999999999999</v>
      </c>
      <c r="Q121" s="650">
        <v>14.3</v>
      </c>
    </row>
    <row r="122" spans="2:17" ht="10.15" customHeight="1">
      <c r="B122" s="400"/>
      <c r="C122" s="400"/>
      <c r="D122" s="651">
        <v>26.500000000000099</v>
      </c>
      <c r="E122" s="654">
        <v>16.98</v>
      </c>
      <c r="F122" s="651">
        <v>24.5</v>
      </c>
      <c r="G122" s="654">
        <v>11.52</v>
      </c>
      <c r="H122" s="651">
        <v>26.5</v>
      </c>
      <c r="I122" s="654">
        <v>5.8</v>
      </c>
      <c r="J122" s="651">
        <v>20.499999999999901</v>
      </c>
      <c r="K122" s="654">
        <v>12.64</v>
      </c>
      <c r="L122" s="651">
        <v>20.5</v>
      </c>
      <c r="M122" s="650">
        <v>14.4</v>
      </c>
      <c r="N122" s="400"/>
      <c r="O122" s="400"/>
      <c r="P122" s="651">
        <v>20.5</v>
      </c>
      <c r="Q122" s="650">
        <v>14.4</v>
      </c>
    </row>
    <row r="123" spans="2:17" ht="10.15" customHeight="1">
      <c r="B123" s="400"/>
      <c r="C123" s="400"/>
      <c r="D123" s="651">
        <v>26.600000000000101</v>
      </c>
      <c r="E123" s="654">
        <v>17.100000000000001</v>
      </c>
      <c r="F123" s="651">
        <v>24.6</v>
      </c>
      <c r="G123" s="654">
        <v>11.6</v>
      </c>
      <c r="H123" s="651">
        <v>26.6</v>
      </c>
      <c r="I123" s="654">
        <v>5.8</v>
      </c>
      <c r="J123" s="651">
        <v>20.599999999999898</v>
      </c>
      <c r="K123" s="654">
        <v>12.74</v>
      </c>
      <c r="L123" s="651">
        <v>20.600000000000101</v>
      </c>
      <c r="M123" s="650">
        <v>14.5</v>
      </c>
      <c r="N123" s="400"/>
      <c r="O123" s="400"/>
      <c r="P123" s="651">
        <v>20.600000000000101</v>
      </c>
      <c r="Q123" s="650">
        <v>14.5</v>
      </c>
    </row>
    <row r="124" spans="2:17" ht="10.15" customHeight="1">
      <c r="B124" s="400"/>
      <c r="C124" s="400"/>
      <c r="D124" s="651">
        <v>26.700000000000099</v>
      </c>
      <c r="E124" s="654">
        <v>17.22</v>
      </c>
      <c r="F124" s="651">
        <v>24.7</v>
      </c>
      <c r="G124" s="654">
        <v>11.68</v>
      </c>
      <c r="H124" s="651">
        <v>26.7</v>
      </c>
      <c r="I124" s="654">
        <v>5.8</v>
      </c>
      <c r="J124" s="651">
        <v>20.6999999999999</v>
      </c>
      <c r="K124" s="654">
        <v>12.84</v>
      </c>
      <c r="L124" s="651">
        <v>20.7</v>
      </c>
      <c r="M124" s="650">
        <v>14.6</v>
      </c>
      <c r="N124" s="400"/>
      <c r="O124" s="400"/>
      <c r="P124" s="651">
        <v>20.7</v>
      </c>
      <c r="Q124" s="650">
        <v>14.6</v>
      </c>
    </row>
    <row r="125" spans="2:17" ht="10.15" customHeight="1">
      <c r="B125" s="400"/>
      <c r="C125" s="400"/>
      <c r="D125" s="651">
        <v>26.8000000000001</v>
      </c>
      <c r="E125" s="654">
        <v>17.34</v>
      </c>
      <c r="F125" s="651">
        <v>24.8</v>
      </c>
      <c r="G125" s="654">
        <v>11.76</v>
      </c>
      <c r="H125" s="651">
        <v>26.8</v>
      </c>
      <c r="I125" s="654">
        <v>5.8</v>
      </c>
      <c r="J125" s="651">
        <v>20.799999999999901</v>
      </c>
      <c r="K125" s="654">
        <v>12.940000000000001</v>
      </c>
      <c r="L125" s="651">
        <v>20.8000000000001</v>
      </c>
      <c r="M125" s="650">
        <v>14.7</v>
      </c>
      <c r="N125" s="400"/>
      <c r="O125" s="400"/>
      <c r="P125" s="651">
        <v>20.8000000000001</v>
      </c>
      <c r="Q125" s="650">
        <v>14.7</v>
      </c>
    </row>
    <row r="126" spans="2:17" ht="10.15" customHeight="1">
      <c r="B126" s="400"/>
      <c r="C126" s="400"/>
      <c r="D126" s="653">
        <v>26.900000000000102</v>
      </c>
      <c r="E126" s="654">
        <v>17.46</v>
      </c>
      <c r="F126" s="651">
        <v>24.9</v>
      </c>
      <c r="G126" s="654">
        <v>11.84</v>
      </c>
      <c r="H126" s="651">
        <v>26.9</v>
      </c>
      <c r="I126" s="654">
        <v>5.8</v>
      </c>
      <c r="J126" s="651">
        <v>20.899999999999899</v>
      </c>
      <c r="K126" s="654">
        <v>13.040000000000001</v>
      </c>
      <c r="L126" s="651">
        <v>20.9</v>
      </c>
      <c r="M126" s="650">
        <v>14.8</v>
      </c>
      <c r="N126" s="400"/>
      <c r="O126" s="400"/>
      <c r="P126" s="651">
        <v>20.9</v>
      </c>
      <c r="Q126" s="650">
        <v>14.8</v>
      </c>
    </row>
    <row r="127" spans="2:17" ht="10.15" customHeight="1">
      <c r="B127" s="400"/>
      <c r="C127" s="400"/>
      <c r="D127" s="651">
        <v>27.000000000000099</v>
      </c>
      <c r="E127" s="654">
        <v>17.580000000000002</v>
      </c>
      <c r="F127" s="652">
        <v>25</v>
      </c>
      <c r="G127" s="654">
        <v>11.92</v>
      </c>
      <c r="H127" s="652">
        <v>27</v>
      </c>
      <c r="I127" s="654">
        <v>6.1</v>
      </c>
      <c r="J127" s="652">
        <v>20.999999999999901</v>
      </c>
      <c r="K127" s="654">
        <v>13.14</v>
      </c>
      <c r="L127" s="652">
        <v>21</v>
      </c>
      <c r="M127" s="650">
        <v>14.9</v>
      </c>
      <c r="N127" s="400"/>
      <c r="O127" s="400"/>
      <c r="P127" s="652">
        <v>21</v>
      </c>
      <c r="Q127" s="650">
        <v>14.9</v>
      </c>
    </row>
    <row r="128" spans="2:17" ht="10.15" customHeight="1">
      <c r="B128" s="400"/>
      <c r="C128" s="400"/>
      <c r="D128" s="651">
        <v>27.100000000000101</v>
      </c>
      <c r="E128" s="654">
        <v>17.7</v>
      </c>
      <c r="F128" s="651">
        <v>25.1</v>
      </c>
      <c r="G128" s="654">
        <v>12</v>
      </c>
      <c r="H128" s="651">
        <v>27.1</v>
      </c>
      <c r="I128" s="654">
        <v>6.1</v>
      </c>
      <c r="J128" s="651">
        <v>21.099999999999898</v>
      </c>
      <c r="K128" s="654">
        <v>13.24</v>
      </c>
      <c r="L128" s="651">
        <v>21.100000000000101</v>
      </c>
      <c r="M128" s="650">
        <v>15</v>
      </c>
      <c r="N128" s="400"/>
      <c r="O128" s="400"/>
      <c r="P128" s="651">
        <v>21.100000000000101</v>
      </c>
      <c r="Q128" s="650">
        <v>15</v>
      </c>
    </row>
    <row r="129" spans="2:17" ht="10.15" customHeight="1">
      <c r="B129" s="400"/>
      <c r="C129" s="400"/>
      <c r="D129" s="651">
        <v>27.200000000000099</v>
      </c>
      <c r="E129" s="654">
        <v>17.82</v>
      </c>
      <c r="F129" s="651">
        <v>25.2</v>
      </c>
      <c r="G129" s="654">
        <v>12.08</v>
      </c>
      <c r="H129" s="651">
        <v>27.2</v>
      </c>
      <c r="I129" s="654">
        <v>6.1</v>
      </c>
      <c r="J129" s="651">
        <v>21.1999999999999</v>
      </c>
      <c r="K129" s="654">
        <v>13.34</v>
      </c>
      <c r="L129" s="651">
        <v>21.200000000000099</v>
      </c>
      <c r="M129" s="650">
        <v>15.1</v>
      </c>
      <c r="N129" s="400"/>
      <c r="O129" s="400"/>
      <c r="P129" s="651">
        <v>21.200000000000099</v>
      </c>
      <c r="Q129" s="650">
        <v>15.1</v>
      </c>
    </row>
    <row r="130" spans="2:17" ht="10.15" customHeight="1">
      <c r="B130" s="400"/>
      <c r="C130" s="400"/>
      <c r="D130" s="651">
        <v>27.3000000000001</v>
      </c>
      <c r="E130" s="654">
        <v>17.940000000000001</v>
      </c>
      <c r="F130" s="651">
        <v>25.3</v>
      </c>
      <c r="G130" s="654">
        <v>12.16</v>
      </c>
      <c r="H130" s="651">
        <v>27.3</v>
      </c>
      <c r="I130" s="654">
        <v>6.1</v>
      </c>
      <c r="J130" s="651">
        <v>21.299999999999901</v>
      </c>
      <c r="K130" s="654">
        <v>13.440000000000001</v>
      </c>
      <c r="L130" s="651">
        <v>21.3000000000001</v>
      </c>
      <c r="M130" s="650">
        <v>15.2</v>
      </c>
      <c r="N130" s="400"/>
      <c r="O130" s="400"/>
      <c r="P130" s="651">
        <v>21.3000000000001</v>
      </c>
      <c r="Q130" s="650">
        <v>15.2</v>
      </c>
    </row>
    <row r="131" spans="2:17" ht="10.15" customHeight="1">
      <c r="B131" s="400"/>
      <c r="C131" s="400"/>
      <c r="D131" s="651">
        <v>27.400000000000102</v>
      </c>
      <c r="E131" s="654">
        <v>18.059999999999999</v>
      </c>
      <c r="F131" s="651">
        <v>25.4</v>
      </c>
      <c r="G131" s="654">
        <v>12.24</v>
      </c>
      <c r="H131" s="651">
        <v>27.4</v>
      </c>
      <c r="I131" s="654">
        <v>6.1</v>
      </c>
      <c r="J131" s="651">
        <v>21.399999999999899</v>
      </c>
      <c r="K131" s="654">
        <v>13.540000000000001</v>
      </c>
      <c r="L131" s="651">
        <v>21.400000000000102</v>
      </c>
      <c r="M131" s="650">
        <v>15.3</v>
      </c>
      <c r="N131" s="400"/>
      <c r="O131" s="400"/>
      <c r="P131" s="651">
        <v>21.400000000000102</v>
      </c>
      <c r="Q131" s="650">
        <v>15.3</v>
      </c>
    </row>
    <row r="132" spans="2:17" ht="10.15" customHeight="1">
      <c r="B132" s="400"/>
      <c r="C132" s="400"/>
      <c r="D132" s="651">
        <v>27.500000000000099</v>
      </c>
      <c r="E132" s="654">
        <v>18.18</v>
      </c>
      <c r="F132" s="651">
        <v>25.5</v>
      </c>
      <c r="G132" s="654">
        <v>12.32</v>
      </c>
      <c r="H132" s="651">
        <v>27.5</v>
      </c>
      <c r="I132" s="654">
        <v>6.1</v>
      </c>
      <c r="J132" s="651">
        <v>21.499999999999901</v>
      </c>
      <c r="K132" s="654">
        <v>13.64</v>
      </c>
      <c r="L132" s="651">
        <v>21.500000000000099</v>
      </c>
      <c r="M132" s="650">
        <v>15.4</v>
      </c>
      <c r="N132" s="400"/>
      <c r="O132" s="400"/>
      <c r="P132" s="651">
        <v>21.500000000000099</v>
      </c>
      <c r="Q132" s="650">
        <v>15.4</v>
      </c>
    </row>
    <row r="133" spans="2:17" ht="10.15" customHeight="1">
      <c r="B133" s="400"/>
      <c r="C133" s="400"/>
      <c r="D133" s="651">
        <v>27.600000000000101</v>
      </c>
      <c r="E133" s="654">
        <v>18.3</v>
      </c>
      <c r="F133" s="651">
        <v>25.6</v>
      </c>
      <c r="G133" s="654">
        <v>12.4</v>
      </c>
      <c r="H133" s="651">
        <v>27.6</v>
      </c>
      <c r="I133" s="654">
        <v>6.1</v>
      </c>
      <c r="J133" s="651">
        <v>21.599999999999898</v>
      </c>
      <c r="K133" s="654">
        <v>13.74</v>
      </c>
      <c r="L133" s="651">
        <v>21.600000000000101</v>
      </c>
      <c r="M133" s="650">
        <v>15.5</v>
      </c>
      <c r="N133" s="400"/>
      <c r="O133" s="400"/>
      <c r="P133" s="651">
        <v>21.600000000000101</v>
      </c>
      <c r="Q133" s="650">
        <v>15.5</v>
      </c>
    </row>
    <row r="134" spans="2:17" ht="10.15" customHeight="1">
      <c r="B134" s="400"/>
      <c r="C134" s="400"/>
      <c r="D134" s="651">
        <v>27.700000000000099</v>
      </c>
      <c r="E134" s="654">
        <v>18.419999999999998</v>
      </c>
      <c r="F134" s="651">
        <v>25.7</v>
      </c>
      <c r="G134" s="654">
        <v>12.48</v>
      </c>
      <c r="H134" s="651">
        <v>27.7</v>
      </c>
      <c r="I134" s="654">
        <v>6.1</v>
      </c>
      <c r="J134" s="651">
        <v>21.6999999999999</v>
      </c>
      <c r="K134" s="654">
        <v>13.84</v>
      </c>
      <c r="L134" s="651">
        <v>21.700000000000099</v>
      </c>
      <c r="M134" s="650">
        <v>15.6</v>
      </c>
      <c r="N134" s="400"/>
      <c r="O134" s="400"/>
      <c r="P134" s="651">
        <v>21.700000000000099</v>
      </c>
      <c r="Q134" s="650">
        <v>15.6</v>
      </c>
    </row>
    <row r="135" spans="2:17" ht="10.15" customHeight="1">
      <c r="B135" s="400"/>
      <c r="C135" s="400"/>
      <c r="D135" s="651">
        <v>27.8000000000001</v>
      </c>
      <c r="E135" s="654">
        <v>18.54</v>
      </c>
      <c r="F135" s="651">
        <v>25.8</v>
      </c>
      <c r="G135" s="654">
        <v>12.559999999999999</v>
      </c>
      <c r="H135" s="651">
        <v>27.8</v>
      </c>
      <c r="I135" s="654">
        <v>6.1</v>
      </c>
      <c r="J135" s="651">
        <v>21.799999999999901</v>
      </c>
      <c r="K135" s="654">
        <v>13.940000000000001</v>
      </c>
      <c r="L135" s="651">
        <v>21.8000000000001</v>
      </c>
      <c r="M135" s="650">
        <v>15.7</v>
      </c>
      <c r="N135" s="400"/>
      <c r="O135" s="400"/>
      <c r="P135" s="651">
        <v>21.8000000000001</v>
      </c>
      <c r="Q135" s="650">
        <v>15.7</v>
      </c>
    </row>
    <row r="136" spans="2:17" ht="10.15" customHeight="1">
      <c r="B136" s="400"/>
      <c r="C136" s="400"/>
      <c r="D136" s="653">
        <v>27.900000000000102</v>
      </c>
      <c r="E136" s="654">
        <v>18.66</v>
      </c>
      <c r="F136" s="651">
        <v>25.9</v>
      </c>
      <c r="G136" s="654">
        <v>12.64</v>
      </c>
      <c r="H136" s="651">
        <v>27.9</v>
      </c>
      <c r="I136" s="654">
        <v>6.1</v>
      </c>
      <c r="J136" s="651">
        <v>21.899999999999899</v>
      </c>
      <c r="K136" s="654">
        <v>14.040000000000001</v>
      </c>
      <c r="L136" s="651">
        <v>21.900000000000102</v>
      </c>
      <c r="M136" s="650">
        <v>15.8</v>
      </c>
      <c r="N136" s="400"/>
      <c r="O136" s="400"/>
      <c r="P136" s="651">
        <v>21.900000000000102</v>
      </c>
      <c r="Q136" s="650">
        <v>15.8</v>
      </c>
    </row>
    <row r="137" spans="2:17" ht="10.15" customHeight="1">
      <c r="B137" s="400"/>
      <c r="C137" s="400"/>
      <c r="D137" s="651">
        <v>28.000000000000099</v>
      </c>
      <c r="E137" s="654">
        <v>18.78</v>
      </c>
      <c r="F137" s="652">
        <v>26</v>
      </c>
      <c r="G137" s="654">
        <v>12.72</v>
      </c>
      <c r="H137" s="652">
        <v>28</v>
      </c>
      <c r="I137" s="654">
        <v>6.4</v>
      </c>
      <c r="J137" s="652">
        <v>21.999999999999901</v>
      </c>
      <c r="K137" s="654">
        <v>14.14</v>
      </c>
      <c r="L137" s="652">
        <v>22.000000000000099</v>
      </c>
      <c r="M137" s="650">
        <v>15.9</v>
      </c>
      <c r="N137" s="400"/>
      <c r="O137" s="400"/>
      <c r="P137" s="652">
        <v>22.000000000000099</v>
      </c>
      <c r="Q137" s="650">
        <v>15.9</v>
      </c>
    </row>
    <row r="138" spans="2:17" ht="10.15" customHeight="1">
      <c r="B138" s="400"/>
      <c r="C138" s="400"/>
      <c r="D138" s="651">
        <v>28.100000000000101</v>
      </c>
      <c r="E138" s="654">
        <v>18.899999999999999</v>
      </c>
      <c r="F138" s="651">
        <v>26.1</v>
      </c>
      <c r="G138" s="654">
        <v>12.8</v>
      </c>
      <c r="H138" s="651">
        <v>28.1</v>
      </c>
      <c r="I138" s="654">
        <v>6.4</v>
      </c>
      <c r="J138" s="651">
        <v>22.099999999999898</v>
      </c>
      <c r="K138" s="654">
        <v>14.24</v>
      </c>
      <c r="L138" s="651">
        <v>22.100000000000101</v>
      </c>
      <c r="M138" s="650">
        <v>16</v>
      </c>
      <c r="N138" s="400"/>
      <c r="O138" s="400"/>
      <c r="P138" s="651">
        <v>22.100000000000101</v>
      </c>
      <c r="Q138" s="650">
        <v>16</v>
      </c>
    </row>
    <row r="139" spans="2:17" ht="10.15" customHeight="1">
      <c r="B139" s="400"/>
      <c r="C139" s="400"/>
      <c r="D139" s="651">
        <v>28.200000000000099</v>
      </c>
      <c r="E139" s="654">
        <v>19.02</v>
      </c>
      <c r="F139" s="651">
        <v>26.2</v>
      </c>
      <c r="G139" s="654">
        <v>12.88</v>
      </c>
      <c r="H139" s="651">
        <v>28.200000000000003</v>
      </c>
      <c r="I139" s="654">
        <v>6.4</v>
      </c>
      <c r="J139" s="651">
        <v>22.1999999999999</v>
      </c>
      <c r="K139" s="654">
        <v>14.34</v>
      </c>
      <c r="L139" s="651">
        <v>22.200000000000099</v>
      </c>
      <c r="M139" s="650">
        <v>16.100000000000001</v>
      </c>
      <c r="N139" s="400"/>
      <c r="O139" s="400"/>
      <c r="P139" s="651">
        <v>22.200000000000099</v>
      </c>
      <c r="Q139" s="650">
        <v>16.100000000000001</v>
      </c>
    </row>
    <row r="140" spans="2:17" ht="10.15" customHeight="1">
      <c r="B140" s="400"/>
      <c r="C140" s="400"/>
      <c r="D140" s="651">
        <v>28.3000000000001</v>
      </c>
      <c r="E140" s="654">
        <v>19.14</v>
      </c>
      <c r="F140" s="651">
        <v>26.3</v>
      </c>
      <c r="G140" s="654">
        <v>12.959999999999999</v>
      </c>
      <c r="H140" s="651">
        <v>28.300000000000004</v>
      </c>
      <c r="I140" s="654">
        <v>6.4</v>
      </c>
      <c r="J140" s="651">
        <v>22.299999999999901</v>
      </c>
      <c r="K140" s="654">
        <v>14.440000000000001</v>
      </c>
      <c r="L140" s="651">
        <v>22.3000000000001</v>
      </c>
      <c r="M140" s="650">
        <v>16.2</v>
      </c>
      <c r="N140" s="400"/>
      <c r="O140" s="400"/>
      <c r="P140" s="651">
        <v>22.3000000000001</v>
      </c>
      <c r="Q140" s="650">
        <v>16.2</v>
      </c>
    </row>
    <row r="141" spans="2:17" ht="10.15" customHeight="1">
      <c r="B141" s="400"/>
      <c r="C141" s="400"/>
      <c r="D141" s="651">
        <v>28.400000000000102</v>
      </c>
      <c r="E141" s="654">
        <v>19.259999999999998</v>
      </c>
      <c r="F141" s="651">
        <v>26.4</v>
      </c>
      <c r="G141" s="654">
        <v>13.040000000000001</v>
      </c>
      <c r="H141" s="651">
        <v>28.400000000000006</v>
      </c>
      <c r="I141" s="654">
        <v>6.4</v>
      </c>
      <c r="J141" s="651">
        <v>22.399999999999899</v>
      </c>
      <c r="K141" s="654">
        <v>14.540000000000001</v>
      </c>
      <c r="L141" s="651">
        <v>22.400000000000102</v>
      </c>
      <c r="M141" s="650">
        <v>16.3</v>
      </c>
      <c r="N141" s="400"/>
      <c r="O141" s="400"/>
      <c r="P141" s="651">
        <v>22.400000000000102</v>
      </c>
      <c r="Q141" s="650">
        <v>16.3</v>
      </c>
    </row>
    <row r="142" spans="2:17" ht="10.15" customHeight="1">
      <c r="B142" s="400"/>
      <c r="C142" s="400"/>
      <c r="D142" s="651">
        <v>28.500000000000099</v>
      </c>
      <c r="E142" s="654">
        <v>19.380000000000003</v>
      </c>
      <c r="F142" s="651">
        <v>26.5</v>
      </c>
      <c r="G142" s="654">
        <v>13.12</v>
      </c>
      <c r="H142" s="651">
        <v>28.500000000000007</v>
      </c>
      <c r="I142" s="654">
        <v>6.4</v>
      </c>
      <c r="J142" s="651">
        <v>22.499999999999901</v>
      </c>
      <c r="K142" s="654">
        <v>14.64</v>
      </c>
      <c r="L142" s="651">
        <v>22.500000000000099</v>
      </c>
      <c r="M142" s="650">
        <v>16.399999999999999</v>
      </c>
      <c r="N142" s="400"/>
      <c r="O142" s="400"/>
      <c r="P142" s="651">
        <v>22.500000000000099</v>
      </c>
      <c r="Q142" s="650">
        <v>16.399999999999999</v>
      </c>
    </row>
    <row r="143" spans="2:17" ht="10.15" customHeight="1">
      <c r="B143" s="400"/>
      <c r="C143" s="400"/>
      <c r="D143" s="651">
        <v>28.6000000000002</v>
      </c>
      <c r="E143" s="654">
        <v>19.5</v>
      </c>
      <c r="F143" s="651">
        <v>26.6</v>
      </c>
      <c r="G143" s="654">
        <v>13.2</v>
      </c>
      <c r="H143" s="651">
        <v>28.600000000000009</v>
      </c>
      <c r="I143" s="654">
        <v>6.4</v>
      </c>
      <c r="J143" s="651">
        <v>22.599999999999898</v>
      </c>
      <c r="K143" s="654">
        <v>14.74</v>
      </c>
      <c r="L143" s="651">
        <v>22.600000000000101</v>
      </c>
      <c r="M143" s="650">
        <v>16.5</v>
      </c>
      <c r="N143" s="400"/>
      <c r="O143" s="400"/>
      <c r="P143" s="651">
        <v>22.600000000000101</v>
      </c>
      <c r="Q143" s="650">
        <v>16.5</v>
      </c>
    </row>
    <row r="144" spans="2:17" ht="10.15" customHeight="1">
      <c r="B144" s="400"/>
      <c r="C144" s="400"/>
      <c r="D144" s="651">
        <v>28.700000000000198</v>
      </c>
      <c r="E144" s="654">
        <v>19.619999999999997</v>
      </c>
      <c r="F144" s="651">
        <v>26.7</v>
      </c>
      <c r="G144" s="654">
        <v>13.280000000000001</v>
      </c>
      <c r="H144" s="651">
        <v>28.70000000000001</v>
      </c>
      <c r="I144" s="654">
        <v>6.4</v>
      </c>
      <c r="J144" s="651">
        <v>22.6999999999999</v>
      </c>
      <c r="K144" s="654">
        <v>14.84</v>
      </c>
      <c r="L144" s="651">
        <v>22.700000000000099</v>
      </c>
      <c r="M144" s="650">
        <v>16.600000000000001</v>
      </c>
      <c r="N144" s="400"/>
      <c r="O144" s="400"/>
      <c r="P144" s="651">
        <v>22.700000000000099</v>
      </c>
      <c r="Q144" s="650">
        <v>16.600000000000001</v>
      </c>
    </row>
    <row r="145" spans="2:17" ht="10.15" customHeight="1">
      <c r="B145" s="400"/>
      <c r="C145" s="400"/>
      <c r="D145" s="651">
        <v>28.8000000000002</v>
      </c>
      <c r="E145" s="654">
        <v>19.740000000000002</v>
      </c>
      <c r="F145" s="651">
        <v>26.8</v>
      </c>
      <c r="G145" s="654">
        <v>13.36</v>
      </c>
      <c r="H145" s="651">
        <v>28.800000000000011</v>
      </c>
      <c r="I145" s="654">
        <v>6.4</v>
      </c>
      <c r="J145" s="651">
        <v>22.799999999999901</v>
      </c>
      <c r="K145" s="654">
        <v>14.940000000000001</v>
      </c>
      <c r="L145" s="651">
        <v>22.8000000000001</v>
      </c>
      <c r="M145" s="650">
        <v>16.7</v>
      </c>
      <c r="N145" s="400"/>
      <c r="O145" s="400"/>
      <c r="P145" s="651">
        <v>22.8000000000001</v>
      </c>
      <c r="Q145" s="650">
        <v>16.7</v>
      </c>
    </row>
    <row r="146" spans="2:17" ht="10.15" customHeight="1" thickBot="1">
      <c r="B146" s="400"/>
      <c r="C146" s="400"/>
      <c r="D146" s="653">
        <v>28.900000000000201</v>
      </c>
      <c r="E146" s="654">
        <v>19.86</v>
      </c>
      <c r="F146" s="646">
        <v>26.9</v>
      </c>
      <c r="G146" s="645">
        <v>13.440000000000001</v>
      </c>
      <c r="H146" s="651">
        <v>28.900000000000013</v>
      </c>
      <c r="I146" s="654">
        <v>6.4</v>
      </c>
      <c r="J146" s="651">
        <v>22.899999999999899</v>
      </c>
      <c r="K146" s="654">
        <v>15.040000000000001</v>
      </c>
      <c r="L146" s="651">
        <v>22.900000000000102</v>
      </c>
      <c r="M146" s="650">
        <v>16.8</v>
      </c>
      <c r="N146" s="400"/>
      <c r="O146" s="400"/>
      <c r="P146" s="651">
        <v>22.900000000000102</v>
      </c>
      <c r="Q146" s="650">
        <v>16.8</v>
      </c>
    </row>
    <row r="147" spans="2:17" ht="10.15" customHeight="1">
      <c r="B147" s="400"/>
      <c r="C147" s="400"/>
      <c r="D147" s="652">
        <v>29.000000000000199</v>
      </c>
      <c r="E147" s="4025">
        <v>19.98</v>
      </c>
      <c r="F147" s="4024"/>
      <c r="G147" s="400"/>
      <c r="H147" s="652">
        <v>29.000000000000014</v>
      </c>
      <c r="I147" s="654">
        <v>6.7</v>
      </c>
      <c r="J147" s="652">
        <v>22.999999999999901</v>
      </c>
      <c r="K147" s="654">
        <v>15.14</v>
      </c>
      <c r="L147" s="652">
        <v>23.000000000000099</v>
      </c>
      <c r="M147" s="650">
        <v>16.899999999999999</v>
      </c>
      <c r="N147" s="400"/>
      <c r="O147" s="400"/>
      <c r="P147" s="652">
        <v>23.000000000000099</v>
      </c>
      <c r="Q147" s="650">
        <v>16.899999999999999</v>
      </c>
    </row>
    <row r="148" spans="2:17" ht="10.15" customHeight="1">
      <c r="B148" s="400"/>
      <c r="C148" s="400"/>
      <c r="D148" s="651">
        <v>29.1000000000002</v>
      </c>
      <c r="E148" s="4025">
        <v>20.100000000000001</v>
      </c>
      <c r="F148" s="400"/>
      <c r="G148" s="400"/>
      <c r="H148" s="651">
        <v>29.100000000000016</v>
      </c>
      <c r="I148" s="654">
        <v>6.7</v>
      </c>
      <c r="J148" s="651">
        <v>23.099999999999898</v>
      </c>
      <c r="K148" s="654">
        <v>15.24</v>
      </c>
      <c r="L148" s="651">
        <v>23.100000000000101</v>
      </c>
      <c r="M148" s="650">
        <v>17</v>
      </c>
      <c r="N148" s="400"/>
      <c r="O148" s="400"/>
      <c r="P148" s="651">
        <v>23.100000000000101</v>
      </c>
      <c r="Q148" s="650">
        <v>17</v>
      </c>
    </row>
    <row r="149" spans="2:17" ht="10.15" customHeight="1">
      <c r="B149" s="400"/>
      <c r="C149" s="400"/>
      <c r="D149" s="651">
        <v>29.200000000000198</v>
      </c>
      <c r="E149" s="4025">
        <v>20.22</v>
      </c>
      <c r="F149" s="400"/>
      <c r="G149" s="400"/>
      <c r="H149" s="651">
        <v>29.200000000000017</v>
      </c>
      <c r="I149" s="654">
        <v>6.7</v>
      </c>
      <c r="J149" s="651">
        <v>23.1999999999999</v>
      </c>
      <c r="K149" s="654">
        <v>15.34</v>
      </c>
      <c r="L149" s="651">
        <v>23.200000000000099</v>
      </c>
      <c r="M149" s="650">
        <v>17.100000000000001</v>
      </c>
      <c r="N149" s="400"/>
      <c r="O149" s="400"/>
      <c r="P149" s="651">
        <v>23.200000000000099</v>
      </c>
      <c r="Q149" s="650">
        <v>17.100000000000001</v>
      </c>
    </row>
    <row r="150" spans="2:17" ht="10.15" customHeight="1">
      <c r="B150" s="400"/>
      <c r="C150" s="400"/>
      <c r="D150" s="651">
        <v>29.3000000000002</v>
      </c>
      <c r="E150" s="4025">
        <v>20.34</v>
      </c>
      <c r="F150" s="400"/>
      <c r="G150" s="400"/>
      <c r="H150" s="651">
        <v>29.300000000000018</v>
      </c>
      <c r="I150" s="654">
        <v>6.7</v>
      </c>
      <c r="J150" s="651">
        <v>23.299999999999901</v>
      </c>
      <c r="K150" s="654">
        <v>15.440000000000001</v>
      </c>
      <c r="L150" s="651">
        <v>23.3000000000001</v>
      </c>
      <c r="M150" s="650">
        <v>17.2</v>
      </c>
      <c r="N150" s="400"/>
      <c r="O150" s="400"/>
      <c r="P150" s="651">
        <v>23.3000000000001</v>
      </c>
      <c r="Q150" s="650">
        <v>17.2</v>
      </c>
    </row>
    <row r="151" spans="2:17" ht="10.15" customHeight="1">
      <c r="B151" s="400"/>
      <c r="C151" s="400"/>
      <c r="D151" s="651">
        <v>29.400000000000201</v>
      </c>
      <c r="E151" s="4025">
        <v>20.46</v>
      </c>
      <c r="F151" s="400"/>
      <c r="G151" s="400"/>
      <c r="H151" s="651">
        <v>29.40000000000002</v>
      </c>
      <c r="I151" s="654">
        <v>6.7</v>
      </c>
      <c r="J151" s="651">
        <v>23.399999999999899</v>
      </c>
      <c r="K151" s="654">
        <v>15.540000000000001</v>
      </c>
      <c r="L151" s="651">
        <v>23.400000000000102</v>
      </c>
      <c r="M151" s="650">
        <v>17.3</v>
      </c>
      <c r="N151" s="400"/>
      <c r="O151" s="400"/>
      <c r="P151" s="651">
        <v>23.400000000000102</v>
      </c>
      <c r="Q151" s="650">
        <v>17.3</v>
      </c>
    </row>
    <row r="152" spans="2:17" ht="10.15" customHeight="1">
      <c r="B152" s="400"/>
      <c r="C152" s="400"/>
      <c r="D152" s="651">
        <v>29.500000000000199</v>
      </c>
      <c r="E152" s="4025">
        <v>20.580000000000002</v>
      </c>
      <c r="F152" s="400"/>
      <c r="G152" s="400"/>
      <c r="H152" s="651">
        <v>29.500000000000021</v>
      </c>
      <c r="I152" s="654">
        <v>6.7</v>
      </c>
      <c r="J152" s="651">
        <v>23.499999999999901</v>
      </c>
      <c r="K152" s="654">
        <v>15.64</v>
      </c>
      <c r="L152" s="651">
        <v>23.500000000000099</v>
      </c>
      <c r="M152" s="650">
        <v>17.399999999999999</v>
      </c>
      <c r="N152" s="400"/>
      <c r="O152" s="400"/>
      <c r="P152" s="651">
        <v>23.500000000000099</v>
      </c>
      <c r="Q152" s="650">
        <v>17.399999999999999</v>
      </c>
    </row>
    <row r="153" spans="2:17" ht="10.15" customHeight="1">
      <c r="B153" s="400"/>
      <c r="C153" s="400"/>
      <c r="D153" s="651">
        <v>29.6000000000002</v>
      </c>
      <c r="E153" s="4025">
        <v>20.7</v>
      </c>
      <c r="F153" s="400"/>
      <c r="G153" s="400"/>
      <c r="H153" s="651">
        <v>29.600000000000023</v>
      </c>
      <c r="I153" s="654">
        <v>6.7</v>
      </c>
      <c r="J153" s="651">
        <v>23.599999999999898</v>
      </c>
      <c r="K153" s="654">
        <v>15.74</v>
      </c>
      <c r="L153" s="651">
        <v>23.600000000000101</v>
      </c>
      <c r="M153" s="650">
        <v>17.5</v>
      </c>
      <c r="N153" s="400"/>
      <c r="O153" s="400"/>
      <c r="P153" s="651">
        <v>23.600000000000101</v>
      </c>
      <c r="Q153" s="650">
        <v>17.5</v>
      </c>
    </row>
    <row r="154" spans="2:17" ht="10.15" customHeight="1">
      <c r="B154" s="400"/>
      <c r="C154" s="400"/>
      <c r="D154" s="651">
        <v>29.700000000000198</v>
      </c>
      <c r="E154" s="4025">
        <v>20.82</v>
      </c>
      <c r="F154" s="400"/>
      <c r="G154" s="400"/>
      <c r="H154" s="651">
        <v>29.700000000000024</v>
      </c>
      <c r="I154" s="654">
        <v>6.7</v>
      </c>
      <c r="J154" s="651">
        <v>23.6999999999999</v>
      </c>
      <c r="K154" s="654">
        <v>15.84</v>
      </c>
      <c r="L154" s="651">
        <v>23.700000000000099</v>
      </c>
      <c r="M154" s="650">
        <v>17.600000000000001</v>
      </c>
      <c r="N154" s="400"/>
      <c r="O154" s="400"/>
      <c r="P154" s="651">
        <v>23.700000000000099</v>
      </c>
      <c r="Q154" s="650">
        <v>17.600000000000001</v>
      </c>
    </row>
    <row r="155" spans="2:17" ht="10.15" customHeight="1">
      <c r="B155" s="400"/>
      <c r="C155" s="400"/>
      <c r="D155" s="651">
        <v>29.8000000000002</v>
      </c>
      <c r="E155" s="4025">
        <v>20.94</v>
      </c>
      <c r="F155" s="400"/>
      <c r="G155" s="400"/>
      <c r="H155" s="651">
        <v>29.800000000000026</v>
      </c>
      <c r="I155" s="654">
        <v>6.7</v>
      </c>
      <c r="J155" s="651">
        <v>23.799999999999901</v>
      </c>
      <c r="K155" s="654">
        <v>15.940000000000001</v>
      </c>
      <c r="L155" s="651">
        <v>23.8000000000001</v>
      </c>
      <c r="M155" s="650">
        <v>17.7</v>
      </c>
      <c r="N155" s="400"/>
      <c r="O155" s="400"/>
      <c r="P155" s="651">
        <v>23.8000000000001</v>
      </c>
      <c r="Q155" s="650">
        <v>17.7</v>
      </c>
    </row>
    <row r="156" spans="2:17" ht="10.15" customHeight="1" thickBot="1">
      <c r="B156" s="400"/>
      <c r="C156" s="647"/>
      <c r="D156" s="646">
        <v>29.900000000000201</v>
      </c>
      <c r="E156" s="645">
        <v>21.06</v>
      </c>
      <c r="F156" s="649"/>
      <c r="G156" s="649"/>
      <c r="H156" s="651">
        <v>29.900000000000027</v>
      </c>
      <c r="I156" s="654">
        <v>6.7</v>
      </c>
      <c r="J156" s="646">
        <v>23.899999999999899</v>
      </c>
      <c r="K156" s="645">
        <v>16.04</v>
      </c>
      <c r="L156" s="646">
        <v>23.900000000000102</v>
      </c>
      <c r="M156" s="645">
        <v>17.8</v>
      </c>
      <c r="N156" s="648"/>
      <c r="O156" s="647"/>
      <c r="P156" s="646">
        <v>23.900000000000102</v>
      </c>
      <c r="Q156" s="645">
        <v>17.8</v>
      </c>
    </row>
    <row r="157" spans="2:17" ht="10.15" customHeight="1">
      <c r="B157" s="33"/>
      <c r="C157" s="33"/>
      <c r="D157" s="33"/>
      <c r="E157" s="33"/>
      <c r="F157" s="33"/>
      <c r="G157" s="33"/>
      <c r="H157" s="652">
        <v>30.000000000000028</v>
      </c>
      <c r="I157" s="4025">
        <v>7</v>
      </c>
      <c r="N157" s="33"/>
    </row>
    <row r="158" spans="2:17" ht="10.15" customHeight="1">
      <c r="B158" s="33"/>
      <c r="C158" s="33"/>
      <c r="D158" s="33"/>
      <c r="E158" s="33"/>
      <c r="F158" s="33"/>
      <c r="G158" s="33"/>
      <c r="H158" s="651">
        <v>30.10000000000003</v>
      </c>
      <c r="I158" s="4025">
        <v>7</v>
      </c>
      <c r="N158" s="33"/>
    </row>
    <row r="159" spans="2:17" ht="10.15" customHeight="1">
      <c r="B159" s="33"/>
      <c r="C159" s="33"/>
      <c r="D159" s="33"/>
      <c r="E159" s="33"/>
      <c r="F159" s="33"/>
      <c r="G159" s="33"/>
      <c r="H159" s="651">
        <v>30.200000000000031</v>
      </c>
      <c r="I159" s="4025">
        <v>7</v>
      </c>
      <c r="N159" s="33"/>
    </row>
    <row r="160" spans="2:17" ht="10.15" customHeight="1">
      <c r="B160" s="33"/>
      <c r="C160" s="33"/>
      <c r="D160" s="33"/>
      <c r="E160" s="33"/>
      <c r="F160" s="33"/>
      <c r="G160" s="33"/>
      <c r="H160" s="651">
        <v>30.3</v>
      </c>
      <c r="I160" s="4025">
        <v>7</v>
      </c>
      <c r="N160" s="33"/>
    </row>
    <row r="161" spans="2:14" ht="10.15" customHeight="1">
      <c r="B161" s="33"/>
      <c r="C161" s="33"/>
      <c r="D161" s="33"/>
      <c r="E161" s="33"/>
      <c r="F161" s="33"/>
      <c r="G161" s="33"/>
      <c r="H161" s="651">
        <v>30.400000000000034</v>
      </c>
      <c r="I161" s="4025">
        <v>7</v>
      </c>
      <c r="N161" s="33"/>
    </row>
    <row r="162" spans="2:14" ht="10.15" customHeight="1">
      <c r="B162" s="33"/>
      <c r="C162" s="33"/>
      <c r="D162" s="33"/>
      <c r="E162" s="33"/>
      <c r="F162" s="33"/>
      <c r="G162" s="33"/>
      <c r="H162" s="651">
        <v>30.500000000000036</v>
      </c>
      <c r="I162" s="4025">
        <v>7</v>
      </c>
      <c r="N162" s="33"/>
    </row>
    <row r="163" spans="2:14" ht="10.15" customHeight="1">
      <c r="B163" s="33"/>
      <c r="C163" s="33"/>
      <c r="D163" s="33"/>
      <c r="E163" s="33"/>
      <c r="F163" s="33"/>
      <c r="G163" s="33"/>
      <c r="H163" s="651">
        <v>30.600000000000037</v>
      </c>
      <c r="I163" s="4025">
        <v>7</v>
      </c>
      <c r="N163" s="33"/>
    </row>
    <row r="164" spans="2:14" ht="10.15" customHeight="1">
      <c r="B164" s="33"/>
      <c r="C164" s="33"/>
      <c r="D164" s="33"/>
      <c r="E164" s="33"/>
      <c r="F164" s="33"/>
      <c r="G164" s="33"/>
      <c r="H164" s="651">
        <v>30.700000000000038</v>
      </c>
      <c r="I164" s="4025">
        <v>7</v>
      </c>
      <c r="N164" s="33"/>
    </row>
    <row r="165" spans="2:14" ht="10.15" customHeight="1">
      <c r="B165" s="33"/>
      <c r="C165" s="33"/>
      <c r="D165" s="33"/>
      <c r="E165" s="33"/>
      <c r="F165" s="33"/>
      <c r="G165" s="33"/>
      <c r="H165" s="651">
        <v>30.80000000000004</v>
      </c>
      <c r="I165" s="4025">
        <v>7</v>
      </c>
      <c r="N165" s="33"/>
    </row>
    <row r="166" spans="2:14" ht="10.15" customHeight="1">
      <c r="B166" s="33"/>
      <c r="C166" s="33"/>
      <c r="D166" s="33"/>
      <c r="E166" s="33"/>
      <c r="F166" s="33"/>
      <c r="G166" s="33"/>
      <c r="H166" s="651">
        <v>30.900000000000041</v>
      </c>
      <c r="I166" s="4025">
        <v>7</v>
      </c>
      <c r="N166" s="33"/>
    </row>
    <row r="167" spans="2:14" ht="10.15" customHeight="1">
      <c r="B167" s="33"/>
      <c r="C167" s="33"/>
      <c r="D167" s="33"/>
      <c r="E167" s="33"/>
      <c r="F167" s="33"/>
      <c r="G167" s="33"/>
      <c r="H167" s="652">
        <v>31</v>
      </c>
      <c r="I167" s="4025">
        <v>7.3</v>
      </c>
      <c r="N167" s="33"/>
    </row>
    <row r="168" spans="2:14" ht="10.15" customHeight="1">
      <c r="B168" s="33"/>
      <c r="C168" s="33"/>
      <c r="D168" s="33"/>
      <c r="E168" s="33"/>
      <c r="F168" s="33"/>
      <c r="G168" s="33"/>
      <c r="H168" s="651">
        <v>31.1</v>
      </c>
      <c r="I168" s="4025">
        <v>7.3</v>
      </c>
      <c r="N168" s="33"/>
    </row>
    <row r="169" spans="2:14" ht="10.15" customHeight="1">
      <c r="B169" s="33"/>
      <c r="C169" s="33"/>
      <c r="D169" s="33"/>
      <c r="E169" s="33"/>
      <c r="F169" s="33"/>
      <c r="G169" s="33"/>
      <c r="H169" s="651">
        <v>31.2</v>
      </c>
      <c r="I169" s="4025">
        <v>7.3</v>
      </c>
      <c r="N169" s="33"/>
    </row>
    <row r="170" spans="2:14" ht="10.15" customHeight="1">
      <c r="B170" s="33"/>
      <c r="C170" s="33"/>
      <c r="D170" s="33"/>
      <c r="E170" s="33"/>
      <c r="F170" s="33"/>
      <c r="G170" s="33"/>
      <c r="H170" s="651">
        <v>31.3</v>
      </c>
      <c r="I170" s="4025">
        <v>7.3</v>
      </c>
      <c r="N170" s="33"/>
    </row>
    <row r="171" spans="2:14" ht="10.15" customHeight="1">
      <c r="B171" s="33"/>
      <c r="C171" s="33"/>
      <c r="D171" s="33"/>
      <c r="E171" s="33"/>
      <c r="F171" s="33"/>
      <c r="G171" s="33"/>
      <c r="H171" s="651">
        <v>31.4</v>
      </c>
      <c r="I171" s="4025">
        <v>7.3</v>
      </c>
      <c r="N171" s="33"/>
    </row>
    <row r="172" spans="2:14" ht="10.15" customHeight="1">
      <c r="B172" s="33"/>
      <c r="C172" s="33"/>
      <c r="D172" s="33"/>
      <c r="E172" s="33"/>
      <c r="F172" s="33"/>
      <c r="G172" s="33"/>
      <c r="H172" s="651">
        <v>31.5</v>
      </c>
      <c r="I172" s="4025">
        <v>7.3</v>
      </c>
      <c r="N172" s="33"/>
    </row>
    <row r="173" spans="2:14" ht="10.15" customHeight="1">
      <c r="B173" s="33"/>
      <c r="C173" s="33"/>
      <c r="D173" s="33"/>
      <c r="E173" s="33"/>
      <c r="F173" s="33"/>
      <c r="G173" s="33"/>
      <c r="H173" s="651">
        <v>31.6</v>
      </c>
      <c r="I173" s="4025">
        <v>7.3</v>
      </c>
      <c r="N173" s="33"/>
    </row>
    <row r="174" spans="2:14" ht="10.15" customHeight="1">
      <c r="B174" s="33"/>
      <c r="C174" s="33"/>
      <c r="D174" s="33"/>
      <c r="E174" s="33"/>
      <c r="F174" s="33"/>
      <c r="G174" s="33"/>
      <c r="H174" s="651">
        <v>31.7</v>
      </c>
      <c r="I174" s="4025">
        <v>7.3</v>
      </c>
      <c r="N174" s="33"/>
    </row>
    <row r="175" spans="2:14" ht="10.15" customHeight="1">
      <c r="B175" s="33"/>
      <c r="C175" s="33"/>
      <c r="D175" s="33"/>
      <c r="E175" s="33"/>
      <c r="F175" s="33"/>
      <c r="G175" s="33"/>
      <c r="H175" s="651">
        <v>31.8</v>
      </c>
      <c r="I175" s="4025">
        <v>7.3</v>
      </c>
      <c r="N175" s="33"/>
    </row>
    <row r="176" spans="2:14" ht="10.15" customHeight="1">
      <c r="B176" s="33"/>
      <c r="C176" s="33"/>
      <c r="D176" s="33"/>
      <c r="E176" s="33"/>
      <c r="F176" s="33"/>
      <c r="G176" s="33"/>
      <c r="H176" s="651">
        <v>31.9</v>
      </c>
      <c r="I176" s="4025">
        <v>7.3</v>
      </c>
      <c r="N176" s="33"/>
    </row>
    <row r="177" spans="2:14" ht="10.15" customHeight="1">
      <c r="B177" s="33"/>
      <c r="C177" s="33"/>
      <c r="D177" s="33"/>
      <c r="E177" s="33"/>
      <c r="F177" s="33"/>
      <c r="G177" s="33"/>
      <c r="H177" s="652">
        <v>32</v>
      </c>
      <c r="I177" s="4025">
        <v>7.6</v>
      </c>
      <c r="N177" s="33"/>
    </row>
    <row r="178" spans="2:14" ht="10.15" customHeight="1">
      <c r="B178" s="33"/>
      <c r="C178" s="33"/>
      <c r="D178" s="33"/>
      <c r="E178" s="33"/>
      <c r="F178" s="33"/>
      <c r="G178" s="33"/>
      <c r="H178" s="651">
        <v>32.1</v>
      </c>
      <c r="I178" s="4025">
        <v>7.6</v>
      </c>
      <c r="N178" s="33"/>
    </row>
    <row r="179" spans="2:14" ht="10.15" customHeight="1">
      <c r="B179" s="33"/>
      <c r="C179" s="33"/>
      <c r="D179" s="33"/>
      <c r="E179" s="33"/>
      <c r="F179" s="33"/>
      <c r="G179" s="33"/>
      <c r="H179" s="651">
        <v>32.200000000000003</v>
      </c>
      <c r="I179" s="4025">
        <v>7.6</v>
      </c>
      <c r="N179" s="33"/>
    </row>
    <row r="180" spans="2:14" ht="10.15" customHeight="1">
      <c r="B180" s="33"/>
      <c r="C180" s="33"/>
      <c r="D180" s="33"/>
      <c r="E180" s="33"/>
      <c r="F180" s="33"/>
      <c r="G180" s="33"/>
      <c r="H180" s="651">
        <v>32.299999999999997</v>
      </c>
      <c r="I180" s="4025">
        <v>7.6</v>
      </c>
      <c r="N180" s="33"/>
    </row>
    <row r="181" spans="2:14" ht="10.15" customHeight="1">
      <c r="B181" s="33"/>
      <c r="C181" s="33"/>
      <c r="D181" s="33"/>
      <c r="E181" s="33"/>
      <c r="F181" s="33"/>
      <c r="G181" s="33"/>
      <c r="H181" s="651">
        <v>32.4</v>
      </c>
      <c r="I181" s="4025">
        <v>7.6</v>
      </c>
      <c r="N181" s="33"/>
    </row>
    <row r="182" spans="2:14" ht="10.15" customHeight="1">
      <c r="B182" s="33"/>
      <c r="C182" s="33"/>
      <c r="D182" s="33"/>
      <c r="E182" s="33"/>
      <c r="F182" s="33"/>
      <c r="G182" s="33"/>
      <c r="H182" s="651">
        <v>32.5</v>
      </c>
      <c r="I182" s="4025">
        <v>7.6</v>
      </c>
      <c r="N182" s="33"/>
    </row>
    <row r="183" spans="2:14" ht="10.15" customHeight="1">
      <c r="B183" s="33"/>
      <c r="C183" s="33"/>
      <c r="D183" s="33"/>
      <c r="E183" s="33"/>
      <c r="F183" s="33"/>
      <c r="G183" s="33"/>
      <c r="H183" s="651">
        <v>32.6</v>
      </c>
      <c r="I183" s="4025">
        <v>7.6</v>
      </c>
      <c r="N183" s="33"/>
    </row>
    <row r="184" spans="2:14" ht="10.15" customHeight="1">
      <c r="B184" s="33"/>
      <c r="C184" s="33"/>
      <c r="D184" s="33"/>
      <c r="E184" s="33"/>
      <c r="F184" s="33"/>
      <c r="G184" s="33"/>
      <c r="H184" s="651">
        <v>32.700000000000003</v>
      </c>
      <c r="I184" s="4025">
        <v>7.6</v>
      </c>
      <c r="N184" s="33"/>
    </row>
    <row r="185" spans="2:14" ht="10.15" customHeight="1">
      <c r="B185" s="33"/>
      <c r="C185" s="33"/>
      <c r="D185" s="33"/>
      <c r="E185" s="33"/>
      <c r="F185" s="33"/>
      <c r="G185" s="33"/>
      <c r="H185" s="651">
        <v>32.799999999999997</v>
      </c>
      <c r="I185" s="4025">
        <v>7.6</v>
      </c>
      <c r="N185" s="33"/>
    </row>
    <row r="186" spans="2:14" ht="10.15" customHeight="1">
      <c r="B186" s="33"/>
      <c r="C186" s="33"/>
      <c r="D186" s="33"/>
      <c r="E186" s="33"/>
      <c r="F186" s="33"/>
      <c r="G186" s="33"/>
      <c r="H186" s="651">
        <v>32.9</v>
      </c>
      <c r="I186" s="4025">
        <v>7.6</v>
      </c>
      <c r="N186" s="33"/>
    </row>
    <row r="187" spans="2:14" ht="10.15" customHeight="1">
      <c r="B187" s="33"/>
      <c r="C187" s="33"/>
      <c r="D187" s="33"/>
      <c r="E187" s="33"/>
      <c r="F187" s="33"/>
      <c r="G187" s="33"/>
      <c r="H187" s="652">
        <v>33</v>
      </c>
      <c r="I187" s="4025">
        <v>7.9</v>
      </c>
      <c r="N187" s="33"/>
    </row>
    <row r="188" spans="2:14" ht="10.15" customHeight="1">
      <c r="B188" s="33"/>
      <c r="C188" s="33"/>
      <c r="D188" s="33"/>
      <c r="E188" s="33"/>
      <c r="F188" s="33"/>
      <c r="G188" s="33"/>
      <c r="H188" s="651">
        <v>33.1</v>
      </c>
      <c r="I188" s="4025">
        <v>7.9</v>
      </c>
      <c r="N188" s="33"/>
    </row>
    <row r="189" spans="2:14" ht="10.15" customHeight="1">
      <c r="B189" s="33"/>
      <c r="C189" s="33"/>
      <c r="D189" s="33"/>
      <c r="E189" s="33"/>
      <c r="F189" s="33"/>
      <c r="G189" s="33"/>
      <c r="H189" s="651">
        <v>33.200000000000003</v>
      </c>
      <c r="I189" s="4025">
        <v>7.9</v>
      </c>
      <c r="N189" s="33"/>
    </row>
    <row r="190" spans="2:14" ht="10.15" customHeight="1">
      <c r="B190" s="33"/>
      <c r="C190" s="33"/>
      <c r="D190" s="33"/>
      <c r="E190" s="33"/>
      <c r="F190" s="33"/>
      <c r="G190" s="33"/>
      <c r="H190" s="651">
        <v>33.299999999999997</v>
      </c>
      <c r="I190" s="4025">
        <v>7.9</v>
      </c>
      <c r="N190" s="33"/>
    </row>
    <row r="191" spans="2:14" ht="10.15" customHeight="1">
      <c r="B191" s="33"/>
      <c r="C191" s="33"/>
      <c r="D191" s="33"/>
      <c r="E191" s="33"/>
      <c r="F191" s="33"/>
      <c r="G191" s="33"/>
      <c r="H191" s="651">
        <v>33.4</v>
      </c>
      <c r="I191" s="4025">
        <v>7.9</v>
      </c>
      <c r="N191" s="33"/>
    </row>
    <row r="192" spans="2:14" ht="10.15" customHeight="1">
      <c r="B192" s="33"/>
      <c r="C192" s="33"/>
      <c r="D192" s="33"/>
      <c r="E192" s="33"/>
      <c r="F192" s="33"/>
      <c r="G192" s="33"/>
      <c r="H192" s="651">
        <v>33.5</v>
      </c>
      <c r="I192" s="4025">
        <v>7.9</v>
      </c>
      <c r="N192" s="33"/>
    </row>
    <row r="193" spans="2:14" ht="10.15" customHeight="1">
      <c r="B193" s="33"/>
      <c r="C193" s="33"/>
      <c r="D193" s="33"/>
      <c r="E193" s="33"/>
      <c r="F193" s="33"/>
      <c r="G193" s="33"/>
      <c r="H193" s="651">
        <v>33.6</v>
      </c>
      <c r="I193" s="4025">
        <v>7.9</v>
      </c>
      <c r="N193" s="33"/>
    </row>
    <row r="194" spans="2:14" ht="10.15" customHeight="1">
      <c r="B194" s="33"/>
      <c r="C194" s="33"/>
      <c r="D194" s="33"/>
      <c r="E194" s="33"/>
      <c r="F194" s="33"/>
      <c r="G194" s="33"/>
      <c r="H194" s="651">
        <v>33.700000000000003</v>
      </c>
      <c r="I194" s="4025">
        <v>7.9</v>
      </c>
      <c r="N194" s="33"/>
    </row>
    <row r="195" spans="2:14" ht="10.15" customHeight="1">
      <c r="B195" s="33"/>
      <c r="C195" s="33"/>
      <c r="D195" s="33"/>
      <c r="E195" s="33"/>
      <c r="F195" s="33"/>
      <c r="G195" s="33"/>
      <c r="H195" s="651">
        <v>33.800000000000082</v>
      </c>
      <c r="I195" s="4025">
        <v>7.9</v>
      </c>
      <c r="N195" s="33"/>
    </row>
    <row r="196" spans="2:14" ht="10.15" customHeight="1">
      <c r="B196" s="33"/>
      <c r="C196" s="33"/>
      <c r="D196" s="33"/>
      <c r="E196" s="33"/>
      <c r="F196" s="33"/>
      <c r="G196" s="33"/>
      <c r="H196" s="651">
        <v>33.9</v>
      </c>
      <c r="I196" s="4025">
        <v>7.9</v>
      </c>
      <c r="N196" s="33"/>
    </row>
    <row r="197" spans="2:14" ht="10.15" customHeight="1">
      <c r="B197" s="33"/>
      <c r="C197" s="33"/>
      <c r="D197" s="33"/>
      <c r="E197" s="33"/>
      <c r="F197" s="33"/>
      <c r="G197" s="33"/>
      <c r="H197" s="652">
        <v>34</v>
      </c>
      <c r="I197" s="4025">
        <v>8.1999999999999993</v>
      </c>
      <c r="N197" s="33"/>
    </row>
    <row r="198" spans="2:14" ht="10.15" customHeight="1">
      <c r="B198" s="33"/>
      <c r="C198" s="33"/>
      <c r="D198" s="33"/>
      <c r="E198" s="33"/>
      <c r="F198" s="33"/>
      <c r="G198" s="33"/>
      <c r="H198" s="651">
        <v>34.1</v>
      </c>
      <c r="I198" s="4025">
        <v>8.1999999999999993</v>
      </c>
      <c r="N198" s="33"/>
    </row>
    <row r="199" spans="2:14" ht="10.15" customHeight="1">
      <c r="B199" s="33"/>
      <c r="C199" s="33"/>
      <c r="D199" s="33"/>
      <c r="E199" s="33"/>
      <c r="F199" s="33"/>
      <c r="G199" s="33"/>
      <c r="H199" s="651">
        <v>34.200000000000003</v>
      </c>
      <c r="I199" s="4025">
        <v>8.1999999999999993</v>
      </c>
      <c r="N199" s="33"/>
    </row>
    <row r="200" spans="2:14" ht="10.15" customHeight="1">
      <c r="B200" s="33"/>
      <c r="C200" s="33"/>
      <c r="D200" s="33"/>
      <c r="E200" s="33"/>
      <c r="F200" s="33"/>
      <c r="G200" s="33"/>
      <c r="H200" s="651">
        <v>34.299999999999997</v>
      </c>
      <c r="I200" s="4025">
        <v>8.1999999999999993</v>
      </c>
      <c r="N200" s="33"/>
    </row>
    <row r="201" spans="2:14" ht="10.15" customHeight="1">
      <c r="B201" s="33"/>
      <c r="C201" s="33"/>
      <c r="D201" s="33"/>
      <c r="E201" s="33"/>
      <c r="F201" s="33"/>
      <c r="G201" s="33"/>
      <c r="H201" s="651">
        <v>34.4</v>
      </c>
      <c r="I201" s="4025">
        <v>8.1999999999999993</v>
      </c>
      <c r="N201" s="33"/>
    </row>
    <row r="202" spans="2:14" ht="10.15" customHeight="1">
      <c r="B202" s="33"/>
      <c r="C202" s="33"/>
      <c r="D202" s="33"/>
      <c r="E202" s="33"/>
      <c r="F202" s="33"/>
      <c r="G202" s="33"/>
      <c r="H202" s="651">
        <v>34.5</v>
      </c>
      <c r="I202" s="4025">
        <v>8.1999999999999993</v>
      </c>
      <c r="N202" s="33"/>
    </row>
    <row r="203" spans="2:14" ht="10.15" customHeight="1">
      <c r="B203" s="33"/>
      <c r="C203" s="33"/>
      <c r="D203" s="33"/>
      <c r="E203" s="33"/>
      <c r="F203" s="33"/>
      <c r="G203" s="33"/>
      <c r="H203" s="651">
        <v>34.6</v>
      </c>
      <c r="I203" s="4025">
        <v>8.1999999999999993</v>
      </c>
      <c r="N203" s="33"/>
    </row>
    <row r="204" spans="2:14" ht="10.15" customHeight="1">
      <c r="B204" s="33"/>
      <c r="C204" s="33"/>
      <c r="D204" s="33"/>
      <c r="E204" s="33"/>
      <c r="F204" s="33"/>
      <c r="G204" s="33"/>
      <c r="H204" s="651">
        <v>34.700000000000003</v>
      </c>
      <c r="I204" s="4025">
        <v>8.1999999999999993</v>
      </c>
      <c r="N204" s="33"/>
    </row>
    <row r="205" spans="2:14" ht="10.15" customHeight="1">
      <c r="B205" s="33"/>
      <c r="C205" s="33"/>
      <c r="D205" s="33"/>
      <c r="E205" s="33"/>
      <c r="F205" s="33"/>
      <c r="G205" s="33"/>
      <c r="H205" s="651">
        <v>34.799999999999997</v>
      </c>
      <c r="I205" s="4025">
        <v>8.1999999999999993</v>
      </c>
      <c r="N205" s="33"/>
    </row>
    <row r="206" spans="2:14" ht="10.15" customHeight="1">
      <c r="B206" s="33"/>
      <c r="C206" s="33"/>
      <c r="D206" s="33"/>
      <c r="E206" s="33"/>
      <c r="F206" s="33"/>
      <c r="G206" s="33"/>
      <c r="H206" s="651">
        <v>34.9</v>
      </c>
      <c r="I206" s="4025">
        <v>8.1999999999999993</v>
      </c>
      <c r="N206" s="33"/>
    </row>
    <row r="207" spans="2:14" ht="10.15" customHeight="1">
      <c r="B207" s="33"/>
      <c r="C207" s="33"/>
      <c r="D207" s="33"/>
      <c r="E207" s="33"/>
      <c r="F207" s="33"/>
      <c r="G207" s="33"/>
      <c r="H207" s="652">
        <v>35</v>
      </c>
      <c r="I207" s="4025">
        <v>8.5</v>
      </c>
      <c r="N207" s="33"/>
    </row>
    <row r="208" spans="2:14" ht="10.15" customHeight="1">
      <c r="B208" s="33"/>
      <c r="C208" s="33"/>
      <c r="D208" s="33"/>
      <c r="E208" s="33"/>
      <c r="F208" s="33"/>
      <c r="G208" s="33"/>
      <c r="H208" s="651">
        <v>35.1</v>
      </c>
      <c r="I208" s="4025">
        <v>8.5</v>
      </c>
      <c r="N208" s="33"/>
    </row>
    <row r="209" spans="2:14" ht="10.15" customHeight="1">
      <c r="B209" s="33"/>
      <c r="C209" s="33"/>
      <c r="D209" s="33"/>
      <c r="E209" s="33"/>
      <c r="F209" s="33"/>
      <c r="G209" s="33"/>
      <c r="H209" s="651">
        <v>35.200000000000003</v>
      </c>
      <c r="I209" s="4025">
        <v>8.5</v>
      </c>
      <c r="N209" s="33"/>
    </row>
    <row r="210" spans="2:14" ht="10.15" customHeight="1">
      <c r="B210" s="33"/>
      <c r="C210" s="33"/>
      <c r="D210" s="33"/>
      <c r="E210" s="33"/>
      <c r="F210" s="33"/>
      <c r="G210" s="33"/>
      <c r="H210" s="651">
        <v>35.299999999999997</v>
      </c>
      <c r="I210" s="4025">
        <v>8.5</v>
      </c>
      <c r="N210" s="33"/>
    </row>
    <row r="211" spans="2:14" ht="10.15" customHeight="1">
      <c r="B211" s="33"/>
      <c r="C211" s="33"/>
      <c r="D211" s="33"/>
      <c r="E211" s="33"/>
      <c r="F211" s="33"/>
      <c r="G211" s="33"/>
      <c r="H211" s="651">
        <v>35.4</v>
      </c>
      <c r="I211" s="4025">
        <v>8.5</v>
      </c>
      <c r="N211" s="33"/>
    </row>
    <row r="212" spans="2:14" ht="10.15" customHeight="1">
      <c r="B212" s="33"/>
      <c r="C212" s="33"/>
      <c r="D212" s="33"/>
      <c r="E212" s="33"/>
      <c r="F212" s="33"/>
      <c r="G212" s="33"/>
      <c r="H212" s="651">
        <v>35.5</v>
      </c>
      <c r="I212" s="4025">
        <v>8.5</v>
      </c>
      <c r="N212" s="33"/>
    </row>
    <row r="213" spans="2:14" ht="10.15" customHeight="1">
      <c r="B213" s="33"/>
      <c r="C213" s="33"/>
      <c r="D213" s="33"/>
      <c r="E213" s="33"/>
      <c r="F213" s="33"/>
      <c r="G213" s="33"/>
      <c r="H213" s="651">
        <v>35.6</v>
      </c>
      <c r="I213" s="4025">
        <v>8.5</v>
      </c>
      <c r="N213" s="33"/>
    </row>
    <row r="214" spans="2:14" ht="10.15" customHeight="1">
      <c r="B214" s="33"/>
      <c r="C214" s="33"/>
      <c r="D214" s="33"/>
      <c r="E214" s="33"/>
      <c r="F214" s="33"/>
      <c r="G214" s="33"/>
      <c r="H214" s="651">
        <v>35.700000000000003</v>
      </c>
      <c r="I214" s="4025">
        <v>8.5</v>
      </c>
      <c r="N214" s="33"/>
    </row>
    <row r="215" spans="2:14" ht="10.15" customHeight="1">
      <c r="B215" s="33"/>
      <c r="C215" s="33"/>
      <c r="D215" s="33"/>
      <c r="E215" s="33"/>
      <c r="F215" s="33"/>
      <c r="G215" s="33"/>
      <c r="H215" s="651">
        <v>35.799999999999997</v>
      </c>
      <c r="I215" s="4025">
        <v>8.5</v>
      </c>
      <c r="N215" s="33"/>
    </row>
    <row r="216" spans="2:14" ht="10.15" customHeight="1">
      <c r="B216" s="33"/>
      <c r="C216" s="33"/>
      <c r="D216" s="33"/>
      <c r="E216" s="33"/>
      <c r="F216" s="33"/>
      <c r="G216" s="33"/>
      <c r="H216" s="651">
        <v>35.9</v>
      </c>
      <c r="I216" s="4025">
        <v>8.5</v>
      </c>
      <c r="N216" s="33"/>
    </row>
    <row r="217" spans="2:14" ht="10.15" customHeight="1">
      <c r="B217" s="33"/>
      <c r="C217" s="33"/>
      <c r="D217" s="33"/>
      <c r="E217" s="33"/>
      <c r="F217" s="33"/>
      <c r="G217" s="33"/>
      <c r="H217" s="652">
        <v>36</v>
      </c>
      <c r="I217" s="4025">
        <v>8.8000000000000007</v>
      </c>
      <c r="N217" s="33"/>
    </row>
    <row r="218" spans="2:14" ht="10.15" customHeight="1">
      <c r="B218" s="33"/>
      <c r="C218" s="33"/>
      <c r="D218" s="33"/>
      <c r="E218" s="33"/>
      <c r="F218" s="33"/>
      <c r="G218" s="33"/>
      <c r="H218" s="651">
        <v>36.1</v>
      </c>
      <c r="I218" s="4025">
        <v>8.8000000000000007</v>
      </c>
      <c r="N218" s="33"/>
    </row>
    <row r="219" spans="2:14" ht="10.15" customHeight="1">
      <c r="B219" s="33"/>
      <c r="C219" s="33"/>
      <c r="D219" s="33"/>
      <c r="E219" s="33"/>
      <c r="F219" s="33"/>
      <c r="G219" s="33"/>
      <c r="H219" s="651">
        <v>36.200000000000003</v>
      </c>
      <c r="I219" s="4025">
        <v>8.8000000000000007</v>
      </c>
      <c r="N219" s="33"/>
    </row>
    <row r="220" spans="2:14" ht="10.15" customHeight="1">
      <c r="B220" s="33"/>
      <c r="C220" s="33"/>
      <c r="D220" s="33"/>
      <c r="E220" s="33"/>
      <c r="F220" s="33"/>
      <c r="G220" s="33"/>
      <c r="H220" s="651">
        <v>36.299999999999997</v>
      </c>
      <c r="I220" s="4025">
        <v>8.8000000000000007</v>
      </c>
      <c r="N220" s="33"/>
    </row>
    <row r="221" spans="2:14" ht="10.15" customHeight="1">
      <c r="B221" s="33"/>
      <c r="C221" s="33"/>
      <c r="D221" s="33"/>
      <c r="E221" s="33"/>
      <c r="F221" s="33"/>
      <c r="G221" s="33"/>
      <c r="H221" s="651">
        <v>36.4</v>
      </c>
      <c r="I221" s="4025">
        <v>8.8000000000000007</v>
      </c>
      <c r="N221" s="33"/>
    </row>
    <row r="222" spans="2:14" ht="10.15" customHeight="1">
      <c r="B222" s="33"/>
      <c r="C222" s="33"/>
      <c r="D222" s="33"/>
      <c r="E222" s="33"/>
      <c r="F222" s="33"/>
      <c r="G222" s="33"/>
      <c r="H222" s="651">
        <v>36.5</v>
      </c>
      <c r="I222" s="4025">
        <v>8.8000000000000007</v>
      </c>
      <c r="N222" s="33"/>
    </row>
    <row r="223" spans="2:14" ht="10.15" customHeight="1">
      <c r="B223" s="33"/>
      <c r="C223" s="33"/>
      <c r="D223" s="33"/>
      <c r="E223" s="33"/>
      <c r="F223" s="33"/>
      <c r="G223" s="33"/>
      <c r="H223" s="651">
        <v>36.6</v>
      </c>
      <c r="I223" s="4025">
        <v>8.8000000000000007</v>
      </c>
      <c r="N223" s="33"/>
    </row>
    <row r="224" spans="2:14" ht="10.15" customHeight="1">
      <c r="B224" s="33"/>
      <c r="C224" s="33"/>
      <c r="D224" s="33"/>
      <c r="E224" s="33"/>
      <c r="F224" s="33"/>
      <c r="G224" s="33"/>
      <c r="H224" s="651">
        <v>36.700000000000003</v>
      </c>
      <c r="I224" s="4025">
        <v>8.8000000000000007</v>
      </c>
      <c r="N224" s="33"/>
    </row>
    <row r="225" spans="2:14" ht="10.15" customHeight="1">
      <c r="B225" s="33"/>
      <c r="C225" s="33"/>
      <c r="D225" s="33"/>
      <c r="E225" s="33"/>
      <c r="F225" s="33"/>
      <c r="G225" s="33"/>
      <c r="H225" s="651">
        <v>36.799999999999997</v>
      </c>
      <c r="I225" s="4025">
        <v>8.8000000000000007</v>
      </c>
      <c r="N225" s="33"/>
    </row>
    <row r="226" spans="2:14" ht="10.15" customHeight="1">
      <c r="B226" s="33"/>
      <c r="C226" s="33"/>
      <c r="D226" s="33"/>
      <c r="E226" s="33"/>
      <c r="F226" s="33"/>
      <c r="G226" s="33"/>
      <c r="H226" s="651">
        <v>36.9</v>
      </c>
      <c r="I226" s="4025">
        <v>8.8000000000000007</v>
      </c>
      <c r="N226" s="33"/>
    </row>
    <row r="227" spans="2:14" ht="10.15" customHeight="1">
      <c r="B227" s="33"/>
      <c r="C227" s="33"/>
      <c r="D227" s="33"/>
      <c r="E227" s="33"/>
      <c r="F227" s="33"/>
      <c r="G227" s="33"/>
      <c r="H227" s="652">
        <v>37</v>
      </c>
      <c r="I227" s="4025">
        <v>9.1</v>
      </c>
      <c r="N227" s="33"/>
    </row>
    <row r="228" spans="2:14" ht="10.15" customHeight="1">
      <c r="B228" s="33"/>
      <c r="C228" s="33"/>
      <c r="D228" s="33"/>
      <c r="E228" s="33"/>
      <c r="F228" s="33"/>
      <c r="G228" s="33"/>
      <c r="H228" s="651">
        <v>37.1</v>
      </c>
      <c r="I228" s="4025">
        <v>9.1</v>
      </c>
      <c r="N228" s="33"/>
    </row>
    <row r="229" spans="2:14" ht="10.15" customHeight="1">
      <c r="B229" s="33"/>
      <c r="C229" s="33"/>
      <c r="D229" s="33"/>
      <c r="E229" s="33"/>
      <c r="F229" s="33"/>
      <c r="G229" s="33"/>
      <c r="H229" s="651">
        <v>37.200000000000003</v>
      </c>
      <c r="I229" s="4025">
        <v>9.1</v>
      </c>
      <c r="N229" s="33"/>
    </row>
    <row r="230" spans="2:14" ht="10.15" customHeight="1">
      <c r="B230" s="33"/>
      <c r="C230" s="33"/>
      <c r="D230" s="33"/>
      <c r="E230" s="33"/>
      <c r="F230" s="33"/>
      <c r="G230" s="33"/>
      <c r="H230" s="651">
        <v>37.299999999999997</v>
      </c>
      <c r="I230" s="4025">
        <v>9.1</v>
      </c>
      <c r="N230" s="33"/>
    </row>
    <row r="231" spans="2:14" ht="10.15" customHeight="1">
      <c r="B231" s="33"/>
      <c r="C231" s="33"/>
      <c r="D231" s="33"/>
      <c r="E231" s="33"/>
      <c r="F231" s="33"/>
      <c r="G231" s="33"/>
      <c r="H231" s="651">
        <v>37.4</v>
      </c>
      <c r="I231" s="4025">
        <v>9.1</v>
      </c>
      <c r="N231" s="33"/>
    </row>
    <row r="232" spans="2:14" ht="10.15" customHeight="1">
      <c r="B232" s="33"/>
      <c r="C232" s="33"/>
      <c r="D232" s="33"/>
      <c r="E232" s="33"/>
      <c r="F232" s="33"/>
      <c r="G232" s="33"/>
      <c r="H232" s="651">
        <v>37.5</v>
      </c>
      <c r="I232" s="4025">
        <v>9.1</v>
      </c>
      <c r="N232" s="33"/>
    </row>
    <row r="233" spans="2:14" ht="10.15" customHeight="1">
      <c r="B233" s="33"/>
      <c r="C233" s="33"/>
      <c r="D233" s="33"/>
      <c r="E233" s="33"/>
      <c r="F233" s="33"/>
      <c r="G233" s="33"/>
      <c r="H233" s="651">
        <v>37.6</v>
      </c>
      <c r="I233" s="4025">
        <v>9.1</v>
      </c>
      <c r="N233" s="33"/>
    </row>
    <row r="234" spans="2:14" ht="10.15" customHeight="1">
      <c r="B234" s="33"/>
      <c r="C234" s="33"/>
      <c r="D234" s="33"/>
      <c r="E234" s="33"/>
      <c r="F234" s="33"/>
      <c r="G234" s="33"/>
      <c r="H234" s="651">
        <v>37.700000000000003</v>
      </c>
      <c r="I234" s="4025">
        <v>9.1</v>
      </c>
      <c r="N234" s="33"/>
    </row>
    <row r="235" spans="2:14" ht="10.15" customHeight="1">
      <c r="B235" s="33"/>
      <c r="C235" s="33"/>
      <c r="D235" s="33"/>
      <c r="E235" s="33"/>
      <c r="F235" s="33"/>
      <c r="G235" s="33"/>
      <c r="H235" s="651">
        <v>37.799999999999997</v>
      </c>
      <c r="I235" s="4025">
        <v>9.1</v>
      </c>
      <c r="N235" s="33"/>
    </row>
    <row r="236" spans="2:14" ht="10.15" customHeight="1">
      <c r="B236" s="33"/>
      <c r="C236" s="33"/>
      <c r="D236" s="33"/>
      <c r="E236" s="33"/>
      <c r="F236" s="33"/>
      <c r="G236" s="33"/>
      <c r="H236" s="651">
        <v>37.9</v>
      </c>
      <c r="I236" s="4025">
        <v>9.1</v>
      </c>
      <c r="N236" s="33"/>
    </row>
    <row r="237" spans="2:14" ht="10.15" customHeight="1">
      <c r="B237" s="33"/>
      <c r="C237" s="33"/>
      <c r="D237" s="33"/>
      <c r="E237" s="33"/>
      <c r="F237" s="33"/>
      <c r="G237" s="33"/>
      <c r="H237" s="652">
        <v>38</v>
      </c>
      <c r="I237" s="4025">
        <v>9.4</v>
      </c>
      <c r="N237" s="33"/>
    </row>
    <row r="238" spans="2:14" ht="10.15" customHeight="1">
      <c r="B238" s="33"/>
      <c r="C238" s="33"/>
      <c r="D238" s="33"/>
      <c r="E238" s="33"/>
      <c r="F238" s="33"/>
      <c r="G238" s="33"/>
      <c r="H238" s="651">
        <v>38.1</v>
      </c>
      <c r="I238" s="4025">
        <v>9.4</v>
      </c>
      <c r="N238" s="33"/>
    </row>
    <row r="239" spans="2:14" ht="10.15" customHeight="1">
      <c r="B239" s="33"/>
      <c r="C239" s="33"/>
      <c r="D239" s="33"/>
      <c r="E239" s="33"/>
      <c r="F239" s="33"/>
      <c r="G239" s="33"/>
      <c r="H239" s="651">
        <v>38.200000000000003</v>
      </c>
      <c r="I239" s="4025">
        <v>9.4</v>
      </c>
      <c r="N239" s="33"/>
    </row>
    <row r="240" spans="2:14" ht="10.15" customHeight="1">
      <c r="B240" s="33"/>
      <c r="C240" s="33"/>
      <c r="D240" s="33"/>
      <c r="E240" s="33"/>
      <c r="F240" s="33"/>
      <c r="G240" s="33"/>
      <c r="H240" s="651">
        <v>38.299999999999997</v>
      </c>
      <c r="I240" s="4025">
        <v>9.4</v>
      </c>
      <c r="N240" s="33"/>
    </row>
    <row r="241" spans="2:14" ht="10.15" customHeight="1">
      <c r="B241" s="33"/>
      <c r="C241" s="33"/>
      <c r="D241" s="33"/>
      <c r="E241" s="33"/>
      <c r="F241" s="33"/>
      <c r="G241" s="33"/>
      <c r="H241" s="651">
        <v>38.4</v>
      </c>
      <c r="I241" s="4025">
        <v>9.4</v>
      </c>
      <c r="N241" s="33"/>
    </row>
    <row r="242" spans="2:14" ht="10.15" customHeight="1">
      <c r="B242" s="33"/>
      <c r="C242" s="33"/>
      <c r="D242" s="33"/>
      <c r="E242" s="33"/>
      <c r="F242" s="33"/>
      <c r="G242" s="33"/>
      <c r="H242" s="651">
        <v>38.5</v>
      </c>
      <c r="I242" s="4025">
        <v>9.4</v>
      </c>
      <c r="N242" s="33"/>
    </row>
    <row r="243" spans="2:14" ht="10.15" customHeight="1">
      <c r="B243" s="33"/>
      <c r="C243" s="33"/>
      <c r="D243" s="33"/>
      <c r="E243" s="33"/>
      <c r="F243" s="33"/>
      <c r="G243" s="33"/>
      <c r="H243" s="651">
        <v>38.6</v>
      </c>
      <c r="I243" s="4025">
        <v>9.4</v>
      </c>
      <c r="N243" s="33"/>
    </row>
    <row r="244" spans="2:14" ht="10.15" customHeight="1">
      <c r="B244" s="33"/>
      <c r="C244" s="33"/>
      <c r="D244" s="33"/>
      <c r="E244" s="33"/>
      <c r="F244" s="33"/>
      <c r="G244" s="33"/>
      <c r="H244" s="651">
        <v>38.700000000000003</v>
      </c>
      <c r="I244" s="4025">
        <v>9.4</v>
      </c>
      <c r="N244" s="33"/>
    </row>
    <row r="245" spans="2:14" ht="10.15" customHeight="1">
      <c r="B245" s="33"/>
      <c r="C245" s="33"/>
      <c r="D245" s="33"/>
      <c r="E245" s="33"/>
      <c r="F245" s="33"/>
      <c r="G245" s="33"/>
      <c r="H245" s="651">
        <v>38.799999999999997</v>
      </c>
      <c r="I245" s="4025">
        <v>9.4</v>
      </c>
      <c r="N245" s="33"/>
    </row>
    <row r="246" spans="2:14" ht="10.15" customHeight="1">
      <c r="B246" s="33"/>
      <c r="C246" s="33"/>
      <c r="D246" s="33"/>
      <c r="E246" s="33"/>
      <c r="F246" s="33"/>
      <c r="G246" s="33"/>
      <c r="H246" s="651">
        <v>38.9</v>
      </c>
      <c r="I246" s="4025">
        <v>9.4</v>
      </c>
      <c r="N246" s="33"/>
    </row>
    <row r="247" spans="2:14" ht="10.15" customHeight="1">
      <c r="B247" s="33"/>
      <c r="C247" s="33"/>
      <c r="D247" s="33"/>
      <c r="E247" s="33"/>
      <c r="F247" s="33"/>
      <c r="G247" s="33"/>
      <c r="H247" s="652">
        <v>39</v>
      </c>
      <c r="I247" s="4025">
        <v>9.6999999999999993</v>
      </c>
      <c r="N247" s="33"/>
    </row>
    <row r="248" spans="2:14" ht="10.15" customHeight="1">
      <c r="B248" s="33"/>
      <c r="C248" s="33"/>
      <c r="D248" s="33"/>
      <c r="E248" s="33"/>
      <c r="F248" s="33"/>
      <c r="G248" s="33"/>
      <c r="H248" s="651">
        <v>39.1</v>
      </c>
      <c r="I248" s="4025">
        <v>9.6999999999999993</v>
      </c>
      <c r="N248" s="33"/>
    </row>
    <row r="249" spans="2:14" ht="10.15" customHeight="1">
      <c r="B249" s="33"/>
      <c r="C249" s="33"/>
      <c r="D249" s="33"/>
      <c r="E249" s="33"/>
      <c r="F249" s="33"/>
      <c r="G249" s="33"/>
      <c r="H249" s="651">
        <v>39.200000000000003</v>
      </c>
      <c r="I249" s="4025">
        <v>9.6999999999999993</v>
      </c>
      <c r="N249" s="33"/>
    </row>
    <row r="250" spans="2:14" ht="10.15" customHeight="1">
      <c r="B250" s="33"/>
      <c r="C250" s="33"/>
      <c r="D250" s="33"/>
      <c r="E250" s="33"/>
      <c r="F250" s="33"/>
      <c r="G250" s="33"/>
      <c r="H250" s="651">
        <v>39.299999999999997</v>
      </c>
      <c r="I250" s="4025">
        <v>9.6999999999999993</v>
      </c>
      <c r="N250" s="33"/>
    </row>
    <row r="251" spans="2:14" ht="10.15" customHeight="1">
      <c r="B251" s="33"/>
      <c r="C251" s="33"/>
      <c r="D251" s="33"/>
      <c r="E251" s="33"/>
      <c r="F251" s="33"/>
      <c r="G251" s="33"/>
      <c r="H251" s="651">
        <v>39.4</v>
      </c>
      <c r="I251" s="4025">
        <v>9.6999999999999993</v>
      </c>
      <c r="N251" s="33"/>
    </row>
    <row r="252" spans="2:14" ht="10.15" customHeight="1">
      <c r="B252" s="33"/>
      <c r="C252" s="33"/>
      <c r="D252" s="33"/>
      <c r="E252" s="33"/>
      <c r="F252" s="33"/>
      <c r="G252" s="33"/>
      <c r="H252" s="651">
        <v>39.5</v>
      </c>
      <c r="I252" s="4025">
        <v>9.6999999999999993</v>
      </c>
      <c r="N252" s="33"/>
    </row>
    <row r="253" spans="2:14" ht="10.15" customHeight="1">
      <c r="B253" s="33"/>
      <c r="C253" s="33"/>
      <c r="D253" s="33"/>
      <c r="E253" s="33"/>
      <c r="F253" s="33"/>
      <c r="G253" s="33"/>
      <c r="H253" s="651">
        <v>39.6</v>
      </c>
      <c r="I253" s="4025">
        <v>9.6999999999999993</v>
      </c>
      <c r="N253" s="33"/>
    </row>
    <row r="254" spans="2:14" ht="10.15" customHeight="1">
      <c r="B254" s="33"/>
      <c r="C254" s="33"/>
      <c r="D254" s="33"/>
      <c r="E254" s="33"/>
      <c r="F254" s="33"/>
      <c r="G254" s="33"/>
      <c r="H254" s="651">
        <v>39.700000000000003</v>
      </c>
      <c r="I254" s="4025">
        <v>9.6999999999999993</v>
      </c>
      <c r="N254" s="33"/>
    </row>
    <row r="255" spans="2:14" ht="10.15" customHeight="1">
      <c r="B255" s="33"/>
      <c r="C255" s="33"/>
      <c r="D255" s="33"/>
      <c r="E255" s="33"/>
      <c r="F255" s="33"/>
      <c r="G255" s="33"/>
      <c r="H255" s="651">
        <v>39.799999999999997</v>
      </c>
      <c r="I255" s="4025">
        <v>9.6999999999999993</v>
      </c>
      <c r="N255" s="33"/>
    </row>
    <row r="256" spans="2:14" ht="10.15" customHeight="1" thickBot="1">
      <c r="B256" s="33"/>
      <c r="C256" s="33"/>
      <c r="D256" s="33"/>
      <c r="E256" s="33"/>
      <c r="F256" s="33"/>
      <c r="G256" s="33"/>
      <c r="H256" s="646">
        <v>39.9</v>
      </c>
      <c r="I256" s="645">
        <v>9.6999999999999993</v>
      </c>
      <c r="N256" s="33"/>
    </row>
    <row r="257" spans="2:14" ht="10.15" customHeight="1">
      <c r="B257" s="33"/>
      <c r="C257" s="33"/>
      <c r="D257" s="33"/>
      <c r="E257" s="33"/>
      <c r="F257" s="33"/>
      <c r="G257" s="33"/>
      <c r="I257" s="33"/>
      <c r="N257" s="33"/>
    </row>
    <row r="258" spans="2:14" ht="10.15" customHeight="1">
      <c r="B258" s="33"/>
      <c r="C258" s="33"/>
      <c r="D258" s="33"/>
      <c r="E258" s="33"/>
      <c r="F258" s="33"/>
      <c r="G258" s="33"/>
      <c r="I258" s="33"/>
      <c r="N258" s="33"/>
    </row>
    <row r="259" spans="2:14" ht="10.15" customHeight="1">
      <c r="B259" s="33"/>
      <c r="C259" s="33"/>
      <c r="D259" s="33"/>
      <c r="E259" s="33"/>
      <c r="F259" s="33"/>
      <c r="G259" s="33"/>
      <c r="I259" s="33"/>
      <c r="N259" s="33"/>
    </row>
    <row r="260" spans="2:14" ht="10.15" customHeight="1">
      <c r="B260" s="33"/>
      <c r="C260" s="33"/>
      <c r="D260" s="33"/>
      <c r="E260" s="33"/>
      <c r="F260" s="33"/>
      <c r="G260" s="33"/>
      <c r="I260" s="33"/>
      <c r="N260" s="33"/>
    </row>
    <row r="261" spans="2:14" ht="10.15" customHeight="1">
      <c r="B261" s="33"/>
      <c r="C261" s="33"/>
      <c r="D261" s="33"/>
      <c r="E261" s="33"/>
      <c r="F261" s="33"/>
      <c r="G261" s="33"/>
      <c r="I261" s="33"/>
      <c r="N261" s="33"/>
    </row>
    <row r="262" spans="2:14" ht="10.15" customHeight="1">
      <c r="B262" s="33"/>
      <c r="C262" s="33"/>
      <c r="D262" s="33"/>
      <c r="E262" s="33"/>
      <c r="F262" s="33"/>
      <c r="G262" s="33"/>
      <c r="I262" s="33"/>
      <c r="N262" s="33"/>
    </row>
    <row r="263" spans="2:14" ht="10.15" customHeight="1">
      <c r="B263" s="33"/>
      <c r="C263" s="33"/>
      <c r="D263" s="33"/>
      <c r="E263" s="33"/>
      <c r="F263" s="33"/>
      <c r="G263" s="33"/>
      <c r="I263" s="33"/>
      <c r="N263" s="33"/>
    </row>
    <row r="264" spans="2:14" ht="10.15" customHeight="1">
      <c r="B264" s="33"/>
      <c r="C264" s="33"/>
      <c r="D264" s="33"/>
      <c r="E264" s="33"/>
      <c r="F264" s="33"/>
      <c r="G264" s="33"/>
      <c r="I264" s="33"/>
      <c r="N264" s="33"/>
    </row>
    <row r="265" spans="2:14" ht="10.15" customHeight="1">
      <c r="B265" s="33"/>
      <c r="C265" s="33"/>
      <c r="D265" s="33"/>
      <c r="E265" s="33"/>
      <c r="F265" s="33"/>
      <c r="G265" s="33"/>
      <c r="I265" s="33"/>
      <c r="N265" s="33"/>
    </row>
    <row r="266" spans="2:14" ht="10.15" customHeight="1">
      <c r="B266" s="33"/>
      <c r="C266" s="33"/>
      <c r="D266" s="33"/>
      <c r="E266" s="33"/>
      <c r="F266" s="33"/>
      <c r="G266" s="33"/>
      <c r="I266" s="33"/>
      <c r="N266" s="33"/>
    </row>
    <row r="267" spans="2:14" ht="10.15" customHeight="1">
      <c r="B267" s="33"/>
      <c r="C267" s="33"/>
      <c r="D267" s="33"/>
      <c r="E267" s="33"/>
      <c r="F267" s="33"/>
      <c r="G267" s="33"/>
      <c r="I267" s="33"/>
      <c r="N267" s="33"/>
    </row>
    <row r="268" spans="2:14" ht="10.15" customHeight="1">
      <c r="B268" s="33"/>
      <c r="C268" s="33"/>
      <c r="D268" s="33"/>
      <c r="E268" s="33"/>
      <c r="F268" s="33"/>
      <c r="G268" s="33"/>
      <c r="I268" s="33"/>
      <c r="N268" s="33"/>
    </row>
    <row r="269" spans="2:14" ht="10.15" customHeight="1">
      <c r="B269" s="33"/>
      <c r="C269" s="33"/>
      <c r="D269" s="33"/>
      <c r="E269" s="33"/>
      <c r="F269" s="33"/>
      <c r="G269" s="33"/>
      <c r="I269" s="33"/>
      <c r="N269" s="33"/>
    </row>
    <row r="270" spans="2:14" ht="10.15" customHeight="1">
      <c r="B270" s="33"/>
      <c r="C270" s="33"/>
      <c r="D270" s="33"/>
      <c r="E270" s="33"/>
      <c r="F270" s="33"/>
      <c r="G270" s="33"/>
      <c r="I270" s="33"/>
      <c r="N270" s="33"/>
    </row>
    <row r="271" spans="2:14" ht="10.15" customHeight="1">
      <c r="B271" s="33"/>
      <c r="C271" s="33"/>
      <c r="D271" s="33"/>
      <c r="E271" s="33"/>
      <c r="F271" s="33"/>
      <c r="G271" s="33"/>
      <c r="I271" s="33"/>
      <c r="N271" s="33"/>
    </row>
    <row r="272" spans="2:14" ht="10.15" customHeight="1">
      <c r="B272" s="33"/>
      <c r="C272" s="33"/>
      <c r="D272" s="33"/>
      <c r="E272" s="33"/>
      <c r="F272" s="33"/>
      <c r="G272" s="33"/>
      <c r="I272" s="33"/>
      <c r="N272" s="33"/>
    </row>
    <row r="273" spans="2:14" ht="10.15" customHeight="1">
      <c r="B273" s="33"/>
      <c r="C273" s="33"/>
      <c r="D273" s="33"/>
      <c r="E273" s="33"/>
      <c r="F273" s="33"/>
      <c r="G273" s="33"/>
      <c r="I273" s="33"/>
      <c r="N273" s="33"/>
    </row>
    <row r="274" spans="2:14" ht="10.15" customHeight="1">
      <c r="B274" s="33"/>
      <c r="C274" s="33"/>
      <c r="D274" s="33"/>
      <c r="E274" s="33"/>
      <c r="F274" s="33"/>
      <c r="G274" s="33"/>
      <c r="I274" s="33"/>
      <c r="N274" s="33"/>
    </row>
    <row r="275" spans="2:14" ht="10.15" customHeight="1">
      <c r="B275" s="33"/>
      <c r="C275" s="33"/>
      <c r="D275" s="33"/>
      <c r="E275" s="33"/>
      <c r="F275" s="33"/>
      <c r="G275" s="33"/>
      <c r="I275" s="33"/>
      <c r="N275" s="33"/>
    </row>
    <row r="276" spans="2:14" ht="10.15" customHeight="1">
      <c r="B276" s="33"/>
      <c r="C276" s="33"/>
      <c r="D276" s="33"/>
      <c r="E276" s="33"/>
      <c r="F276" s="33"/>
      <c r="G276" s="33"/>
      <c r="I276" s="33"/>
      <c r="N276" s="33"/>
    </row>
    <row r="277" spans="2:14" ht="10.15" customHeight="1">
      <c r="B277" s="33"/>
      <c r="C277" s="33"/>
      <c r="D277" s="33"/>
      <c r="E277" s="33"/>
      <c r="F277" s="33"/>
      <c r="G277" s="33"/>
      <c r="I277" s="33"/>
      <c r="N277" s="33"/>
    </row>
    <row r="278" spans="2:14" ht="10.15" customHeight="1">
      <c r="B278" s="33"/>
      <c r="C278" s="33"/>
      <c r="D278" s="33"/>
      <c r="E278" s="33"/>
      <c r="F278" s="33"/>
      <c r="G278" s="33"/>
      <c r="I278" s="33"/>
      <c r="N278" s="33"/>
    </row>
    <row r="279" spans="2:14" ht="10.15" customHeight="1">
      <c r="B279" s="33"/>
      <c r="C279" s="33"/>
      <c r="D279" s="33"/>
      <c r="E279" s="33"/>
      <c r="F279" s="33"/>
      <c r="G279" s="33"/>
      <c r="I279" s="33"/>
      <c r="N279" s="33"/>
    </row>
    <row r="280" spans="2:14" ht="10.15" customHeight="1">
      <c r="B280" s="33"/>
      <c r="C280" s="33"/>
      <c r="D280" s="33"/>
      <c r="E280" s="33"/>
      <c r="F280" s="33"/>
      <c r="G280" s="33"/>
      <c r="I280" s="33"/>
      <c r="N280" s="33"/>
    </row>
    <row r="281" spans="2:14" ht="10.15" customHeight="1">
      <c r="B281" s="33"/>
      <c r="C281" s="33"/>
      <c r="D281" s="33"/>
      <c r="E281" s="33"/>
      <c r="F281" s="33"/>
      <c r="G281" s="33"/>
      <c r="I281" s="33"/>
      <c r="N281" s="33"/>
    </row>
    <row r="282" spans="2:14" ht="10.15" customHeight="1">
      <c r="B282" s="33"/>
      <c r="C282" s="33"/>
      <c r="D282" s="33"/>
      <c r="E282" s="33"/>
      <c r="F282" s="33"/>
      <c r="G282" s="33"/>
      <c r="I282" s="33"/>
      <c r="N282" s="33"/>
    </row>
    <row r="283" spans="2:14" ht="10.15" customHeight="1">
      <c r="B283" s="33"/>
      <c r="C283" s="33"/>
      <c r="D283" s="33"/>
      <c r="E283" s="33"/>
      <c r="F283" s="33"/>
      <c r="G283" s="33"/>
      <c r="I283" s="33"/>
      <c r="N283" s="33"/>
    </row>
    <row r="284" spans="2:14" ht="10.15" customHeight="1">
      <c r="B284" s="33"/>
      <c r="C284" s="33"/>
      <c r="D284" s="33"/>
      <c r="E284" s="33"/>
      <c r="F284" s="33"/>
      <c r="G284" s="33"/>
      <c r="I284" s="33"/>
      <c r="N284" s="33"/>
    </row>
    <row r="285" spans="2:14" ht="10.15" customHeight="1">
      <c r="B285" s="33"/>
      <c r="C285" s="33"/>
      <c r="D285" s="33"/>
      <c r="E285" s="33"/>
      <c r="F285" s="33"/>
      <c r="G285" s="33"/>
      <c r="I285" s="33"/>
      <c r="N285" s="33"/>
    </row>
    <row r="286" spans="2:14" ht="10.15" customHeight="1">
      <c r="B286" s="33"/>
      <c r="C286" s="33"/>
      <c r="D286" s="33"/>
      <c r="E286" s="33"/>
      <c r="F286" s="33"/>
      <c r="G286" s="33"/>
      <c r="I286" s="33"/>
      <c r="N286" s="33"/>
    </row>
    <row r="287" spans="2:14" ht="10.15" customHeight="1">
      <c r="B287" s="33"/>
      <c r="C287" s="33"/>
      <c r="D287" s="33"/>
      <c r="E287" s="33"/>
      <c r="F287" s="33"/>
      <c r="G287" s="33"/>
      <c r="I287" s="33"/>
      <c r="N287" s="33"/>
    </row>
    <row r="288" spans="2:14" ht="10.15" customHeight="1">
      <c r="B288" s="33"/>
      <c r="C288" s="33"/>
      <c r="D288" s="33"/>
      <c r="E288" s="33"/>
      <c r="F288" s="33"/>
      <c r="G288" s="33"/>
      <c r="I288" s="33"/>
      <c r="N288" s="33"/>
    </row>
    <row r="289" spans="2:14" ht="10.15" customHeight="1">
      <c r="B289" s="33"/>
      <c r="C289" s="33"/>
      <c r="D289" s="33"/>
      <c r="E289" s="33"/>
      <c r="F289" s="33"/>
      <c r="G289" s="33"/>
      <c r="I289" s="33"/>
      <c r="N289" s="33"/>
    </row>
    <row r="290" spans="2:14" ht="10.15" customHeight="1">
      <c r="B290" s="33"/>
      <c r="C290" s="33"/>
      <c r="D290" s="33"/>
      <c r="E290" s="33"/>
      <c r="F290" s="33"/>
      <c r="G290" s="33"/>
      <c r="I290" s="33"/>
      <c r="N290" s="33"/>
    </row>
    <row r="291" spans="2:14" ht="10.15" customHeight="1">
      <c r="B291" s="33"/>
      <c r="C291" s="33"/>
      <c r="D291" s="33"/>
      <c r="E291" s="33"/>
      <c r="F291" s="33"/>
      <c r="G291" s="33"/>
      <c r="I291" s="33"/>
      <c r="N291" s="33"/>
    </row>
    <row r="292" spans="2:14" ht="10.15" customHeight="1">
      <c r="B292" s="33"/>
      <c r="C292" s="33"/>
      <c r="D292" s="33"/>
      <c r="E292" s="33"/>
      <c r="F292" s="33"/>
      <c r="G292" s="33"/>
      <c r="I292" s="33"/>
      <c r="N292" s="33"/>
    </row>
    <row r="293" spans="2:14" ht="10.15" customHeight="1">
      <c r="B293" s="33"/>
      <c r="C293" s="33"/>
      <c r="D293" s="33"/>
      <c r="E293" s="33"/>
      <c r="F293" s="33"/>
      <c r="G293" s="33"/>
      <c r="I293" s="33"/>
      <c r="N293" s="33"/>
    </row>
    <row r="294" spans="2:14" ht="10.15" customHeight="1">
      <c r="B294" s="33"/>
      <c r="C294" s="33"/>
      <c r="D294" s="33"/>
      <c r="E294" s="33"/>
      <c r="F294" s="33"/>
      <c r="G294" s="33"/>
      <c r="I294" s="33"/>
      <c r="N294" s="33"/>
    </row>
    <row r="295" spans="2:14" ht="10.15" customHeight="1">
      <c r="B295" s="33"/>
      <c r="C295" s="33"/>
      <c r="D295" s="33"/>
      <c r="E295" s="33"/>
      <c r="F295" s="33"/>
      <c r="G295" s="33"/>
      <c r="I295" s="33"/>
      <c r="N295" s="33"/>
    </row>
    <row r="296" spans="2:14" ht="10.15" customHeight="1">
      <c r="B296" s="33"/>
      <c r="C296" s="33"/>
      <c r="D296" s="33"/>
      <c r="E296" s="33"/>
      <c r="F296" s="33"/>
      <c r="G296" s="33"/>
      <c r="I296" s="33"/>
      <c r="N296" s="33"/>
    </row>
    <row r="297" spans="2:14" ht="10.15" customHeight="1">
      <c r="B297" s="33"/>
      <c r="C297" s="33"/>
      <c r="D297" s="33"/>
      <c r="E297" s="33"/>
      <c r="F297" s="33"/>
      <c r="G297" s="33"/>
      <c r="I297" s="33"/>
      <c r="N297" s="33"/>
    </row>
    <row r="298" spans="2:14" ht="10.15" customHeight="1">
      <c r="B298" s="33"/>
      <c r="C298" s="33"/>
      <c r="D298" s="33"/>
      <c r="E298" s="33"/>
      <c r="F298" s="33"/>
      <c r="G298" s="33"/>
      <c r="I298" s="33"/>
      <c r="N298" s="33"/>
    </row>
    <row r="299" spans="2:14" ht="10.15" customHeight="1">
      <c r="B299" s="33"/>
      <c r="C299" s="33"/>
      <c r="D299" s="33"/>
      <c r="E299" s="33"/>
      <c r="F299" s="33"/>
      <c r="G299" s="33"/>
      <c r="I299" s="33"/>
      <c r="N299" s="33"/>
    </row>
    <row r="300" spans="2:14" ht="10.15" customHeight="1">
      <c r="B300" s="33"/>
      <c r="C300" s="33"/>
      <c r="D300" s="33"/>
      <c r="E300" s="33"/>
      <c r="F300" s="33"/>
      <c r="G300" s="33"/>
      <c r="I300" s="33"/>
      <c r="N300" s="33"/>
    </row>
    <row r="301" spans="2:14" ht="10.15" customHeight="1">
      <c r="B301" s="33"/>
      <c r="C301" s="33"/>
      <c r="D301" s="33"/>
      <c r="E301" s="33"/>
      <c r="F301" s="33"/>
      <c r="G301" s="33"/>
      <c r="I301" s="33"/>
      <c r="N301" s="33"/>
    </row>
    <row r="302" spans="2:14" ht="10.15" customHeight="1">
      <c r="B302" s="33"/>
      <c r="C302" s="33"/>
      <c r="D302" s="33"/>
      <c r="E302" s="33"/>
      <c r="F302" s="33"/>
      <c r="G302" s="33"/>
      <c r="I302" s="33"/>
      <c r="N302" s="33"/>
    </row>
    <row r="303" spans="2:14" ht="10.15" customHeight="1">
      <c r="B303" s="33"/>
      <c r="C303" s="33"/>
      <c r="D303" s="33"/>
      <c r="E303" s="33"/>
      <c r="F303" s="33"/>
      <c r="G303" s="33"/>
      <c r="I303" s="33"/>
      <c r="N303" s="33"/>
    </row>
    <row r="304" spans="2:14" ht="10.15" customHeight="1">
      <c r="B304" s="33"/>
      <c r="C304" s="33"/>
      <c r="D304" s="33"/>
      <c r="E304" s="33"/>
      <c r="F304" s="33"/>
      <c r="G304" s="33"/>
      <c r="I304" s="33"/>
      <c r="N304" s="33"/>
    </row>
    <row r="305" spans="2:14" ht="10.15" customHeight="1">
      <c r="B305" s="33"/>
      <c r="C305" s="33"/>
      <c r="D305" s="33"/>
      <c r="E305" s="33"/>
      <c r="F305" s="33"/>
      <c r="G305" s="33"/>
      <c r="I305" s="33"/>
      <c r="N305" s="33"/>
    </row>
    <row r="306" spans="2:14" ht="10.15" customHeight="1">
      <c r="B306" s="33"/>
      <c r="C306" s="33"/>
      <c r="D306" s="33"/>
      <c r="E306" s="33"/>
      <c r="F306" s="33"/>
      <c r="G306" s="33"/>
      <c r="I306" s="33"/>
      <c r="N306" s="33"/>
    </row>
    <row r="307" spans="2:14" ht="10.15" customHeight="1">
      <c r="B307" s="33"/>
      <c r="C307" s="33"/>
      <c r="D307" s="33"/>
      <c r="E307" s="33"/>
      <c r="F307" s="33"/>
      <c r="G307" s="33"/>
      <c r="I307" s="33"/>
      <c r="N307" s="33"/>
    </row>
    <row r="308" spans="2:14" ht="10.15" customHeight="1">
      <c r="B308" s="33"/>
      <c r="C308" s="33"/>
      <c r="D308" s="33"/>
      <c r="E308" s="33"/>
      <c r="F308" s="33"/>
      <c r="G308" s="33"/>
      <c r="I308" s="33"/>
      <c r="N308" s="33"/>
    </row>
    <row r="309" spans="2:14" ht="10.15" customHeight="1">
      <c r="B309" s="33"/>
      <c r="C309" s="33"/>
      <c r="D309" s="33"/>
      <c r="E309" s="33"/>
      <c r="F309" s="33"/>
      <c r="G309" s="33"/>
      <c r="I309" s="33"/>
      <c r="N309" s="33"/>
    </row>
    <row r="310" spans="2:14" ht="10.15" customHeight="1">
      <c r="B310" s="33"/>
      <c r="C310" s="33"/>
      <c r="D310" s="33"/>
      <c r="E310" s="33"/>
      <c r="F310" s="33"/>
      <c r="G310" s="33"/>
      <c r="I310" s="33"/>
      <c r="N310" s="33"/>
    </row>
    <row r="311" spans="2:14" ht="10.15" customHeight="1">
      <c r="B311" s="33"/>
      <c r="C311" s="33"/>
      <c r="D311" s="33"/>
      <c r="E311" s="33"/>
      <c r="F311" s="33"/>
      <c r="G311" s="33"/>
      <c r="I311" s="33"/>
      <c r="N311" s="33"/>
    </row>
    <row r="312" spans="2:14" ht="10.15" customHeight="1">
      <c r="B312" s="33"/>
      <c r="C312" s="33"/>
      <c r="D312" s="33"/>
      <c r="E312" s="33"/>
      <c r="F312" s="33"/>
      <c r="G312" s="33"/>
      <c r="I312" s="33"/>
      <c r="N312" s="33"/>
    </row>
    <row r="313" spans="2:14" ht="10.15" customHeight="1">
      <c r="B313" s="33"/>
      <c r="C313" s="33"/>
      <c r="D313" s="33"/>
      <c r="E313" s="33"/>
      <c r="F313" s="33"/>
      <c r="G313" s="33"/>
      <c r="I313" s="33"/>
      <c r="N313" s="33"/>
    </row>
    <row r="314" spans="2:14" ht="10.15" customHeight="1">
      <c r="B314" s="33"/>
      <c r="C314" s="33"/>
      <c r="D314" s="33"/>
      <c r="E314" s="33"/>
      <c r="F314" s="33"/>
      <c r="G314" s="33"/>
      <c r="I314" s="33"/>
      <c r="N314" s="33"/>
    </row>
    <row r="315" spans="2:14" ht="10.15" customHeight="1">
      <c r="B315" s="33"/>
      <c r="C315" s="33"/>
      <c r="D315" s="33"/>
      <c r="E315" s="33"/>
      <c r="F315" s="33"/>
      <c r="G315" s="33"/>
      <c r="I315" s="33"/>
      <c r="N315" s="33"/>
    </row>
    <row r="316" spans="2:14" ht="10.15" customHeight="1">
      <c r="B316" s="33"/>
      <c r="C316" s="33"/>
      <c r="D316" s="33"/>
      <c r="E316" s="33"/>
      <c r="F316" s="33"/>
      <c r="G316" s="33"/>
      <c r="I316" s="33"/>
      <c r="N316" s="33"/>
    </row>
    <row r="317" spans="2:14" ht="10.15" customHeight="1">
      <c r="B317" s="33"/>
      <c r="C317" s="33"/>
      <c r="D317" s="33"/>
      <c r="E317" s="33"/>
      <c r="F317" s="33"/>
      <c r="G317" s="33"/>
      <c r="I317" s="33"/>
      <c r="N317" s="33"/>
    </row>
    <row r="318" spans="2:14" ht="10.15" customHeight="1">
      <c r="B318" s="33"/>
      <c r="C318" s="33"/>
      <c r="D318" s="33"/>
      <c r="E318" s="33"/>
      <c r="F318" s="33"/>
      <c r="G318" s="33"/>
      <c r="I318" s="33"/>
      <c r="N318" s="33"/>
    </row>
    <row r="319" spans="2:14" ht="10.15" customHeight="1">
      <c r="B319" s="33"/>
      <c r="C319" s="33"/>
      <c r="D319" s="33"/>
      <c r="E319" s="33"/>
      <c r="F319" s="33"/>
      <c r="G319" s="33"/>
      <c r="I319" s="33"/>
      <c r="N319" s="33"/>
    </row>
    <row r="320" spans="2:14" ht="10.15" customHeight="1">
      <c r="B320" s="33"/>
      <c r="C320" s="33"/>
      <c r="D320" s="33"/>
      <c r="E320" s="33"/>
      <c r="F320" s="33"/>
      <c r="G320" s="33"/>
      <c r="I320" s="33"/>
      <c r="N320" s="33"/>
    </row>
    <row r="321" spans="2:14" ht="10.15" customHeight="1">
      <c r="B321" s="33"/>
      <c r="C321" s="33"/>
      <c r="D321" s="33"/>
      <c r="E321" s="33"/>
      <c r="F321" s="33"/>
      <c r="G321" s="33"/>
      <c r="I321" s="33"/>
      <c r="N321" s="33"/>
    </row>
    <row r="322" spans="2:14" ht="10.15" customHeight="1">
      <c r="B322" s="33"/>
      <c r="C322" s="33"/>
      <c r="D322" s="33"/>
      <c r="E322" s="33"/>
      <c r="F322" s="33"/>
      <c r="G322" s="33"/>
      <c r="I322" s="33"/>
      <c r="N322" s="33"/>
    </row>
    <row r="323" spans="2:14" ht="10.15" customHeight="1">
      <c r="B323" s="33"/>
      <c r="C323" s="33"/>
      <c r="D323" s="33"/>
      <c r="E323" s="33"/>
      <c r="F323" s="33"/>
      <c r="G323" s="33"/>
      <c r="I323" s="33"/>
      <c r="N323" s="33"/>
    </row>
    <row r="324" spans="2:14" ht="10.15" customHeight="1">
      <c r="B324" s="33"/>
      <c r="C324" s="33"/>
      <c r="D324" s="33"/>
      <c r="E324" s="33"/>
      <c r="F324" s="33"/>
      <c r="G324" s="33"/>
      <c r="I324" s="33"/>
      <c r="N324" s="33"/>
    </row>
    <row r="325" spans="2:14" ht="10.15" customHeight="1">
      <c r="B325" s="33"/>
      <c r="C325" s="33"/>
      <c r="D325" s="33"/>
      <c r="E325" s="33"/>
      <c r="F325" s="33"/>
      <c r="G325" s="33"/>
      <c r="I325" s="33"/>
      <c r="N325" s="33"/>
    </row>
    <row r="326" spans="2:14" ht="10.15" customHeight="1">
      <c r="B326" s="33"/>
      <c r="C326" s="33"/>
      <c r="D326" s="33"/>
      <c r="E326" s="33"/>
      <c r="F326" s="33"/>
      <c r="G326" s="33"/>
      <c r="I326" s="33"/>
      <c r="N326" s="33"/>
    </row>
    <row r="327" spans="2:14" ht="10.15" customHeight="1">
      <c r="B327" s="33"/>
      <c r="C327" s="33"/>
      <c r="D327" s="33"/>
      <c r="E327" s="33"/>
      <c r="F327" s="33"/>
      <c r="G327" s="33"/>
      <c r="I327" s="33"/>
      <c r="N327" s="33"/>
    </row>
    <row r="328" spans="2:14" ht="10.15" customHeight="1">
      <c r="B328" s="33"/>
      <c r="C328" s="33"/>
      <c r="D328" s="33"/>
      <c r="E328" s="33"/>
      <c r="F328" s="33"/>
      <c r="G328" s="33"/>
      <c r="I328" s="33"/>
      <c r="N328" s="33"/>
    </row>
    <row r="329" spans="2:14" ht="10.15" customHeight="1">
      <c r="B329" s="33"/>
      <c r="C329" s="33"/>
      <c r="D329" s="33"/>
      <c r="E329" s="33"/>
      <c r="F329" s="33"/>
      <c r="G329" s="33"/>
      <c r="I329" s="33"/>
      <c r="N329" s="33"/>
    </row>
    <row r="330" spans="2:14" ht="10.15" customHeight="1">
      <c r="B330" s="33"/>
      <c r="C330" s="33"/>
      <c r="D330" s="33"/>
      <c r="E330" s="33"/>
      <c r="F330" s="33"/>
      <c r="G330" s="33"/>
      <c r="I330" s="33"/>
      <c r="N330" s="33"/>
    </row>
    <row r="331" spans="2:14" ht="10.15" customHeight="1">
      <c r="B331" s="33"/>
      <c r="C331" s="33"/>
      <c r="D331" s="33"/>
      <c r="E331" s="33"/>
      <c r="F331" s="33"/>
      <c r="G331" s="33"/>
      <c r="I331" s="33"/>
      <c r="N331" s="33"/>
    </row>
    <row r="332" spans="2:14" ht="10.15" customHeight="1">
      <c r="B332" s="33"/>
      <c r="C332" s="33"/>
      <c r="D332" s="33"/>
      <c r="E332" s="33"/>
      <c r="F332" s="33"/>
      <c r="G332" s="33"/>
      <c r="I332" s="33"/>
      <c r="N332" s="33"/>
    </row>
    <row r="333" spans="2:14" ht="10.15" customHeight="1">
      <c r="B333" s="33"/>
      <c r="C333" s="33"/>
      <c r="D333" s="33"/>
      <c r="E333" s="33"/>
      <c r="F333" s="33"/>
      <c r="G333" s="33"/>
      <c r="I333" s="33"/>
      <c r="N333" s="33"/>
    </row>
    <row r="334" spans="2:14" ht="10.15" customHeight="1">
      <c r="B334" s="33"/>
      <c r="C334" s="33"/>
      <c r="D334" s="33"/>
      <c r="E334" s="33"/>
      <c r="F334" s="33"/>
      <c r="G334" s="33"/>
      <c r="I334" s="33"/>
      <c r="N334" s="33"/>
    </row>
    <row r="335" spans="2:14" ht="10.15" customHeight="1">
      <c r="B335" s="33"/>
      <c r="C335" s="33"/>
      <c r="D335" s="33"/>
      <c r="E335" s="33"/>
      <c r="F335" s="33"/>
      <c r="G335" s="33"/>
      <c r="I335" s="33"/>
      <c r="N335" s="33"/>
    </row>
    <row r="336" spans="2:14" ht="10.15" customHeight="1">
      <c r="B336" s="33"/>
      <c r="C336" s="33"/>
      <c r="D336" s="33"/>
      <c r="E336" s="33"/>
      <c r="F336" s="33"/>
      <c r="G336" s="33"/>
      <c r="I336" s="33"/>
      <c r="N336" s="33"/>
    </row>
    <row r="337" spans="2:14" ht="10.15" customHeight="1">
      <c r="B337" s="33"/>
      <c r="C337" s="33"/>
      <c r="D337" s="33"/>
      <c r="E337" s="33"/>
      <c r="F337" s="33"/>
      <c r="G337" s="33"/>
      <c r="I337" s="33"/>
      <c r="N337" s="33"/>
    </row>
    <row r="338" spans="2:14" ht="10.15" customHeight="1">
      <c r="B338" s="33"/>
      <c r="C338" s="33"/>
      <c r="D338" s="33"/>
      <c r="E338" s="33"/>
      <c r="F338" s="33"/>
      <c r="G338" s="33"/>
      <c r="I338" s="33"/>
      <c r="N338" s="33"/>
    </row>
    <row r="339" spans="2:14" ht="10.15" customHeight="1">
      <c r="B339" s="33"/>
      <c r="C339" s="33"/>
      <c r="D339" s="33"/>
      <c r="E339" s="33"/>
      <c r="F339" s="33"/>
      <c r="G339" s="33"/>
      <c r="I339" s="33"/>
      <c r="N339" s="33"/>
    </row>
    <row r="340" spans="2:14" ht="10.15" customHeight="1">
      <c r="B340" s="33"/>
      <c r="C340" s="33"/>
      <c r="D340" s="33"/>
      <c r="E340" s="33"/>
      <c r="F340" s="33"/>
      <c r="G340" s="33"/>
      <c r="I340" s="33"/>
      <c r="N340" s="33"/>
    </row>
    <row r="341" spans="2:14" ht="10.15" customHeight="1">
      <c r="B341" s="33"/>
      <c r="C341" s="33"/>
      <c r="D341" s="33"/>
      <c r="E341" s="33"/>
      <c r="F341" s="33"/>
      <c r="G341" s="33"/>
      <c r="I341" s="33"/>
      <c r="N341" s="33"/>
    </row>
    <row r="342" spans="2:14" ht="10.15" customHeight="1">
      <c r="B342" s="33"/>
      <c r="C342" s="33"/>
      <c r="D342" s="33"/>
      <c r="E342" s="33"/>
      <c r="F342" s="33"/>
      <c r="G342" s="33"/>
      <c r="I342" s="33"/>
      <c r="N342" s="33"/>
    </row>
    <row r="343" spans="2:14" ht="10.15" customHeight="1">
      <c r="B343" s="33"/>
      <c r="C343" s="33"/>
      <c r="D343" s="33"/>
      <c r="E343" s="33"/>
      <c r="F343" s="33"/>
      <c r="G343" s="33"/>
      <c r="I343" s="33"/>
      <c r="N343" s="33"/>
    </row>
    <row r="344" spans="2:14" ht="10.15" customHeight="1">
      <c r="B344" s="33"/>
      <c r="C344" s="33"/>
      <c r="D344" s="33"/>
      <c r="E344" s="33"/>
      <c r="F344" s="33"/>
      <c r="G344" s="33"/>
      <c r="I344" s="33"/>
      <c r="N344" s="33"/>
    </row>
    <row r="345" spans="2:14" ht="10.15" customHeight="1">
      <c r="B345" s="33"/>
      <c r="C345" s="33"/>
      <c r="D345" s="33"/>
      <c r="E345" s="33"/>
      <c r="F345" s="33"/>
      <c r="G345" s="33"/>
      <c r="I345" s="33"/>
      <c r="N345" s="33"/>
    </row>
    <row r="346" spans="2:14" ht="10.15" customHeight="1">
      <c r="B346" s="33"/>
      <c r="C346" s="33"/>
      <c r="D346" s="33"/>
      <c r="E346" s="33"/>
      <c r="F346" s="33"/>
      <c r="G346" s="33"/>
      <c r="I346" s="33"/>
      <c r="N346" s="33"/>
    </row>
    <row r="347" spans="2:14" ht="10.15" customHeight="1">
      <c r="B347" s="33"/>
      <c r="C347" s="33"/>
      <c r="D347" s="33"/>
      <c r="E347" s="33"/>
      <c r="F347" s="33"/>
      <c r="G347" s="33"/>
      <c r="I347" s="33"/>
      <c r="N347" s="33"/>
    </row>
    <row r="348" spans="2:14" ht="10.15" customHeight="1">
      <c r="B348" s="33"/>
      <c r="C348" s="33"/>
      <c r="D348" s="33"/>
      <c r="E348" s="33"/>
      <c r="F348" s="33"/>
      <c r="G348" s="33"/>
      <c r="I348" s="33"/>
      <c r="N348" s="33"/>
    </row>
    <row r="349" spans="2:14" ht="10.15" customHeight="1">
      <c r="B349" s="33"/>
      <c r="C349" s="33"/>
      <c r="D349" s="33"/>
      <c r="E349" s="33"/>
      <c r="F349" s="33"/>
      <c r="G349" s="33"/>
      <c r="I349" s="33"/>
      <c r="N349" s="33"/>
    </row>
    <row r="350" spans="2:14" ht="10.15" customHeight="1">
      <c r="B350" s="33"/>
      <c r="C350" s="33"/>
      <c r="D350" s="33"/>
      <c r="E350" s="33"/>
      <c r="F350" s="33"/>
      <c r="G350" s="33"/>
      <c r="I350" s="33"/>
      <c r="N350" s="33"/>
    </row>
    <row r="351" spans="2:14" ht="10.15" customHeight="1">
      <c r="B351" s="33"/>
      <c r="C351" s="33"/>
      <c r="D351" s="33"/>
      <c r="E351" s="33"/>
      <c r="F351" s="33"/>
      <c r="G351" s="33"/>
      <c r="I351" s="33"/>
      <c r="N351" s="33"/>
    </row>
    <row r="352" spans="2:14" ht="10.15" customHeight="1">
      <c r="B352" s="33"/>
      <c r="C352" s="33"/>
      <c r="D352" s="33"/>
      <c r="E352" s="33"/>
      <c r="F352" s="33"/>
      <c r="G352" s="33"/>
      <c r="I352" s="33"/>
      <c r="N352" s="33"/>
    </row>
    <row r="353" spans="2:14" ht="10.15" customHeight="1">
      <c r="B353" s="33"/>
      <c r="C353" s="33"/>
      <c r="D353" s="33"/>
      <c r="E353" s="33"/>
      <c r="F353" s="33"/>
      <c r="G353" s="33"/>
      <c r="I353" s="33"/>
      <c r="N353" s="33"/>
    </row>
    <row r="354" spans="2:14" ht="10.15" customHeight="1">
      <c r="B354" s="33"/>
      <c r="C354" s="33"/>
      <c r="D354" s="33"/>
      <c r="E354" s="33"/>
      <c r="F354" s="33"/>
      <c r="G354" s="33"/>
      <c r="I354" s="33"/>
      <c r="N354" s="33"/>
    </row>
    <row r="355" spans="2:14" ht="10.15" customHeight="1">
      <c r="B355" s="33"/>
      <c r="C355" s="33"/>
      <c r="D355" s="33"/>
      <c r="E355" s="33"/>
      <c r="F355" s="33"/>
      <c r="G355" s="33"/>
      <c r="I355" s="33"/>
      <c r="N355" s="33"/>
    </row>
    <row r="356" spans="2:14" ht="10.15" customHeight="1">
      <c r="B356" s="33"/>
      <c r="C356" s="33"/>
      <c r="D356" s="33"/>
      <c r="E356" s="33"/>
      <c r="F356" s="33"/>
      <c r="G356" s="33"/>
      <c r="I356" s="33"/>
      <c r="N356" s="33"/>
    </row>
    <row r="357" spans="2:14" ht="10.15" customHeight="1">
      <c r="B357" s="33"/>
      <c r="C357" s="33"/>
      <c r="D357" s="33"/>
      <c r="E357" s="33"/>
      <c r="F357" s="33"/>
      <c r="G357" s="33"/>
      <c r="I357" s="33"/>
      <c r="N357" s="33"/>
    </row>
    <row r="358" spans="2:14" ht="10.15" customHeight="1">
      <c r="B358" s="33"/>
      <c r="C358" s="33"/>
      <c r="D358" s="33"/>
      <c r="E358" s="33"/>
      <c r="F358" s="33"/>
      <c r="G358" s="33"/>
      <c r="I358" s="33"/>
      <c r="N358" s="33"/>
    </row>
    <row r="359" spans="2:14" ht="10.15" customHeight="1">
      <c r="B359" s="33"/>
      <c r="C359" s="33"/>
      <c r="D359" s="33"/>
      <c r="E359" s="33"/>
      <c r="F359" s="33"/>
      <c r="G359" s="33"/>
      <c r="I359" s="33"/>
      <c r="N359" s="33"/>
    </row>
    <row r="360" spans="2:14" ht="10.15" customHeight="1">
      <c r="B360" s="33"/>
      <c r="C360" s="33"/>
      <c r="D360" s="33"/>
      <c r="E360" s="33"/>
      <c r="F360" s="33"/>
      <c r="G360" s="33"/>
      <c r="I360" s="33"/>
      <c r="N360" s="33"/>
    </row>
    <row r="361" spans="2:14" ht="10.15" customHeight="1">
      <c r="B361" s="33"/>
      <c r="C361" s="33"/>
      <c r="D361" s="33"/>
      <c r="E361" s="33"/>
      <c r="F361" s="33"/>
      <c r="G361" s="33"/>
      <c r="I361" s="33"/>
      <c r="N361" s="33"/>
    </row>
    <row r="362" spans="2:14" ht="10.15" customHeight="1">
      <c r="B362" s="33"/>
      <c r="C362" s="33"/>
      <c r="D362" s="33"/>
      <c r="E362" s="33"/>
      <c r="F362" s="33"/>
      <c r="G362" s="33"/>
      <c r="I362" s="33"/>
      <c r="N362" s="33"/>
    </row>
    <row r="363" spans="2:14" ht="10.15" customHeight="1">
      <c r="B363" s="33"/>
      <c r="C363" s="33"/>
      <c r="D363" s="33"/>
      <c r="E363" s="33"/>
      <c r="F363" s="33"/>
      <c r="G363" s="33"/>
      <c r="I363" s="33"/>
      <c r="N363" s="33"/>
    </row>
    <row r="364" spans="2:14" ht="10.15" customHeight="1">
      <c r="B364" s="33"/>
      <c r="C364" s="33"/>
      <c r="D364" s="33"/>
      <c r="E364" s="33"/>
      <c r="F364" s="33"/>
      <c r="G364" s="33"/>
      <c r="I364" s="33"/>
      <c r="N364" s="33"/>
    </row>
    <row r="365" spans="2:14" ht="10.15" customHeight="1">
      <c r="B365" s="33"/>
      <c r="C365" s="33"/>
      <c r="D365" s="33"/>
      <c r="E365" s="33"/>
      <c r="F365" s="33"/>
      <c r="G365" s="33"/>
      <c r="I365" s="33"/>
      <c r="N365" s="33"/>
    </row>
    <row r="366" spans="2:14" ht="10.15" customHeight="1">
      <c r="B366" s="33"/>
      <c r="C366" s="33"/>
      <c r="D366" s="33"/>
      <c r="E366" s="33"/>
      <c r="F366" s="33"/>
      <c r="G366" s="33"/>
      <c r="I366" s="33"/>
      <c r="N366" s="33"/>
    </row>
    <row r="367" spans="2:14" ht="10.15" customHeight="1">
      <c r="B367" s="33"/>
      <c r="C367" s="33"/>
      <c r="D367" s="33"/>
      <c r="E367" s="33"/>
      <c r="F367" s="33"/>
      <c r="G367" s="33"/>
      <c r="I367" s="33"/>
      <c r="N367" s="33"/>
    </row>
    <row r="368" spans="2:14" ht="10.15" customHeight="1">
      <c r="B368" s="33"/>
      <c r="C368" s="33"/>
      <c r="D368" s="33"/>
      <c r="E368" s="33"/>
      <c r="F368" s="33"/>
      <c r="G368" s="33"/>
      <c r="I368" s="33"/>
      <c r="N368" s="33"/>
    </row>
    <row r="369" spans="2:14" ht="10.15" customHeight="1">
      <c r="B369" s="33"/>
      <c r="C369" s="33"/>
      <c r="D369" s="33"/>
      <c r="E369" s="33"/>
      <c r="F369" s="33"/>
      <c r="G369" s="33"/>
      <c r="I369" s="33"/>
      <c r="N369" s="33"/>
    </row>
    <row r="370" spans="2:14" ht="10.15" customHeight="1">
      <c r="B370" s="33"/>
      <c r="C370" s="33"/>
      <c r="D370" s="33"/>
      <c r="E370" s="33"/>
      <c r="F370" s="33"/>
      <c r="G370" s="33"/>
      <c r="I370" s="33"/>
      <c r="N370" s="33"/>
    </row>
    <row r="371" spans="2:14" ht="10.15" customHeight="1">
      <c r="B371" s="33"/>
      <c r="C371" s="33"/>
      <c r="D371" s="33"/>
      <c r="E371" s="33"/>
      <c r="F371" s="33"/>
      <c r="G371" s="33"/>
      <c r="I371" s="33"/>
      <c r="N371" s="33"/>
    </row>
    <row r="372" spans="2:14" ht="10.15" customHeight="1">
      <c r="B372" s="33"/>
      <c r="C372" s="33"/>
      <c r="D372" s="33"/>
      <c r="E372" s="33"/>
      <c r="F372" s="33"/>
      <c r="G372" s="33"/>
      <c r="I372" s="33"/>
      <c r="N372" s="33"/>
    </row>
    <row r="373" spans="2:14" ht="10.15" customHeight="1">
      <c r="B373" s="33"/>
      <c r="C373" s="33"/>
      <c r="D373" s="33"/>
      <c r="E373" s="33"/>
      <c r="F373" s="33"/>
      <c r="G373" s="33"/>
      <c r="I373" s="33"/>
      <c r="N373" s="33"/>
    </row>
    <row r="374" spans="2:14" ht="10.15" customHeight="1">
      <c r="B374" s="33"/>
      <c r="C374" s="33"/>
      <c r="D374" s="33"/>
      <c r="E374" s="33"/>
      <c r="F374" s="33"/>
      <c r="G374" s="33"/>
      <c r="I374" s="33"/>
      <c r="N374" s="33"/>
    </row>
    <row r="375" spans="2:14" ht="10.15" customHeight="1">
      <c r="B375" s="33"/>
      <c r="C375" s="33"/>
      <c r="D375" s="33"/>
      <c r="E375" s="33"/>
      <c r="F375" s="33"/>
      <c r="G375" s="33"/>
      <c r="I375" s="33"/>
      <c r="N375" s="33"/>
    </row>
    <row r="376" spans="2:14" ht="10.15" customHeight="1">
      <c r="B376" s="33"/>
      <c r="C376" s="33"/>
      <c r="D376" s="33"/>
      <c r="E376" s="33"/>
      <c r="F376" s="33"/>
      <c r="G376" s="33"/>
      <c r="I376" s="33"/>
      <c r="N376" s="33"/>
    </row>
    <row r="377" spans="2:14" ht="10.15" customHeight="1">
      <c r="B377" s="33"/>
      <c r="C377" s="33"/>
      <c r="D377" s="33"/>
      <c r="E377" s="33"/>
      <c r="F377" s="33"/>
      <c r="G377" s="33"/>
      <c r="I377" s="33"/>
      <c r="N377" s="33"/>
    </row>
    <row r="378" spans="2:14" ht="10.15" customHeight="1">
      <c r="B378" s="33"/>
      <c r="C378" s="33"/>
      <c r="D378" s="33"/>
      <c r="E378" s="33"/>
      <c r="F378" s="33"/>
      <c r="G378" s="33"/>
      <c r="I378" s="33"/>
      <c r="N378" s="33"/>
    </row>
    <row r="379" spans="2:14" ht="10.15" customHeight="1">
      <c r="B379" s="33"/>
      <c r="C379" s="33"/>
      <c r="D379" s="33"/>
      <c r="E379" s="33"/>
      <c r="F379" s="33"/>
      <c r="G379" s="33"/>
      <c r="I379" s="33"/>
      <c r="N379" s="33"/>
    </row>
    <row r="380" spans="2:14" ht="10.15" customHeight="1">
      <c r="B380" s="33"/>
      <c r="C380" s="33"/>
      <c r="D380" s="33"/>
      <c r="E380" s="33"/>
      <c r="F380" s="33"/>
      <c r="G380" s="33"/>
      <c r="I380" s="33"/>
      <c r="N380" s="33"/>
    </row>
    <row r="381" spans="2:14" ht="10.15" customHeight="1">
      <c r="B381" s="33"/>
      <c r="C381" s="33"/>
      <c r="D381" s="33"/>
      <c r="E381" s="33"/>
      <c r="F381" s="33"/>
      <c r="G381" s="33"/>
      <c r="I381" s="33"/>
      <c r="N381" s="33"/>
    </row>
    <row r="382" spans="2:14" ht="10.15" customHeight="1">
      <c r="B382" s="33"/>
      <c r="C382" s="33"/>
      <c r="D382" s="33"/>
      <c r="E382" s="33"/>
      <c r="F382" s="33"/>
      <c r="G382" s="33"/>
      <c r="I382" s="33"/>
      <c r="N382" s="33"/>
    </row>
    <row r="383" spans="2:14" ht="10.15" customHeight="1">
      <c r="B383" s="33"/>
      <c r="C383" s="33"/>
      <c r="D383" s="33"/>
      <c r="E383" s="33"/>
      <c r="F383" s="33"/>
      <c r="G383" s="33"/>
      <c r="I383" s="33"/>
      <c r="N383" s="33"/>
    </row>
    <row r="384" spans="2:14" ht="10.15" customHeight="1">
      <c r="B384" s="33"/>
      <c r="C384" s="33"/>
      <c r="D384" s="33"/>
      <c r="E384" s="33"/>
      <c r="F384" s="33"/>
      <c r="G384" s="33"/>
      <c r="I384" s="33"/>
      <c r="N384" s="33"/>
    </row>
    <row r="385" spans="2:14" ht="10.15" customHeight="1">
      <c r="B385" s="33"/>
      <c r="C385" s="33"/>
      <c r="D385" s="33"/>
      <c r="E385" s="33"/>
      <c r="F385" s="33"/>
      <c r="G385" s="33"/>
      <c r="I385" s="33"/>
      <c r="N385" s="33"/>
    </row>
    <row r="386" spans="2:14" ht="10.15" customHeight="1">
      <c r="B386" s="33"/>
      <c r="C386" s="33"/>
      <c r="D386" s="33"/>
      <c r="E386" s="33"/>
      <c r="F386" s="33"/>
      <c r="G386" s="33"/>
      <c r="I386" s="33"/>
      <c r="N386" s="33"/>
    </row>
    <row r="387" spans="2:14" ht="10.15" customHeight="1">
      <c r="B387" s="33"/>
      <c r="C387" s="33"/>
      <c r="D387" s="33"/>
      <c r="E387" s="33"/>
      <c r="F387" s="33"/>
      <c r="G387" s="33"/>
      <c r="I387" s="33"/>
      <c r="N387" s="33"/>
    </row>
    <row r="388" spans="2:14" ht="10.15" customHeight="1">
      <c r="B388" s="33"/>
      <c r="C388" s="33"/>
      <c r="D388" s="33"/>
      <c r="E388" s="33"/>
      <c r="F388" s="33"/>
      <c r="G388" s="33"/>
      <c r="I388" s="33"/>
      <c r="N388" s="33"/>
    </row>
    <row r="389" spans="2:14" ht="10.15" customHeight="1">
      <c r="B389" s="33"/>
      <c r="C389" s="33"/>
      <c r="D389" s="33"/>
      <c r="E389" s="33"/>
      <c r="F389" s="33"/>
      <c r="G389" s="33"/>
      <c r="I389" s="33"/>
      <c r="N389" s="33"/>
    </row>
    <row r="390" spans="2:14" ht="10.15" customHeight="1">
      <c r="B390" s="33"/>
      <c r="C390" s="33"/>
      <c r="D390" s="33"/>
      <c r="E390" s="33"/>
      <c r="F390" s="33"/>
      <c r="G390" s="33"/>
      <c r="I390" s="33"/>
      <c r="N390" s="33"/>
    </row>
    <row r="391" spans="2:14" ht="10.15" customHeight="1">
      <c r="B391" s="33"/>
      <c r="C391" s="33"/>
      <c r="D391" s="33"/>
      <c r="E391" s="33"/>
      <c r="F391" s="33"/>
      <c r="G391" s="33"/>
      <c r="I391" s="33"/>
      <c r="N391" s="33"/>
    </row>
    <row r="392" spans="2:14" ht="10.15" customHeight="1">
      <c r="B392" s="33"/>
      <c r="C392" s="33"/>
      <c r="D392" s="33"/>
      <c r="E392" s="33"/>
      <c r="F392" s="33"/>
      <c r="G392" s="33"/>
      <c r="I392" s="33"/>
      <c r="N392" s="33"/>
    </row>
    <row r="393" spans="2:14" ht="10.15" customHeight="1">
      <c r="B393" s="33"/>
      <c r="C393" s="33"/>
      <c r="D393" s="33"/>
      <c r="E393" s="33"/>
      <c r="F393" s="33"/>
      <c r="G393" s="33"/>
      <c r="I393" s="33"/>
      <c r="N393" s="33"/>
    </row>
    <row r="394" spans="2:14" ht="10.15" customHeight="1">
      <c r="B394" s="33"/>
      <c r="C394" s="33"/>
      <c r="D394" s="33"/>
      <c r="E394" s="33"/>
      <c r="F394" s="33"/>
      <c r="G394" s="33"/>
      <c r="I394" s="33"/>
      <c r="N394" s="33"/>
    </row>
    <row r="395" spans="2:14" ht="10.15" customHeight="1">
      <c r="B395" s="33"/>
      <c r="C395" s="33"/>
      <c r="D395" s="33"/>
      <c r="E395" s="33"/>
      <c r="F395" s="33"/>
      <c r="G395" s="33"/>
      <c r="I395" s="33"/>
      <c r="N395" s="33"/>
    </row>
    <row r="396" spans="2:14" ht="10.15" customHeight="1">
      <c r="B396" s="33"/>
      <c r="C396" s="33"/>
      <c r="D396" s="33"/>
      <c r="E396" s="33"/>
      <c r="F396" s="33"/>
      <c r="G396" s="33"/>
      <c r="I396" s="33"/>
      <c r="N396" s="33"/>
    </row>
    <row r="397" spans="2:14" ht="10.15" customHeight="1">
      <c r="B397" s="33"/>
      <c r="C397" s="33"/>
      <c r="D397" s="33"/>
      <c r="E397" s="33"/>
      <c r="F397" s="33"/>
      <c r="G397" s="33"/>
      <c r="I397" s="33"/>
      <c r="N397" s="33"/>
    </row>
    <row r="398" spans="2:14" ht="10.15" customHeight="1">
      <c r="B398" s="33"/>
      <c r="C398" s="33"/>
      <c r="D398" s="33"/>
      <c r="E398" s="33"/>
      <c r="F398" s="33"/>
      <c r="G398" s="33"/>
      <c r="I398" s="33"/>
      <c r="N398" s="33"/>
    </row>
    <row r="399" spans="2:14" ht="10.15" customHeight="1">
      <c r="B399" s="33"/>
      <c r="C399" s="33"/>
      <c r="D399" s="33"/>
      <c r="E399" s="33"/>
      <c r="F399" s="33"/>
      <c r="G399" s="33"/>
      <c r="I399" s="33"/>
      <c r="N399" s="33"/>
    </row>
    <row r="400" spans="2:14" ht="10.15" customHeight="1">
      <c r="B400" s="33"/>
      <c r="C400" s="33"/>
      <c r="D400" s="33"/>
      <c r="E400" s="33"/>
      <c r="F400" s="33"/>
      <c r="G400" s="33"/>
      <c r="I400" s="33"/>
      <c r="N400" s="33"/>
    </row>
    <row r="401" spans="2:14" ht="10.15" customHeight="1">
      <c r="B401" s="33"/>
      <c r="C401" s="33"/>
      <c r="D401" s="33"/>
      <c r="E401" s="33"/>
      <c r="F401" s="33"/>
      <c r="G401" s="33"/>
      <c r="I401" s="33"/>
      <c r="N401" s="33"/>
    </row>
    <row r="402" spans="2:14" ht="10.15" customHeight="1">
      <c r="B402" s="33"/>
      <c r="C402" s="33"/>
      <c r="D402" s="33"/>
      <c r="E402" s="33"/>
      <c r="F402" s="33"/>
      <c r="G402" s="33"/>
      <c r="I402" s="33"/>
      <c r="N402" s="33"/>
    </row>
    <row r="403" spans="2:14" ht="10.15" customHeight="1">
      <c r="B403" s="33"/>
      <c r="C403" s="33"/>
      <c r="D403" s="33"/>
      <c r="E403" s="33"/>
      <c r="F403" s="33"/>
      <c r="G403" s="33"/>
      <c r="I403" s="33"/>
      <c r="N403" s="33"/>
    </row>
    <row r="404" spans="2:14" ht="10.15" customHeight="1">
      <c r="B404" s="33"/>
      <c r="C404" s="33"/>
      <c r="D404" s="33"/>
      <c r="E404" s="33"/>
      <c r="F404" s="33"/>
      <c r="G404" s="33"/>
      <c r="I404" s="33"/>
      <c r="N404" s="33"/>
    </row>
    <row r="405" spans="2:14" ht="10.15" customHeight="1">
      <c r="B405" s="33"/>
      <c r="C405" s="33"/>
      <c r="D405" s="33"/>
      <c r="E405" s="33"/>
      <c r="F405" s="33"/>
      <c r="G405" s="33"/>
      <c r="I405" s="33"/>
      <c r="N405" s="33"/>
    </row>
    <row r="406" spans="2:14" ht="10.15" customHeight="1">
      <c r="B406" s="33"/>
      <c r="C406" s="33"/>
      <c r="D406" s="33"/>
      <c r="E406" s="33"/>
      <c r="F406" s="33"/>
      <c r="G406" s="33"/>
      <c r="I406" s="33"/>
      <c r="N406" s="33"/>
    </row>
    <row r="407" spans="2:14" ht="10.15" customHeight="1">
      <c r="B407" s="33"/>
      <c r="C407" s="33"/>
      <c r="D407" s="33"/>
      <c r="E407" s="33"/>
      <c r="F407" s="33"/>
      <c r="G407" s="33"/>
      <c r="I407" s="33"/>
      <c r="N407" s="33"/>
    </row>
    <row r="408" spans="2:14" ht="10.15" customHeight="1">
      <c r="B408" s="33"/>
      <c r="C408" s="33"/>
      <c r="D408" s="33"/>
      <c r="E408" s="33"/>
      <c r="F408" s="33"/>
      <c r="G408" s="33"/>
      <c r="I408" s="33"/>
      <c r="N408" s="33"/>
    </row>
    <row r="409" spans="2:14" ht="10.15" customHeight="1">
      <c r="B409" s="33"/>
      <c r="C409" s="33"/>
      <c r="D409" s="33"/>
      <c r="E409" s="33"/>
      <c r="F409" s="33"/>
      <c r="G409" s="33"/>
      <c r="I409" s="33"/>
      <c r="N409" s="33"/>
    </row>
    <row r="410" spans="2:14" ht="10.15" customHeight="1">
      <c r="B410" s="33"/>
      <c r="C410" s="33"/>
      <c r="D410" s="33"/>
      <c r="E410" s="33"/>
      <c r="F410" s="33"/>
      <c r="G410" s="33"/>
      <c r="I410" s="33"/>
      <c r="N410" s="33"/>
    </row>
    <row r="411" spans="2:14" ht="10.15" customHeight="1">
      <c r="B411" s="33"/>
      <c r="C411" s="33"/>
      <c r="D411" s="33"/>
      <c r="E411" s="33"/>
      <c r="F411" s="33"/>
      <c r="G411" s="33"/>
      <c r="I411" s="33"/>
      <c r="N411" s="33"/>
    </row>
    <row r="412" spans="2:14" ht="10.15" customHeight="1">
      <c r="B412" s="33"/>
      <c r="C412" s="33"/>
      <c r="D412" s="33"/>
      <c r="E412" s="33"/>
      <c r="F412" s="33"/>
      <c r="G412" s="33"/>
      <c r="I412" s="33"/>
      <c r="N412" s="33"/>
    </row>
    <row r="413" spans="2:14" ht="10.15" customHeight="1">
      <c r="B413" s="33"/>
      <c r="C413" s="33"/>
      <c r="D413" s="33"/>
      <c r="E413" s="33"/>
      <c r="F413" s="33"/>
      <c r="G413" s="33"/>
      <c r="I413" s="33"/>
      <c r="N413" s="33"/>
    </row>
    <row r="414" spans="2:14" ht="10.15" customHeight="1">
      <c r="B414" s="33"/>
      <c r="C414" s="33"/>
      <c r="D414" s="33"/>
      <c r="E414" s="33"/>
      <c r="F414" s="33"/>
      <c r="G414" s="33"/>
      <c r="I414" s="33"/>
      <c r="N414" s="33"/>
    </row>
    <row r="415" spans="2:14" ht="10.15" customHeight="1">
      <c r="B415" s="33"/>
      <c r="C415" s="33"/>
      <c r="D415" s="33"/>
      <c r="E415" s="33"/>
      <c r="F415" s="33"/>
      <c r="G415" s="33"/>
      <c r="I415" s="33"/>
      <c r="N415" s="33"/>
    </row>
    <row r="416" spans="2:14" ht="10.15" customHeight="1">
      <c r="B416" s="33"/>
      <c r="C416" s="33"/>
      <c r="D416" s="33"/>
      <c r="E416" s="33"/>
      <c r="F416" s="33"/>
      <c r="G416" s="33"/>
      <c r="I416" s="33"/>
      <c r="N416" s="33"/>
    </row>
    <row r="417" spans="2:14" ht="10.15" customHeight="1">
      <c r="B417" s="33"/>
      <c r="C417" s="33"/>
      <c r="D417" s="33"/>
      <c r="E417" s="33"/>
      <c r="F417" s="33"/>
      <c r="G417" s="33"/>
      <c r="I417" s="33"/>
      <c r="N417" s="33"/>
    </row>
    <row r="418" spans="2:14" ht="10.15" customHeight="1">
      <c r="B418" s="33"/>
      <c r="C418" s="33"/>
      <c r="D418" s="33"/>
      <c r="E418" s="33"/>
      <c r="F418" s="33"/>
      <c r="G418" s="33"/>
      <c r="I418" s="33"/>
      <c r="N418" s="33"/>
    </row>
    <row r="419" spans="2:14" ht="10.15" customHeight="1">
      <c r="B419" s="33"/>
      <c r="C419" s="33"/>
      <c r="D419" s="33"/>
      <c r="E419" s="33"/>
      <c r="F419" s="33"/>
      <c r="G419" s="33"/>
      <c r="I419" s="33"/>
      <c r="N419" s="33"/>
    </row>
    <row r="420" spans="2:14" ht="10.15" customHeight="1">
      <c r="B420" s="33"/>
      <c r="C420" s="33"/>
      <c r="D420" s="33"/>
      <c r="E420" s="33"/>
      <c r="F420" s="33"/>
      <c r="G420" s="33"/>
      <c r="I420" s="33"/>
      <c r="N420" s="33"/>
    </row>
    <row r="421" spans="2:14" ht="10.15" customHeight="1">
      <c r="B421" s="33"/>
      <c r="C421" s="33"/>
      <c r="D421" s="33"/>
      <c r="E421" s="33"/>
      <c r="F421" s="33"/>
      <c r="G421" s="33"/>
      <c r="I421" s="33"/>
      <c r="N421" s="33"/>
    </row>
    <row r="422" spans="2:14" ht="10.15" customHeight="1">
      <c r="B422" s="33"/>
      <c r="C422" s="33"/>
      <c r="D422" s="33"/>
      <c r="E422" s="33"/>
      <c r="F422" s="33"/>
      <c r="G422" s="33"/>
      <c r="I422" s="33"/>
      <c r="N422" s="33"/>
    </row>
    <row r="423" spans="2:14" ht="10.15" customHeight="1">
      <c r="B423" s="33"/>
      <c r="C423" s="33"/>
      <c r="D423" s="33"/>
      <c r="E423" s="33"/>
      <c r="F423" s="33"/>
      <c r="G423" s="33"/>
      <c r="I423" s="33"/>
      <c r="N423" s="33"/>
    </row>
    <row r="424" spans="2:14" ht="10.15" customHeight="1">
      <c r="B424" s="33"/>
      <c r="C424" s="33"/>
      <c r="D424" s="33"/>
      <c r="E424" s="33"/>
      <c r="F424" s="33"/>
      <c r="G424" s="33"/>
      <c r="I424" s="33"/>
      <c r="N424" s="33"/>
    </row>
    <row r="425" spans="2:14" ht="10.15" customHeight="1">
      <c r="B425" s="33"/>
      <c r="C425" s="33"/>
      <c r="D425" s="33"/>
      <c r="E425" s="33"/>
      <c r="F425" s="33"/>
      <c r="G425" s="33"/>
      <c r="I425" s="33"/>
      <c r="N425" s="33"/>
    </row>
    <row r="426" spans="2:14" ht="10.15" customHeight="1">
      <c r="B426" s="33"/>
      <c r="C426" s="33"/>
      <c r="D426" s="33"/>
      <c r="E426" s="33"/>
      <c r="F426" s="33"/>
      <c r="G426" s="33"/>
      <c r="I426" s="33"/>
      <c r="N426" s="33"/>
    </row>
    <row r="427" spans="2:14" ht="10.15" customHeight="1">
      <c r="B427" s="33"/>
      <c r="C427" s="33"/>
      <c r="D427" s="33"/>
      <c r="E427" s="33"/>
      <c r="F427" s="33"/>
      <c r="G427" s="33"/>
      <c r="I427" s="33"/>
      <c r="N427" s="33"/>
    </row>
    <row r="428" spans="2:14" ht="10.15" customHeight="1">
      <c r="B428" s="33"/>
      <c r="C428" s="33"/>
      <c r="D428" s="33"/>
      <c r="E428" s="33"/>
      <c r="F428" s="33"/>
      <c r="G428" s="33"/>
      <c r="I428" s="33"/>
      <c r="N428" s="33"/>
    </row>
    <row r="429" spans="2:14" ht="10.15" customHeight="1">
      <c r="B429" s="33"/>
      <c r="C429" s="33"/>
      <c r="D429" s="33"/>
      <c r="E429" s="33"/>
      <c r="F429" s="33"/>
      <c r="G429" s="33"/>
      <c r="I429" s="33"/>
      <c r="N429" s="33"/>
    </row>
    <row r="430" spans="2:14" ht="10.15" customHeight="1">
      <c r="B430" s="33"/>
      <c r="C430" s="33"/>
      <c r="D430" s="33"/>
      <c r="E430" s="33"/>
      <c r="F430" s="33"/>
      <c r="G430" s="33"/>
      <c r="I430" s="33"/>
      <c r="N430" s="33"/>
    </row>
    <row r="431" spans="2:14" ht="10.15" customHeight="1">
      <c r="B431" s="33"/>
      <c r="C431" s="33"/>
      <c r="D431" s="33"/>
      <c r="E431" s="33"/>
      <c r="F431" s="33"/>
      <c r="G431" s="33"/>
      <c r="I431" s="33"/>
      <c r="N431" s="33"/>
    </row>
    <row r="432" spans="2:14" ht="10.15" customHeight="1">
      <c r="B432" s="33"/>
      <c r="C432" s="33"/>
      <c r="D432" s="33"/>
      <c r="E432" s="33"/>
      <c r="F432" s="33"/>
      <c r="G432" s="33"/>
      <c r="I432" s="33"/>
      <c r="N432" s="33"/>
    </row>
    <row r="433" spans="2:14" ht="10.15" customHeight="1">
      <c r="B433" s="33"/>
      <c r="C433" s="33"/>
      <c r="D433" s="33"/>
      <c r="E433" s="33"/>
      <c r="F433" s="33"/>
      <c r="G433" s="33"/>
      <c r="I433" s="33"/>
      <c r="N433" s="33"/>
    </row>
    <row r="434" spans="2:14" ht="10.15" customHeight="1">
      <c r="B434" s="33"/>
      <c r="C434" s="33"/>
      <c r="D434" s="33"/>
      <c r="E434" s="33"/>
      <c r="F434" s="33"/>
      <c r="G434" s="33"/>
      <c r="I434" s="33"/>
      <c r="N434" s="33"/>
    </row>
    <row r="435" spans="2:14" ht="10.15" customHeight="1">
      <c r="B435" s="33"/>
      <c r="C435" s="33"/>
      <c r="D435" s="33"/>
      <c r="E435" s="33"/>
      <c r="F435" s="33"/>
      <c r="G435" s="33"/>
      <c r="I435" s="33"/>
      <c r="N435" s="33"/>
    </row>
    <row r="436" spans="2:14" ht="10.15" customHeight="1">
      <c r="B436" s="33"/>
      <c r="C436" s="33"/>
      <c r="D436" s="33"/>
      <c r="E436" s="33"/>
      <c r="F436" s="33"/>
      <c r="G436" s="33"/>
      <c r="I436" s="33"/>
      <c r="N436" s="33"/>
    </row>
    <row r="437" spans="2:14" ht="10.15" customHeight="1">
      <c r="B437" s="33"/>
      <c r="C437" s="33"/>
      <c r="D437" s="33"/>
      <c r="E437" s="33"/>
      <c r="F437" s="33"/>
      <c r="G437" s="33"/>
      <c r="I437" s="33"/>
      <c r="N437" s="33"/>
    </row>
    <row r="438" spans="2:14" ht="10.15" customHeight="1">
      <c r="B438" s="33"/>
      <c r="C438" s="33"/>
      <c r="D438" s="33"/>
      <c r="E438" s="33"/>
      <c r="F438" s="33"/>
      <c r="G438" s="33"/>
      <c r="I438" s="33"/>
      <c r="N438" s="33"/>
    </row>
    <row r="439" spans="2:14" ht="10.15" customHeight="1">
      <c r="B439" s="33"/>
      <c r="C439" s="33"/>
      <c r="D439" s="33"/>
      <c r="E439" s="33"/>
      <c r="F439" s="33"/>
      <c r="G439" s="33"/>
      <c r="I439" s="33"/>
      <c r="N439" s="33"/>
    </row>
    <row r="440" spans="2:14" ht="10.15" customHeight="1">
      <c r="B440" s="33"/>
      <c r="C440" s="33"/>
      <c r="D440" s="33"/>
      <c r="E440" s="33"/>
      <c r="F440" s="33"/>
      <c r="G440" s="33"/>
      <c r="I440" s="33"/>
      <c r="N440" s="33"/>
    </row>
    <row r="441" spans="2:14" ht="10.15" customHeight="1">
      <c r="B441" s="33"/>
      <c r="C441" s="33"/>
      <c r="D441" s="33"/>
      <c r="E441" s="33"/>
      <c r="F441" s="33"/>
      <c r="G441" s="33"/>
      <c r="I441" s="33"/>
      <c r="N441" s="33"/>
    </row>
    <row r="442" spans="2:14" ht="10.15" customHeight="1">
      <c r="B442" s="33"/>
      <c r="C442" s="33"/>
      <c r="D442" s="33"/>
      <c r="E442" s="33"/>
      <c r="F442" s="33"/>
      <c r="G442" s="33"/>
      <c r="I442" s="33"/>
      <c r="N442" s="33"/>
    </row>
    <row r="443" spans="2:14" ht="10.15" customHeight="1">
      <c r="B443" s="33"/>
      <c r="C443" s="33"/>
      <c r="D443" s="33"/>
      <c r="E443" s="33"/>
      <c r="F443" s="33"/>
      <c r="G443" s="33"/>
      <c r="I443" s="33"/>
      <c r="N443" s="33"/>
    </row>
    <row r="444" spans="2:14" ht="10.15" customHeight="1">
      <c r="B444" s="33"/>
      <c r="C444" s="33"/>
      <c r="D444" s="33"/>
      <c r="E444" s="33"/>
      <c r="F444" s="33"/>
      <c r="G444" s="33"/>
      <c r="I444" s="33"/>
      <c r="N444" s="33"/>
    </row>
    <row r="445" spans="2:14" ht="10.15" customHeight="1">
      <c r="B445" s="33"/>
      <c r="C445" s="33"/>
      <c r="D445" s="33"/>
      <c r="E445" s="33"/>
      <c r="F445" s="33"/>
      <c r="G445" s="33"/>
      <c r="I445" s="33"/>
      <c r="N445" s="33"/>
    </row>
    <row r="446" spans="2:14" ht="10.15" customHeight="1">
      <c r="B446" s="33"/>
      <c r="C446" s="33"/>
      <c r="D446" s="33"/>
      <c r="E446" s="33"/>
      <c r="F446" s="33"/>
      <c r="G446" s="33"/>
      <c r="I446" s="33"/>
      <c r="N446" s="33"/>
    </row>
    <row r="447" spans="2:14" ht="10.15" customHeight="1">
      <c r="B447" s="33"/>
      <c r="C447" s="33"/>
      <c r="D447" s="33"/>
      <c r="E447" s="33"/>
      <c r="F447" s="33"/>
      <c r="G447" s="33"/>
      <c r="I447" s="33"/>
      <c r="N447" s="33"/>
    </row>
    <row r="448" spans="2:14" ht="10.15" customHeight="1">
      <c r="B448" s="33"/>
      <c r="C448" s="33"/>
      <c r="D448" s="33"/>
      <c r="E448" s="33"/>
      <c r="F448" s="33"/>
      <c r="G448" s="33"/>
      <c r="I448" s="33"/>
      <c r="N448" s="33"/>
    </row>
    <row r="449" spans="2:14" ht="10.15" customHeight="1">
      <c r="B449" s="33"/>
      <c r="C449" s="33"/>
      <c r="D449" s="33"/>
      <c r="E449" s="33"/>
      <c r="F449" s="33"/>
      <c r="G449" s="33"/>
      <c r="I449" s="33"/>
      <c r="N449" s="33"/>
    </row>
    <row r="450" spans="2:14" ht="10.15" customHeight="1">
      <c r="B450" s="33"/>
      <c r="C450" s="33"/>
      <c r="D450" s="33"/>
      <c r="E450" s="33"/>
      <c r="F450" s="33"/>
      <c r="G450" s="33"/>
      <c r="I450" s="33"/>
      <c r="N450" s="33"/>
    </row>
    <row r="451" spans="2:14" ht="10.15" customHeight="1">
      <c r="B451" s="33"/>
      <c r="C451" s="33"/>
      <c r="D451" s="33"/>
      <c r="E451" s="33"/>
      <c r="F451" s="33"/>
      <c r="G451" s="33"/>
      <c r="I451" s="33"/>
      <c r="N451" s="33"/>
    </row>
    <row r="452" spans="2:14" ht="10.15" customHeight="1">
      <c r="B452" s="33"/>
      <c r="C452" s="33"/>
      <c r="D452" s="33"/>
      <c r="E452" s="33"/>
      <c r="F452" s="33"/>
      <c r="G452" s="33"/>
      <c r="I452" s="33"/>
      <c r="N452" s="33"/>
    </row>
    <row r="453" spans="2:14" ht="10.15" customHeight="1">
      <c r="B453" s="33"/>
      <c r="C453" s="33"/>
      <c r="D453" s="33"/>
      <c r="E453" s="33"/>
      <c r="F453" s="33"/>
      <c r="G453" s="33"/>
      <c r="I453" s="33"/>
      <c r="N453" s="33"/>
    </row>
    <row r="454" spans="2:14" ht="10.15" customHeight="1">
      <c r="B454" s="33"/>
      <c r="C454" s="33"/>
      <c r="D454" s="33"/>
      <c r="E454" s="33"/>
      <c r="F454" s="33"/>
      <c r="G454" s="33"/>
      <c r="I454" s="33"/>
      <c r="N454" s="33"/>
    </row>
    <row r="455" spans="2:14" ht="10.15" customHeight="1">
      <c r="B455" s="33"/>
      <c r="C455" s="33"/>
      <c r="D455" s="33"/>
      <c r="E455" s="33"/>
      <c r="F455" s="33"/>
      <c r="G455" s="33"/>
      <c r="I455" s="33"/>
      <c r="N455" s="33"/>
    </row>
    <row r="456" spans="2:14" ht="10.15" customHeight="1">
      <c r="B456" s="33"/>
      <c r="C456" s="33"/>
      <c r="D456" s="33"/>
      <c r="E456" s="33"/>
      <c r="F456" s="33"/>
      <c r="G456" s="33"/>
      <c r="I456" s="33"/>
      <c r="N456" s="33"/>
    </row>
    <row r="457" spans="2:14" ht="10.15" customHeight="1">
      <c r="B457" s="33"/>
      <c r="C457" s="33"/>
      <c r="D457" s="33"/>
      <c r="E457" s="33"/>
      <c r="F457" s="33"/>
      <c r="G457" s="33"/>
      <c r="I457" s="33"/>
      <c r="N457" s="33"/>
    </row>
    <row r="458" spans="2:14" ht="10.15" customHeight="1">
      <c r="B458" s="33"/>
      <c r="C458" s="33"/>
      <c r="D458" s="33"/>
      <c r="E458" s="33"/>
      <c r="F458" s="33"/>
      <c r="G458" s="33"/>
      <c r="I458" s="33"/>
      <c r="N458" s="33"/>
    </row>
    <row r="459" spans="2:14" ht="10.15" customHeight="1">
      <c r="B459" s="33"/>
      <c r="C459" s="33"/>
      <c r="D459" s="33"/>
      <c r="E459" s="33"/>
      <c r="F459" s="33"/>
      <c r="G459" s="33"/>
      <c r="I459" s="33"/>
      <c r="N459" s="33"/>
    </row>
    <row r="460" spans="2:14" ht="10.15" customHeight="1">
      <c r="B460" s="33"/>
      <c r="C460" s="33"/>
      <c r="D460" s="33"/>
      <c r="E460" s="33"/>
      <c r="F460" s="33"/>
      <c r="G460" s="33"/>
      <c r="I460" s="33"/>
      <c r="N460" s="33"/>
    </row>
    <row r="461" spans="2:14" ht="10.15" customHeight="1">
      <c r="B461" s="33"/>
      <c r="C461" s="33"/>
      <c r="D461" s="33"/>
      <c r="E461" s="33"/>
      <c r="F461" s="33"/>
      <c r="G461" s="33"/>
      <c r="I461" s="33"/>
      <c r="N461" s="33"/>
    </row>
    <row r="462" spans="2:14" ht="10.15" customHeight="1">
      <c r="B462" s="33"/>
      <c r="C462" s="33"/>
      <c r="D462" s="33"/>
      <c r="E462" s="33"/>
      <c r="F462" s="33"/>
      <c r="G462" s="33"/>
      <c r="I462" s="33"/>
      <c r="N462" s="33"/>
    </row>
    <row r="463" spans="2:14" ht="10.15" customHeight="1">
      <c r="B463" s="33"/>
      <c r="C463" s="33"/>
      <c r="D463" s="33"/>
      <c r="E463" s="33"/>
      <c r="F463" s="33"/>
      <c r="G463" s="33"/>
      <c r="I463" s="33"/>
      <c r="N463" s="33"/>
    </row>
    <row r="464" spans="2:14" ht="10.15" customHeight="1">
      <c r="B464" s="33"/>
      <c r="C464" s="33"/>
      <c r="D464" s="33"/>
      <c r="E464" s="33"/>
      <c r="F464" s="33"/>
      <c r="G464" s="33"/>
      <c r="I464" s="33"/>
      <c r="N464" s="33"/>
    </row>
    <row r="465" spans="2:21" ht="10.15" customHeight="1">
      <c r="B465" s="33"/>
      <c r="C465" s="33"/>
      <c r="D465" s="33"/>
      <c r="E465" s="33"/>
      <c r="F465" s="33"/>
      <c r="G465" s="33"/>
      <c r="I465" s="33"/>
      <c r="N465" s="33"/>
    </row>
    <row r="466" spans="2:21" ht="10.15" customHeight="1">
      <c r="B466" s="33"/>
      <c r="C466" s="33"/>
      <c r="D466" s="33"/>
      <c r="E466" s="33"/>
      <c r="F466" s="33"/>
      <c r="G466" s="33"/>
      <c r="I466" s="33"/>
      <c r="N466" s="33"/>
    </row>
    <row r="467" spans="2:21" ht="10.15" customHeight="1">
      <c r="B467" s="33"/>
      <c r="C467" s="33"/>
      <c r="D467" s="33"/>
      <c r="E467" s="33"/>
      <c r="F467" s="33"/>
      <c r="G467" s="33"/>
      <c r="I467" s="33"/>
      <c r="N467" s="33"/>
    </row>
    <row r="468" spans="2:21" ht="10.15" customHeight="1">
      <c r="B468" s="33"/>
      <c r="C468" s="33"/>
      <c r="D468" s="33"/>
      <c r="E468" s="33"/>
      <c r="F468" s="33"/>
      <c r="G468" s="33"/>
      <c r="I468" s="33"/>
      <c r="N468" s="33"/>
    </row>
    <row r="469" spans="2:21" ht="10.15" customHeight="1">
      <c r="B469" s="33"/>
      <c r="C469" s="33"/>
      <c r="D469" s="33"/>
      <c r="E469" s="33"/>
      <c r="F469" s="33"/>
      <c r="G469" s="33"/>
      <c r="I469" s="33"/>
      <c r="N469" s="33"/>
    </row>
    <row r="470" spans="2:21" ht="10.15" customHeight="1">
      <c r="B470" s="33"/>
      <c r="C470" s="33"/>
      <c r="D470" s="33"/>
      <c r="E470" s="33"/>
      <c r="F470" s="33"/>
      <c r="G470" s="33"/>
      <c r="I470" s="33"/>
      <c r="N470" s="33"/>
    </row>
    <row r="471" spans="2:21" ht="10.15" customHeight="1">
      <c r="B471" s="33"/>
      <c r="C471" s="33"/>
      <c r="D471" s="33"/>
      <c r="E471" s="33"/>
      <c r="F471" s="33"/>
      <c r="G471" s="33"/>
      <c r="I471" s="33"/>
      <c r="N471" s="33"/>
    </row>
    <row r="472" spans="2:21" ht="10.15" customHeight="1">
      <c r="B472" s="33"/>
      <c r="C472" s="33"/>
      <c r="D472" s="33"/>
      <c r="E472" s="33"/>
      <c r="F472" s="33"/>
      <c r="G472" s="33"/>
      <c r="I472" s="33"/>
      <c r="N472" s="33"/>
    </row>
    <row r="473" spans="2:21" ht="10.15" customHeight="1">
      <c r="B473" s="33"/>
      <c r="C473" s="33"/>
      <c r="D473" s="33"/>
      <c r="E473" s="33"/>
      <c r="F473" s="33"/>
      <c r="G473" s="33"/>
      <c r="I473" s="33"/>
      <c r="N473" s="33"/>
    </row>
    <row r="474" spans="2:21" ht="10.15" customHeight="1">
      <c r="B474" s="33"/>
      <c r="C474" s="33"/>
      <c r="D474" s="33"/>
      <c r="E474" s="33"/>
      <c r="F474" s="33"/>
      <c r="G474" s="33"/>
      <c r="I474" s="33"/>
      <c r="N474" s="33"/>
    </row>
    <row r="475" spans="2:21" s="637" customFormat="1" ht="10.15" customHeight="1">
      <c r="B475" s="638"/>
      <c r="C475" s="638"/>
      <c r="E475" s="639"/>
      <c r="F475" s="642"/>
      <c r="G475" s="642"/>
      <c r="H475" s="644"/>
      <c r="I475" s="643"/>
      <c r="J475" s="643"/>
      <c r="K475" s="642"/>
      <c r="L475" s="4397"/>
      <c r="M475" s="4397"/>
      <c r="O475" s="641"/>
      <c r="P475" s="639"/>
      <c r="Q475" s="639"/>
      <c r="R475" s="640"/>
      <c r="S475" s="638"/>
      <c r="T475" s="639"/>
      <c r="U475" s="638"/>
    </row>
    <row r="476" spans="2:21" s="637" customFormat="1" ht="10.15" customHeight="1">
      <c r="B476" s="638"/>
      <c r="C476" s="638"/>
      <c r="E476" s="639"/>
      <c r="F476" s="642"/>
      <c r="G476" s="642"/>
      <c r="H476" s="644"/>
      <c r="I476" s="643"/>
      <c r="J476" s="643"/>
      <c r="K476" s="642"/>
      <c r="L476" s="4397"/>
      <c r="M476" s="4397"/>
      <c r="O476" s="641"/>
      <c r="P476" s="639"/>
      <c r="Q476" s="639"/>
      <c r="R476" s="640"/>
      <c r="S476" s="638"/>
      <c r="T476" s="639"/>
      <c r="U476" s="638"/>
    </row>
    <row r="477" spans="2:21" s="637" customFormat="1" ht="10.15" customHeight="1">
      <c r="B477" s="638"/>
      <c r="C477" s="638"/>
      <c r="E477" s="639"/>
      <c r="F477" s="642"/>
      <c r="G477" s="642"/>
      <c r="H477" s="644"/>
      <c r="I477" s="643"/>
      <c r="J477" s="643"/>
      <c r="K477" s="642"/>
      <c r="L477" s="4397"/>
      <c r="M477" s="4397"/>
      <c r="O477" s="641"/>
      <c r="P477" s="639"/>
      <c r="Q477" s="639"/>
      <c r="R477" s="640"/>
      <c r="S477" s="638"/>
      <c r="T477" s="639"/>
      <c r="U477" s="638"/>
    </row>
    <row r="478" spans="2:21" s="637" customFormat="1" ht="10.15" customHeight="1">
      <c r="B478" s="638"/>
      <c r="C478" s="638"/>
      <c r="E478" s="639"/>
      <c r="F478" s="642"/>
      <c r="G478" s="642"/>
      <c r="H478" s="644"/>
      <c r="I478" s="643"/>
      <c r="J478" s="643"/>
      <c r="K478" s="642"/>
      <c r="L478" s="4397"/>
      <c r="M478" s="4397"/>
      <c r="O478" s="641"/>
      <c r="P478" s="639"/>
      <c r="Q478" s="639"/>
      <c r="R478" s="640"/>
      <c r="S478" s="638"/>
      <c r="T478" s="639"/>
      <c r="U478" s="638"/>
    </row>
    <row r="479" spans="2:21" s="637" customFormat="1" ht="10.15" customHeight="1">
      <c r="B479" s="638"/>
      <c r="C479" s="638"/>
      <c r="E479" s="639"/>
      <c r="F479" s="642"/>
      <c r="G479" s="642"/>
      <c r="H479" s="644"/>
      <c r="I479" s="643"/>
      <c r="J479" s="643"/>
      <c r="K479" s="642"/>
      <c r="L479" s="4397"/>
      <c r="M479" s="4397"/>
      <c r="O479" s="641"/>
      <c r="P479" s="639"/>
      <c r="Q479" s="639"/>
      <c r="R479" s="640"/>
      <c r="S479" s="638"/>
      <c r="T479" s="639"/>
      <c r="U479" s="638"/>
    </row>
    <row r="480" spans="2:21" s="637" customFormat="1" ht="10.15" customHeight="1">
      <c r="B480" s="638"/>
      <c r="C480" s="638"/>
      <c r="E480" s="639"/>
      <c r="F480" s="642"/>
      <c r="G480" s="642"/>
      <c r="H480" s="644"/>
      <c r="I480" s="643"/>
      <c r="J480" s="643"/>
      <c r="K480" s="642"/>
      <c r="L480" s="4397"/>
      <c r="M480" s="4397"/>
      <c r="O480" s="641"/>
      <c r="P480" s="639"/>
      <c r="Q480" s="639"/>
      <c r="R480" s="640"/>
      <c r="S480" s="638"/>
      <c r="T480" s="639"/>
      <c r="U480" s="638"/>
    </row>
    <row r="481" spans="2:21" s="637" customFormat="1" ht="10.15" customHeight="1">
      <c r="B481" s="638"/>
      <c r="C481" s="638"/>
      <c r="E481" s="639"/>
      <c r="F481" s="642"/>
      <c r="G481" s="642"/>
      <c r="H481" s="644"/>
      <c r="I481" s="643"/>
      <c r="J481" s="643"/>
      <c r="K481" s="642"/>
      <c r="L481" s="4397"/>
      <c r="M481" s="4397"/>
      <c r="O481" s="641"/>
      <c r="P481" s="639"/>
      <c r="Q481" s="639"/>
      <c r="R481" s="640"/>
      <c r="S481" s="638"/>
      <c r="T481" s="639"/>
      <c r="U481" s="638"/>
    </row>
    <row r="482" spans="2:21" s="637" customFormat="1" ht="10.15" customHeight="1">
      <c r="B482" s="638"/>
      <c r="C482" s="638"/>
      <c r="E482" s="639"/>
      <c r="F482" s="642"/>
      <c r="G482" s="642"/>
      <c r="H482" s="644"/>
      <c r="I482" s="643"/>
      <c r="J482" s="643"/>
      <c r="K482" s="642"/>
      <c r="L482" s="4397"/>
      <c r="M482" s="4397"/>
      <c r="O482" s="641"/>
      <c r="P482" s="639"/>
      <c r="Q482" s="639"/>
      <c r="R482" s="640"/>
      <c r="S482" s="638"/>
      <c r="T482" s="639"/>
      <c r="U482" s="638"/>
    </row>
    <row r="483" spans="2:21" s="637" customFormat="1" ht="10.15" customHeight="1">
      <c r="B483" s="638"/>
      <c r="C483" s="638"/>
      <c r="E483" s="639"/>
      <c r="F483" s="642"/>
      <c r="G483" s="642"/>
      <c r="H483" s="644"/>
      <c r="I483" s="643"/>
      <c r="J483" s="643"/>
      <c r="K483" s="642"/>
      <c r="L483" s="4397"/>
      <c r="M483" s="4397"/>
      <c r="O483" s="641"/>
      <c r="P483" s="639"/>
      <c r="Q483" s="639"/>
      <c r="R483" s="640"/>
      <c r="S483" s="638"/>
      <c r="T483" s="639"/>
      <c r="U483" s="638"/>
    </row>
    <row r="484" spans="2:21" s="637" customFormat="1" ht="10.15" customHeight="1">
      <c r="B484" s="638"/>
      <c r="C484" s="638"/>
      <c r="E484" s="639"/>
      <c r="F484" s="642"/>
      <c r="G484" s="642"/>
      <c r="H484" s="644"/>
      <c r="I484" s="643"/>
      <c r="J484" s="643"/>
      <c r="K484" s="642"/>
      <c r="L484" s="4397"/>
      <c r="M484" s="4397"/>
      <c r="O484" s="641"/>
      <c r="P484" s="639"/>
      <c r="Q484" s="639"/>
      <c r="R484" s="640"/>
      <c r="S484" s="638"/>
      <c r="T484" s="639"/>
      <c r="U484" s="638"/>
    </row>
    <row r="485" spans="2:21" s="637" customFormat="1" ht="10.15" customHeight="1">
      <c r="B485" s="638"/>
      <c r="C485" s="638"/>
      <c r="E485" s="639"/>
      <c r="F485" s="642"/>
      <c r="G485" s="642"/>
      <c r="H485" s="644"/>
      <c r="I485" s="643"/>
      <c r="J485" s="643"/>
      <c r="K485" s="642"/>
      <c r="L485" s="4397"/>
      <c r="M485" s="4397"/>
      <c r="O485" s="641"/>
      <c r="P485" s="639"/>
      <c r="Q485" s="639"/>
      <c r="R485" s="640"/>
      <c r="S485" s="638"/>
      <c r="T485" s="639"/>
      <c r="U485" s="638"/>
    </row>
    <row r="486" spans="2:21" s="637" customFormat="1" ht="10.15" customHeight="1">
      <c r="B486" s="638"/>
      <c r="C486" s="638"/>
      <c r="E486" s="639"/>
      <c r="F486" s="642"/>
      <c r="G486" s="642"/>
      <c r="H486" s="644"/>
      <c r="I486" s="643"/>
      <c r="J486" s="643"/>
      <c r="K486" s="642"/>
      <c r="L486" s="4397"/>
      <c r="M486" s="4397"/>
      <c r="O486" s="641"/>
      <c r="P486" s="639"/>
      <c r="Q486" s="639"/>
      <c r="R486" s="640"/>
      <c r="S486" s="638"/>
      <c r="T486" s="639"/>
      <c r="U486" s="638"/>
    </row>
    <row r="487" spans="2:21" s="637" customFormat="1" ht="10.15" customHeight="1">
      <c r="B487" s="638"/>
      <c r="C487" s="638"/>
      <c r="E487" s="639"/>
      <c r="F487" s="642"/>
      <c r="G487" s="642"/>
      <c r="H487" s="644"/>
      <c r="I487" s="643"/>
      <c r="J487" s="643"/>
      <c r="K487" s="642"/>
      <c r="L487" s="4397"/>
      <c r="M487" s="4397"/>
      <c r="O487" s="641"/>
      <c r="P487" s="639"/>
      <c r="Q487" s="639"/>
      <c r="R487" s="640"/>
      <c r="S487" s="638"/>
      <c r="T487" s="639"/>
      <c r="U487" s="638"/>
    </row>
    <row r="488" spans="2:21" s="637" customFormat="1" ht="10.15" customHeight="1">
      <c r="B488" s="638"/>
      <c r="C488" s="638"/>
      <c r="E488" s="639"/>
      <c r="F488" s="642"/>
      <c r="G488" s="642"/>
      <c r="H488" s="644"/>
      <c r="I488" s="643"/>
      <c r="J488" s="643"/>
      <c r="K488" s="642"/>
      <c r="L488" s="4397"/>
      <c r="M488" s="4397"/>
      <c r="O488" s="641"/>
      <c r="P488" s="639"/>
      <c r="Q488" s="639"/>
      <c r="R488" s="640"/>
      <c r="S488" s="638"/>
      <c r="T488" s="639"/>
      <c r="U488" s="638"/>
    </row>
    <row r="489" spans="2:21" s="637" customFormat="1" ht="10.15" customHeight="1">
      <c r="B489" s="638"/>
      <c r="C489" s="638"/>
      <c r="E489" s="639"/>
      <c r="F489" s="642"/>
      <c r="G489" s="642"/>
      <c r="H489" s="644"/>
      <c r="I489" s="643"/>
      <c r="J489" s="643"/>
      <c r="K489" s="642"/>
      <c r="L489" s="4397"/>
      <c r="M489" s="4397"/>
      <c r="O489" s="641"/>
      <c r="P489" s="639"/>
      <c r="Q489" s="639"/>
      <c r="R489" s="640"/>
      <c r="S489" s="638"/>
      <c r="T489" s="639"/>
      <c r="U489" s="638"/>
    </row>
    <row r="490" spans="2:21" s="637" customFormat="1" ht="10.15" customHeight="1">
      <c r="B490" s="638"/>
      <c r="C490" s="638"/>
      <c r="E490" s="639"/>
      <c r="F490" s="642"/>
      <c r="G490" s="642"/>
      <c r="H490" s="644"/>
      <c r="I490" s="643"/>
      <c r="J490" s="643"/>
      <c r="K490" s="642"/>
      <c r="L490" s="4397"/>
      <c r="M490" s="4397"/>
      <c r="O490" s="641"/>
      <c r="P490" s="639"/>
      <c r="Q490" s="639"/>
      <c r="R490" s="640"/>
      <c r="S490" s="638"/>
      <c r="T490" s="639"/>
      <c r="U490" s="638"/>
    </row>
    <row r="491" spans="2:21" s="637" customFormat="1" ht="10.15" customHeight="1">
      <c r="B491" s="638"/>
      <c r="C491" s="638"/>
      <c r="E491" s="639"/>
      <c r="F491" s="642"/>
      <c r="G491" s="642"/>
      <c r="H491" s="644"/>
      <c r="I491" s="643"/>
      <c r="J491" s="643"/>
      <c r="K491" s="642"/>
      <c r="L491" s="4397"/>
      <c r="M491" s="4397"/>
      <c r="O491" s="641"/>
      <c r="P491" s="639"/>
      <c r="Q491" s="639"/>
      <c r="R491" s="640"/>
      <c r="S491" s="638"/>
      <c r="T491" s="639"/>
      <c r="U491" s="638"/>
    </row>
    <row r="492" spans="2:21" s="637" customFormat="1" ht="10.15" customHeight="1">
      <c r="B492" s="638"/>
      <c r="C492" s="638"/>
      <c r="E492" s="639"/>
      <c r="F492" s="642"/>
      <c r="G492" s="642"/>
      <c r="H492" s="644"/>
      <c r="I492" s="643"/>
      <c r="J492" s="643"/>
      <c r="K492" s="642"/>
      <c r="L492" s="4397"/>
      <c r="M492" s="4397"/>
      <c r="O492" s="641"/>
      <c r="P492" s="639"/>
      <c r="Q492" s="639"/>
      <c r="R492" s="640"/>
      <c r="S492" s="638"/>
      <c r="T492" s="639"/>
      <c r="U492" s="638"/>
    </row>
    <row r="493" spans="2:21" s="637" customFormat="1" ht="10.15" customHeight="1">
      <c r="B493" s="638"/>
      <c r="C493" s="638"/>
      <c r="E493" s="639"/>
      <c r="F493" s="642"/>
      <c r="G493" s="642"/>
      <c r="H493" s="644"/>
      <c r="I493" s="643"/>
      <c r="J493" s="643"/>
      <c r="K493" s="642"/>
      <c r="L493" s="4397"/>
      <c r="M493" s="4397"/>
      <c r="O493" s="641"/>
      <c r="P493" s="639"/>
      <c r="Q493" s="639"/>
      <c r="R493" s="640"/>
      <c r="S493" s="638"/>
      <c r="T493" s="639"/>
      <c r="U493" s="638"/>
    </row>
    <row r="494" spans="2:21" s="637" customFormat="1" ht="10.15" customHeight="1">
      <c r="B494" s="638"/>
      <c r="C494" s="638"/>
      <c r="E494" s="639"/>
      <c r="F494" s="642"/>
      <c r="G494" s="642"/>
      <c r="H494" s="644"/>
      <c r="I494" s="643"/>
      <c r="J494" s="643"/>
      <c r="K494" s="642"/>
      <c r="L494" s="4397"/>
      <c r="M494" s="4397"/>
      <c r="O494" s="641"/>
      <c r="P494" s="639"/>
      <c r="Q494" s="639"/>
      <c r="R494" s="640"/>
      <c r="S494" s="638"/>
      <c r="T494" s="639"/>
      <c r="U494" s="638"/>
    </row>
    <row r="495" spans="2:21" s="637" customFormat="1" ht="10.15" customHeight="1">
      <c r="B495" s="638"/>
      <c r="C495" s="638"/>
      <c r="E495" s="639"/>
      <c r="F495" s="642"/>
      <c r="G495" s="642"/>
      <c r="H495" s="644"/>
      <c r="I495" s="643"/>
      <c r="J495" s="643"/>
      <c r="K495" s="642"/>
      <c r="L495" s="4397"/>
      <c r="M495" s="4397"/>
      <c r="O495" s="641"/>
      <c r="P495" s="639"/>
      <c r="Q495" s="639"/>
      <c r="R495" s="640"/>
      <c r="S495" s="638"/>
      <c r="T495" s="639"/>
      <c r="U495" s="638"/>
    </row>
    <row r="496" spans="2:21" s="637" customFormat="1" ht="10.15" customHeight="1">
      <c r="B496" s="638"/>
      <c r="C496" s="638"/>
      <c r="E496" s="639"/>
      <c r="F496" s="642"/>
      <c r="G496" s="642"/>
      <c r="H496" s="644"/>
      <c r="I496" s="643"/>
      <c r="J496" s="643"/>
      <c r="K496" s="642"/>
      <c r="L496" s="4397"/>
      <c r="M496" s="4397"/>
      <c r="O496" s="641"/>
      <c r="P496" s="639"/>
      <c r="Q496" s="639"/>
      <c r="R496" s="640"/>
      <c r="S496" s="638"/>
      <c r="T496" s="639"/>
      <c r="U496" s="638"/>
    </row>
    <row r="497" spans="2:21" s="637" customFormat="1" ht="10.15" customHeight="1">
      <c r="B497" s="638"/>
      <c r="C497" s="638"/>
      <c r="E497" s="639"/>
      <c r="F497" s="642"/>
      <c r="G497" s="642"/>
      <c r="H497" s="644"/>
      <c r="I497" s="643"/>
      <c r="J497" s="643"/>
      <c r="K497" s="642"/>
      <c r="L497" s="4397"/>
      <c r="M497" s="4397"/>
      <c r="O497" s="641"/>
      <c r="P497" s="639"/>
      <c r="Q497" s="639"/>
      <c r="R497" s="640"/>
      <c r="S497" s="638"/>
      <c r="T497" s="639"/>
      <c r="U497" s="638"/>
    </row>
    <row r="498" spans="2:21" s="637" customFormat="1" ht="10.15" customHeight="1">
      <c r="B498" s="638"/>
      <c r="C498" s="638"/>
      <c r="E498" s="639"/>
      <c r="F498" s="642"/>
      <c r="G498" s="642"/>
      <c r="H498" s="644"/>
      <c r="I498" s="643"/>
      <c r="J498" s="643"/>
      <c r="K498" s="642"/>
      <c r="L498" s="4397"/>
      <c r="M498" s="4397"/>
      <c r="O498" s="641"/>
      <c r="P498" s="639"/>
      <c r="Q498" s="639"/>
      <c r="R498" s="640"/>
      <c r="S498" s="638"/>
      <c r="T498" s="639"/>
      <c r="U498" s="638"/>
    </row>
    <row r="499" spans="2:21" s="637" customFormat="1" ht="10.15" customHeight="1">
      <c r="B499" s="638"/>
      <c r="C499" s="638"/>
      <c r="E499" s="639"/>
      <c r="F499" s="642"/>
      <c r="G499" s="642"/>
      <c r="H499" s="644"/>
      <c r="I499" s="643"/>
      <c r="J499" s="643"/>
      <c r="K499" s="642"/>
      <c r="L499" s="4397"/>
      <c r="M499" s="4397"/>
      <c r="O499" s="641"/>
      <c r="P499" s="639"/>
      <c r="Q499" s="639"/>
      <c r="R499" s="640"/>
      <c r="S499" s="638"/>
      <c r="T499" s="639"/>
      <c r="U499" s="638"/>
    </row>
    <row r="500" spans="2:21" s="637" customFormat="1" ht="10.15" customHeight="1">
      <c r="B500" s="638"/>
      <c r="C500" s="638"/>
      <c r="E500" s="639"/>
      <c r="F500" s="642"/>
      <c r="G500" s="642"/>
      <c r="H500" s="644"/>
      <c r="I500" s="643"/>
      <c r="J500" s="643"/>
      <c r="K500" s="642"/>
      <c r="L500" s="4397"/>
      <c r="M500" s="4397"/>
      <c r="O500" s="641"/>
      <c r="P500" s="639"/>
      <c r="Q500" s="639"/>
      <c r="R500" s="640"/>
      <c r="S500" s="638"/>
      <c r="T500" s="639"/>
      <c r="U500" s="638"/>
    </row>
    <row r="501" spans="2:21" s="637" customFormat="1" ht="10.15" customHeight="1">
      <c r="B501" s="638"/>
      <c r="C501" s="638"/>
      <c r="E501" s="639"/>
      <c r="F501" s="642"/>
      <c r="G501" s="642"/>
      <c r="H501" s="644"/>
      <c r="I501" s="643"/>
      <c r="J501" s="643"/>
      <c r="K501" s="642"/>
      <c r="L501" s="4397"/>
      <c r="M501" s="4397"/>
      <c r="O501" s="641"/>
      <c r="P501" s="639"/>
      <c r="Q501" s="639"/>
      <c r="R501" s="640"/>
      <c r="S501" s="638"/>
      <c r="T501" s="639"/>
      <c r="U501" s="638"/>
    </row>
    <row r="502" spans="2:21" s="637" customFormat="1" ht="10.15" customHeight="1">
      <c r="B502" s="638"/>
      <c r="C502" s="638"/>
      <c r="E502" s="639"/>
      <c r="F502" s="642"/>
      <c r="G502" s="642"/>
      <c r="H502" s="644"/>
      <c r="I502" s="643"/>
      <c r="J502" s="643"/>
      <c r="K502" s="642"/>
      <c r="L502" s="4397"/>
      <c r="M502" s="4397"/>
      <c r="O502" s="641"/>
      <c r="P502" s="639"/>
      <c r="Q502" s="639"/>
      <c r="R502" s="640"/>
      <c r="S502" s="638"/>
      <c r="T502" s="639"/>
      <c r="U502" s="638"/>
    </row>
    <row r="503" spans="2:21" s="637" customFormat="1" ht="10.15" customHeight="1">
      <c r="B503" s="638"/>
      <c r="C503" s="638"/>
      <c r="E503" s="639"/>
      <c r="F503" s="642"/>
      <c r="G503" s="642"/>
      <c r="H503" s="644"/>
      <c r="I503" s="643"/>
      <c r="J503" s="643"/>
      <c r="K503" s="642"/>
      <c r="L503" s="4397"/>
      <c r="M503" s="4397"/>
      <c r="O503" s="641"/>
      <c r="P503" s="639"/>
      <c r="Q503" s="639"/>
      <c r="R503" s="640"/>
      <c r="S503" s="638"/>
      <c r="T503" s="639"/>
      <c r="U503" s="638"/>
    </row>
    <row r="504" spans="2:21" s="637" customFormat="1" ht="10.15" customHeight="1">
      <c r="B504" s="638"/>
      <c r="C504" s="638"/>
      <c r="E504" s="639"/>
      <c r="F504" s="642"/>
      <c r="G504" s="642"/>
      <c r="H504" s="644"/>
      <c r="I504" s="643"/>
      <c r="J504" s="643"/>
      <c r="K504" s="642"/>
      <c r="L504" s="4397"/>
      <c r="M504" s="4397"/>
      <c r="O504" s="641"/>
      <c r="P504" s="639"/>
      <c r="Q504" s="639"/>
      <c r="R504" s="640"/>
      <c r="S504" s="638"/>
      <c r="T504" s="639"/>
      <c r="U504" s="638"/>
    </row>
    <row r="505" spans="2:21" s="637" customFormat="1" ht="10.15" customHeight="1">
      <c r="B505" s="638"/>
      <c r="C505" s="638"/>
      <c r="E505" s="639"/>
      <c r="F505" s="642"/>
      <c r="G505" s="642"/>
      <c r="H505" s="644"/>
      <c r="I505" s="643"/>
      <c r="J505" s="643"/>
      <c r="K505" s="642"/>
      <c r="L505" s="4397"/>
      <c r="M505" s="4397"/>
      <c r="O505" s="641"/>
      <c r="P505" s="639"/>
      <c r="Q505" s="639"/>
      <c r="R505" s="640"/>
      <c r="S505" s="638"/>
      <c r="T505" s="639"/>
      <c r="U505" s="638"/>
    </row>
    <row r="506" spans="2:21" s="637" customFormat="1" ht="10.15" customHeight="1">
      <c r="B506" s="638"/>
      <c r="C506" s="638"/>
      <c r="E506" s="639"/>
      <c r="F506" s="642"/>
      <c r="G506" s="642"/>
      <c r="H506" s="644"/>
      <c r="I506" s="643"/>
      <c r="J506" s="643"/>
      <c r="K506" s="642"/>
      <c r="L506" s="4397"/>
      <c r="M506" s="4397"/>
      <c r="O506" s="641"/>
      <c r="P506" s="639"/>
      <c r="Q506" s="639"/>
      <c r="R506" s="640"/>
      <c r="S506" s="638"/>
      <c r="T506" s="639"/>
      <c r="U506" s="638"/>
    </row>
    <row r="507" spans="2:21" s="637" customFormat="1" ht="10.15" customHeight="1">
      <c r="B507" s="638"/>
      <c r="C507" s="638"/>
      <c r="E507" s="639"/>
      <c r="F507" s="642"/>
      <c r="G507" s="642"/>
      <c r="H507" s="644"/>
      <c r="I507" s="643"/>
      <c r="J507" s="643"/>
      <c r="K507" s="642"/>
      <c r="L507" s="4397"/>
      <c r="M507" s="4397"/>
      <c r="O507" s="641"/>
      <c r="P507" s="639"/>
      <c r="Q507" s="639"/>
      <c r="R507" s="640"/>
      <c r="S507" s="638"/>
      <c r="T507" s="639"/>
      <c r="U507" s="638"/>
    </row>
    <row r="508" spans="2:21" s="637" customFormat="1" ht="10.15" customHeight="1">
      <c r="B508" s="638"/>
      <c r="C508" s="638"/>
      <c r="E508" s="639"/>
      <c r="F508" s="642"/>
      <c r="G508" s="642"/>
      <c r="H508" s="644"/>
      <c r="I508" s="643"/>
      <c r="J508" s="643"/>
      <c r="K508" s="642"/>
      <c r="L508" s="4397"/>
      <c r="M508" s="4397"/>
      <c r="O508" s="641"/>
      <c r="P508" s="639"/>
      <c r="Q508" s="639"/>
      <c r="R508" s="640"/>
      <c r="S508" s="638"/>
      <c r="T508" s="639"/>
      <c r="U508" s="638"/>
    </row>
    <row r="509" spans="2:21" s="637" customFormat="1" ht="10.15" customHeight="1">
      <c r="B509" s="638"/>
      <c r="C509" s="638"/>
      <c r="E509" s="639"/>
      <c r="F509" s="642"/>
      <c r="G509" s="642"/>
      <c r="H509" s="644"/>
      <c r="I509" s="643"/>
      <c r="J509" s="643"/>
      <c r="K509" s="642"/>
      <c r="L509" s="4397"/>
      <c r="M509" s="4397"/>
      <c r="O509" s="641"/>
      <c r="P509" s="639"/>
      <c r="Q509" s="639"/>
      <c r="R509" s="640"/>
      <c r="S509" s="638"/>
      <c r="T509" s="639"/>
      <c r="U509" s="638"/>
    </row>
    <row r="510" spans="2:21" s="637" customFormat="1" ht="10.15" customHeight="1">
      <c r="B510" s="638"/>
      <c r="C510" s="638"/>
      <c r="E510" s="639"/>
      <c r="F510" s="642"/>
      <c r="G510" s="642"/>
      <c r="H510" s="644"/>
      <c r="I510" s="643"/>
      <c r="J510" s="643"/>
      <c r="K510" s="642"/>
      <c r="L510" s="4397"/>
      <c r="M510" s="4397"/>
      <c r="O510" s="641"/>
      <c r="P510" s="639"/>
      <c r="Q510" s="639"/>
      <c r="R510" s="640"/>
      <c r="S510" s="638"/>
      <c r="T510" s="639"/>
      <c r="U510" s="638"/>
    </row>
    <row r="511" spans="2:21" s="637" customFormat="1" ht="10.15" customHeight="1">
      <c r="B511" s="638"/>
      <c r="C511" s="638"/>
      <c r="E511" s="639"/>
      <c r="F511" s="642"/>
      <c r="G511" s="642"/>
      <c r="H511" s="644"/>
      <c r="I511" s="643"/>
      <c r="J511" s="643"/>
      <c r="K511" s="642"/>
      <c r="L511" s="4397"/>
      <c r="M511" s="4397"/>
      <c r="O511" s="641"/>
      <c r="P511" s="639"/>
      <c r="Q511" s="639"/>
      <c r="R511" s="640"/>
      <c r="S511" s="638"/>
      <c r="T511" s="639"/>
      <c r="U511" s="638"/>
    </row>
    <row r="512" spans="2:21" s="637" customFormat="1" ht="10.15" customHeight="1">
      <c r="B512" s="638"/>
      <c r="C512" s="638"/>
      <c r="E512" s="639"/>
      <c r="F512" s="642"/>
      <c r="G512" s="642"/>
      <c r="H512" s="644"/>
      <c r="I512" s="643"/>
      <c r="J512" s="643"/>
      <c r="K512" s="642"/>
      <c r="L512" s="4397"/>
      <c r="M512" s="4397"/>
      <c r="O512" s="641"/>
      <c r="P512" s="639"/>
      <c r="Q512" s="639"/>
      <c r="R512" s="640"/>
      <c r="S512" s="638"/>
      <c r="T512" s="639"/>
      <c r="U512" s="638"/>
    </row>
    <row r="513" spans="2:21" s="637" customFormat="1" ht="10.15" customHeight="1">
      <c r="B513" s="638"/>
      <c r="C513" s="638"/>
      <c r="E513" s="639"/>
      <c r="F513" s="642"/>
      <c r="G513" s="642"/>
      <c r="H513" s="644"/>
      <c r="I513" s="643"/>
      <c r="J513" s="643"/>
      <c r="K513" s="642"/>
      <c r="L513" s="4397"/>
      <c r="M513" s="4397"/>
      <c r="O513" s="641"/>
      <c r="P513" s="639"/>
      <c r="Q513" s="639"/>
      <c r="R513" s="640"/>
      <c r="S513" s="638"/>
      <c r="T513" s="639"/>
      <c r="U513" s="638"/>
    </row>
    <row r="514" spans="2:21" s="637" customFormat="1" ht="10.15" customHeight="1">
      <c r="B514" s="638"/>
      <c r="C514" s="638"/>
      <c r="E514" s="639"/>
      <c r="F514" s="642"/>
      <c r="G514" s="642"/>
      <c r="H514" s="644"/>
      <c r="I514" s="643"/>
      <c r="J514" s="643"/>
      <c r="K514" s="642"/>
      <c r="L514" s="4397"/>
      <c r="M514" s="4397"/>
      <c r="O514" s="641"/>
      <c r="P514" s="639"/>
      <c r="Q514" s="639"/>
      <c r="R514" s="640"/>
      <c r="S514" s="638"/>
      <c r="T514" s="639"/>
      <c r="U514" s="638"/>
    </row>
    <row r="515" spans="2:21" s="637" customFormat="1" ht="10.15" customHeight="1">
      <c r="B515" s="638"/>
      <c r="C515" s="638"/>
      <c r="E515" s="639"/>
      <c r="F515" s="642"/>
      <c r="G515" s="642"/>
      <c r="H515" s="644"/>
      <c r="I515" s="643"/>
      <c r="J515" s="643"/>
      <c r="K515" s="642"/>
      <c r="L515" s="4397"/>
      <c r="M515" s="4397"/>
      <c r="O515" s="641"/>
      <c r="P515" s="639"/>
      <c r="Q515" s="639"/>
      <c r="R515" s="640"/>
      <c r="S515" s="638"/>
      <c r="T515" s="639"/>
      <c r="U515" s="638"/>
    </row>
    <row r="516" spans="2:21" s="637" customFormat="1" ht="10.15" customHeight="1">
      <c r="B516" s="638"/>
      <c r="C516" s="638"/>
      <c r="E516" s="639"/>
      <c r="F516" s="642"/>
      <c r="G516" s="642"/>
      <c r="H516" s="644"/>
      <c r="I516" s="643"/>
      <c r="J516" s="643"/>
      <c r="K516" s="642"/>
      <c r="L516" s="4397"/>
      <c r="M516" s="4397"/>
      <c r="O516" s="641"/>
      <c r="P516" s="639"/>
      <c r="Q516" s="639"/>
      <c r="R516" s="640"/>
      <c r="S516" s="638"/>
      <c r="T516" s="639"/>
      <c r="U516" s="638"/>
    </row>
    <row r="517" spans="2:21" s="637" customFormat="1" ht="10.15" customHeight="1">
      <c r="B517" s="638"/>
      <c r="C517" s="638"/>
      <c r="E517" s="639"/>
      <c r="F517" s="642"/>
      <c r="G517" s="642"/>
      <c r="H517" s="644"/>
      <c r="I517" s="643"/>
      <c r="J517" s="643"/>
      <c r="K517" s="642"/>
      <c r="L517" s="4397"/>
      <c r="M517" s="4397"/>
      <c r="O517" s="641"/>
      <c r="P517" s="639"/>
      <c r="Q517" s="639"/>
      <c r="R517" s="640"/>
      <c r="S517" s="638"/>
      <c r="T517" s="639"/>
      <c r="U517" s="638"/>
    </row>
    <row r="518" spans="2:21" s="637" customFormat="1" ht="10.15" customHeight="1">
      <c r="B518" s="638"/>
      <c r="C518" s="638"/>
      <c r="E518" s="639"/>
      <c r="F518" s="642"/>
      <c r="G518" s="642"/>
      <c r="H518" s="644"/>
      <c r="I518" s="643"/>
      <c r="J518" s="643"/>
      <c r="K518" s="642"/>
      <c r="L518" s="4397"/>
      <c r="M518" s="4397"/>
      <c r="O518" s="641"/>
      <c r="P518" s="639"/>
      <c r="Q518" s="639"/>
      <c r="R518" s="640"/>
      <c r="S518" s="638"/>
      <c r="T518" s="639"/>
      <c r="U518" s="638"/>
    </row>
    <row r="519" spans="2:21" s="637" customFormat="1" ht="10.15" customHeight="1">
      <c r="B519" s="638"/>
      <c r="C519" s="638"/>
      <c r="E519" s="639"/>
      <c r="F519" s="642"/>
      <c r="G519" s="642"/>
      <c r="H519" s="644"/>
      <c r="I519" s="643"/>
      <c r="J519" s="643"/>
      <c r="K519" s="642"/>
      <c r="L519" s="4397"/>
      <c r="M519" s="4397"/>
      <c r="O519" s="641"/>
      <c r="P519" s="639"/>
      <c r="Q519" s="639"/>
      <c r="R519" s="640"/>
      <c r="S519" s="638"/>
      <c r="T519" s="639"/>
      <c r="U519" s="638"/>
    </row>
    <row r="520" spans="2:21" s="637" customFormat="1" ht="10.15" customHeight="1">
      <c r="B520" s="638"/>
      <c r="C520" s="638"/>
      <c r="E520" s="639"/>
      <c r="F520" s="642"/>
      <c r="G520" s="642"/>
      <c r="H520" s="644"/>
      <c r="I520" s="643"/>
      <c r="J520" s="643"/>
      <c r="K520" s="642"/>
      <c r="L520" s="4397"/>
      <c r="M520" s="4397"/>
      <c r="O520" s="641"/>
      <c r="P520" s="639"/>
      <c r="Q520" s="639"/>
      <c r="R520" s="640"/>
      <c r="S520" s="638"/>
      <c r="T520" s="639"/>
      <c r="U520" s="638"/>
    </row>
    <row r="521" spans="2:21" s="637" customFormat="1" ht="10.15" customHeight="1">
      <c r="B521" s="638"/>
      <c r="C521" s="638"/>
      <c r="E521" s="639"/>
      <c r="F521" s="642"/>
      <c r="G521" s="642"/>
      <c r="H521" s="644"/>
      <c r="I521" s="643"/>
      <c r="J521" s="643"/>
      <c r="K521" s="642"/>
      <c r="L521" s="4397"/>
      <c r="M521" s="4397"/>
      <c r="O521" s="641"/>
      <c r="P521" s="639"/>
      <c r="Q521" s="639"/>
      <c r="R521" s="640"/>
      <c r="S521" s="638"/>
      <c r="T521" s="639"/>
      <c r="U521" s="638"/>
    </row>
    <row r="522" spans="2:21" s="637" customFormat="1" ht="10.15" customHeight="1">
      <c r="B522" s="638"/>
      <c r="C522" s="638"/>
      <c r="E522" s="639"/>
      <c r="F522" s="642"/>
      <c r="G522" s="642"/>
      <c r="H522" s="644"/>
      <c r="I522" s="643"/>
      <c r="J522" s="643"/>
      <c r="K522" s="642"/>
      <c r="L522" s="4397"/>
      <c r="M522" s="4397"/>
      <c r="O522" s="641"/>
      <c r="P522" s="639"/>
      <c r="Q522" s="639"/>
      <c r="R522" s="640"/>
      <c r="S522" s="638"/>
      <c r="T522" s="639"/>
      <c r="U522" s="638"/>
    </row>
    <row r="523" spans="2:21" s="637" customFormat="1" ht="10.15" customHeight="1">
      <c r="B523" s="638"/>
      <c r="C523" s="638"/>
      <c r="E523" s="639"/>
      <c r="F523" s="642"/>
      <c r="G523" s="642"/>
      <c r="H523" s="644"/>
      <c r="I523" s="643"/>
      <c r="J523" s="643"/>
      <c r="K523" s="642"/>
      <c r="L523" s="4397"/>
      <c r="M523" s="4397"/>
      <c r="O523" s="641"/>
      <c r="P523" s="639"/>
      <c r="Q523" s="639"/>
      <c r="R523" s="640"/>
      <c r="S523" s="638"/>
      <c r="T523" s="639"/>
      <c r="U523" s="638"/>
    </row>
    <row r="524" spans="2:21" s="637" customFormat="1" ht="10.15" customHeight="1">
      <c r="B524" s="638"/>
      <c r="C524" s="638"/>
      <c r="E524" s="639"/>
      <c r="F524" s="642"/>
      <c r="G524" s="642"/>
      <c r="H524" s="644"/>
      <c r="I524" s="643"/>
      <c r="J524" s="643"/>
      <c r="K524" s="642"/>
      <c r="L524" s="4397"/>
      <c r="M524" s="4397"/>
      <c r="O524" s="641"/>
      <c r="P524" s="639"/>
      <c r="Q524" s="639"/>
      <c r="R524" s="640"/>
      <c r="S524" s="638"/>
      <c r="T524" s="639"/>
      <c r="U524" s="638"/>
    </row>
    <row r="525" spans="2:21" s="637" customFormat="1" ht="10.15" customHeight="1">
      <c r="B525" s="638"/>
      <c r="C525" s="638"/>
      <c r="E525" s="639"/>
      <c r="F525" s="642"/>
      <c r="G525" s="642"/>
      <c r="H525" s="644"/>
      <c r="I525" s="643"/>
      <c r="J525" s="643"/>
      <c r="K525" s="642"/>
      <c r="L525" s="4397"/>
      <c r="M525" s="4397"/>
      <c r="O525" s="641"/>
      <c r="P525" s="639"/>
      <c r="Q525" s="639"/>
      <c r="R525" s="640"/>
      <c r="S525" s="638"/>
      <c r="T525" s="639"/>
      <c r="U525" s="638"/>
    </row>
    <row r="526" spans="2:21" s="637" customFormat="1" ht="10.15" customHeight="1">
      <c r="B526" s="638"/>
      <c r="C526" s="638"/>
      <c r="E526" s="639"/>
      <c r="F526" s="642"/>
      <c r="G526" s="642"/>
      <c r="H526" s="644"/>
      <c r="I526" s="643"/>
      <c r="J526" s="643"/>
      <c r="K526" s="642"/>
      <c r="L526" s="4397"/>
      <c r="M526" s="4397"/>
      <c r="O526" s="641"/>
      <c r="P526" s="639"/>
      <c r="Q526" s="639"/>
      <c r="R526" s="640"/>
      <c r="S526" s="638"/>
      <c r="T526" s="639"/>
      <c r="U526" s="638"/>
    </row>
    <row r="527" spans="2:21" s="637" customFormat="1" ht="10.15" customHeight="1">
      <c r="B527" s="638"/>
      <c r="C527" s="638"/>
      <c r="E527" s="639"/>
      <c r="F527" s="642"/>
      <c r="G527" s="642"/>
      <c r="H527" s="644"/>
      <c r="I527" s="643"/>
      <c r="J527" s="643"/>
      <c r="K527" s="642"/>
      <c r="L527" s="4397"/>
      <c r="M527" s="4397"/>
      <c r="O527" s="641"/>
      <c r="P527" s="639"/>
      <c r="Q527" s="639"/>
      <c r="R527" s="640"/>
      <c r="S527" s="638"/>
      <c r="T527" s="639"/>
      <c r="U527" s="638"/>
    </row>
    <row r="528" spans="2:21" s="637" customFormat="1" ht="10.15" customHeight="1">
      <c r="B528" s="638"/>
      <c r="C528" s="638"/>
      <c r="E528" s="639"/>
      <c r="F528" s="642"/>
      <c r="G528" s="642"/>
      <c r="H528" s="644"/>
      <c r="I528" s="643"/>
      <c r="J528" s="643"/>
      <c r="K528" s="642"/>
      <c r="L528" s="4397"/>
      <c r="M528" s="4397"/>
      <c r="O528" s="641"/>
      <c r="P528" s="639"/>
      <c r="Q528" s="639"/>
      <c r="R528" s="640"/>
      <c r="S528" s="638"/>
      <c r="T528" s="639"/>
      <c r="U528" s="638"/>
    </row>
    <row r="529" spans="2:21" s="637" customFormat="1" ht="10.15" customHeight="1">
      <c r="B529" s="638"/>
      <c r="C529" s="638"/>
      <c r="E529" s="639"/>
      <c r="F529" s="642"/>
      <c r="G529" s="642"/>
      <c r="H529" s="644"/>
      <c r="I529" s="643"/>
      <c r="J529" s="643"/>
      <c r="K529" s="642"/>
      <c r="L529" s="4397"/>
      <c r="M529" s="4397"/>
      <c r="O529" s="641"/>
      <c r="P529" s="639"/>
      <c r="Q529" s="639"/>
      <c r="R529" s="640"/>
      <c r="S529" s="638"/>
      <c r="T529" s="639"/>
      <c r="U529" s="638"/>
    </row>
    <row r="530" spans="2:21" s="637" customFormat="1" ht="10.15" customHeight="1">
      <c r="B530" s="638"/>
      <c r="C530" s="638"/>
      <c r="E530" s="639"/>
      <c r="F530" s="642"/>
      <c r="G530" s="642"/>
      <c r="H530" s="644"/>
      <c r="I530" s="643"/>
      <c r="J530" s="643"/>
      <c r="K530" s="642"/>
      <c r="L530" s="4397"/>
      <c r="M530" s="4397"/>
      <c r="O530" s="641"/>
      <c r="P530" s="639"/>
      <c r="Q530" s="639"/>
      <c r="R530" s="640"/>
      <c r="S530" s="638"/>
      <c r="T530" s="639"/>
      <c r="U530" s="638"/>
    </row>
    <row r="531" spans="2:21" s="637" customFormat="1" ht="10.15" customHeight="1">
      <c r="B531" s="638"/>
      <c r="C531" s="638"/>
      <c r="E531" s="639"/>
      <c r="F531" s="642"/>
      <c r="G531" s="642"/>
      <c r="H531" s="644"/>
      <c r="I531" s="643"/>
      <c r="J531" s="643"/>
      <c r="K531" s="642"/>
      <c r="L531" s="4397"/>
      <c r="M531" s="4397"/>
      <c r="O531" s="641"/>
      <c r="P531" s="639"/>
      <c r="Q531" s="639"/>
      <c r="R531" s="640"/>
      <c r="S531" s="638"/>
      <c r="T531" s="639"/>
      <c r="U531" s="638"/>
    </row>
    <row r="532" spans="2:21" s="637" customFormat="1" ht="10.15" customHeight="1">
      <c r="B532" s="638"/>
      <c r="C532" s="638"/>
      <c r="E532" s="639"/>
      <c r="F532" s="642"/>
      <c r="G532" s="642"/>
      <c r="H532" s="644"/>
      <c r="I532" s="643"/>
      <c r="J532" s="643"/>
      <c r="K532" s="642"/>
      <c r="L532" s="4397"/>
      <c r="M532" s="4397"/>
      <c r="O532" s="641"/>
      <c r="P532" s="639"/>
      <c r="Q532" s="639"/>
      <c r="R532" s="640"/>
      <c r="S532" s="638"/>
      <c r="T532" s="639"/>
      <c r="U532" s="638"/>
    </row>
    <row r="533" spans="2:21" s="637" customFormat="1" ht="10.15" customHeight="1">
      <c r="B533" s="638"/>
      <c r="C533" s="638"/>
      <c r="E533" s="639"/>
      <c r="F533" s="642"/>
      <c r="G533" s="642"/>
      <c r="H533" s="644"/>
      <c r="I533" s="643"/>
      <c r="J533" s="643"/>
      <c r="K533" s="642"/>
      <c r="L533" s="4397"/>
      <c r="M533" s="4397"/>
      <c r="O533" s="641"/>
      <c r="P533" s="639"/>
      <c r="Q533" s="639"/>
      <c r="R533" s="640"/>
      <c r="S533" s="638"/>
      <c r="T533" s="639"/>
      <c r="U533" s="638"/>
    </row>
    <row r="534" spans="2:21" s="637" customFormat="1" ht="10.15" customHeight="1">
      <c r="B534" s="638"/>
      <c r="C534" s="638"/>
      <c r="E534" s="639"/>
      <c r="F534" s="642"/>
      <c r="G534" s="642"/>
      <c r="H534" s="644"/>
      <c r="I534" s="643"/>
      <c r="J534" s="643"/>
      <c r="K534" s="642"/>
      <c r="L534" s="4397"/>
      <c r="M534" s="4397"/>
      <c r="O534" s="641"/>
      <c r="P534" s="639"/>
      <c r="Q534" s="639"/>
      <c r="R534" s="640"/>
      <c r="S534" s="638"/>
      <c r="T534" s="639"/>
      <c r="U534" s="638"/>
    </row>
    <row r="535" spans="2:21" s="637" customFormat="1" ht="10.15" customHeight="1">
      <c r="B535" s="638"/>
      <c r="C535" s="638"/>
      <c r="E535" s="639"/>
      <c r="F535" s="642"/>
      <c r="G535" s="642"/>
      <c r="H535" s="644"/>
      <c r="I535" s="643"/>
      <c r="J535" s="643"/>
      <c r="K535" s="642"/>
      <c r="L535" s="4397"/>
      <c r="M535" s="4397"/>
      <c r="O535" s="641"/>
      <c r="P535" s="639"/>
      <c r="Q535" s="639"/>
      <c r="R535" s="640"/>
      <c r="S535" s="638"/>
      <c r="T535" s="639"/>
      <c r="U535" s="638"/>
    </row>
    <row r="536" spans="2:21" s="637" customFormat="1" ht="10.15" customHeight="1">
      <c r="B536" s="638"/>
      <c r="C536" s="638"/>
      <c r="E536" s="639"/>
      <c r="F536" s="642"/>
      <c r="G536" s="642"/>
      <c r="H536" s="644"/>
      <c r="I536" s="643"/>
      <c r="J536" s="643"/>
      <c r="K536" s="642"/>
      <c r="L536" s="4397"/>
      <c r="M536" s="4397"/>
      <c r="O536" s="641"/>
      <c r="P536" s="639"/>
      <c r="Q536" s="639"/>
      <c r="R536" s="640"/>
      <c r="S536" s="638"/>
      <c r="T536" s="639"/>
      <c r="U536" s="638"/>
    </row>
    <row r="537" spans="2:21" s="637" customFormat="1" ht="10.15" customHeight="1">
      <c r="B537" s="638"/>
      <c r="C537" s="638"/>
      <c r="E537" s="639"/>
      <c r="F537" s="642"/>
      <c r="G537" s="642"/>
      <c r="H537" s="644"/>
      <c r="I537" s="643"/>
      <c r="J537" s="643"/>
      <c r="K537" s="642"/>
      <c r="L537" s="4397"/>
      <c r="M537" s="4397"/>
      <c r="O537" s="641"/>
      <c r="P537" s="639"/>
      <c r="Q537" s="639"/>
      <c r="R537" s="640"/>
      <c r="S537" s="638"/>
      <c r="T537" s="639"/>
      <c r="U537" s="638"/>
    </row>
    <row r="538" spans="2:21" s="637" customFormat="1" ht="10.15" customHeight="1">
      <c r="B538" s="638"/>
      <c r="C538" s="638"/>
      <c r="E538" s="639"/>
      <c r="F538" s="642"/>
      <c r="G538" s="642"/>
      <c r="H538" s="644"/>
      <c r="I538" s="643"/>
      <c r="J538" s="643"/>
      <c r="K538" s="642"/>
      <c r="L538" s="4397"/>
      <c r="M538" s="4397"/>
      <c r="O538" s="641"/>
      <c r="P538" s="639"/>
      <c r="Q538" s="639"/>
      <c r="R538" s="640"/>
      <c r="S538" s="638"/>
      <c r="T538" s="639"/>
      <c r="U538" s="638"/>
    </row>
    <row r="539" spans="2:21" s="637" customFormat="1" ht="10.15" customHeight="1">
      <c r="B539" s="638"/>
      <c r="C539" s="638"/>
      <c r="E539" s="639"/>
      <c r="F539" s="642"/>
      <c r="G539" s="642"/>
      <c r="H539" s="644"/>
      <c r="I539" s="643"/>
      <c r="J539" s="643"/>
      <c r="K539" s="642"/>
      <c r="L539" s="4397"/>
      <c r="M539" s="4397"/>
      <c r="O539" s="641"/>
      <c r="P539" s="639"/>
      <c r="Q539" s="639"/>
      <c r="R539" s="640"/>
      <c r="S539" s="638"/>
      <c r="T539" s="639"/>
      <c r="U539" s="638"/>
    </row>
    <row r="540" spans="2:21" s="637" customFormat="1" ht="10.15" customHeight="1">
      <c r="B540" s="638"/>
      <c r="C540" s="638"/>
      <c r="E540" s="639"/>
      <c r="F540" s="642"/>
      <c r="G540" s="642"/>
      <c r="H540" s="644"/>
      <c r="I540" s="643"/>
      <c r="J540" s="643"/>
      <c r="K540" s="642"/>
      <c r="L540" s="4397"/>
      <c r="M540" s="4397"/>
      <c r="O540" s="641"/>
      <c r="P540" s="639"/>
      <c r="Q540" s="639"/>
      <c r="R540" s="640"/>
      <c r="S540" s="638"/>
      <c r="T540" s="639"/>
      <c r="U540" s="638"/>
    </row>
    <row r="541" spans="2:21" s="637" customFormat="1" ht="10.15" customHeight="1">
      <c r="B541" s="638"/>
      <c r="C541" s="638"/>
      <c r="E541" s="639"/>
      <c r="F541" s="642"/>
      <c r="G541" s="642"/>
      <c r="H541" s="644"/>
      <c r="I541" s="643"/>
      <c r="J541" s="643"/>
      <c r="K541" s="642"/>
      <c r="L541" s="4397"/>
      <c r="M541" s="4397"/>
      <c r="O541" s="641"/>
      <c r="P541" s="639"/>
      <c r="Q541" s="639"/>
      <c r="R541" s="640"/>
      <c r="S541" s="638"/>
      <c r="T541" s="639"/>
      <c r="U541" s="638"/>
    </row>
    <row r="542" spans="2:21" s="637" customFormat="1" ht="10.15" customHeight="1">
      <c r="B542" s="638"/>
      <c r="C542" s="638"/>
      <c r="E542" s="639"/>
      <c r="F542" s="642"/>
      <c r="G542" s="642"/>
      <c r="H542" s="644"/>
      <c r="I542" s="643"/>
      <c r="J542" s="643"/>
      <c r="K542" s="642"/>
      <c r="L542" s="4397"/>
      <c r="M542" s="4397"/>
      <c r="O542" s="641"/>
      <c r="P542" s="639"/>
      <c r="Q542" s="639"/>
      <c r="R542" s="640"/>
      <c r="S542" s="638"/>
      <c r="T542" s="639"/>
      <c r="U542" s="638"/>
    </row>
    <row r="543" spans="2:21" s="637" customFormat="1" ht="10.15" customHeight="1">
      <c r="B543" s="638"/>
      <c r="C543" s="638"/>
      <c r="E543" s="639"/>
      <c r="F543" s="642"/>
      <c r="G543" s="642"/>
      <c r="H543" s="644"/>
      <c r="I543" s="643"/>
      <c r="J543" s="643"/>
      <c r="K543" s="642"/>
      <c r="L543" s="4397"/>
      <c r="M543" s="4397"/>
      <c r="O543" s="641"/>
      <c r="P543" s="639"/>
      <c r="Q543" s="639"/>
      <c r="R543" s="640"/>
      <c r="S543" s="638"/>
      <c r="T543" s="639"/>
      <c r="U543" s="638"/>
    </row>
    <row r="544" spans="2:21" s="637" customFormat="1" ht="10.15" customHeight="1">
      <c r="B544" s="638"/>
      <c r="C544" s="638"/>
      <c r="E544" s="639"/>
      <c r="F544" s="642"/>
      <c r="G544" s="642"/>
      <c r="H544" s="644"/>
      <c r="I544" s="643"/>
      <c r="J544" s="643"/>
      <c r="K544" s="642"/>
      <c r="L544" s="4397"/>
      <c r="M544" s="4397"/>
      <c r="O544" s="641"/>
      <c r="P544" s="639"/>
      <c r="Q544" s="639"/>
      <c r="R544" s="640"/>
      <c r="S544" s="638"/>
      <c r="T544" s="639"/>
      <c r="U544" s="638"/>
    </row>
    <row r="545" spans="2:21" s="637" customFormat="1" ht="10.15" customHeight="1">
      <c r="B545" s="638"/>
      <c r="C545" s="638"/>
      <c r="E545" s="639"/>
      <c r="F545" s="642"/>
      <c r="G545" s="642"/>
      <c r="H545" s="644"/>
      <c r="I545" s="643"/>
      <c r="J545" s="643"/>
      <c r="K545" s="642"/>
      <c r="L545" s="4397"/>
      <c r="M545" s="4397"/>
      <c r="O545" s="641"/>
      <c r="P545" s="639"/>
      <c r="Q545" s="639"/>
      <c r="R545" s="640"/>
      <c r="S545" s="638"/>
      <c r="T545" s="639"/>
      <c r="U545" s="638"/>
    </row>
    <row r="546" spans="2:21" s="637" customFormat="1" ht="10.15" customHeight="1">
      <c r="B546" s="638"/>
      <c r="C546" s="638"/>
      <c r="E546" s="639"/>
      <c r="F546" s="642"/>
      <c r="G546" s="642"/>
      <c r="H546" s="644"/>
      <c r="I546" s="643"/>
      <c r="J546" s="643"/>
      <c r="K546" s="642"/>
      <c r="L546" s="4397"/>
      <c r="M546" s="4397"/>
      <c r="O546" s="641"/>
      <c r="P546" s="639"/>
      <c r="Q546" s="639"/>
      <c r="R546" s="640"/>
      <c r="S546" s="638"/>
      <c r="T546" s="639"/>
      <c r="U546" s="638"/>
    </row>
    <row r="547" spans="2:21" s="637" customFormat="1" ht="10.15" customHeight="1">
      <c r="B547" s="638"/>
      <c r="C547" s="638"/>
      <c r="E547" s="639"/>
      <c r="F547" s="642"/>
      <c r="G547" s="642"/>
      <c r="H547" s="644"/>
      <c r="I547" s="643"/>
      <c r="J547" s="643"/>
      <c r="K547" s="642"/>
      <c r="L547" s="4397"/>
      <c r="M547" s="4397"/>
      <c r="O547" s="641"/>
      <c r="P547" s="639"/>
      <c r="Q547" s="639"/>
      <c r="R547" s="640"/>
      <c r="S547" s="638"/>
      <c r="T547" s="639"/>
      <c r="U547" s="638"/>
    </row>
    <row r="548" spans="2:21" s="637" customFormat="1" ht="10.15" customHeight="1">
      <c r="B548" s="638"/>
      <c r="C548" s="638"/>
      <c r="E548" s="639"/>
      <c r="F548" s="642"/>
      <c r="G548" s="642"/>
      <c r="H548" s="644"/>
      <c r="I548" s="643"/>
      <c r="J548" s="643"/>
      <c r="K548" s="642"/>
      <c r="L548" s="4397"/>
      <c r="M548" s="4397"/>
      <c r="O548" s="641"/>
      <c r="P548" s="639"/>
      <c r="Q548" s="639"/>
      <c r="R548" s="640"/>
      <c r="S548" s="638"/>
      <c r="T548" s="639"/>
      <c r="U548" s="638"/>
    </row>
    <row r="549" spans="2:21" s="637" customFormat="1" ht="10.15" customHeight="1">
      <c r="B549" s="638"/>
      <c r="C549" s="638"/>
      <c r="E549" s="639"/>
      <c r="F549" s="642"/>
      <c r="G549" s="642"/>
      <c r="H549" s="644"/>
      <c r="I549" s="643"/>
      <c r="J549" s="643"/>
      <c r="K549" s="642"/>
      <c r="L549" s="4397"/>
      <c r="M549" s="4397"/>
      <c r="O549" s="641"/>
      <c r="P549" s="639"/>
      <c r="Q549" s="639"/>
      <c r="R549" s="640"/>
      <c r="S549" s="638"/>
      <c r="T549" s="639"/>
      <c r="U549" s="638"/>
    </row>
    <row r="550" spans="2:21" s="637" customFormat="1" ht="10.15" customHeight="1">
      <c r="B550" s="638"/>
      <c r="C550" s="638"/>
      <c r="E550" s="639"/>
      <c r="F550" s="642"/>
      <c r="G550" s="642"/>
      <c r="H550" s="644"/>
      <c r="I550" s="643"/>
      <c r="J550" s="643"/>
      <c r="K550" s="642"/>
      <c r="L550" s="4397"/>
      <c r="M550" s="4397"/>
      <c r="O550" s="641"/>
      <c r="P550" s="639"/>
      <c r="Q550" s="639"/>
      <c r="R550" s="640"/>
      <c r="S550" s="638"/>
      <c r="T550" s="639"/>
      <c r="U550" s="638"/>
    </row>
    <row r="551" spans="2:21" s="637" customFormat="1" ht="10.15" customHeight="1">
      <c r="B551" s="638"/>
      <c r="C551" s="638"/>
      <c r="E551" s="639"/>
      <c r="F551" s="642"/>
      <c r="G551" s="642"/>
      <c r="H551" s="644"/>
      <c r="I551" s="643"/>
      <c r="J551" s="643"/>
      <c r="K551" s="642"/>
      <c r="L551" s="4397"/>
      <c r="M551" s="4397"/>
      <c r="O551" s="641"/>
      <c r="P551" s="639"/>
      <c r="Q551" s="639"/>
      <c r="R551" s="640"/>
      <c r="S551" s="638"/>
      <c r="T551" s="639"/>
      <c r="U551" s="638"/>
    </row>
    <row r="552" spans="2:21" s="637" customFormat="1" ht="10.15" customHeight="1">
      <c r="B552" s="638"/>
      <c r="C552" s="638"/>
      <c r="E552" s="639"/>
      <c r="F552" s="642"/>
      <c r="G552" s="642"/>
      <c r="H552" s="644"/>
      <c r="I552" s="643"/>
      <c r="J552" s="643"/>
      <c r="K552" s="642"/>
      <c r="L552" s="4397"/>
      <c r="M552" s="4397"/>
      <c r="O552" s="641"/>
      <c r="P552" s="639"/>
      <c r="Q552" s="639"/>
      <c r="R552" s="640"/>
      <c r="S552" s="638"/>
      <c r="T552" s="639"/>
      <c r="U552" s="638"/>
    </row>
    <row r="553" spans="2:21" s="637" customFormat="1" ht="10.15" customHeight="1">
      <c r="B553" s="638"/>
      <c r="C553" s="638"/>
      <c r="E553" s="639"/>
      <c r="F553" s="642"/>
      <c r="G553" s="642"/>
      <c r="H553" s="644"/>
      <c r="I553" s="643"/>
      <c r="J553" s="643"/>
      <c r="K553" s="642"/>
      <c r="L553" s="4397"/>
      <c r="M553" s="4397"/>
      <c r="O553" s="641"/>
      <c r="P553" s="639"/>
      <c r="Q553" s="639"/>
      <c r="R553" s="640"/>
      <c r="S553" s="638"/>
      <c r="T553" s="639"/>
      <c r="U553" s="638"/>
    </row>
    <row r="554" spans="2:21" s="637" customFormat="1" ht="10.15" customHeight="1">
      <c r="B554" s="638"/>
      <c r="C554" s="638"/>
      <c r="E554" s="639"/>
      <c r="F554" s="642"/>
      <c r="G554" s="642"/>
      <c r="H554" s="644"/>
      <c r="I554" s="643"/>
      <c r="J554" s="643"/>
      <c r="K554" s="642"/>
      <c r="L554" s="4397"/>
      <c r="M554" s="4397"/>
      <c r="O554" s="641"/>
      <c r="P554" s="639"/>
      <c r="Q554" s="639"/>
      <c r="R554" s="640"/>
      <c r="S554" s="638"/>
      <c r="T554" s="639"/>
      <c r="U554" s="638"/>
    </row>
    <row r="555" spans="2:21" s="637" customFormat="1" ht="10.15" customHeight="1">
      <c r="B555" s="638"/>
      <c r="C555" s="638"/>
      <c r="E555" s="639"/>
      <c r="F555" s="642"/>
      <c r="G555" s="642"/>
      <c r="H555" s="644"/>
      <c r="I555" s="643"/>
      <c r="J555" s="643"/>
      <c r="K555" s="642"/>
      <c r="L555" s="4397"/>
      <c r="M555" s="4397"/>
      <c r="O555" s="641"/>
      <c r="P555" s="639"/>
      <c r="Q555" s="639"/>
      <c r="R555" s="640"/>
      <c r="S555" s="638"/>
      <c r="T555" s="639"/>
      <c r="U555" s="638"/>
    </row>
    <row r="556" spans="2:21" s="637" customFormat="1" ht="10.15" customHeight="1">
      <c r="B556" s="638"/>
      <c r="C556" s="638"/>
      <c r="E556" s="639"/>
      <c r="F556" s="642"/>
      <c r="G556" s="642"/>
      <c r="H556" s="644"/>
      <c r="I556" s="643"/>
      <c r="J556" s="643"/>
      <c r="K556" s="642"/>
      <c r="L556" s="4397"/>
      <c r="M556" s="4397"/>
      <c r="O556" s="641"/>
      <c r="P556" s="639"/>
      <c r="Q556" s="639"/>
      <c r="R556" s="640"/>
      <c r="S556" s="638"/>
      <c r="T556" s="639"/>
      <c r="U556" s="638"/>
    </row>
    <row r="557" spans="2:21" s="637" customFormat="1" ht="10.15" customHeight="1">
      <c r="B557" s="638"/>
      <c r="C557" s="638"/>
      <c r="E557" s="639"/>
      <c r="F557" s="642"/>
      <c r="G557" s="642"/>
      <c r="H557" s="644"/>
      <c r="I557" s="643"/>
      <c r="J557" s="643"/>
      <c r="K557" s="642"/>
      <c r="L557" s="4397"/>
      <c r="M557" s="4397"/>
      <c r="O557" s="641"/>
      <c r="P557" s="639"/>
      <c r="Q557" s="639"/>
      <c r="R557" s="640"/>
      <c r="S557" s="638"/>
      <c r="T557" s="639"/>
      <c r="U557" s="638"/>
    </row>
    <row r="558" spans="2:21" s="637" customFormat="1" ht="10.15" customHeight="1">
      <c r="B558" s="638"/>
      <c r="C558" s="638"/>
      <c r="E558" s="639"/>
      <c r="F558" s="642"/>
      <c r="G558" s="642"/>
      <c r="H558" s="644"/>
      <c r="I558" s="643"/>
      <c r="J558" s="643"/>
      <c r="K558" s="642"/>
      <c r="L558" s="4397"/>
      <c r="M558" s="4397"/>
      <c r="O558" s="641"/>
      <c r="P558" s="639"/>
      <c r="Q558" s="639"/>
      <c r="R558" s="640"/>
      <c r="S558" s="638"/>
      <c r="T558" s="639"/>
      <c r="U558" s="638"/>
    </row>
    <row r="559" spans="2:21" s="637" customFormat="1" ht="10.15" customHeight="1">
      <c r="B559" s="638"/>
      <c r="C559" s="638"/>
      <c r="E559" s="639"/>
      <c r="F559" s="642"/>
      <c r="G559" s="642"/>
      <c r="H559" s="644"/>
      <c r="I559" s="643"/>
      <c r="J559" s="643"/>
      <c r="K559" s="642"/>
      <c r="L559" s="4397"/>
      <c r="M559" s="4397"/>
      <c r="O559" s="641"/>
      <c r="P559" s="639"/>
      <c r="Q559" s="639"/>
      <c r="R559" s="640"/>
      <c r="S559" s="638"/>
      <c r="T559" s="639"/>
      <c r="U559" s="638"/>
    </row>
    <row r="560" spans="2:21" s="637" customFormat="1" ht="10.15" customHeight="1">
      <c r="B560" s="638"/>
      <c r="C560" s="638"/>
      <c r="E560" s="639"/>
      <c r="F560" s="642"/>
      <c r="G560" s="642"/>
      <c r="H560" s="644"/>
      <c r="I560" s="643"/>
      <c r="J560" s="643"/>
      <c r="K560" s="642"/>
      <c r="L560" s="4397"/>
      <c r="M560" s="4397"/>
      <c r="O560" s="641"/>
      <c r="P560" s="639"/>
      <c r="Q560" s="639"/>
      <c r="R560" s="640"/>
      <c r="S560" s="638"/>
      <c r="T560" s="639"/>
      <c r="U560" s="638"/>
    </row>
    <row r="561" spans="2:21" s="637" customFormat="1" ht="10.15" customHeight="1">
      <c r="B561" s="638"/>
      <c r="C561" s="638"/>
      <c r="E561" s="639"/>
      <c r="F561" s="642"/>
      <c r="G561" s="642"/>
      <c r="H561" s="644"/>
      <c r="I561" s="643"/>
      <c r="J561" s="643"/>
      <c r="K561" s="642"/>
      <c r="L561" s="4397"/>
      <c r="M561" s="4397"/>
      <c r="O561" s="641"/>
      <c r="P561" s="639"/>
      <c r="Q561" s="639"/>
      <c r="R561" s="640"/>
      <c r="S561" s="638"/>
      <c r="T561" s="639"/>
      <c r="U561" s="638"/>
    </row>
    <row r="562" spans="2:21" s="637" customFormat="1" ht="10.15" customHeight="1">
      <c r="B562" s="638"/>
      <c r="C562" s="638"/>
      <c r="E562" s="639"/>
      <c r="F562" s="642"/>
      <c r="G562" s="642"/>
      <c r="H562" s="644"/>
      <c r="I562" s="643"/>
      <c r="J562" s="643"/>
      <c r="K562" s="642"/>
      <c r="L562" s="4397"/>
      <c r="M562" s="4397"/>
      <c r="O562" s="641"/>
      <c r="P562" s="639"/>
      <c r="Q562" s="639"/>
      <c r="R562" s="640"/>
      <c r="S562" s="638"/>
      <c r="T562" s="639"/>
      <c r="U562" s="638"/>
    </row>
    <row r="563" spans="2:21" s="637" customFormat="1" ht="10.15" customHeight="1">
      <c r="B563" s="638"/>
      <c r="C563" s="638"/>
      <c r="E563" s="639"/>
      <c r="F563" s="642"/>
      <c r="G563" s="642"/>
      <c r="H563" s="644"/>
      <c r="I563" s="643"/>
      <c r="J563" s="643"/>
      <c r="K563" s="642"/>
      <c r="L563" s="4397"/>
      <c r="M563" s="4397"/>
      <c r="O563" s="641"/>
      <c r="P563" s="639"/>
      <c r="Q563" s="639"/>
      <c r="R563" s="640"/>
      <c r="S563" s="638"/>
      <c r="T563" s="639"/>
      <c r="U563" s="638"/>
    </row>
    <row r="564" spans="2:21" s="637" customFormat="1" ht="10.15" customHeight="1">
      <c r="B564" s="638"/>
      <c r="C564" s="638"/>
      <c r="E564" s="639"/>
      <c r="F564" s="642"/>
      <c r="G564" s="642"/>
      <c r="H564" s="644"/>
      <c r="I564" s="643"/>
      <c r="J564" s="643"/>
      <c r="K564" s="642"/>
      <c r="L564" s="4397"/>
      <c r="M564" s="4397"/>
      <c r="O564" s="641"/>
      <c r="P564" s="639"/>
      <c r="Q564" s="639"/>
      <c r="R564" s="640"/>
      <c r="S564" s="638"/>
      <c r="T564" s="639"/>
      <c r="U564" s="638"/>
    </row>
    <row r="565" spans="2:21" s="637" customFormat="1" ht="10.15" customHeight="1">
      <c r="B565" s="638"/>
      <c r="C565" s="638"/>
      <c r="E565" s="639"/>
      <c r="F565" s="642"/>
      <c r="G565" s="642"/>
      <c r="H565" s="644"/>
      <c r="I565" s="643"/>
      <c r="J565" s="643"/>
      <c r="K565" s="642"/>
      <c r="L565" s="4397"/>
      <c r="M565" s="4397"/>
      <c r="O565" s="641"/>
      <c r="P565" s="639"/>
      <c r="Q565" s="639"/>
      <c r="R565" s="640"/>
      <c r="S565" s="638"/>
      <c r="T565" s="639"/>
      <c r="U565" s="638"/>
    </row>
    <row r="566" spans="2:21" s="637" customFormat="1" ht="10.15" customHeight="1">
      <c r="B566" s="638"/>
      <c r="C566" s="638"/>
      <c r="E566" s="639"/>
      <c r="F566" s="642"/>
      <c r="G566" s="642"/>
      <c r="H566" s="644"/>
      <c r="I566" s="643"/>
      <c r="J566" s="643"/>
      <c r="K566" s="642"/>
      <c r="L566" s="4397"/>
      <c r="M566" s="4397"/>
      <c r="O566" s="641"/>
      <c r="P566" s="639"/>
      <c r="Q566" s="639"/>
      <c r="R566" s="640"/>
      <c r="S566" s="638"/>
      <c r="T566" s="639"/>
      <c r="U566" s="638"/>
    </row>
    <row r="567" spans="2:21" s="637" customFormat="1" ht="10.15" customHeight="1">
      <c r="B567" s="638"/>
      <c r="C567" s="638"/>
      <c r="E567" s="639"/>
      <c r="F567" s="642"/>
      <c r="G567" s="642"/>
      <c r="H567" s="644"/>
      <c r="I567" s="643"/>
      <c r="J567" s="643"/>
      <c r="K567" s="642"/>
      <c r="L567" s="4397"/>
      <c r="M567" s="4397"/>
      <c r="O567" s="641"/>
      <c r="P567" s="639"/>
      <c r="Q567" s="639"/>
      <c r="R567" s="640"/>
      <c r="S567" s="638"/>
      <c r="T567" s="639"/>
      <c r="U567" s="638"/>
    </row>
    <row r="568" spans="2:21" s="637" customFormat="1" ht="10.15" customHeight="1">
      <c r="B568" s="638"/>
      <c r="C568" s="638"/>
      <c r="E568" s="639"/>
      <c r="F568" s="642"/>
      <c r="G568" s="642"/>
      <c r="H568" s="644"/>
      <c r="I568" s="643"/>
      <c r="J568" s="643"/>
      <c r="K568" s="642"/>
      <c r="L568" s="4397"/>
      <c r="M568" s="4397"/>
      <c r="O568" s="641"/>
      <c r="P568" s="639"/>
      <c r="Q568" s="639"/>
      <c r="R568" s="640"/>
      <c r="S568" s="638"/>
      <c r="T568" s="639"/>
      <c r="U568" s="638"/>
    </row>
    <row r="569" spans="2:21" s="637" customFormat="1" ht="10.15" customHeight="1">
      <c r="B569" s="638"/>
      <c r="C569" s="638"/>
      <c r="E569" s="639"/>
      <c r="F569" s="642"/>
      <c r="G569" s="642"/>
      <c r="H569" s="644"/>
      <c r="I569" s="643"/>
      <c r="J569" s="643"/>
      <c r="K569" s="642"/>
      <c r="L569" s="4397"/>
      <c r="M569" s="4397"/>
      <c r="O569" s="641"/>
      <c r="P569" s="639"/>
      <c r="Q569" s="639"/>
      <c r="R569" s="640"/>
      <c r="S569" s="638"/>
      <c r="T569" s="639"/>
      <c r="U569" s="638"/>
    </row>
    <row r="570" spans="2:21" s="637" customFormat="1" ht="10.15" customHeight="1">
      <c r="B570" s="638"/>
      <c r="C570" s="638"/>
      <c r="E570" s="639"/>
      <c r="F570" s="642"/>
      <c r="G570" s="642"/>
      <c r="H570" s="644"/>
      <c r="I570" s="643"/>
      <c r="J570" s="643"/>
      <c r="K570" s="642"/>
      <c r="L570" s="4397"/>
      <c r="M570" s="4397"/>
      <c r="O570" s="641"/>
      <c r="P570" s="639"/>
      <c r="Q570" s="639"/>
      <c r="R570" s="640"/>
      <c r="S570" s="638"/>
      <c r="T570" s="639"/>
      <c r="U570" s="638"/>
    </row>
    <row r="571" spans="2:21" s="637" customFormat="1" ht="10.15" customHeight="1">
      <c r="B571" s="638"/>
      <c r="C571" s="638"/>
      <c r="E571" s="639"/>
      <c r="F571" s="642"/>
      <c r="G571" s="642"/>
      <c r="H571" s="644"/>
      <c r="I571" s="643"/>
      <c r="J571" s="643"/>
      <c r="K571" s="642"/>
      <c r="L571" s="4397"/>
      <c r="M571" s="4397"/>
      <c r="O571" s="641"/>
      <c r="P571" s="639"/>
      <c r="Q571" s="639"/>
      <c r="R571" s="640"/>
      <c r="S571" s="638"/>
      <c r="T571" s="639"/>
      <c r="U571" s="638"/>
    </row>
    <row r="572" spans="2:21" s="637" customFormat="1" ht="10.15" customHeight="1">
      <c r="B572" s="638"/>
      <c r="C572" s="638"/>
      <c r="E572" s="639"/>
      <c r="F572" s="642"/>
      <c r="G572" s="642"/>
      <c r="H572" s="644"/>
      <c r="I572" s="643"/>
      <c r="J572" s="643"/>
      <c r="K572" s="642"/>
      <c r="L572" s="4397"/>
      <c r="M572" s="4397"/>
      <c r="O572" s="641"/>
      <c r="P572" s="639"/>
      <c r="Q572" s="639"/>
      <c r="R572" s="640"/>
      <c r="S572" s="638"/>
      <c r="T572" s="639"/>
      <c r="U572" s="638"/>
    </row>
    <row r="573" spans="2:21" s="637" customFormat="1" ht="10.15" customHeight="1">
      <c r="B573" s="638"/>
      <c r="C573" s="638"/>
      <c r="E573" s="639"/>
      <c r="F573" s="642"/>
      <c r="G573" s="642"/>
      <c r="H573" s="644"/>
      <c r="I573" s="643"/>
      <c r="J573" s="643"/>
      <c r="K573" s="642"/>
      <c r="L573" s="4397"/>
      <c r="M573" s="4397"/>
      <c r="O573" s="641"/>
      <c r="P573" s="639"/>
      <c r="Q573" s="639"/>
      <c r="R573" s="640"/>
      <c r="S573" s="638"/>
      <c r="T573" s="639"/>
      <c r="U573" s="638"/>
    </row>
    <row r="574" spans="2:21" s="637" customFormat="1" ht="10.15" customHeight="1">
      <c r="B574" s="638"/>
      <c r="C574" s="638"/>
      <c r="E574" s="639"/>
      <c r="F574" s="642"/>
      <c r="G574" s="642"/>
      <c r="H574" s="644"/>
      <c r="I574" s="643"/>
      <c r="J574" s="643"/>
      <c r="K574" s="642"/>
      <c r="L574" s="4397"/>
      <c r="M574" s="4397"/>
      <c r="O574" s="641"/>
      <c r="P574" s="639"/>
      <c r="Q574" s="639"/>
      <c r="R574" s="640"/>
      <c r="S574" s="638"/>
      <c r="T574" s="639"/>
      <c r="U574" s="638"/>
    </row>
    <row r="575" spans="2:21" s="637" customFormat="1" ht="10.15" customHeight="1">
      <c r="B575" s="638"/>
      <c r="C575" s="638"/>
      <c r="E575" s="639"/>
      <c r="F575" s="642"/>
      <c r="G575" s="642"/>
      <c r="H575" s="644"/>
      <c r="I575" s="643"/>
      <c r="J575" s="643"/>
      <c r="K575" s="642"/>
      <c r="L575" s="4397"/>
      <c r="M575" s="4397"/>
      <c r="O575" s="641"/>
      <c r="P575" s="639"/>
      <c r="Q575" s="639"/>
      <c r="R575" s="640"/>
      <c r="S575" s="638"/>
      <c r="T575" s="639"/>
      <c r="U575" s="638"/>
    </row>
    <row r="576" spans="2:21" s="637" customFormat="1" ht="10.15" customHeight="1">
      <c r="B576" s="638"/>
      <c r="C576" s="638"/>
      <c r="E576" s="639"/>
      <c r="F576" s="642"/>
      <c r="G576" s="642"/>
      <c r="H576" s="644"/>
      <c r="I576" s="643"/>
      <c r="J576" s="643"/>
      <c r="K576" s="642"/>
      <c r="L576" s="4397"/>
      <c r="M576" s="4397"/>
      <c r="O576" s="641"/>
      <c r="P576" s="639"/>
      <c r="Q576" s="639"/>
      <c r="R576" s="640"/>
      <c r="S576" s="638"/>
      <c r="T576" s="639"/>
      <c r="U576" s="638"/>
    </row>
    <row r="577" spans="2:21" s="637" customFormat="1" ht="10.15" customHeight="1">
      <c r="B577" s="638"/>
      <c r="C577" s="638"/>
      <c r="E577" s="639"/>
      <c r="F577" s="642"/>
      <c r="G577" s="642"/>
      <c r="H577" s="644"/>
      <c r="I577" s="643"/>
      <c r="J577" s="643"/>
      <c r="K577" s="642"/>
      <c r="L577" s="4397"/>
      <c r="M577" s="4397"/>
      <c r="O577" s="641"/>
      <c r="P577" s="639"/>
      <c r="Q577" s="639"/>
      <c r="R577" s="640"/>
      <c r="S577" s="638"/>
      <c r="T577" s="639"/>
      <c r="U577" s="638"/>
    </row>
    <row r="578" spans="2:21" s="637" customFormat="1" ht="10.15" customHeight="1">
      <c r="B578" s="638"/>
      <c r="C578" s="638"/>
      <c r="E578" s="639"/>
      <c r="F578" s="642"/>
      <c r="G578" s="642"/>
      <c r="H578" s="644"/>
      <c r="I578" s="643"/>
      <c r="J578" s="643"/>
      <c r="K578" s="642"/>
      <c r="L578" s="4397"/>
      <c r="M578" s="4397"/>
      <c r="O578" s="641"/>
      <c r="P578" s="639"/>
      <c r="Q578" s="639"/>
      <c r="R578" s="640"/>
      <c r="S578" s="638"/>
      <c r="T578" s="639"/>
      <c r="U578" s="638"/>
    </row>
    <row r="579" spans="2:21" s="637" customFormat="1" ht="10.15" customHeight="1">
      <c r="B579" s="638"/>
      <c r="C579" s="638"/>
      <c r="E579" s="639"/>
      <c r="F579" s="642"/>
      <c r="G579" s="642"/>
      <c r="H579" s="644"/>
      <c r="I579" s="643"/>
      <c r="J579" s="643"/>
      <c r="K579" s="642"/>
      <c r="L579" s="4397"/>
      <c r="M579" s="4397"/>
      <c r="O579" s="641"/>
      <c r="P579" s="639"/>
      <c r="Q579" s="639"/>
      <c r="R579" s="640"/>
      <c r="S579" s="638"/>
      <c r="T579" s="639"/>
      <c r="U579" s="638"/>
    </row>
    <row r="580" spans="2:21" s="637" customFormat="1" ht="10.15" customHeight="1">
      <c r="B580" s="638"/>
      <c r="C580" s="638"/>
      <c r="E580" s="639"/>
      <c r="F580" s="642"/>
      <c r="G580" s="642"/>
      <c r="H580" s="644"/>
      <c r="I580" s="643"/>
      <c r="J580" s="643"/>
      <c r="K580" s="642"/>
      <c r="L580" s="4397"/>
      <c r="M580" s="4397"/>
      <c r="O580" s="641"/>
      <c r="P580" s="639"/>
      <c r="Q580" s="639"/>
      <c r="R580" s="640"/>
      <c r="S580" s="638"/>
      <c r="T580" s="639"/>
      <c r="U580" s="638"/>
    </row>
    <row r="581" spans="2:21" s="637" customFormat="1" ht="10.15" customHeight="1">
      <c r="B581" s="638"/>
      <c r="C581" s="638"/>
      <c r="E581" s="639"/>
      <c r="F581" s="642"/>
      <c r="G581" s="642"/>
      <c r="H581" s="644"/>
      <c r="I581" s="643"/>
      <c r="J581" s="643"/>
      <c r="K581" s="642"/>
      <c r="L581" s="4397"/>
      <c r="M581" s="4397"/>
      <c r="O581" s="641"/>
      <c r="P581" s="639"/>
      <c r="Q581" s="639"/>
      <c r="R581" s="640"/>
      <c r="S581" s="638"/>
      <c r="T581" s="639"/>
      <c r="U581" s="638"/>
    </row>
    <row r="582" spans="2:21" s="637" customFormat="1" ht="10.15" customHeight="1">
      <c r="B582" s="638"/>
      <c r="C582" s="638"/>
      <c r="E582" s="639"/>
      <c r="F582" s="642"/>
      <c r="G582" s="642"/>
      <c r="H582" s="644"/>
      <c r="I582" s="643"/>
      <c r="J582" s="643"/>
      <c r="K582" s="642"/>
      <c r="L582" s="4397"/>
      <c r="M582" s="4397"/>
      <c r="O582" s="641"/>
      <c r="P582" s="639"/>
      <c r="Q582" s="639"/>
      <c r="R582" s="640"/>
      <c r="S582" s="638"/>
      <c r="T582" s="639"/>
      <c r="U582" s="638"/>
    </row>
    <row r="583" spans="2:21" s="637" customFormat="1" ht="10.15" customHeight="1">
      <c r="B583" s="638"/>
      <c r="C583" s="638"/>
      <c r="E583" s="639"/>
      <c r="F583" s="642"/>
      <c r="G583" s="642"/>
      <c r="H583" s="644"/>
      <c r="I583" s="643"/>
      <c r="J583" s="643"/>
      <c r="K583" s="642"/>
      <c r="L583" s="4397"/>
      <c r="M583" s="4397"/>
      <c r="O583" s="641"/>
      <c r="P583" s="639"/>
      <c r="Q583" s="639"/>
      <c r="R583" s="640"/>
      <c r="S583" s="638"/>
      <c r="T583" s="639"/>
      <c r="U583" s="638"/>
    </row>
    <row r="584" spans="2:21" s="637" customFormat="1" ht="10.15" customHeight="1">
      <c r="B584" s="638"/>
      <c r="C584" s="638"/>
      <c r="E584" s="639"/>
      <c r="F584" s="642"/>
      <c r="G584" s="642"/>
      <c r="H584" s="644"/>
      <c r="I584" s="643"/>
      <c r="J584" s="643"/>
      <c r="K584" s="642"/>
      <c r="L584" s="4397"/>
      <c r="M584" s="4397"/>
      <c r="O584" s="641"/>
      <c r="P584" s="639"/>
      <c r="Q584" s="639"/>
      <c r="R584" s="640"/>
      <c r="S584" s="638"/>
      <c r="T584" s="639"/>
      <c r="U584" s="638"/>
    </row>
    <row r="585" spans="2:21" s="637" customFormat="1" ht="10.15" customHeight="1">
      <c r="B585" s="638"/>
      <c r="C585" s="638"/>
      <c r="E585" s="639"/>
      <c r="F585" s="642"/>
      <c r="G585" s="642"/>
      <c r="H585" s="644"/>
      <c r="I585" s="643"/>
      <c r="J585" s="643"/>
      <c r="K585" s="642"/>
      <c r="L585" s="4397"/>
      <c r="M585" s="4397"/>
      <c r="O585" s="641"/>
      <c r="P585" s="639"/>
      <c r="Q585" s="639"/>
      <c r="R585" s="640"/>
      <c r="S585" s="638"/>
      <c r="T585" s="639"/>
      <c r="U585" s="638"/>
    </row>
    <row r="586" spans="2:21" s="637" customFormat="1" ht="10.15" customHeight="1">
      <c r="B586" s="638"/>
      <c r="C586" s="638"/>
      <c r="E586" s="639"/>
      <c r="F586" s="642"/>
      <c r="G586" s="642"/>
      <c r="H586" s="644"/>
      <c r="I586" s="643"/>
      <c r="J586" s="643"/>
      <c r="K586" s="642"/>
      <c r="L586" s="4397"/>
      <c r="M586" s="4397"/>
      <c r="O586" s="641"/>
      <c r="P586" s="639"/>
      <c r="Q586" s="639"/>
      <c r="R586" s="640"/>
      <c r="S586" s="638"/>
      <c r="T586" s="639"/>
      <c r="U586" s="638"/>
    </row>
    <row r="587" spans="2:21" s="637" customFormat="1" ht="10.15" customHeight="1">
      <c r="B587" s="638"/>
      <c r="C587" s="638"/>
      <c r="E587" s="639"/>
      <c r="F587" s="642"/>
      <c r="G587" s="642"/>
      <c r="H587" s="644"/>
      <c r="I587" s="643"/>
      <c r="J587" s="643"/>
      <c r="K587" s="642"/>
      <c r="L587" s="4397"/>
      <c r="M587" s="4397"/>
      <c r="O587" s="641"/>
      <c r="P587" s="639"/>
      <c r="Q587" s="639"/>
      <c r="R587" s="640"/>
      <c r="S587" s="638"/>
      <c r="T587" s="639"/>
      <c r="U587" s="638"/>
    </row>
    <row r="588" spans="2:21" s="637" customFormat="1" ht="10.15" customHeight="1">
      <c r="B588" s="638"/>
      <c r="C588" s="638"/>
      <c r="E588" s="639"/>
      <c r="F588" s="642"/>
      <c r="G588" s="642"/>
      <c r="H588" s="644"/>
      <c r="I588" s="643"/>
      <c r="J588" s="643"/>
      <c r="K588" s="642"/>
      <c r="L588" s="4397"/>
      <c r="M588" s="4397"/>
      <c r="O588" s="641"/>
      <c r="P588" s="639"/>
      <c r="Q588" s="639"/>
      <c r="R588" s="640"/>
      <c r="S588" s="638"/>
      <c r="T588" s="639"/>
      <c r="U588" s="638"/>
    </row>
    <row r="589" spans="2:21" s="637" customFormat="1" ht="10.15" customHeight="1">
      <c r="B589" s="638"/>
      <c r="C589" s="638"/>
      <c r="E589" s="639"/>
      <c r="F589" s="642"/>
      <c r="G589" s="642"/>
      <c r="H589" s="644"/>
      <c r="I589" s="643"/>
      <c r="J589" s="643"/>
      <c r="K589" s="642"/>
      <c r="L589" s="4397"/>
      <c r="M589" s="4397"/>
      <c r="O589" s="641"/>
      <c r="P589" s="639"/>
      <c r="Q589" s="639"/>
      <c r="R589" s="640"/>
      <c r="S589" s="638"/>
      <c r="T589" s="639"/>
      <c r="U589" s="638"/>
    </row>
    <row r="590" spans="2:21" s="637" customFormat="1" ht="10.15" customHeight="1">
      <c r="B590" s="638"/>
      <c r="C590" s="638"/>
      <c r="E590" s="639"/>
      <c r="F590" s="642"/>
      <c r="G590" s="642"/>
      <c r="H590" s="644"/>
      <c r="I590" s="643"/>
      <c r="J590" s="643"/>
      <c r="K590" s="642"/>
      <c r="L590" s="4397"/>
      <c r="M590" s="4397"/>
      <c r="O590" s="641"/>
      <c r="P590" s="639"/>
      <c r="Q590" s="639"/>
      <c r="R590" s="640"/>
      <c r="S590" s="638"/>
      <c r="T590" s="639"/>
      <c r="U590" s="638"/>
    </row>
    <row r="591" spans="2:21" s="637" customFormat="1" ht="10.15" customHeight="1">
      <c r="B591" s="638"/>
      <c r="C591" s="638"/>
      <c r="E591" s="639"/>
      <c r="F591" s="642"/>
      <c r="G591" s="642"/>
      <c r="H591" s="644"/>
      <c r="I591" s="643"/>
      <c r="J591" s="643"/>
      <c r="K591" s="642"/>
      <c r="L591" s="4397"/>
      <c r="M591" s="4397"/>
      <c r="O591" s="641"/>
      <c r="P591" s="639"/>
      <c r="Q591" s="639"/>
      <c r="R591" s="640"/>
      <c r="S591" s="638"/>
      <c r="T591" s="639"/>
      <c r="U591" s="638"/>
    </row>
    <row r="592" spans="2:21" s="637" customFormat="1" ht="10.15" customHeight="1">
      <c r="B592" s="638"/>
      <c r="C592" s="638"/>
      <c r="E592" s="639"/>
      <c r="F592" s="642"/>
      <c r="G592" s="642"/>
      <c r="H592" s="644"/>
      <c r="I592" s="643"/>
      <c r="J592" s="643"/>
      <c r="K592" s="642"/>
      <c r="L592" s="4397"/>
      <c r="M592" s="4397"/>
      <c r="O592" s="641"/>
      <c r="P592" s="639"/>
      <c r="Q592" s="639"/>
      <c r="R592" s="640"/>
      <c r="S592" s="638"/>
      <c r="T592" s="639"/>
      <c r="U592" s="638"/>
    </row>
    <row r="593" spans="2:21" s="637" customFormat="1" ht="10.15" customHeight="1">
      <c r="B593" s="638"/>
      <c r="C593" s="638"/>
      <c r="E593" s="639"/>
      <c r="F593" s="642"/>
      <c r="G593" s="642"/>
      <c r="H593" s="644"/>
      <c r="I593" s="643"/>
      <c r="J593" s="643"/>
      <c r="K593" s="642"/>
      <c r="L593" s="4397"/>
      <c r="M593" s="4397"/>
      <c r="O593" s="641"/>
      <c r="P593" s="639"/>
      <c r="Q593" s="639"/>
      <c r="R593" s="640"/>
      <c r="S593" s="638"/>
      <c r="T593" s="639"/>
      <c r="U593" s="638"/>
    </row>
    <row r="594" spans="2:21" s="637" customFormat="1" ht="10.15" customHeight="1">
      <c r="B594" s="638"/>
      <c r="C594" s="638"/>
      <c r="E594" s="639"/>
      <c r="F594" s="642"/>
      <c r="G594" s="642"/>
      <c r="H594" s="644"/>
      <c r="I594" s="643"/>
      <c r="J594" s="643"/>
      <c r="K594" s="642"/>
      <c r="L594" s="4397"/>
      <c r="M594" s="4397"/>
      <c r="O594" s="641"/>
      <c r="P594" s="639"/>
      <c r="Q594" s="639"/>
      <c r="R594" s="640"/>
      <c r="S594" s="638"/>
      <c r="T594" s="639"/>
      <c r="U594" s="638"/>
    </row>
    <row r="595" spans="2:21" s="637" customFormat="1" ht="10.15" customHeight="1">
      <c r="B595" s="638"/>
      <c r="C595" s="638"/>
      <c r="E595" s="639"/>
      <c r="F595" s="642"/>
      <c r="G595" s="642"/>
      <c r="H595" s="644"/>
      <c r="I595" s="643"/>
      <c r="J595" s="643"/>
      <c r="K595" s="642"/>
      <c r="L595" s="4397"/>
      <c r="M595" s="4397"/>
      <c r="O595" s="641"/>
      <c r="P595" s="639"/>
      <c r="Q595" s="639"/>
      <c r="R595" s="640"/>
      <c r="S595" s="638"/>
      <c r="T595" s="639"/>
      <c r="U595" s="638"/>
    </row>
    <row r="596" spans="2:21" s="637" customFormat="1" ht="10.15" customHeight="1">
      <c r="B596" s="638"/>
      <c r="C596" s="638"/>
      <c r="E596" s="639"/>
      <c r="F596" s="642"/>
      <c r="G596" s="642"/>
      <c r="H596" s="644"/>
      <c r="I596" s="643"/>
      <c r="J596" s="643"/>
      <c r="K596" s="642"/>
      <c r="L596" s="4397"/>
      <c r="M596" s="4397"/>
      <c r="O596" s="641"/>
      <c r="P596" s="639"/>
      <c r="Q596" s="639"/>
      <c r="R596" s="640"/>
      <c r="S596" s="638"/>
      <c r="T596" s="639"/>
      <c r="U596" s="638"/>
    </row>
    <row r="597" spans="2:21" s="637" customFormat="1" ht="10.15" customHeight="1">
      <c r="B597" s="638"/>
      <c r="C597" s="638"/>
      <c r="E597" s="639"/>
      <c r="F597" s="642"/>
      <c r="G597" s="642"/>
      <c r="H597" s="644"/>
      <c r="I597" s="643"/>
      <c r="J597" s="643"/>
      <c r="K597" s="642"/>
      <c r="L597" s="4397"/>
      <c r="M597" s="4397"/>
      <c r="O597" s="641"/>
      <c r="P597" s="639"/>
      <c r="Q597" s="639"/>
      <c r="R597" s="640"/>
      <c r="S597" s="638"/>
      <c r="T597" s="639"/>
      <c r="U597" s="638"/>
    </row>
    <row r="598" spans="2:21" s="637" customFormat="1" ht="10.15" customHeight="1">
      <c r="B598" s="638"/>
      <c r="C598" s="638"/>
      <c r="E598" s="639"/>
      <c r="F598" s="642"/>
      <c r="G598" s="642"/>
      <c r="H598" s="644"/>
      <c r="I598" s="643"/>
      <c r="J598" s="643"/>
      <c r="K598" s="642"/>
      <c r="L598" s="4397"/>
      <c r="M598" s="4397"/>
      <c r="O598" s="641"/>
      <c r="P598" s="639"/>
      <c r="Q598" s="639"/>
      <c r="R598" s="640"/>
      <c r="S598" s="638"/>
      <c r="T598" s="639"/>
      <c r="U598" s="638"/>
    </row>
    <row r="599" spans="2:21" s="637" customFormat="1" ht="10.15" customHeight="1">
      <c r="B599" s="638"/>
      <c r="C599" s="638"/>
      <c r="E599" s="639"/>
      <c r="F599" s="642"/>
      <c r="G599" s="642"/>
      <c r="H599" s="644"/>
      <c r="I599" s="643"/>
      <c r="J599" s="643"/>
      <c r="K599" s="642"/>
      <c r="L599" s="4397"/>
      <c r="M599" s="4397"/>
      <c r="O599" s="641"/>
      <c r="P599" s="639"/>
      <c r="Q599" s="639"/>
      <c r="R599" s="640"/>
      <c r="S599" s="638"/>
      <c r="T599" s="639"/>
      <c r="U599" s="638"/>
    </row>
    <row r="600" spans="2:21" s="637" customFormat="1" ht="10.15" customHeight="1">
      <c r="B600" s="638"/>
      <c r="C600" s="638"/>
      <c r="E600" s="639"/>
      <c r="F600" s="642"/>
      <c r="G600" s="642"/>
      <c r="H600" s="644"/>
      <c r="I600" s="643"/>
      <c r="J600" s="643"/>
      <c r="K600" s="642"/>
      <c r="L600" s="4397"/>
      <c r="M600" s="4397"/>
      <c r="O600" s="641"/>
      <c r="P600" s="639"/>
      <c r="Q600" s="639"/>
      <c r="R600" s="640"/>
      <c r="S600" s="638"/>
      <c r="T600" s="639"/>
      <c r="U600" s="638"/>
    </row>
    <row r="601" spans="2:21" s="637" customFormat="1" ht="10.15" customHeight="1">
      <c r="B601" s="638"/>
      <c r="C601" s="638"/>
      <c r="E601" s="639"/>
      <c r="F601" s="642"/>
      <c r="G601" s="642"/>
      <c r="H601" s="644"/>
      <c r="I601" s="643"/>
      <c r="J601" s="643"/>
      <c r="K601" s="642"/>
      <c r="L601" s="4397"/>
      <c r="M601" s="4397"/>
      <c r="O601" s="641"/>
      <c r="P601" s="639"/>
      <c r="Q601" s="639"/>
      <c r="R601" s="640"/>
      <c r="S601" s="638"/>
      <c r="T601" s="639"/>
      <c r="U601" s="638"/>
    </row>
    <row r="602" spans="2:21" s="637" customFormat="1" ht="10.15" customHeight="1">
      <c r="B602" s="638"/>
      <c r="C602" s="638"/>
      <c r="E602" s="639"/>
      <c r="F602" s="642"/>
      <c r="G602" s="642"/>
      <c r="H602" s="644"/>
      <c r="I602" s="643"/>
      <c r="J602" s="643"/>
      <c r="K602" s="642"/>
      <c r="L602" s="4397"/>
      <c r="M602" s="4397"/>
      <c r="O602" s="641"/>
      <c r="P602" s="639"/>
      <c r="Q602" s="639"/>
      <c r="R602" s="640"/>
      <c r="S602" s="638"/>
      <c r="T602" s="639"/>
      <c r="U602" s="638"/>
    </row>
    <row r="603" spans="2:21" s="637" customFormat="1" ht="10.15" customHeight="1">
      <c r="B603" s="638"/>
      <c r="C603" s="638"/>
      <c r="E603" s="639"/>
      <c r="F603" s="642"/>
      <c r="G603" s="642"/>
      <c r="H603" s="644"/>
      <c r="I603" s="643"/>
      <c r="J603" s="643"/>
      <c r="K603" s="642"/>
      <c r="L603" s="4397"/>
      <c r="M603" s="4397"/>
      <c r="O603" s="641"/>
      <c r="P603" s="639"/>
      <c r="Q603" s="639"/>
      <c r="R603" s="640"/>
      <c r="S603" s="638"/>
      <c r="T603" s="639"/>
      <c r="U603" s="638"/>
    </row>
    <row r="604" spans="2:21" s="637" customFormat="1" ht="10.15" customHeight="1">
      <c r="B604" s="638"/>
      <c r="C604" s="638"/>
      <c r="E604" s="639"/>
      <c r="F604" s="642"/>
      <c r="G604" s="642"/>
      <c r="H604" s="644"/>
      <c r="I604" s="643"/>
      <c r="J604" s="643"/>
      <c r="K604" s="642"/>
      <c r="L604" s="4397"/>
      <c r="M604" s="4397"/>
      <c r="O604" s="641"/>
      <c r="P604" s="639"/>
      <c r="Q604" s="639"/>
      <c r="R604" s="640"/>
      <c r="S604" s="638"/>
      <c r="T604" s="639"/>
      <c r="U604" s="638"/>
    </row>
    <row r="605" spans="2:21" s="637" customFormat="1" ht="10.15" customHeight="1">
      <c r="B605" s="638"/>
      <c r="C605" s="638"/>
      <c r="E605" s="639"/>
      <c r="F605" s="642"/>
      <c r="G605" s="642"/>
      <c r="H605" s="644"/>
      <c r="I605" s="643"/>
      <c r="J605" s="643"/>
      <c r="K605" s="642"/>
      <c r="L605" s="4397"/>
      <c r="M605" s="4397"/>
      <c r="O605" s="641"/>
      <c r="P605" s="639"/>
      <c r="Q605" s="639"/>
      <c r="R605" s="640"/>
      <c r="S605" s="638"/>
      <c r="T605" s="639"/>
      <c r="U605" s="638"/>
    </row>
    <row r="606" spans="2:21" s="637" customFormat="1" ht="10.15" customHeight="1">
      <c r="B606" s="638"/>
      <c r="C606" s="638"/>
      <c r="E606" s="639"/>
      <c r="F606" s="642"/>
      <c r="G606" s="642"/>
      <c r="H606" s="644"/>
      <c r="I606" s="643"/>
      <c r="J606" s="643"/>
      <c r="K606" s="642"/>
      <c r="L606" s="4397"/>
      <c r="M606" s="4397"/>
      <c r="O606" s="641"/>
      <c r="P606" s="639"/>
      <c r="Q606" s="639"/>
      <c r="R606" s="640"/>
      <c r="S606" s="638"/>
      <c r="T606" s="639"/>
      <c r="U606" s="638"/>
    </row>
    <row r="607" spans="2:21" s="637" customFormat="1" ht="10.15" customHeight="1">
      <c r="B607" s="638"/>
      <c r="C607" s="638"/>
      <c r="E607" s="639"/>
      <c r="F607" s="642"/>
      <c r="G607" s="642"/>
      <c r="H607" s="644"/>
      <c r="I607" s="643"/>
      <c r="J607" s="643"/>
      <c r="K607" s="642"/>
      <c r="L607" s="4397"/>
      <c r="M607" s="4397"/>
      <c r="O607" s="641"/>
      <c r="P607" s="639"/>
      <c r="Q607" s="639"/>
      <c r="R607" s="640"/>
      <c r="S607" s="638"/>
      <c r="T607" s="639"/>
      <c r="U607" s="638"/>
    </row>
    <row r="608" spans="2:21" s="637" customFormat="1" ht="10.15" customHeight="1">
      <c r="B608" s="638"/>
      <c r="C608" s="638"/>
      <c r="E608" s="639"/>
      <c r="F608" s="642"/>
      <c r="G608" s="642"/>
      <c r="H608" s="644"/>
      <c r="I608" s="643"/>
      <c r="J608" s="643"/>
      <c r="K608" s="642"/>
      <c r="L608" s="4397"/>
      <c r="M608" s="4397"/>
      <c r="O608" s="641"/>
      <c r="P608" s="639"/>
      <c r="Q608" s="639"/>
      <c r="R608" s="640"/>
      <c r="S608" s="638"/>
      <c r="T608" s="639"/>
      <c r="U608" s="638"/>
    </row>
    <row r="609" spans="2:21" s="637" customFormat="1" ht="10.15" customHeight="1">
      <c r="B609" s="638"/>
      <c r="C609" s="638"/>
      <c r="E609" s="639"/>
      <c r="F609" s="642"/>
      <c r="G609" s="642"/>
      <c r="H609" s="644"/>
      <c r="I609" s="643"/>
      <c r="J609" s="643"/>
      <c r="K609" s="642"/>
      <c r="L609" s="4397"/>
      <c r="M609" s="4397"/>
      <c r="O609" s="641"/>
      <c r="P609" s="639"/>
      <c r="Q609" s="639"/>
      <c r="R609" s="640"/>
      <c r="S609" s="638"/>
      <c r="T609" s="639"/>
      <c r="U609" s="638"/>
    </row>
    <row r="610" spans="2:21" s="637" customFormat="1" ht="10.15" customHeight="1">
      <c r="B610" s="638"/>
      <c r="C610" s="638"/>
      <c r="E610" s="639"/>
      <c r="F610" s="642"/>
      <c r="G610" s="642"/>
      <c r="H610" s="644"/>
      <c r="I610" s="643"/>
      <c r="J610" s="643"/>
      <c r="K610" s="642"/>
      <c r="L610" s="4397"/>
      <c r="M610" s="4397"/>
      <c r="O610" s="641"/>
      <c r="P610" s="639"/>
      <c r="Q610" s="639"/>
      <c r="R610" s="640"/>
      <c r="S610" s="638"/>
      <c r="T610" s="639"/>
      <c r="U610" s="638"/>
    </row>
    <row r="611" spans="2:21" s="637" customFormat="1" ht="10.15" customHeight="1">
      <c r="B611" s="638"/>
      <c r="C611" s="638"/>
      <c r="E611" s="639"/>
      <c r="F611" s="642"/>
      <c r="G611" s="642"/>
      <c r="H611" s="644"/>
      <c r="I611" s="643"/>
      <c r="J611" s="643"/>
      <c r="K611" s="642"/>
      <c r="L611" s="4397"/>
      <c r="M611" s="4397"/>
      <c r="O611" s="641"/>
      <c r="P611" s="639"/>
      <c r="Q611" s="639"/>
      <c r="R611" s="640"/>
      <c r="S611" s="638"/>
      <c r="T611" s="639"/>
      <c r="U611" s="638"/>
    </row>
    <row r="612" spans="2:21" s="637" customFormat="1" ht="10.15" customHeight="1">
      <c r="B612" s="638"/>
      <c r="C612" s="638"/>
      <c r="E612" s="639"/>
      <c r="F612" s="642"/>
      <c r="G612" s="642"/>
      <c r="H612" s="644"/>
      <c r="I612" s="643"/>
      <c r="J612" s="643"/>
      <c r="K612" s="642"/>
      <c r="L612" s="4397"/>
      <c r="M612" s="4397"/>
      <c r="O612" s="641"/>
      <c r="P612" s="639"/>
      <c r="Q612" s="639"/>
      <c r="R612" s="640"/>
      <c r="S612" s="638"/>
      <c r="T612" s="639"/>
      <c r="U612" s="638"/>
    </row>
    <row r="613" spans="2:21" s="637" customFormat="1" ht="10.15" customHeight="1">
      <c r="B613" s="638"/>
      <c r="C613" s="638"/>
      <c r="E613" s="639"/>
      <c r="F613" s="642"/>
      <c r="G613" s="642"/>
      <c r="H613" s="644"/>
      <c r="I613" s="643"/>
      <c r="J613" s="643"/>
      <c r="K613" s="642"/>
      <c r="L613" s="4397"/>
      <c r="M613" s="4397"/>
      <c r="O613" s="641"/>
      <c r="P613" s="639"/>
      <c r="Q613" s="639"/>
      <c r="R613" s="640"/>
      <c r="S613" s="638"/>
      <c r="T613" s="639"/>
      <c r="U613" s="638"/>
    </row>
    <row r="614" spans="2:21" s="637" customFormat="1" ht="10.15" customHeight="1">
      <c r="B614" s="638"/>
      <c r="C614" s="638"/>
      <c r="E614" s="639"/>
      <c r="F614" s="642"/>
      <c r="G614" s="642"/>
      <c r="H614" s="644"/>
      <c r="I614" s="643"/>
      <c r="J614" s="643"/>
      <c r="K614" s="642"/>
      <c r="L614" s="4397"/>
      <c r="M614" s="4397"/>
      <c r="O614" s="641"/>
      <c r="P614" s="639"/>
      <c r="Q614" s="639"/>
      <c r="R614" s="640"/>
      <c r="S614" s="638"/>
      <c r="T614" s="639"/>
      <c r="U614" s="638"/>
    </row>
    <row r="615" spans="2:21" s="637" customFormat="1" ht="10.15" customHeight="1">
      <c r="B615" s="638"/>
      <c r="C615" s="638"/>
      <c r="E615" s="639"/>
      <c r="F615" s="642"/>
      <c r="G615" s="642"/>
      <c r="H615" s="644"/>
      <c r="I615" s="643"/>
      <c r="J615" s="643"/>
      <c r="K615" s="642"/>
      <c r="L615" s="4397"/>
      <c r="M615" s="4397"/>
      <c r="O615" s="641"/>
      <c r="P615" s="639"/>
      <c r="Q615" s="639"/>
      <c r="R615" s="640"/>
      <c r="S615" s="638"/>
      <c r="T615" s="639"/>
      <c r="U615" s="638"/>
    </row>
    <row r="616" spans="2:21" s="637" customFormat="1" ht="10.15" customHeight="1">
      <c r="B616" s="638"/>
      <c r="C616" s="638"/>
      <c r="E616" s="639"/>
      <c r="F616" s="642"/>
      <c r="G616" s="642"/>
      <c r="H616" s="644"/>
      <c r="I616" s="643"/>
      <c r="J616" s="643"/>
      <c r="K616" s="642"/>
      <c r="L616" s="4397"/>
      <c r="M616" s="4397"/>
      <c r="O616" s="641"/>
      <c r="P616" s="639"/>
      <c r="Q616" s="639"/>
      <c r="R616" s="640"/>
      <c r="S616" s="638"/>
      <c r="T616" s="639"/>
      <c r="U616" s="638"/>
    </row>
    <row r="617" spans="2:21" s="637" customFormat="1" ht="10.15" customHeight="1">
      <c r="B617" s="638"/>
      <c r="C617" s="638"/>
      <c r="E617" s="639"/>
      <c r="F617" s="642"/>
      <c r="G617" s="642"/>
      <c r="H617" s="644"/>
      <c r="I617" s="643"/>
      <c r="J617" s="643"/>
      <c r="K617" s="642"/>
      <c r="L617" s="4397"/>
      <c r="M617" s="4397"/>
      <c r="O617" s="641"/>
      <c r="P617" s="639"/>
      <c r="Q617" s="639"/>
      <c r="R617" s="640"/>
      <c r="S617" s="638"/>
      <c r="T617" s="639"/>
      <c r="U617" s="638"/>
    </row>
    <row r="618" spans="2:21" s="637" customFormat="1" ht="10.15" customHeight="1">
      <c r="B618" s="638"/>
      <c r="C618" s="638"/>
      <c r="E618" s="639"/>
      <c r="F618" s="642"/>
      <c r="G618" s="642"/>
      <c r="H618" s="644"/>
      <c r="I618" s="643"/>
      <c r="J618" s="643"/>
      <c r="K618" s="642"/>
      <c r="L618" s="4397"/>
      <c r="M618" s="4397"/>
      <c r="O618" s="641"/>
      <c r="P618" s="639"/>
      <c r="Q618" s="639"/>
      <c r="R618" s="640"/>
      <c r="S618" s="638"/>
      <c r="T618" s="639"/>
      <c r="U618" s="638"/>
    </row>
    <row r="619" spans="2:21" s="637" customFormat="1" ht="10.15" customHeight="1">
      <c r="B619" s="638"/>
      <c r="C619" s="638"/>
      <c r="E619" s="639"/>
      <c r="F619" s="642"/>
      <c r="G619" s="642"/>
      <c r="H619" s="644"/>
      <c r="I619" s="643"/>
      <c r="J619" s="643"/>
      <c r="K619" s="642"/>
      <c r="L619" s="4397"/>
      <c r="M619" s="4397"/>
      <c r="O619" s="641"/>
      <c r="P619" s="639"/>
      <c r="Q619" s="639"/>
      <c r="R619" s="640"/>
      <c r="S619" s="638"/>
      <c r="T619" s="639"/>
      <c r="U619" s="638"/>
    </row>
    <row r="620" spans="2:21" s="637" customFormat="1" ht="10.15" customHeight="1">
      <c r="B620" s="638"/>
      <c r="C620" s="638"/>
      <c r="E620" s="639"/>
      <c r="F620" s="642"/>
      <c r="G620" s="642"/>
      <c r="H620" s="644"/>
      <c r="I620" s="643"/>
      <c r="J620" s="643"/>
      <c r="K620" s="642"/>
      <c r="L620" s="4397"/>
      <c r="M620" s="4397"/>
      <c r="O620" s="641"/>
      <c r="P620" s="639"/>
      <c r="Q620" s="639"/>
      <c r="R620" s="640"/>
      <c r="S620" s="638"/>
      <c r="T620" s="639"/>
      <c r="U620" s="638"/>
    </row>
    <row r="621" spans="2:21" s="637" customFormat="1" ht="10.15" customHeight="1">
      <c r="B621" s="638"/>
      <c r="C621" s="638"/>
      <c r="E621" s="639"/>
      <c r="F621" s="642"/>
      <c r="G621" s="642"/>
      <c r="H621" s="644"/>
      <c r="I621" s="643"/>
      <c r="J621" s="643"/>
      <c r="K621" s="642"/>
      <c r="L621" s="4397"/>
      <c r="M621" s="4397"/>
      <c r="O621" s="641"/>
      <c r="P621" s="639"/>
      <c r="Q621" s="639"/>
      <c r="R621" s="640"/>
      <c r="S621" s="638"/>
      <c r="T621" s="639"/>
      <c r="U621" s="638"/>
    </row>
    <row r="622" spans="2:21" s="637" customFormat="1" ht="10.15" customHeight="1">
      <c r="B622" s="638"/>
      <c r="C622" s="638"/>
      <c r="E622" s="639"/>
      <c r="F622" s="642"/>
      <c r="G622" s="642"/>
      <c r="H622" s="644"/>
      <c r="I622" s="643"/>
      <c r="J622" s="643"/>
      <c r="K622" s="642"/>
      <c r="L622" s="4397"/>
      <c r="M622" s="4397"/>
      <c r="O622" s="641"/>
      <c r="P622" s="639"/>
      <c r="Q622" s="639"/>
      <c r="R622" s="640"/>
      <c r="S622" s="638"/>
      <c r="T622" s="639"/>
      <c r="U622" s="638"/>
    </row>
    <row r="623" spans="2:21" s="637" customFormat="1" ht="10.15" customHeight="1">
      <c r="B623" s="638"/>
      <c r="C623" s="638"/>
      <c r="E623" s="639"/>
      <c r="F623" s="642"/>
      <c r="G623" s="642"/>
      <c r="H623" s="644"/>
      <c r="I623" s="643"/>
      <c r="J623" s="643"/>
      <c r="K623" s="642"/>
      <c r="L623" s="4397"/>
      <c r="M623" s="4397"/>
      <c r="O623" s="641"/>
      <c r="P623" s="639"/>
      <c r="Q623" s="639"/>
      <c r="R623" s="640"/>
      <c r="S623" s="638"/>
      <c r="T623" s="639"/>
      <c r="U623" s="638"/>
    </row>
    <row r="624" spans="2:21" s="637" customFormat="1" ht="10.15" customHeight="1">
      <c r="B624" s="638"/>
      <c r="C624" s="638"/>
      <c r="E624" s="639"/>
      <c r="F624" s="642"/>
      <c r="G624" s="642"/>
      <c r="H624" s="644"/>
      <c r="I624" s="643"/>
      <c r="J624" s="643"/>
      <c r="K624" s="642"/>
      <c r="L624" s="4397"/>
      <c r="M624" s="4397"/>
      <c r="O624" s="641"/>
      <c r="P624" s="639"/>
      <c r="Q624" s="639"/>
      <c r="R624" s="640"/>
      <c r="S624" s="638"/>
      <c r="T624" s="639"/>
      <c r="U624" s="638"/>
    </row>
    <row r="625" spans="2:21" s="637" customFormat="1" ht="10.15" customHeight="1">
      <c r="B625" s="638"/>
      <c r="C625" s="638"/>
      <c r="E625" s="639"/>
      <c r="F625" s="642"/>
      <c r="G625" s="642"/>
      <c r="H625" s="644"/>
      <c r="I625" s="643"/>
      <c r="J625" s="643"/>
      <c r="K625" s="642"/>
      <c r="L625" s="4397"/>
      <c r="M625" s="4397"/>
      <c r="O625" s="641"/>
      <c r="P625" s="639"/>
      <c r="Q625" s="639"/>
      <c r="R625" s="640"/>
      <c r="S625" s="638"/>
      <c r="T625" s="639"/>
      <c r="U625" s="638"/>
    </row>
    <row r="626" spans="2:21" s="637" customFormat="1" ht="10.15" customHeight="1">
      <c r="B626" s="638"/>
      <c r="C626" s="638"/>
      <c r="E626" s="639"/>
      <c r="F626" s="642"/>
      <c r="G626" s="642"/>
      <c r="H626" s="644"/>
      <c r="I626" s="643"/>
      <c r="J626" s="643"/>
      <c r="K626" s="642"/>
      <c r="L626" s="4397"/>
      <c r="M626" s="4397"/>
      <c r="O626" s="641"/>
      <c r="P626" s="639"/>
      <c r="Q626" s="639"/>
      <c r="R626" s="640"/>
      <c r="S626" s="638"/>
      <c r="T626" s="639"/>
      <c r="U626" s="638"/>
    </row>
    <row r="627" spans="2:21" s="637" customFormat="1" ht="10.15" customHeight="1">
      <c r="B627" s="638"/>
      <c r="C627" s="638"/>
      <c r="E627" s="639"/>
      <c r="F627" s="642"/>
      <c r="G627" s="642"/>
      <c r="H627" s="644"/>
      <c r="I627" s="643"/>
      <c r="J627" s="643"/>
      <c r="K627" s="642"/>
      <c r="L627" s="4397"/>
      <c r="M627" s="4397"/>
      <c r="O627" s="641"/>
      <c r="P627" s="639"/>
      <c r="Q627" s="639"/>
      <c r="R627" s="640"/>
      <c r="S627" s="638"/>
      <c r="T627" s="639"/>
      <c r="U627" s="638"/>
    </row>
    <row r="628" spans="2:21" s="637" customFormat="1" ht="10.15" customHeight="1">
      <c r="B628" s="638"/>
      <c r="C628" s="638"/>
      <c r="E628" s="639"/>
      <c r="F628" s="642"/>
      <c r="G628" s="642"/>
      <c r="H628" s="644"/>
      <c r="I628" s="643"/>
      <c r="J628" s="643"/>
      <c r="K628" s="642"/>
      <c r="L628" s="4397"/>
      <c r="M628" s="4397"/>
      <c r="O628" s="641"/>
      <c r="P628" s="639"/>
      <c r="Q628" s="639"/>
      <c r="R628" s="640"/>
      <c r="S628" s="638"/>
      <c r="T628" s="639"/>
      <c r="U628" s="638"/>
    </row>
    <row r="629" spans="2:21" s="637" customFormat="1" ht="10.15" customHeight="1">
      <c r="B629" s="638"/>
      <c r="C629" s="638"/>
      <c r="E629" s="639"/>
      <c r="F629" s="642"/>
      <c r="G629" s="642"/>
      <c r="H629" s="644"/>
      <c r="I629" s="643"/>
      <c r="J629" s="643"/>
      <c r="K629" s="642"/>
      <c r="L629" s="4397"/>
      <c r="M629" s="4397"/>
      <c r="O629" s="641"/>
      <c r="P629" s="639"/>
      <c r="Q629" s="639"/>
      <c r="R629" s="640"/>
      <c r="S629" s="638"/>
      <c r="T629" s="639"/>
      <c r="U629" s="638"/>
    </row>
    <row r="630" spans="2:21" s="637" customFormat="1" ht="10.15" customHeight="1">
      <c r="B630" s="638"/>
      <c r="C630" s="638"/>
      <c r="E630" s="639"/>
      <c r="F630" s="642"/>
      <c r="G630" s="642"/>
      <c r="H630" s="644"/>
      <c r="I630" s="643"/>
      <c r="J630" s="643"/>
      <c r="K630" s="642"/>
      <c r="L630" s="4397"/>
      <c r="M630" s="4397"/>
      <c r="O630" s="641"/>
      <c r="P630" s="639"/>
      <c r="Q630" s="639"/>
      <c r="R630" s="640"/>
      <c r="S630" s="638"/>
      <c r="T630" s="639"/>
      <c r="U630" s="638"/>
    </row>
    <row r="631" spans="2:21" s="637" customFormat="1" ht="10.15" customHeight="1">
      <c r="B631" s="638"/>
      <c r="C631" s="638"/>
      <c r="E631" s="639"/>
      <c r="F631" s="642"/>
      <c r="G631" s="642"/>
      <c r="H631" s="644"/>
      <c r="I631" s="643"/>
      <c r="J631" s="643"/>
      <c r="K631" s="642"/>
      <c r="L631" s="4397"/>
      <c r="M631" s="4397"/>
      <c r="O631" s="641"/>
      <c r="P631" s="639"/>
      <c r="Q631" s="639"/>
      <c r="R631" s="640"/>
      <c r="S631" s="638"/>
      <c r="T631" s="639"/>
      <c r="U631" s="638"/>
    </row>
    <row r="632" spans="2:21" s="637" customFormat="1" ht="10.15" customHeight="1">
      <c r="B632" s="638"/>
      <c r="C632" s="638"/>
      <c r="E632" s="639"/>
      <c r="F632" s="642"/>
      <c r="G632" s="642"/>
      <c r="H632" s="644"/>
      <c r="I632" s="643"/>
      <c r="J632" s="643"/>
      <c r="K632" s="642"/>
      <c r="L632" s="4397"/>
      <c r="M632" s="4397"/>
      <c r="O632" s="641"/>
      <c r="P632" s="639"/>
      <c r="Q632" s="639"/>
      <c r="R632" s="640"/>
      <c r="S632" s="638"/>
      <c r="T632" s="639"/>
      <c r="U632" s="638"/>
    </row>
    <row r="633" spans="2:21" s="637" customFormat="1" ht="10.15" customHeight="1">
      <c r="B633" s="638"/>
      <c r="C633" s="638"/>
      <c r="E633" s="639"/>
      <c r="F633" s="642"/>
      <c r="G633" s="642"/>
      <c r="H633" s="644"/>
      <c r="I633" s="643"/>
      <c r="J633" s="643"/>
      <c r="K633" s="642"/>
      <c r="L633" s="4397"/>
      <c r="M633" s="4397"/>
      <c r="O633" s="641"/>
      <c r="P633" s="639"/>
      <c r="Q633" s="639"/>
      <c r="R633" s="640"/>
      <c r="S633" s="638"/>
      <c r="T633" s="639"/>
      <c r="U633" s="638"/>
    </row>
    <row r="634" spans="2:21" s="637" customFormat="1" ht="10.15" customHeight="1">
      <c r="B634" s="638"/>
      <c r="C634" s="638"/>
      <c r="E634" s="639"/>
      <c r="F634" s="642"/>
      <c r="G634" s="642"/>
      <c r="H634" s="644"/>
      <c r="I634" s="643"/>
      <c r="J634" s="643"/>
      <c r="K634" s="642"/>
      <c r="L634" s="4397"/>
      <c r="M634" s="4397"/>
      <c r="O634" s="641"/>
      <c r="P634" s="639"/>
      <c r="Q634" s="639"/>
      <c r="R634" s="640"/>
      <c r="S634" s="638"/>
      <c r="T634" s="639"/>
      <c r="U634" s="638"/>
    </row>
    <row r="635" spans="2:21" s="637" customFormat="1" ht="10.15" customHeight="1">
      <c r="B635" s="638"/>
      <c r="C635" s="638"/>
      <c r="E635" s="639"/>
      <c r="F635" s="642"/>
      <c r="G635" s="642"/>
      <c r="H635" s="644"/>
      <c r="I635" s="643"/>
      <c r="J635" s="643"/>
      <c r="K635" s="642"/>
      <c r="L635" s="4397"/>
      <c r="M635" s="4397"/>
      <c r="O635" s="641"/>
      <c r="P635" s="639"/>
      <c r="Q635" s="639"/>
      <c r="R635" s="640"/>
      <c r="S635" s="638"/>
      <c r="T635" s="639"/>
      <c r="U635" s="638"/>
    </row>
    <row r="636" spans="2:21" s="637" customFormat="1" ht="10.15" customHeight="1">
      <c r="B636" s="638"/>
      <c r="C636" s="638"/>
      <c r="E636" s="639"/>
      <c r="F636" s="642"/>
      <c r="G636" s="642"/>
      <c r="H636" s="644"/>
      <c r="I636" s="643"/>
      <c r="J636" s="643"/>
      <c r="K636" s="642"/>
      <c r="L636" s="4397"/>
      <c r="M636" s="4397"/>
      <c r="O636" s="641"/>
      <c r="P636" s="639"/>
      <c r="Q636" s="639"/>
      <c r="R636" s="640"/>
      <c r="S636" s="638"/>
      <c r="T636" s="639"/>
      <c r="U636" s="638"/>
    </row>
    <row r="637" spans="2:21" s="637" customFormat="1" ht="10.15" customHeight="1">
      <c r="B637" s="638"/>
      <c r="C637" s="638"/>
      <c r="E637" s="639"/>
      <c r="F637" s="642"/>
      <c r="G637" s="642"/>
      <c r="H637" s="644"/>
      <c r="I637" s="643"/>
      <c r="J637" s="643"/>
      <c r="K637" s="642"/>
      <c r="L637" s="4397"/>
      <c r="M637" s="4397"/>
      <c r="O637" s="641"/>
      <c r="P637" s="639"/>
      <c r="Q637" s="639"/>
      <c r="R637" s="640"/>
      <c r="S637" s="638"/>
      <c r="T637" s="639"/>
      <c r="U637" s="638"/>
    </row>
    <row r="638" spans="2:21" s="637" customFormat="1" ht="10.15" customHeight="1">
      <c r="B638" s="638"/>
      <c r="C638" s="638"/>
      <c r="E638" s="639"/>
      <c r="F638" s="642"/>
      <c r="G638" s="642"/>
      <c r="H638" s="644"/>
      <c r="I638" s="643"/>
      <c r="J638" s="643"/>
      <c r="K638" s="642"/>
      <c r="L638" s="4397"/>
      <c r="M638" s="4397"/>
      <c r="O638" s="641"/>
      <c r="P638" s="639"/>
      <c r="Q638" s="639"/>
      <c r="R638" s="640"/>
      <c r="S638" s="638"/>
      <c r="T638" s="639"/>
      <c r="U638" s="638"/>
    </row>
    <row r="639" spans="2:21" s="637" customFormat="1" ht="10.15" customHeight="1">
      <c r="B639" s="638"/>
      <c r="C639" s="638"/>
      <c r="E639" s="639"/>
      <c r="F639" s="642"/>
      <c r="G639" s="642"/>
      <c r="H639" s="644"/>
      <c r="I639" s="643"/>
      <c r="J639" s="643"/>
      <c r="K639" s="642"/>
      <c r="L639" s="4397"/>
      <c r="M639" s="4397"/>
      <c r="O639" s="641"/>
      <c r="P639" s="639"/>
      <c r="Q639" s="639"/>
      <c r="R639" s="640"/>
      <c r="S639" s="638"/>
      <c r="T639" s="639"/>
      <c r="U639" s="638"/>
    </row>
    <row r="640" spans="2:21" s="637" customFormat="1" ht="10.15" customHeight="1">
      <c r="B640" s="638"/>
      <c r="C640" s="638"/>
      <c r="E640" s="639"/>
      <c r="F640" s="642"/>
      <c r="G640" s="642"/>
      <c r="H640" s="644"/>
      <c r="I640" s="643"/>
      <c r="J640" s="643"/>
      <c r="K640" s="642"/>
      <c r="L640" s="4397"/>
      <c r="M640" s="4397"/>
      <c r="O640" s="641"/>
      <c r="P640" s="639"/>
      <c r="Q640" s="639"/>
      <c r="R640" s="640"/>
      <c r="S640" s="638"/>
      <c r="T640" s="639"/>
      <c r="U640" s="638"/>
    </row>
    <row r="641" spans="2:21" s="637" customFormat="1" ht="10.15" customHeight="1">
      <c r="B641" s="638"/>
      <c r="C641" s="638"/>
      <c r="E641" s="639"/>
      <c r="F641" s="642"/>
      <c r="G641" s="642"/>
      <c r="H641" s="644"/>
      <c r="I641" s="643"/>
      <c r="J641" s="643"/>
      <c r="K641" s="642"/>
      <c r="L641" s="4397"/>
      <c r="M641" s="4397"/>
      <c r="O641" s="641"/>
      <c r="P641" s="639"/>
      <c r="Q641" s="639"/>
      <c r="R641" s="640"/>
      <c r="S641" s="638"/>
      <c r="T641" s="639"/>
      <c r="U641" s="638"/>
    </row>
    <row r="642" spans="2:21" s="637" customFormat="1" ht="10.15" customHeight="1">
      <c r="B642" s="638"/>
      <c r="C642" s="638"/>
      <c r="E642" s="639"/>
      <c r="F642" s="642"/>
      <c r="G642" s="642"/>
      <c r="H642" s="644"/>
      <c r="I642" s="643"/>
      <c r="J642" s="643"/>
      <c r="K642" s="642"/>
      <c r="L642" s="4397"/>
      <c r="M642" s="4397"/>
      <c r="O642" s="641"/>
      <c r="P642" s="639"/>
      <c r="Q642" s="639"/>
      <c r="R642" s="640"/>
      <c r="S642" s="638"/>
      <c r="T642" s="639"/>
      <c r="U642" s="638"/>
    </row>
    <row r="643" spans="2:21" s="637" customFormat="1" ht="10.15" customHeight="1">
      <c r="B643" s="638"/>
      <c r="C643" s="638"/>
      <c r="E643" s="639"/>
      <c r="F643" s="642"/>
      <c r="G643" s="642"/>
      <c r="H643" s="644"/>
      <c r="I643" s="643"/>
      <c r="J643" s="643"/>
      <c r="K643" s="642"/>
      <c r="L643" s="4397"/>
      <c r="M643" s="4397"/>
      <c r="O643" s="641"/>
      <c r="P643" s="639"/>
      <c r="Q643" s="639"/>
      <c r="R643" s="640"/>
      <c r="S643" s="638"/>
      <c r="T643" s="639"/>
      <c r="U643" s="638"/>
    </row>
    <row r="644" spans="2:21" s="637" customFormat="1" ht="10.15" customHeight="1">
      <c r="B644" s="638"/>
      <c r="C644" s="638"/>
      <c r="E644" s="639"/>
      <c r="F644" s="642"/>
      <c r="G644" s="642"/>
      <c r="H644" s="644"/>
      <c r="I644" s="643"/>
      <c r="J644" s="643"/>
      <c r="K644" s="642"/>
      <c r="L644" s="4397"/>
      <c r="M644" s="4397"/>
      <c r="O644" s="641"/>
      <c r="P644" s="639"/>
      <c r="Q644" s="639"/>
      <c r="R644" s="640"/>
      <c r="S644" s="638"/>
      <c r="T644" s="639"/>
      <c r="U644" s="638"/>
    </row>
    <row r="645" spans="2:21" s="637" customFormat="1" ht="10.15" customHeight="1">
      <c r="B645" s="638"/>
      <c r="C645" s="638"/>
      <c r="E645" s="639"/>
      <c r="F645" s="642"/>
      <c r="G645" s="642"/>
      <c r="H645" s="644"/>
      <c r="I645" s="643"/>
      <c r="J645" s="643"/>
      <c r="K645" s="642"/>
      <c r="L645" s="4397"/>
      <c r="M645" s="4397"/>
      <c r="O645" s="641"/>
      <c r="P645" s="639"/>
      <c r="Q645" s="639"/>
      <c r="R645" s="640"/>
      <c r="S645" s="638"/>
      <c r="T645" s="639"/>
      <c r="U645" s="638"/>
    </row>
    <row r="646" spans="2:21" s="637" customFormat="1" ht="10.15" customHeight="1">
      <c r="B646" s="638"/>
      <c r="C646" s="638"/>
      <c r="E646" s="639"/>
      <c r="F646" s="642"/>
      <c r="G646" s="642"/>
      <c r="H646" s="644"/>
      <c r="I646" s="643"/>
      <c r="J646" s="643"/>
      <c r="K646" s="642"/>
      <c r="L646" s="4397"/>
      <c r="M646" s="4397"/>
      <c r="O646" s="641"/>
      <c r="P646" s="639"/>
      <c r="Q646" s="639"/>
      <c r="R646" s="640"/>
      <c r="S646" s="638"/>
      <c r="T646" s="639"/>
      <c r="U646" s="638"/>
    </row>
    <row r="647" spans="2:21" s="637" customFormat="1" ht="10.15" customHeight="1">
      <c r="B647" s="638"/>
      <c r="C647" s="638"/>
      <c r="E647" s="639"/>
      <c r="F647" s="642"/>
      <c r="G647" s="642"/>
      <c r="H647" s="644"/>
      <c r="I647" s="643"/>
      <c r="J647" s="643"/>
      <c r="K647" s="642"/>
      <c r="L647" s="4397"/>
      <c r="M647" s="4397"/>
      <c r="O647" s="641"/>
      <c r="P647" s="639"/>
      <c r="Q647" s="639"/>
      <c r="R647" s="640"/>
      <c r="S647" s="638"/>
      <c r="T647" s="639"/>
      <c r="U647" s="638"/>
    </row>
    <row r="648" spans="2:21" s="637" customFormat="1" ht="10.15" customHeight="1">
      <c r="B648" s="638"/>
      <c r="C648" s="638"/>
      <c r="E648" s="639"/>
      <c r="F648" s="642"/>
      <c r="G648" s="642"/>
      <c r="H648" s="644"/>
      <c r="I648" s="643"/>
      <c r="J648" s="643"/>
      <c r="K648" s="642"/>
      <c r="L648" s="4397"/>
      <c r="M648" s="4397"/>
      <c r="O648" s="641"/>
      <c r="P648" s="639"/>
      <c r="Q648" s="639"/>
      <c r="R648" s="640"/>
      <c r="S648" s="638"/>
      <c r="T648" s="639"/>
      <c r="U648" s="638"/>
    </row>
    <row r="649" spans="2:21" s="637" customFormat="1" ht="10.15" customHeight="1">
      <c r="B649" s="638"/>
      <c r="C649" s="638"/>
      <c r="E649" s="639"/>
      <c r="F649" s="642"/>
      <c r="G649" s="642"/>
      <c r="H649" s="644"/>
      <c r="I649" s="643"/>
      <c r="J649" s="643"/>
      <c r="K649" s="642"/>
      <c r="L649" s="4397"/>
      <c r="M649" s="4397"/>
      <c r="O649" s="641"/>
      <c r="P649" s="639"/>
      <c r="Q649" s="639"/>
      <c r="R649" s="640"/>
      <c r="S649" s="638"/>
      <c r="T649" s="639"/>
      <c r="U649" s="638"/>
    </row>
    <row r="650" spans="2:21" s="637" customFormat="1" ht="10.15" customHeight="1">
      <c r="B650" s="638"/>
      <c r="C650" s="638"/>
      <c r="E650" s="639"/>
      <c r="F650" s="642"/>
      <c r="G650" s="642"/>
      <c r="H650" s="644"/>
      <c r="I650" s="643"/>
      <c r="J650" s="643"/>
      <c r="K650" s="642"/>
      <c r="L650" s="4397"/>
      <c r="M650" s="4397"/>
      <c r="O650" s="641"/>
      <c r="P650" s="639"/>
      <c r="Q650" s="639"/>
      <c r="R650" s="640"/>
      <c r="S650" s="638"/>
      <c r="T650" s="639"/>
      <c r="U650" s="638"/>
    </row>
    <row r="651" spans="2:21" s="637" customFormat="1" ht="10.15" customHeight="1">
      <c r="B651" s="638"/>
      <c r="C651" s="638"/>
      <c r="E651" s="639"/>
      <c r="F651" s="642"/>
      <c r="G651" s="642"/>
      <c r="H651" s="644"/>
      <c r="I651" s="643"/>
      <c r="J651" s="643"/>
      <c r="K651" s="642"/>
      <c r="L651" s="4397"/>
      <c r="M651" s="4397"/>
      <c r="O651" s="641"/>
      <c r="P651" s="639"/>
      <c r="Q651" s="639"/>
      <c r="R651" s="640"/>
      <c r="S651" s="638"/>
      <c r="T651" s="639"/>
      <c r="U651" s="638"/>
    </row>
    <row r="652" spans="2:21" s="637" customFormat="1" ht="10.15" customHeight="1">
      <c r="B652" s="638"/>
      <c r="C652" s="638"/>
      <c r="E652" s="639"/>
      <c r="F652" s="642"/>
      <c r="G652" s="642"/>
      <c r="H652" s="644"/>
      <c r="I652" s="643"/>
      <c r="J652" s="643"/>
      <c r="K652" s="642"/>
      <c r="L652" s="4397"/>
      <c r="M652" s="4397"/>
      <c r="O652" s="641"/>
      <c r="P652" s="639"/>
      <c r="Q652" s="639"/>
      <c r="R652" s="640"/>
      <c r="S652" s="638"/>
      <c r="T652" s="639"/>
      <c r="U652" s="638"/>
    </row>
    <row r="653" spans="2:21" s="637" customFormat="1" ht="10.15" customHeight="1">
      <c r="B653" s="638"/>
      <c r="C653" s="638"/>
      <c r="E653" s="639"/>
      <c r="F653" s="642"/>
      <c r="G653" s="642"/>
      <c r="H653" s="644"/>
      <c r="I653" s="643"/>
      <c r="J653" s="643"/>
      <c r="K653" s="642"/>
      <c r="L653" s="4397"/>
      <c r="M653" s="4397"/>
      <c r="O653" s="641"/>
      <c r="P653" s="639"/>
      <c r="Q653" s="639"/>
      <c r="R653" s="640"/>
      <c r="S653" s="638"/>
      <c r="T653" s="639"/>
      <c r="U653" s="638"/>
    </row>
    <row r="654" spans="2:21" s="637" customFormat="1" ht="10.15" customHeight="1">
      <c r="B654" s="638"/>
      <c r="C654" s="638"/>
      <c r="E654" s="639"/>
      <c r="F654" s="642"/>
      <c r="G654" s="642"/>
      <c r="H654" s="644"/>
      <c r="I654" s="643"/>
      <c r="J654" s="643"/>
      <c r="K654" s="642"/>
      <c r="L654" s="4397"/>
      <c r="M654" s="4397"/>
      <c r="O654" s="641"/>
      <c r="P654" s="639"/>
      <c r="Q654" s="639"/>
      <c r="R654" s="640"/>
      <c r="S654" s="638"/>
      <c r="T654" s="639"/>
      <c r="U654" s="638"/>
    </row>
    <row r="655" spans="2:21" s="637" customFormat="1" ht="10.15" customHeight="1">
      <c r="B655" s="638"/>
      <c r="C655" s="638"/>
      <c r="E655" s="639"/>
      <c r="F655" s="642"/>
      <c r="G655" s="642"/>
      <c r="H655" s="644"/>
      <c r="I655" s="643"/>
      <c r="J655" s="643"/>
      <c r="K655" s="642"/>
      <c r="L655" s="4397"/>
      <c r="M655" s="4397"/>
      <c r="O655" s="641"/>
      <c r="P655" s="639"/>
      <c r="Q655" s="639"/>
      <c r="R655" s="640"/>
      <c r="S655" s="638"/>
      <c r="T655" s="639"/>
      <c r="U655" s="638"/>
    </row>
    <row r="656" spans="2:21" s="637" customFormat="1" ht="10.15" customHeight="1">
      <c r="B656" s="638"/>
      <c r="C656" s="638"/>
      <c r="E656" s="639"/>
      <c r="F656" s="642"/>
      <c r="G656" s="642"/>
      <c r="H656" s="644"/>
      <c r="I656" s="643"/>
      <c r="J656" s="643"/>
      <c r="K656" s="642"/>
      <c r="L656" s="4397"/>
      <c r="M656" s="4397"/>
      <c r="O656" s="641"/>
      <c r="P656" s="639"/>
      <c r="Q656" s="639"/>
      <c r="R656" s="640"/>
      <c r="S656" s="638"/>
      <c r="T656" s="639"/>
      <c r="U656" s="638"/>
    </row>
    <row r="657" spans="2:21" s="637" customFormat="1" ht="10.15" customHeight="1">
      <c r="B657" s="638"/>
      <c r="C657" s="638"/>
      <c r="E657" s="639"/>
      <c r="F657" s="642"/>
      <c r="G657" s="642"/>
      <c r="H657" s="644"/>
      <c r="I657" s="643"/>
      <c r="J657" s="643"/>
      <c r="K657" s="642"/>
      <c r="L657" s="4397"/>
      <c r="M657" s="4397"/>
      <c r="O657" s="641"/>
      <c r="P657" s="639"/>
      <c r="Q657" s="639"/>
      <c r="R657" s="640"/>
      <c r="S657" s="638"/>
      <c r="T657" s="639"/>
      <c r="U657" s="638"/>
    </row>
    <row r="658" spans="2:21" s="637" customFormat="1" ht="10.15" customHeight="1">
      <c r="B658" s="638"/>
      <c r="C658" s="638"/>
      <c r="E658" s="639"/>
      <c r="F658" s="642"/>
      <c r="G658" s="642"/>
      <c r="H658" s="644"/>
      <c r="I658" s="643"/>
      <c r="J658" s="643"/>
      <c r="K658" s="642"/>
      <c r="L658" s="4397"/>
      <c r="M658" s="4397"/>
      <c r="O658" s="641"/>
      <c r="P658" s="639"/>
      <c r="Q658" s="639"/>
      <c r="R658" s="640"/>
      <c r="S658" s="638"/>
      <c r="T658" s="639"/>
      <c r="U658" s="638"/>
    </row>
    <row r="659" spans="2:21" s="637" customFormat="1" ht="10.15" customHeight="1">
      <c r="B659" s="638"/>
      <c r="C659" s="638"/>
      <c r="E659" s="639"/>
      <c r="F659" s="642"/>
      <c r="G659" s="642"/>
      <c r="H659" s="644"/>
      <c r="I659" s="643"/>
      <c r="J659" s="643"/>
      <c r="K659" s="642"/>
      <c r="L659" s="4397"/>
      <c r="M659" s="4397"/>
      <c r="O659" s="641"/>
      <c r="P659" s="639"/>
      <c r="Q659" s="639"/>
      <c r="R659" s="640"/>
      <c r="S659" s="638"/>
      <c r="T659" s="639"/>
      <c r="U659" s="638"/>
    </row>
    <row r="660" spans="2:21" s="637" customFormat="1" ht="10.15" customHeight="1">
      <c r="B660" s="638"/>
      <c r="C660" s="638"/>
      <c r="E660" s="639"/>
      <c r="F660" s="642"/>
      <c r="G660" s="642"/>
      <c r="H660" s="644"/>
      <c r="I660" s="643"/>
      <c r="J660" s="643"/>
      <c r="K660" s="642"/>
      <c r="L660" s="4397"/>
      <c r="M660" s="4397"/>
      <c r="O660" s="641"/>
      <c r="P660" s="639"/>
      <c r="Q660" s="639"/>
      <c r="R660" s="640"/>
      <c r="S660" s="638"/>
      <c r="T660" s="639"/>
      <c r="U660" s="638"/>
    </row>
    <row r="661" spans="2:21" s="637" customFormat="1" ht="10.15" customHeight="1">
      <c r="B661" s="638"/>
      <c r="C661" s="638"/>
      <c r="E661" s="639"/>
      <c r="F661" s="642"/>
      <c r="G661" s="642"/>
      <c r="H661" s="644"/>
      <c r="I661" s="643"/>
      <c r="J661" s="643"/>
      <c r="K661" s="642"/>
      <c r="L661" s="4397"/>
      <c r="M661" s="4397"/>
      <c r="O661" s="641"/>
      <c r="P661" s="639"/>
      <c r="Q661" s="639"/>
      <c r="R661" s="640"/>
      <c r="S661" s="638"/>
      <c r="T661" s="639"/>
      <c r="U661" s="638"/>
    </row>
    <row r="662" spans="2:21" s="637" customFormat="1" ht="10.15" customHeight="1">
      <c r="B662" s="638"/>
      <c r="C662" s="638"/>
      <c r="E662" s="639"/>
      <c r="F662" s="642"/>
      <c r="G662" s="642"/>
      <c r="H662" s="644"/>
      <c r="I662" s="643"/>
      <c r="J662" s="643"/>
      <c r="K662" s="642"/>
      <c r="L662" s="4397"/>
      <c r="M662" s="4397"/>
      <c r="O662" s="641"/>
      <c r="P662" s="639"/>
      <c r="Q662" s="639"/>
      <c r="R662" s="640"/>
      <c r="S662" s="638"/>
      <c r="T662" s="639"/>
      <c r="U662" s="638"/>
    </row>
    <row r="663" spans="2:21" s="637" customFormat="1" ht="10.15" customHeight="1">
      <c r="B663" s="638"/>
      <c r="C663" s="638"/>
      <c r="E663" s="639"/>
      <c r="F663" s="642"/>
      <c r="G663" s="642"/>
      <c r="H663" s="644"/>
      <c r="I663" s="643"/>
      <c r="J663" s="643"/>
      <c r="K663" s="642"/>
      <c r="L663" s="4397"/>
      <c r="M663" s="4397"/>
      <c r="O663" s="641"/>
      <c r="P663" s="639"/>
      <c r="Q663" s="639"/>
      <c r="R663" s="640"/>
      <c r="S663" s="638"/>
      <c r="T663" s="639"/>
      <c r="U663" s="638"/>
    </row>
    <row r="664" spans="2:21" s="637" customFormat="1" ht="10.15" customHeight="1">
      <c r="B664" s="638"/>
      <c r="C664" s="638"/>
      <c r="E664" s="639"/>
      <c r="F664" s="642"/>
      <c r="G664" s="642"/>
      <c r="H664" s="644"/>
      <c r="I664" s="643"/>
      <c r="J664" s="643"/>
      <c r="K664" s="642"/>
      <c r="L664" s="4397"/>
      <c r="M664" s="4397"/>
      <c r="O664" s="641"/>
      <c r="P664" s="639"/>
      <c r="Q664" s="639"/>
      <c r="R664" s="640"/>
      <c r="S664" s="638"/>
      <c r="T664" s="639"/>
      <c r="U664" s="638"/>
    </row>
    <row r="665" spans="2:21" s="637" customFormat="1" ht="10.15" customHeight="1">
      <c r="B665" s="638"/>
      <c r="C665" s="638"/>
      <c r="E665" s="639"/>
      <c r="F665" s="642"/>
      <c r="G665" s="642"/>
      <c r="H665" s="644"/>
      <c r="I665" s="643"/>
      <c r="J665" s="643"/>
      <c r="K665" s="642"/>
      <c r="L665" s="4397"/>
      <c r="M665" s="4397"/>
      <c r="O665" s="641"/>
      <c r="P665" s="639"/>
      <c r="Q665" s="639"/>
      <c r="R665" s="640"/>
      <c r="S665" s="638"/>
      <c r="T665" s="639"/>
      <c r="U665" s="638"/>
    </row>
    <row r="666" spans="2:21" s="637" customFormat="1" ht="10.15" customHeight="1">
      <c r="B666" s="638"/>
      <c r="C666" s="638"/>
      <c r="E666" s="639"/>
      <c r="F666" s="642"/>
      <c r="G666" s="642"/>
      <c r="H666" s="644"/>
      <c r="I666" s="643"/>
      <c r="J666" s="643"/>
      <c r="K666" s="642"/>
      <c r="L666" s="4397"/>
      <c r="M666" s="4397"/>
      <c r="O666" s="641"/>
      <c r="P666" s="639"/>
      <c r="Q666" s="639"/>
      <c r="R666" s="640"/>
      <c r="S666" s="638"/>
      <c r="T666" s="639"/>
      <c r="U666" s="638"/>
    </row>
    <row r="667" spans="2:21" s="637" customFormat="1" ht="10.15" customHeight="1">
      <c r="B667" s="638"/>
      <c r="C667" s="638"/>
      <c r="E667" s="639"/>
      <c r="F667" s="642"/>
      <c r="G667" s="642"/>
      <c r="H667" s="644"/>
      <c r="I667" s="643"/>
      <c r="J667" s="643"/>
      <c r="K667" s="642"/>
      <c r="L667" s="4397"/>
      <c r="M667" s="4397"/>
      <c r="O667" s="641"/>
      <c r="P667" s="639"/>
      <c r="Q667" s="639"/>
      <c r="R667" s="640"/>
      <c r="S667" s="638"/>
      <c r="T667" s="639"/>
      <c r="U667" s="638"/>
    </row>
    <row r="668" spans="2:21" s="637" customFormat="1" ht="10.15" customHeight="1">
      <c r="B668" s="638"/>
      <c r="C668" s="638"/>
      <c r="E668" s="639"/>
      <c r="F668" s="642"/>
      <c r="G668" s="642"/>
      <c r="H668" s="644"/>
      <c r="I668" s="643"/>
      <c r="J668" s="643"/>
      <c r="K668" s="642"/>
      <c r="L668" s="4397"/>
      <c r="M668" s="4397"/>
      <c r="O668" s="641"/>
      <c r="P668" s="639"/>
      <c r="Q668" s="639"/>
      <c r="R668" s="640"/>
      <c r="S668" s="638"/>
      <c r="T668" s="639"/>
      <c r="U668" s="638"/>
    </row>
    <row r="669" spans="2:21" s="637" customFormat="1" ht="10.15" customHeight="1">
      <c r="B669" s="638"/>
      <c r="C669" s="638"/>
      <c r="E669" s="639"/>
      <c r="F669" s="642"/>
      <c r="G669" s="642"/>
      <c r="H669" s="644"/>
      <c r="I669" s="643"/>
      <c r="J669" s="643"/>
      <c r="K669" s="642"/>
      <c r="L669" s="4397"/>
      <c r="M669" s="4397"/>
      <c r="O669" s="641"/>
      <c r="P669" s="639"/>
      <c r="Q669" s="639"/>
      <c r="R669" s="640"/>
      <c r="S669" s="638"/>
      <c r="T669" s="639"/>
      <c r="U669" s="638"/>
    </row>
    <row r="670" spans="2:21" s="637" customFormat="1" ht="10.15" customHeight="1">
      <c r="B670" s="638"/>
      <c r="C670" s="638"/>
      <c r="E670" s="639"/>
      <c r="F670" s="642"/>
      <c r="G670" s="642"/>
      <c r="H670" s="644"/>
      <c r="I670" s="643"/>
      <c r="J670" s="643"/>
      <c r="K670" s="642"/>
      <c r="L670" s="4397"/>
      <c r="M670" s="4397"/>
      <c r="O670" s="641"/>
      <c r="P670" s="639"/>
      <c r="Q670" s="639"/>
      <c r="R670" s="640"/>
      <c r="S670" s="638"/>
      <c r="T670" s="639"/>
      <c r="U670" s="638"/>
    </row>
    <row r="671" spans="2:21" s="637" customFormat="1" ht="10.15" customHeight="1">
      <c r="B671" s="638"/>
      <c r="C671" s="638"/>
      <c r="E671" s="639"/>
      <c r="F671" s="642"/>
      <c r="G671" s="642"/>
      <c r="H671" s="644"/>
      <c r="I671" s="643"/>
      <c r="J671" s="643"/>
      <c r="K671" s="642"/>
      <c r="L671" s="4397"/>
      <c r="M671" s="4397"/>
      <c r="O671" s="641"/>
      <c r="P671" s="639"/>
      <c r="Q671" s="639"/>
      <c r="R671" s="640"/>
      <c r="S671" s="638"/>
      <c r="T671" s="639"/>
      <c r="U671" s="638"/>
    </row>
    <row r="672" spans="2:21" s="637" customFormat="1" ht="10.15" customHeight="1">
      <c r="B672" s="638"/>
      <c r="C672" s="638"/>
      <c r="E672" s="639"/>
      <c r="F672" s="642"/>
      <c r="G672" s="642"/>
      <c r="H672" s="644"/>
      <c r="I672" s="643"/>
      <c r="J672" s="643"/>
      <c r="K672" s="642"/>
      <c r="L672" s="4397"/>
      <c r="M672" s="4397"/>
      <c r="O672" s="641"/>
      <c r="P672" s="639"/>
      <c r="Q672" s="639"/>
      <c r="R672" s="640"/>
      <c r="S672" s="638"/>
      <c r="T672" s="639"/>
      <c r="U672" s="638"/>
    </row>
    <row r="673" spans="2:21" s="637" customFormat="1" ht="10.15" customHeight="1">
      <c r="B673" s="638"/>
      <c r="C673" s="638"/>
      <c r="E673" s="639"/>
      <c r="F673" s="642"/>
      <c r="G673" s="642"/>
      <c r="H673" s="644"/>
      <c r="I673" s="643"/>
      <c r="J673" s="643"/>
      <c r="K673" s="642"/>
      <c r="L673" s="4397"/>
      <c r="M673" s="4397"/>
      <c r="O673" s="641"/>
      <c r="P673" s="639"/>
      <c r="Q673" s="639"/>
      <c r="R673" s="640"/>
      <c r="S673" s="638"/>
      <c r="T673" s="639"/>
      <c r="U673" s="638"/>
    </row>
    <row r="674" spans="2:21" s="637" customFormat="1" ht="10.15" customHeight="1">
      <c r="B674" s="638"/>
      <c r="C674" s="638"/>
      <c r="E674" s="639"/>
      <c r="F674" s="642"/>
      <c r="G674" s="642"/>
      <c r="H674" s="644"/>
      <c r="I674" s="643"/>
      <c r="J674" s="643"/>
      <c r="K674" s="642"/>
      <c r="L674" s="4397"/>
      <c r="M674" s="4397"/>
      <c r="O674" s="641"/>
      <c r="P674" s="639"/>
      <c r="Q674" s="639"/>
      <c r="R674" s="640"/>
      <c r="S674" s="638"/>
      <c r="T674" s="639"/>
      <c r="U674" s="638"/>
    </row>
    <row r="675" spans="2:21" s="637" customFormat="1" ht="10.15" customHeight="1">
      <c r="B675" s="638"/>
      <c r="C675" s="638"/>
      <c r="E675" s="639"/>
      <c r="F675" s="642"/>
      <c r="G675" s="642"/>
      <c r="H675" s="644"/>
      <c r="I675" s="643"/>
      <c r="J675" s="643"/>
      <c r="K675" s="642"/>
      <c r="L675" s="4397"/>
      <c r="M675" s="4397"/>
      <c r="O675" s="641"/>
      <c r="P675" s="639"/>
      <c r="Q675" s="639"/>
      <c r="R675" s="640"/>
      <c r="S675" s="638"/>
      <c r="T675" s="639"/>
      <c r="U675" s="638"/>
    </row>
    <row r="676" spans="2:21" s="637" customFormat="1" ht="10.15" customHeight="1">
      <c r="B676" s="638"/>
      <c r="C676" s="638"/>
      <c r="E676" s="639"/>
      <c r="F676" s="642"/>
      <c r="G676" s="642"/>
      <c r="H676" s="644"/>
      <c r="I676" s="643"/>
      <c r="J676" s="643"/>
      <c r="K676" s="642"/>
      <c r="L676" s="4397"/>
      <c r="M676" s="4397"/>
      <c r="O676" s="641"/>
      <c r="P676" s="639"/>
      <c r="Q676" s="639"/>
      <c r="R676" s="640"/>
      <c r="S676" s="638"/>
      <c r="T676" s="639"/>
      <c r="U676" s="638"/>
    </row>
    <row r="677" spans="2:21" s="637" customFormat="1" ht="10.15" customHeight="1">
      <c r="B677" s="638"/>
      <c r="C677" s="638"/>
      <c r="E677" s="639"/>
      <c r="F677" s="642"/>
      <c r="G677" s="642"/>
      <c r="H677" s="644"/>
      <c r="I677" s="643"/>
      <c r="J677" s="643"/>
      <c r="K677" s="642"/>
      <c r="L677" s="4397"/>
      <c r="M677" s="4397"/>
      <c r="O677" s="641"/>
      <c r="P677" s="639"/>
      <c r="Q677" s="639"/>
      <c r="R677" s="640"/>
      <c r="S677" s="638"/>
      <c r="T677" s="639"/>
      <c r="U677" s="638"/>
    </row>
    <row r="678" spans="2:21" s="637" customFormat="1" ht="10.15" customHeight="1">
      <c r="B678" s="638"/>
      <c r="C678" s="638"/>
      <c r="E678" s="639"/>
      <c r="F678" s="642"/>
      <c r="G678" s="642"/>
      <c r="H678" s="644"/>
      <c r="I678" s="643"/>
      <c r="J678" s="643"/>
      <c r="K678" s="642"/>
      <c r="L678" s="4397"/>
      <c r="M678" s="4397"/>
      <c r="O678" s="641"/>
      <c r="P678" s="639"/>
      <c r="Q678" s="639"/>
      <c r="R678" s="640"/>
      <c r="S678" s="638"/>
      <c r="T678" s="639"/>
      <c r="U678" s="638"/>
    </row>
    <row r="679" spans="2:21" s="637" customFormat="1" ht="10.15" customHeight="1">
      <c r="B679" s="638"/>
      <c r="C679" s="638"/>
      <c r="E679" s="639"/>
      <c r="F679" s="642"/>
      <c r="G679" s="642"/>
      <c r="H679" s="644"/>
      <c r="I679" s="643"/>
      <c r="J679" s="643"/>
      <c r="K679" s="642"/>
      <c r="L679" s="4397"/>
      <c r="M679" s="4397"/>
      <c r="O679" s="641"/>
      <c r="P679" s="639"/>
      <c r="Q679" s="639"/>
      <c r="R679" s="640"/>
      <c r="S679" s="638"/>
      <c r="T679" s="639"/>
      <c r="U679" s="638"/>
    </row>
    <row r="680" spans="2:21" s="637" customFormat="1" ht="10.15" customHeight="1">
      <c r="B680" s="638"/>
      <c r="C680" s="638"/>
      <c r="E680" s="639"/>
      <c r="F680" s="642"/>
      <c r="G680" s="642"/>
      <c r="H680" s="644"/>
      <c r="I680" s="643"/>
      <c r="J680" s="643"/>
      <c r="K680" s="642"/>
      <c r="L680" s="4397"/>
      <c r="M680" s="4397"/>
      <c r="O680" s="641"/>
      <c r="P680" s="639"/>
      <c r="Q680" s="639"/>
      <c r="R680" s="640"/>
      <c r="S680" s="638"/>
      <c r="T680" s="639"/>
      <c r="U680" s="638"/>
    </row>
    <row r="681" spans="2:21" s="637" customFormat="1" ht="10.15" customHeight="1">
      <c r="B681" s="638"/>
      <c r="C681" s="638"/>
      <c r="E681" s="639"/>
      <c r="F681" s="642"/>
      <c r="G681" s="642"/>
      <c r="H681" s="644"/>
      <c r="I681" s="643"/>
      <c r="J681" s="643"/>
      <c r="K681" s="642"/>
      <c r="L681" s="4397"/>
      <c r="M681" s="4397"/>
      <c r="O681" s="641"/>
      <c r="P681" s="639"/>
      <c r="Q681" s="639"/>
      <c r="R681" s="640"/>
      <c r="S681" s="638"/>
      <c r="T681" s="639"/>
      <c r="U681" s="638"/>
    </row>
    <row r="682" spans="2:21" s="637" customFormat="1" ht="10.15" customHeight="1">
      <c r="B682" s="638"/>
      <c r="C682" s="638"/>
      <c r="E682" s="639"/>
      <c r="F682" s="642"/>
      <c r="G682" s="642"/>
      <c r="H682" s="644"/>
      <c r="I682" s="643"/>
      <c r="J682" s="643"/>
      <c r="K682" s="642"/>
      <c r="L682" s="4397"/>
      <c r="M682" s="4397"/>
      <c r="O682" s="641"/>
      <c r="P682" s="639"/>
      <c r="Q682" s="639"/>
      <c r="R682" s="640"/>
      <c r="S682" s="638"/>
      <c r="T682" s="639"/>
      <c r="U682" s="638"/>
    </row>
    <row r="683" spans="2:21" s="637" customFormat="1" ht="10.15" customHeight="1">
      <c r="B683" s="638"/>
      <c r="C683" s="638"/>
      <c r="E683" s="639"/>
      <c r="F683" s="642"/>
      <c r="G683" s="642"/>
      <c r="H683" s="644"/>
      <c r="I683" s="643"/>
      <c r="J683" s="643"/>
      <c r="K683" s="642"/>
      <c r="L683" s="4397"/>
      <c r="M683" s="4397"/>
      <c r="O683" s="641"/>
      <c r="P683" s="639"/>
      <c r="Q683" s="639"/>
      <c r="R683" s="640"/>
      <c r="S683" s="638"/>
      <c r="T683" s="639"/>
      <c r="U683" s="638"/>
    </row>
    <row r="684" spans="2:21" s="637" customFormat="1" ht="10.15" customHeight="1">
      <c r="B684" s="638"/>
      <c r="C684" s="638"/>
      <c r="E684" s="639"/>
      <c r="F684" s="642"/>
      <c r="G684" s="642"/>
      <c r="H684" s="644"/>
      <c r="I684" s="643"/>
      <c r="J684" s="643"/>
      <c r="K684" s="642"/>
      <c r="L684" s="4397"/>
      <c r="M684" s="4397"/>
      <c r="O684" s="641"/>
      <c r="P684" s="639"/>
      <c r="Q684" s="639"/>
      <c r="R684" s="640"/>
      <c r="S684" s="638"/>
      <c r="T684" s="639"/>
      <c r="U684" s="638"/>
    </row>
    <row r="685" spans="2:21" s="637" customFormat="1" ht="10.15" customHeight="1">
      <c r="B685" s="638"/>
      <c r="C685" s="638"/>
      <c r="E685" s="639"/>
      <c r="F685" s="642"/>
      <c r="G685" s="642"/>
      <c r="H685" s="644"/>
      <c r="I685" s="643"/>
      <c r="J685" s="643"/>
      <c r="K685" s="642"/>
      <c r="L685" s="4397"/>
      <c r="M685" s="4397"/>
      <c r="O685" s="641"/>
      <c r="P685" s="639"/>
      <c r="Q685" s="639"/>
      <c r="R685" s="640"/>
      <c r="S685" s="638"/>
      <c r="T685" s="639"/>
      <c r="U685" s="638"/>
    </row>
    <row r="686" spans="2:21" s="637" customFormat="1" ht="10.15" customHeight="1">
      <c r="B686" s="638"/>
      <c r="C686" s="638"/>
      <c r="E686" s="639"/>
      <c r="F686" s="642"/>
      <c r="G686" s="642"/>
      <c r="H686" s="644"/>
      <c r="I686" s="643"/>
      <c r="J686" s="643"/>
      <c r="K686" s="642"/>
      <c r="L686" s="4397"/>
      <c r="M686" s="4397"/>
      <c r="O686" s="641"/>
      <c r="P686" s="639"/>
      <c r="Q686" s="639"/>
      <c r="R686" s="640"/>
      <c r="S686" s="638"/>
      <c r="T686" s="639"/>
      <c r="U686" s="638"/>
    </row>
    <row r="687" spans="2:21" s="637" customFormat="1" ht="10.15" customHeight="1">
      <c r="B687" s="638"/>
      <c r="C687" s="638"/>
      <c r="E687" s="639"/>
      <c r="F687" s="642"/>
      <c r="G687" s="642"/>
      <c r="H687" s="644"/>
      <c r="I687" s="643"/>
      <c r="J687" s="643"/>
      <c r="K687" s="642"/>
      <c r="L687" s="4397"/>
      <c r="M687" s="4397"/>
      <c r="O687" s="641"/>
      <c r="P687" s="639"/>
      <c r="Q687" s="639"/>
      <c r="R687" s="640"/>
      <c r="S687" s="638"/>
      <c r="T687" s="639"/>
      <c r="U687" s="638"/>
    </row>
    <row r="688" spans="2:21" s="637" customFormat="1" ht="10.15" customHeight="1">
      <c r="B688" s="638"/>
      <c r="C688" s="638"/>
      <c r="E688" s="639"/>
      <c r="F688" s="642"/>
      <c r="G688" s="642"/>
      <c r="H688" s="644"/>
      <c r="I688" s="643"/>
      <c r="J688" s="643"/>
      <c r="K688" s="642"/>
      <c r="L688" s="4397"/>
      <c r="M688" s="4397"/>
      <c r="O688" s="641"/>
      <c r="P688" s="639"/>
      <c r="Q688" s="639"/>
      <c r="R688" s="640"/>
      <c r="S688" s="638"/>
      <c r="T688" s="639"/>
      <c r="U688" s="638"/>
    </row>
    <row r="689" spans="2:21" s="637" customFormat="1" ht="10.15" customHeight="1">
      <c r="B689" s="638"/>
      <c r="C689" s="638"/>
      <c r="E689" s="639"/>
      <c r="F689" s="642"/>
      <c r="G689" s="642"/>
      <c r="H689" s="644"/>
      <c r="I689" s="643"/>
      <c r="J689" s="643"/>
      <c r="K689" s="642"/>
      <c r="L689" s="4397"/>
      <c r="M689" s="4397"/>
      <c r="O689" s="641"/>
      <c r="P689" s="639"/>
      <c r="Q689" s="639"/>
      <c r="R689" s="640"/>
      <c r="S689" s="638"/>
      <c r="T689" s="639"/>
      <c r="U689" s="638"/>
    </row>
    <row r="690" spans="2:21" s="637" customFormat="1" ht="10.15" customHeight="1">
      <c r="B690" s="638"/>
      <c r="C690" s="638"/>
      <c r="E690" s="639"/>
      <c r="F690" s="642"/>
      <c r="G690" s="642"/>
      <c r="H690" s="644"/>
      <c r="I690" s="643"/>
      <c r="J690" s="643"/>
      <c r="K690" s="642"/>
      <c r="L690" s="4397"/>
      <c r="M690" s="4397"/>
      <c r="O690" s="641"/>
      <c r="P690" s="639"/>
      <c r="Q690" s="639"/>
      <c r="R690" s="640"/>
      <c r="S690" s="638"/>
      <c r="T690" s="639"/>
      <c r="U690" s="638"/>
    </row>
    <row r="691" spans="2:21" s="637" customFormat="1" ht="10.15" customHeight="1">
      <c r="B691" s="638"/>
      <c r="C691" s="638"/>
      <c r="E691" s="639"/>
      <c r="F691" s="642"/>
      <c r="G691" s="642"/>
      <c r="H691" s="644"/>
      <c r="I691" s="643"/>
      <c r="J691" s="643"/>
      <c r="K691" s="642"/>
      <c r="L691" s="4397"/>
      <c r="M691" s="4397"/>
      <c r="O691" s="641"/>
      <c r="P691" s="639"/>
      <c r="Q691" s="639"/>
      <c r="R691" s="640"/>
      <c r="S691" s="638"/>
      <c r="T691" s="639"/>
      <c r="U691" s="638"/>
    </row>
    <row r="692" spans="2:21" s="637" customFormat="1" ht="10.15" customHeight="1">
      <c r="B692" s="638"/>
      <c r="C692" s="638"/>
      <c r="E692" s="639"/>
      <c r="F692" s="642"/>
      <c r="G692" s="642"/>
      <c r="H692" s="644"/>
      <c r="I692" s="643"/>
      <c r="J692" s="643"/>
      <c r="K692" s="642"/>
      <c r="L692" s="4397"/>
      <c r="M692" s="4397"/>
      <c r="O692" s="641"/>
      <c r="P692" s="639"/>
      <c r="Q692" s="639"/>
      <c r="R692" s="640"/>
      <c r="S692" s="638"/>
      <c r="T692" s="639"/>
      <c r="U692" s="638"/>
    </row>
    <row r="693" spans="2:21" s="637" customFormat="1" ht="10.15" customHeight="1">
      <c r="B693" s="638"/>
      <c r="C693" s="638"/>
      <c r="E693" s="639"/>
      <c r="F693" s="642"/>
      <c r="G693" s="642"/>
      <c r="H693" s="644"/>
      <c r="I693" s="643"/>
      <c r="J693" s="643"/>
      <c r="K693" s="642"/>
      <c r="L693" s="4397"/>
      <c r="M693" s="4397"/>
      <c r="O693" s="641"/>
      <c r="P693" s="639"/>
      <c r="Q693" s="639"/>
      <c r="R693" s="640"/>
      <c r="S693" s="638"/>
      <c r="T693" s="639"/>
      <c r="U693" s="638"/>
    </row>
    <row r="694" spans="2:21" s="637" customFormat="1" ht="10.15" customHeight="1">
      <c r="B694" s="638"/>
      <c r="C694" s="638"/>
      <c r="E694" s="639"/>
      <c r="F694" s="642"/>
      <c r="G694" s="642"/>
      <c r="H694" s="644"/>
      <c r="I694" s="643"/>
      <c r="J694" s="643"/>
      <c r="K694" s="642"/>
      <c r="L694" s="4397"/>
      <c r="M694" s="4397"/>
      <c r="O694" s="641"/>
      <c r="P694" s="639"/>
      <c r="Q694" s="639"/>
      <c r="R694" s="640"/>
      <c r="S694" s="638"/>
      <c r="T694" s="639"/>
      <c r="U694" s="638"/>
    </row>
    <row r="695" spans="2:21" s="637" customFormat="1" ht="10.15" customHeight="1">
      <c r="B695" s="638"/>
      <c r="C695" s="638"/>
      <c r="E695" s="639"/>
      <c r="F695" s="642"/>
      <c r="G695" s="642"/>
      <c r="H695" s="644"/>
      <c r="I695" s="643"/>
      <c r="J695" s="643"/>
      <c r="K695" s="642"/>
      <c r="L695" s="4397"/>
      <c r="M695" s="4397"/>
      <c r="O695" s="641"/>
      <c r="P695" s="639"/>
      <c r="Q695" s="639"/>
      <c r="R695" s="640"/>
      <c r="S695" s="638"/>
      <c r="T695" s="639"/>
      <c r="U695" s="638"/>
    </row>
    <row r="696" spans="2:21" s="637" customFormat="1" ht="10.15" customHeight="1">
      <c r="B696" s="638"/>
      <c r="C696" s="638"/>
      <c r="E696" s="639"/>
      <c r="F696" s="642"/>
      <c r="G696" s="642"/>
      <c r="H696" s="644"/>
      <c r="I696" s="643"/>
      <c r="J696" s="643"/>
      <c r="K696" s="642"/>
      <c r="L696" s="4397"/>
      <c r="M696" s="4397"/>
      <c r="O696" s="641"/>
      <c r="P696" s="639"/>
      <c r="Q696" s="639"/>
      <c r="R696" s="640"/>
      <c r="S696" s="638"/>
      <c r="T696" s="639"/>
      <c r="U696" s="638"/>
    </row>
    <row r="697" spans="2:21" s="637" customFormat="1" ht="10.15" customHeight="1">
      <c r="B697" s="638"/>
      <c r="C697" s="638"/>
      <c r="E697" s="639"/>
      <c r="F697" s="642"/>
      <c r="G697" s="642"/>
      <c r="H697" s="644"/>
      <c r="I697" s="643"/>
      <c r="J697" s="643"/>
      <c r="K697" s="642"/>
      <c r="L697" s="4397"/>
      <c r="M697" s="4397"/>
      <c r="O697" s="641"/>
      <c r="P697" s="639"/>
      <c r="Q697" s="639"/>
      <c r="R697" s="640"/>
      <c r="S697" s="638"/>
      <c r="T697" s="639"/>
      <c r="U697" s="638"/>
    </row>
    <row r="698" spans="2:21" s="637" customFormat="1" ht="10.15" customHeight="1">
      <c r="B698" s="638"/>
      <c r="C698" s="638"/>
      <c r="E698" s="639"/>
      <c r="F698" s="642"/>
      <c r="G698" s="642"/>
      <c r="H698" s="644"/>
      <c r="I698" s="643"/>
      <c r="J698" s="643"/>
      <c r="K698" s="642"/>
      <c r="L698" s="4397"/>
      <c r="M698" s="4397"/>
      <c r="O698" s="641"/>
      <c r="P698" s="639"/>
      <c r="Q698" s="639"/>
      <c r="R698" s="640"/>
      <c r="S698" s="638"/>
      <c r="T698" s="639"/>
      <c r="U698" s="638"/>
    </row>
    <row r="699" spans="2:21" s="637" customFormat="1" ht="10.15" customHeight="1">
      <c r="B699" s="638"/>
      <c r="C699" s="638"/>
      <c r="E699" s="639"/>
      <c r="F699" s="642"/>
      <c r="G699" s="642"/>
      <c r="H699" s="644"/>
      <c r="I699" s="643"/>
      <c r="J699" s="643"/>
      <c r="K699" s="642"/>
      <c r="L699" s="4397"/>
      <c r="M699" s="4397"/>
      <c r="O699" s="641"/>
      <c r="P699" s="639"/>
      <c r="Q699" s="639"/>
      <c r="R699" s="640"/>
      <c r="S699" s="638"/>
      <c r="T699" s="639"/>
      <c r="U699" s="638"/>
    </row>
    <row r="700" spans="2:21" s="637" customFormat="1" ht="10.15" customHeight="1">
      <c r="B700" s="638"/>
      <c r="C700" s="638"/>
      <c r="E700" s="639"/>
      <c r="F700" s="642"/>
      <c r="G700" s="642"/>
      <c r="H700" s="644"/>
      <c r="I700" s="643"/>
      <c r="J700" s="643"/>
      <c r="K700" s="642"/>
      <c r="L700" s="4397"/>
      <c r="M700" s="4397"/>
      <c r="O700" s="641"/>
      <c r="P700" s="639"/>
      <c r="Q700" s="639"/>
      <c r="R700" s="640"/>
      <c r="S700" s="638"/>
      <c r="T700" s="639"/>
      <c r="U700" s="638"/>
    </row>
    <row r="701" spans="2:21" s="637" customFormat="1" ht="10.15" customHeight="1">
      <c r="B701" s="638"/>
      <c r="C701" s="638"/>
      <c r="E701" s="639"/>
      <c r="F701" s="642"/>
      <c r="G701" s="642"/>
      <c r="H701" s="644"/>
      <c r="I701" s="643"/>
      <c r="J701" s="643"/>
      <c r="K701" s="642"/>
      <c r="L701" s="4397"/>
      <c r="M701" s="4397"/>
      <c r="O701" s="641"/>
      <c r="P701" s="639"/>
      <c r="Q701" s="639"/>
      <c r="R701" s="640"/>
      <c r="S701" s="638"/>
      <c r="T701" s="639"/>
      <c r="U701" s="638"/>
    </row>
    <row r="702" spans="2:21" s="637" customFormat="1" ht="10.15" customHeight="1">
      <c r="B702" s="638"/>
      <c r="C702" s="638"/>
      <c r="E702" s="639"/>
      <c r="F702" s="642"/>
      <c r="G702" s="642"/>
      <c r="H702" s="644"/>
      <c r="I702" s="643"/>
      <c r="J702" s="643"/>
      <c r="K702" s="642"/>
      <c r="L702" s="4397"/>
      <c r="M702" s="4397"/>
      <c r="O702" s="641"/>
      <c r="P702" s="639"/>
      <c r="Q702" s="639"/>
      <c r="R702" s="640"/>
      <c r="S702" s="638"/>
      <c r="T702" s="639"/>
      <c r="U702" s="638"/>
    </row>
    <row r="703" spans="2:21" s="637" customFormat="1" ht="10.15" customHeight="1">
      <c r="B703" s="638"/>
      <c r="C703" s="638"/>
      <c r="E703" s="639"/>
      <c r="F703" s="642"/>
      <c r="G703" s="642"/>
      <c r="H703" s="644"/>
      <c r="I703" s="643"/>
      <c r="J703" s="643"/>
      <c r="K703" s="642"/>
      <c r="L703" s="4397"/>
      <c r="M703" s="4397"/>
      <c r="O703" s="641"/>
      <c r="P703" s="639"/>
      <c r="Q703" s="639"/>
      <c r="R703" s="640"/>
      <c r="S703" s="638"/>
      <c r="T703" s="639"/>
      <c r="U703" s="638"/>
    </row>
    <row r="704" spans="2:21" s="637" customFormat="1" ht="10.15" customHeight="1">
      <c r="B704" s="638"/>
      <c r="C704" s="638"/>
      <c r="E704" s="639"/>
      <c r="F704" s="642"/>
      <c r="G704" s="642"/>
      <c r="H704" s="644"/>
      <c r="I704" s="643"/>
      <c r="J704" s="643"/>
      <c r="K704" s="642"/>
      <c r="L704" s="4397"/>
      <c r="M704" s="4397"/>
      <c r="O704" s="641"/>
      <c r="P704" s="639"/>
      <c r="Q704" s="639"/>
      <c r="R704" s="640"/>
      <c r="S704" s="638"/>
      <c r="T704" s="639"/>
      <c r="U704" s="638"/>
    </row>
    <row r="705" spans="2:21" s="637" customFormat="1" ht="10.15" customHeight="1">
      <c r="B705" s="638"/>
      <c r="C705" s="638"/>
      <c r="E705" s="639"/>
      <c r="F705" s="642"/>
      <c r="G705" s="642"/>
      <c r="H705" s="644"/>
      <c r="I705" s="643"/>
      <c r="J705" s="643"/>
      <c r="K705" s="642"/>
      <c r="L705" s="4397"/>
      <c r="M705" s="4397"/>
      <c r="O705" s="641"/>
      <c r="P705" s="639"/>
      <c r="Q705" s="639"/>
      <c r="R705" s="640"/>
      <c r="S705" s="638"/>
      <c r="T705" s="639"/>
      <c r="U705" s="638"/>
    </row>
    <row r="706" spans="2:21" s="637" customFormat="1" ht="10.15" customHeight="1">
      <c r="B706" s="638"/>
      <c r="C706" s="638"/>
      <c r="E706" s="639"/>
      <c r="F706" s="642"/>
      <c r="G706" s="642"/>
      <c r="H706" s="644"/>
      <c r="I706" s="643"/>
      <c r="J706" s="643"/>
      <c r="K706" s="642"/>
      <c r="L706" s="4397"/>
      <c r="M706" s="4397"/>
      <c r="O706" s="641"/>
      <c r="P706" s="639"/>
      <c r="Q706" s="639"/>
      <c r="R706" s="640"/>
      <c r="S706" s="638"/>
      <c r="T706" s="639"/>
      <c r="U706" s="638"/>
    </row>
    <row r="707" spans="2:21" s="637" customFormat="1" ht="10.15" customHeight="1">
      <c r="B707" s="638"/>
      <c r="C707" s="638"/>
      <c r="E707" s="639"/>
      <c r="F707" s="642"/>
      <c r="G707" s="642"/>
      <c r="H707" s="644"/>
      <c r="I707" s="643"/>
      <c r="J707" s="643"/>
      <c r="K707" s="642"/>
      <c r="L707" s="4397"/>
      <c r="M707" s="4397"/>
      <c r="O707" s="641"/>
      <c r="P707" s="639"/>
      <c r="Q707" s="639"/>
      <c r="R707" s="640"/>
      <c r="S707" s="638"/>
      <c r="T707" s="639"/>
      <c r="U707" s="638"/>
    </row>
    <row r="708" spans="2:21" s="637" customFormat="1" ht="10.15" customHeight="1">
      <c r="B708" s="638"/>
      <c r="C708" s="638"/>
      <c r="E708" s="639"/>
      <c r="F708" s="642"/>
      <c r="G708" s="642"/>
      <c r="H708" s="644"/>
      <c r="I708" s="643"/>
      <c r="J708" s="643"/>
      <c r="K708" s="642"/>
      <c r="L708" s="4397"/>
      <c r="M708" s="4397"/>
      <c r="O708" s="641"/>
      <c r="P708" s="639"/>
      <c r="Q708" s="639"/>
      <c r="R708" s="640"/>
      <c r="S708" s="638"/>
      <c r="T708" s="639"/>
      <c r="U708" s="638"/>
    </row>
    <row r="709" spans="2:21" s="637" customFormat="1" ht="10.15" customHeight="1">
      <c r="B709" s="638"/>
      <c r="C709" s="638"/>
      <c r="E709" s="639"/>
      <c r="F709" s="642"/>
      <c r="G709" s="642"/>
      <c r="H709" s="644"/>
      <c r="I709" s="643"/>
      <c r="J709" s="643"/>
      <c r="K709" s="642"/>
      <c r="L709" s="4397"/>
      <c r="M709" s="4397"/>
      <c r="O709" s="641"/>
      <c r="P709" s="639"/>
      <c r="Q709" s="639"/>
      <c r="R709" s="640"/>
      <c r="S709" s="638"/>
      <c r="T709" s="639"/>
      <c r="U709" s="638"/>
    </row>
    <row r="710" spans="2:21" s="637" customFormat="1" ht="10.15" customHeight="1">
      <c r="B710" s="638"/>
      <c r="C710" s="638"/>
      <c r="E710" s="639"/>
      <c r="F710" s="642"/>
      <c r="G710" s="642"/>
      <c r="H710" s="644"/>
      <c r="I710" s="643"/>
      <c r="J710" s="643"/>
      <c r="K710" s="642"/>
      <c r="L710" s="4397"/>
      <c r="M710" s="4397"/>
      <c r="O710" s="641"/>
      <c r="P710" s="639"/>
      <c r="Q710" s="639"/>
      <c r="R710" s="640"/>
      <c r="S710" s="638"/>
      <c r="T710" s="639"/>
      <c r="U710" s="638"/>
    </row>
    <row r="711" spans="2:21" s="637" customFormat="1" ht="10.15" customHeight="1">
      <c r="B711" s="638"/>
      <c r="C711" s="638"/>
      <c r="E711" s="639"/>
      <c r="F711" s="642"/>
      <c r="G711" s="642"/>
      <c r="H711" s="644"/>
      <c r="I711" s="643"/>
      <c r="J711" s="643"/>
      <c r="K711" s="642"/>
      <c r="L711" s="4397"/>
      <c r="M711" s="4397"/>
      <c r="O711" s="641"/>
      <c r="P711" s="639"/>
      <c r="Q711" s="639"/>
      <c r="R711" s="640"/>
      <c r="S711" s="638"/>
      <c r="T711" s="639"/>
      <c r="U711" s="638"/>
    </row>
    <row r="712" spans="2:21" s="637" customFormat="1" ht="10.15" customHeight="1">
      <c r="B712" s="638"/>
      <c r="C712" s="638"/>
      <c r="E712" s="639"/>
      <c r="F712" s="642"/>
      <c r="G712" s="642"/>
      <c r="H712" s="644"/>
      <c r="I712" s="643"/>
      <c r="J712" s="643"/>
      <c r="K712" s="642"/>
      <c r="L712" s="4397"/>
      <c r="M712" s="4397"/>
      <c r="O712" s="641"/>
      <c r="P712" s="639"/>
      <c r="Q712" s="639"/>
      <c r="R712" s="640"/>
      <c r="S712" s="638"/>
      <c r="T712" s="639"/>
      <c r="U712" s="638"/>
    </row>
    <row r="713" spans="2:21" s="637" customFormat="1" ht="10.15" customHeight="1">
      <c r="B713" s="638"/>
      <c r="C713" s="638"/>
      <c r="E713" s="639"/>
      <c r="F713" s="642"/>
      <c r="G713" s="642"/>
      <c r="H713" s="644"/>
      <c r="I713" s="643"/>
      <c r="J713" s="643"/>
      <c r="K713" s="642"/>
      <c r="L713" s="4397"/>
      <c r="M713" s="4397"/>
      <c r="O713" s="641"/>
      <c r="P713" s="639"/>
      <c r="Q713" s="639"/>
      <c r="R713" s="640"/>
      <c r="S713" s="638"/>
      <c r="T713" s="639"/>
      <c r="U713" s="638"/>
    </row>
    <row r="714" spans="2:21" s="637" customFormat="1" ht="10.15" customHeight="1">
      <c r="B714" s="638"/>
      <c r="C714" s="638"/>
      <c r="E714" s="639"/>
      <c r="F714" s="642"/>
      <c r="G714" s="642"/>
      <c r="H714" s="644"/>
      <c r="I714" s="643"/>
      <c r="J714" s="643"/>
      <c r="K714" s="642"/>
      <c r="L714" s="4397"/>
      <c r="M714" s="4397"/>
      <c r="O714" s="641"/>
      <c r="P714" s="639"/>
      <c r="Q714" s="639"/>
      <c r="R714" s="640"/>
      <c r="S714" s="638"/>
      <c r="T714" s="639"/>
      <c r="U714" s="638"/>
    </row>
    <row r="715" spans="2:21" s="637" customFormat="1" ht="10.15" customHeight="1">
      <c r="B715" s="638"/>
      <c r="C715" s="638"/>
      <c r="E715" s="639"/>
      <c r="F715" s="642"/>
      <c r="G715" s="642"/>
      <c r="H715" s="644"/>
      <c r="I715" s="643"/>
      <c r="J715" s="643"/>
      <c r="K715" s="642"/>
      <c r="L715" s="4397"/>
      <c r="M715" s="4397"/>
      <c r="O715" s="641"/>
      <c r="P715" s="639"/>
      <c r="Q715" s="639"/>
      <c r="R715" s="640"/>
      <c r="S715" s="638"/>
      <c r="T715" s="639"/>
      <c r="U715" s="638"/>
    </row>
    <row r="716" spans="2:21" s="637" customFormat="1" ht="10.15" customHeight="1">
      <c r="B716" s="638"/>
      <c r="C716" s="638"/>
      <c r="E716" s="639"/>
      <c r="F716" s="642"/>
      <c r="G716" s="642"/>
      <c r="H716" s="644"/>
      <c r="I716" s="643"/>
      <c r="J716" s="643"/>
      <c r="K716" s="642"/>
      <c r="L716" s="4397"/>
      <c r="M716" s="4397"/>
      <c r="O716" s="641"/>
      <c r="P716" s="639"/>
      <c r="Q716" s="639"/>
      <c r="R716" s="640"/>
      <c r="S716" s="638"/>
      <c r="T716" s="639"/>
      <c r="U716" s="638"/>
    </row>
    <row r="717" spans="2:21" s="637" customFormat="1" ht="10.15" customHeight="1">
      <c r="B717" s="638"/>
      <c r="C717" s="638"/>
      <c r="E717" s="639"/>
      <c r="F717" s="642"/>
      <c r="G717" s="642"/>
      <c r="H717" s="644"/>
      <c r="I717" s="643"/>
      <c r="J717" s="643"/>
      <c r="K717" s="642"/>
      <c r="L717" s="4397"/>
      <c r="M717" s="4397"/>
      <c r="O717" s="641"/>
      <c r="P717" s="639"/>
      <c r="Q717" s="639"/>
      <c r="R717" s="640"/>
      <c r="S717" s="638"/>
      <c r="T717" s="639"/>
      <c r="U717" s="638"/>
    </row>
    <row r="718" spans="2:21" s="637" customFormat="1" ht="10.15" customHeight="1">
      <c r="B718" s="638"/>
      <c r="C718" s="638"/>
      <c r="E718" s="639"/>
      <c r="F718" s="642"/>
      <c r="G718" s="642"/>
      <c r="H718" s="644"/>
      <c r="I718" s="643"/>
      <c r="J718" s="643"/>
      <c r="K718" s="642"/>
      <c r="L718" s="4397"/>
      <c r="M718" s="4397"/>
      <c r="O718" s="641"/>
      <c r="P718" s="639"/>
      <c r="Q718" s="639"/>
      <c r="R718" s="640"/>
      <c r="S718" s="638"/>
      <c r="T718" s="639"/>
      <c r="U718" s="638"/>
    </row>
    <row r="719" spans="2:21" s="637" customFormat="1" ht="10.15" customHeight="1">
      <c r="B719" s="638"/>
      <c r="C719" s="638"/>
      <c r="E719" s="639"/>
      <c r="F719" s="642"/>
      <c r="G719" s="642"/>
      <c r="H719" s="644"/>
      <c r="I719" s="643"/>
      <c r="J719" s="643"/>
      <c r="K719" s="642"/>
      <c r="L719" s="4397"/>
      <c r="M719" s="4397"/>
      <c r="O719" s="641"/>
      <c r="P719" s="639"/>
      <c r="Q719" s="639"/>
      <c r="R719" s="640"/>
      <c r="S719" s="638"/>
      <c r="T719" s="639"/>
      <c r="U719" s="638"/>
    </row>
    <row r="720" spans="2:21" s="637" customFormat="1" ht="10.15" customHeight="1">
      <c r="B720" s="638"/>
      <c r="C720" s="638"/>
      <c r="E720" s="639"/>
      <c r="F720" s="642"/>
      <c r="G720" s="642"/>
      <c r="H720" s="644"/>
      <c r="I720" s="643"/>
      <c r="J720" s="643"/>
      <c r="K720" s="642"/>
      <c r="L720" s="4397"/>
      <c r="M720" s="4397"/>
      <c r="O720" s="641"/>
      <c r="P720" s="639"/>
      <c r="Q720" s="639"/>
      <c r="R720" s="640"/>
      <c r="S720" s="638"/>
      <c r="T720" s="639"/>
      <c r="U720" s="638"/>
    </row>
    <row r="721" spans="2:21" s="637" customFormat="1" ht="10.15" customHeight="1">
      <c r="B721" s="638"/>
      <c r="C721" s="638"/>
      <c r="E721" s="639"/>
      <c r="F721" s="642"/>
      <c r="G721" s="642"/>
      <c r="H721" s="644"/>
      <c r="I721" s="643"/>
      <c r="J721" s="643"/>
      <c r="K721" s="642"/>
      <c r="L721" s="4397"/>
      <c r="M721" s="4397"/>
      <c r="O721" s="641"/>
      <c r="P721" s="639"/>
      <c r="Q721" s="639"/>
      <c r="R721" s="640"/>
      <c r="S721" s="638"/>
      <c r="T721" s="639"/>
      <c r="U721" s="638"/>
    </row>
    <row r="722" spans="2:21" s="637" customFormat="1" ht="10.15" customHeight="1">
      <c r="B722" s="638"/>
      <c r="C722" s="638"/>
      <c r="E722" s="639"/>
      <c r="F722" s="642"/>
      <c r="G722" s="642"/>
      <c r="H722" s="644"/>
      <c r="I722" s="643"/>
      <c r="J722" s="643"/>
      <c r="K722" s="642"/>
      <c r="L722" s="4397"/>
      <c r="M722" s="4397"/>
      <c r="O722" s="641"/>
      <c r="P722" s="639"/>
      <c r="Q722" s="639"/>
      <c r="R722" s="640"/>
      <c r="S722" s="638"/>
      <c r="T722" s="639"/>
      <c r="U722" s="638"/>
    </row>
    <row r="723" spans="2:21" s="637" customFormat="1" ht="10.15" customHeight="1">
      <c r="B723" s="638"/>
      <c r="C723" s="638"/>
      <c r="E723" s="639"/>
      <c r="F723" s="642"/>
      <c r="G723" s="642"/>
      <c r="H723" s="644"/>
      <c r="I723" s="643"/>
      <c r="J723" s="643"/>
      <c r="K723" s="642"/>
      <c r="L723" s="4397"/>
      <c r="M723" s="4397"/>
      <c r="O723" s="641"/>
      <c r="P723" s="639"/>
      <c r="Q723" s="639"/>
      <c r="R723" s="640"/>
      <c r="S723" s="638"/>
      <c r="T723" s="639"/>
      <c r="U723" s="638"/>
    </row>
    <row r="724" spans="2:21" s="637" customFormat="1" ht="10.15" customHeight="1">
      <c r="B724" s="638"/>
      <c r="C724" s="638"/>
      <c r="E724" s="639"/>
      <c r="F724" s="642"/>
      <c r="G724" s="642"/>
      <c r="H724" s="644"/>
      <c r="I724" s="643"/>
      <c r="J724" s="643"/>
      <c r="K724" s="642"/>
      <c r="L724" s="4397"/>
      <c r="M724" s="4397"/>
      <c r="O724" s="641"/>
      <c r="P724" s="639"/>
      <c r="Q724" s="639"/>
      <c r="R724" s="640"/>
      <c r="S724" s="638"/>
      <c r="T724" s="639"/>
      <c r="U724" s="638"/>
    </row>
    <row r="725" spans="2:21" s="637" customFormat="1" ht="10.15" customHeight="1">
      <c r="B725" s="638"/>
      <c r="C725" s="638"/>
      <c r="E725" s="639"/>
      <c r="F725" s="642"/>
      <c r="G725" s="642"/>
      <c r="H725" s="644"/>
      <c r="I725" s="643"/>
      <c r="J725" s="643"/>
      <c r="K725" s="642"/>
      <c r="L725" s="4397"/>
      <c r="M725" s="4397"/>
      <c r="O725" s="641"/>
      <c r="P725" s="639"/>
      <c r="Q725" s="639"/>
      <c r="R725" s="640"/>
      <c r="S725" s="638"/>
      <c r="T725" s="639"/>
      <c r="U725" s="638"/>
    </row>
    <row r="726" spans="2:21" s="637" customFormat="1" ht="10.15" customHeight="1">
      <c r="B726" s="638"/>
      <c r="C726" s="638"/>
      <c r="E726" s="639"/>
      <c r="F726" s="642"/>
      <c r="G726" s="642"/>
      <c r="H726" s="644"/>
      <c r="I726" s="643"/>
      <c r="J726" s="643"/>
      <c r="K726" s="642"/>
      <c r="L726" s="4397"/>
      <c r="M726" s="4397"/>
      <c r="O726" s="641"/>
      <c r="P726" s="639"/>
      <c r="Q726" s="639"/>
      <c r="R726" s="640"/>
      <c r="S726" s="638"/>
      <c r="T726" s="639"/>
      <c r="U726" s="638"/>
    </row>
    <row r="727" spans="2:21" s="637" customFormat="1" ht="10.15" customHeight="1">
      <c r="B727" s="638"/>
      <c r="C727" s="638"/>
      <c r="E727" s="639"/>
      <c r="F727" s="642"/>
      <c r="G727" s="642"/>
      <c r="H727" s="644"/>
      <c r="I727" s="643"/>
      <c r="J727" s="643"/>
      <c r="K727" s="642"/>
      <c r="L727" s="4397"/>
      <c r="M727" s="4397"/>
      <c r="O727" s="641"/>
      <c r="P727" s="639"/>
      <c r="Q727" s="639"/>
      <c r="R727" s="640"/>
      <c r="S727" s="638"/>
      <c r="T727" s="639"/>
      <c r="U727" s="638"/>
    </row>
    <row r="728" spans="2:21" s="637" customFormat="1" ht="10.15" customHeight="1">
      <c r="B728" s="638"/>
      <c r="C728" s="638"/>
      <c r="E728" s="639"/>
      <c r="F728" s="642"/>
      <c r="G728" s="642"/>
      <c r="H728" s="644"/>
      <c r="I728" s="643"/>
      <c r="J728" s="643"/>
      <c r="K728" s="642"/>
      <c r="L728" s="4397"/>
      <c r="M728" s="4397"/>
      <c r="O728" s="641"/>
      <c r="P728" s="639"/>
      <c r="Q728" s="639"/>
      <c r="R728" s="640"/>
      <c r="S728" s="638"/>
      <c r="T728" s="639"/>
      <c r="U728" s="638"/>
    </row>
    <row r="729" spans="2:21" s="637" customFormat="1" ht="10.15" customHeight="1">
      <c r="B729" s="638"/>
      <c r="C729" s="638"/>
      <c r="E729" s="639"/>
      <c r="F729" s="642"/>
      <c r="G729" s="642"/>
      <c r="H729" s="644"/>
      <c r="I729" s="643"/>
      <c r="J729" s="643"/>
      <c r="K729" s="642"/>
      <c r="L729" s="4397"/>
      <c r="M729" s="4397"/>
      <c r="O729" s="641"/>
      <c r="P729" s="639"/>
      <c r="Q729" s="639"/>
      <c r="R729" s="640"/>
      <c r="S729" s="638"/>
      <c r="T729" s="639"/>
      <c r="U729" s="638"/>
    </row>
    <row r="730" spans="2:21" s="637" customFormat="1" ht="10.15" customHeight="1">
      <c r="B730" s="638"/>
      <c r="C730" s="638"/>
      <c r="E730" s="639"/>
      <c r="F730" s="642"/>
      <c r="G730" s="642"/>
      <c r="H730" s="644"/>
      <c r="I730" s="643"/>
      <c r="J730" s="643"/>
      <c r="K730" s="642"/>
      <c r="L730" s="4397"/>
      <c r="M730" s="4397"/>
      <c r="O730" s="641"/>
      <c r="P730" s="639"/>
      <c r="Q730" s="639"/>
      <c r="R730" s="640"/>
      <c r="S730" s="638"/>
      <c r="T730" s="639"/>
      <c r="U730" s="638"/>
    </row>
    <row r="731" spans="2:21" s="637" customFormat="1" ht="10.15" customHeight="1">
      <c r="B731" s="638"/>
      <c r="C731" s="638"/>
      <c r="E731" s="639"/>
      <c r="F731" s="642"/>
      <c r="G731" s="642"/>
      <c r="H731" s="644"/>
      <c r="I731" s="643"/>
      <c r="J731" s="643"/>
      <c r="K731" s="642"/>
      <c r="L731" s="4397"/>
      <c r="M731" s="4397"/>
      <c r="O731" s="641"/>
      <c r="P731" s="639"/>
      <c r="Q731" s="639"/>
      <c r="R731" s="640"/>
      <c r="S731" s="638"/>
      <c r="T731" s="639"/>
      <c r="U731" s="638"/>
    </row>
    <row r="732" spans="2:21" s="637" customFormat="1" ht="10.15" customHeight="1">
      <c r="B732" s="638"/>
      <c r="C732" s="638"/>
      <c r="E732" s="639"/>
      <c r="F732" s="642"/>
      <c r="G732" s="642"/>
      <c r="H732" s="644"/>
      <c r="I732" s="643"/>
      <c r="J732" s="643"/>
      <c r="K732" s="642"/>
      <c r="L732" s="4397"/>
      <c r="M732" s="4397"/>
      <c r="O732" s="641"/>
      <c r="P732" s="639"/>
      <c r="Q732" s="639"/>
      <c r="R732" s="640"/>
      <c r="S732" s="638"/>
      <c r="T732" s="639"/>
      <c r="U732" s="638"/>
    </row>
    <row r="733" spans="2:21" s="637" customFormat="1" ht="10.15" customHeight="1">
      <c r="B733" s="638"/>
      <c r="C733" s="638"/>
      <c r="E733" s="639"/>
      <c r="F733" s="642"/>
      <c r="G733" s="642"/>
      <c r="H733" s="644"/>
      <c r="I733" s="643"/>
      <c r="J733" s="643"/>
      <c r="K733" s="642"/>
      <c r="L733" s="4397"/>
      <c r="M733" s="4397"/>
      <c r="O733" s="641"/>
      <c r="P733" s="639"/>
      <c r="Q733" s="639"/>
      <c r="R733" s="640"/>
      <c r="S733" s="638"/>
      <c r="T733" s="639"/>
      <c r="U733" s="638"/>
    </row>
    <row r="734" spans="2:21" s="637" customFormat="1" ht="10.15" customHeight="1">
      <c r="B734" s="638"/>
      <c r="C734" s="638"/>
      <c r="E734" s="639"/>
      <c r="F734" s="642"/>
      <c r="G734" s="642"/>
      <c r="H734" s="644"/>
      <c r="I734" s="643"/>
      <c r="J734" s="643"/>
      <c r="K734" s="642"/>
      <c r="L734" s="4397"/>
      <c r="M734" s="4397"/>
      <c r="O734" s="641"/>
      <c r="P734" s="639"/>
      <c r="Q734" s="639"/>
      <c r="R734" s="640"/>
      <c r="S734" s="638"/>
      <c r="T734" s="639"/>
      <c r="U734" s="638"/>
    </row>
    <row r="735" spans="2:21" s="637" customFormat="1" ht="10.15" customHeight="1">
      <c r="B735" s="638"/>
      <c r="C735" s="638"/>
      <c r="E735" s="639"/>
      <c r="F735" s="642"/>
      <c r="G735" s="642"/>
      <c r="H735" s="644"/>
      <c r="I735" s="643"/>
      <c r="J735" s="643"/>
      <c r="K735" s="642"/>
      <c r="L735" s="4397"/>
      <c r="M735" s="4397"/>
      <c r="O735" s="641"/>
      <c r="P735" s="639"/>
      <c r="Q735" s="639"/>
      <c r="R735" s="640"/>
      <c r="S735" s="638"/>
      <c r="T735" s="639"/>
      <c r="U735" s="638"/>
    </row>
    <row r="736" spans="2:21" s="637" customFormat="1" ht="10.15" customHeight="1">
      <c r="B736" s="638"/>
      <c r="C736" s="638"/>
      <c r="E736" s="639"/>
      <c r="F736" s="642"/>
      <c r="G736" s="642"/>
      <c r="H736" s="644"/>
      <c r="I736" s="643"/>
      <c r="J736" s="643"/>
      <c r="K736" s="642"/>
      <c r="L736" s="4397"/>
      <c r="M736" s="4397"/>
      <c r="O736" s="641"/>
      <c r="P736" s="639"/>
      <c r="Q736" s="639"/>
      <c r="R736" s="640"/>
      <c r="S736" s="638"/>
      <c r="T736" s="639"/>
      <c r="U736" s="638"/>
    </row>
    <row r="737" spans="2:21" s="637" customFormat="1" ht="10.15" customHeight="1">
      <c r="B737" s="638"/>
      <c r="C737" s="638"/>
      <c r="E737" s="639"/>
      <c r="F737" s="642"/>
      <c r="G737" s="642"/>
      <c r="H737" s="644"/>
      <c r="I737" s="643"/>
      <c r="J737" s="643"/>
      <c r="K737" s="642"/>
      <c r="L737" s="4397"/>
      <c r="M737" s="4397"/>
      <c r="O737" s="641"/>
      <c r="P737" s="639"/>
      <c r="Q737" s="639"/>
      <c r="R737" s="640"/>
      <c r="S737" s="638"/>
      <c r="T737" s="639"/>
      <c r="U737" s="638"/>
    </row>
    <row r="738" spans="2:21" s="637" customFormat="1" ht="10.15" customHeight="1">
      <c r="B738" s="638"/>
      <c r="C738" s="638"/>
      <c r="E738" s="639"/>
      <c r="F738" s="642"/>
      <c r="G738" s="642"/>
      <c r="H738" s="644"/>
      <c r="I738" s="643"/>
      <c r="J738" s="643"/>
      <c r="K738" s="642"/>
      <c r="L738" s="4397"/>
      <c r="M738" s="4397"/>
      <c r="O738" s="641"/>
      <c r="P738" s="639"/>
      <c r="Q738" s="639"/>
      <c r="R738" s="640"/>
      <c r="S738" s="638"/>
      <c r="T738" s="639"/>
      <c r="U738" s="638"/>
    </row>
    <row r="739" spans="2:21" s="637" customFormat="1" ht="10.15" customHeight="1">
      <c r="B739" s="638"/>
      <c r="C739" s="638"/>
      <c r="E739" s="639"/>
      <c r="F739" s="642"/>
      <c r="G739" s="642"/>
      <c r="H739" s="644"/>
      <c r="I739" s="643"/>
      <c r="J739" s="643"/>
      <c r="K739" s="642"/>
      <c r="L739" s="4397"/>
      <c r="M739" s="4397"/>
      <c r="O739" s="641"/>
      <c r="P739" s="639"/>
      <c r="Q739" s="639"/>
      <c r="R739" s="640"/>
      <c r="S739" s="638"/>
      <c r="T739" s="639"/>
      <c r="U739" s="638"/>
    </row>
    <row r="740" spans="2:21" s="637" customFormat="1" ht="10.15" customHeight="1">
      <c r="B740" s="638"/>
      <c r="C740" s="638"/>
      <c r="E740" s="639"/>
      <c r="F740" s="642"/>
      <c r="G740" s="642"/>
      <c r="H740" s="644"/>
      <c r="I740" s="643"/>
      <c r="J740" s="643"/>
      <c r="K740" s="642"/>
      <c r="L740" s="4397"/>
      <c r="M740" s="4397"/>
      <c r="O740" s="641"/>
      <c r="P740" s="639"/>
      <c r="Q740" s="639"/>
      <c r="R740" s="640"/>
      <c r="S740" s="638"/>
      <c r="T740" s="639"/>
      <c r="U740" s="638"/>
    </row>
    <row r="741" spans="2:21" s="637" customFormat="1" ht="10.15" customHeight="1">
      <c r="B741" s="638"/>
      <c r="C741" s="638"/>
      <c r="E741" s="639"/>
      <c r="F741" s="642"/>
      <c r="G741" s="642"/>
      <c r="H741" s="644"/>
      <c r="I741" s="643"/>
      <c r="J741" s="643"/>
      <c r="K741" s="642"/>
      <c r="L741" s="4397"/>
      <c r="M741" s="4397"/>
      <c r="O741" s="641"/>
      <c r="P741" s="639"/>
      <c r="Q741" s="639"/>
      <c r="R741" s="640"/>
      <c r="S741" s="638"/>
      <c r="T741" s="639"/>
      <c r="U741" s="638"/>
    </row>
    <row r="742" spans="2:21" s="637" customFormat="1" ht="10.15" customHeight="1">
      <c r="B742" s="638"/>
      <c r="C742" s="638"/>
      <c r="E742" s="639"/>
      <c r="F742" s="642"/>
      <c r="G742" s="642"/>
      <c r="H742" s="644"/>
      <c r="I742" s="643"/>
      <c r="J742" s="643"/>
      <c r="K742" s="642"/>
      <c r="L742" s="4397"/>
      <c r="M742" s="4397"/>
      <c r="O742" s="641"/>
      <c r="P742" s="639"/>
      <c r="Q742" s="639"/>
      <c r="R742" s="640"/>
      <c r="S742" s="638"/>
      <c r="T742" s="639"/>
      <c r="U742" s="638"/>
    </row>
    <row r="743" spans="2:21" s="637" customFormat="1" ht="10.15" customHeight="1">
      <c r="B743" s="638"/>
      <c r="C743" s="638"/>
      <c r="E743" s="639"/>
      <c r="F743" s="642"/>
      <c r="G743" s="642"/>
      <c r="H743" s="644"/>
      <c r="I743" s="643"/>
      <c r="J743" s="643"/>
      <c r="K743" s="642"/>
      <c r="L743" s="4397"/>
      <c r="M743" s="4397"/>
      <c r="O743" s="641"/>
      <c r="P743" s="639"/>
      <c r="Q743" s="639"/>
      <c r="R743" s="640"/>
      <c r="S743" s="638"/>
      <c r="T743" s="639"/>
      <c r="U743" s="638"/>
    </row>
    <row r="744" spans="2:21" s="637" customFormat="1" ht="10.15" customHeight="1">
      <c r="B744" s="638"/>
      <c r="C744" s="638"/>
      <c r="E744" s="639"/>
      <c r="F744" s="642"/>
      <c r="G744" s="642"/>
      <c r="H744" s="644"/>
      <c r="I744" s="643"/>
      <c r="J744" s="643"/>
      <c r="K744" s="642"/>
      <c r="L744" s="4397"/>
      <c r="M744" s="4397"/>
      <c r="O744" s="641"/>
      <c r="P744" s="639"/>
      <c r="Q744" s="639"/>
      <c r="R744" s="640"/>
      <c r="S744" s="638"/>
      <c r="T744" s="639"/>
      <c r="U744" s="638"/>
    </row>
    <row r="745" spans="2:21" s="637" customFormat="1" ht="10.15" customHeight="1">
      <c r="B745" s="638"/>
      <c r="C745" s="638"/>
      <c r="E745" s="639"/>
      <c r="F745" s="642"/>
      <c r="G745" s="642"/>
      <c r="H745" s="644"/>
      <c r="I745" s="643"/>
      <c r="J745" s="643"/>
      <c r="K745" s="642"/>
      <c r="L745" s="4397"/>
      <c r="M745" s="4397"/>
      <c r="O745" s="641"/>
      <c r="P745" s="639"/>
      <c r="Q745" s="639"/>
      <c r="R745" s="640"/>
      <c r="S745" s="638"/>
      <c r="T745" s="639"/>
      <c r="U745" s="638"/>
    </row>
    <row r="746" spans="2:21" s="637" customFormat="1" ht="10.15" customHeight="1">
      <c r="B746" s="638"/>
      <c r="C746" s="638"/>
      <c r="E746" s="639"/>
      <c r="F746" s="642"/>
      <c r="G746" s="642"/>
      <c r="H746" s="644"/>
      <c r="I746" s="643"/>
      <c r="J746" s="643"/>
      <c r="K746" s="642"/>
      <c r="L746" s="4397"/>
      <c r="M746" s="4397"/>
      <c r="O746" s="641"/>
      <c r="P746" s="639"/>
      <c r="Q746" s="639"/>
      <c r="R746" s="640"/>
      <c r="S746" s="638"/>
      <c r="T746" s="639"/>
      <c r="U746" s="638"/>
    </row>
    <row r="747" spans="2:21" s="637" customFormat="1" ht="10.15" customHeight="1">
      <c r="B747" s="638"/>
      <c r="C747" s="638"/>
      <c r="E747" s="639"/>
      <c r="F747" s="642"/>
      <c r="G747" s="642"/>
      <c r="H747" s="644"/>
      <c r="I747" s="643"/>
      <c r="J747" s="643"/>
      <c r="K747" s="642"/>
      <c r="L747" s="4397"/>
      <c r="M747" s="4397"/>
      <c r="O747" s="641"/>
      <c r="P747" s="639"/>
      <c r="Q747" s="639"/>
      <c r="R747" s="640"/>
      <c r="S747" s="638"/>
      <c r="T747" s="639"/>
      <c r="U747" s="638"/>
    </row>
    <row r="748" spans="2:21" s="637" customFormat="1" ht="10.15" customHeight="1">
      <c r="B748" s="638"/>
      <c r="C748" s="638"/>
      <c r="E748" s="639"/>
      <c r="F748" s="642"/>
      <c r="G748" s="642"/>
      <c r="H748" s="644"/>
      <c r="I748" s="643"/>
      <c r="J748" s="643"/>
      <c r="K748" s="642"/>
      <c r="L748" s="4397"/>
      <c r="M748" s="4397"/>
      <c r="O748" s="641"/>
      <c r="P748" s="639"/>
      <c r="Q748" s="639"/>
      <c r="R748" s="640"/>
      <c r="S748" s="638"/>
      <c r="T748" s="639"/>
      <c r="U748" s="638"/>
    </row>
    <row r="749" spans="2:21" s="637" customFormat="1" ht="10.15" customHeight="1">
      <c r="B749" s="638"/>
      <c r="C749" s="638"/>
      <c r="E749" s="639"/>
      <c r="F749" s="642"/>
      <c r="G749" s="642"/>
      <c r="H749" s="644"/>
      <c r="I749" s="643"/>
      <c r="J749" s="643"/>
      <c r="K749" s="642"/>
      <c r="L749" s="4397"/>
      <c r="M749" s="4397"/>
      <c r="O749" s="641"/>
      <c r="P749" s="639"/>
      <c r="Q749" s="639"/>
      <c r="R749" s="640"/>
      <c r="S749" s="638"/>
      <c r="T749" s="639"/>
      <c r="U749" s="638"/>
    </row>
    <row r="750" spans="2:21" s="637" customFormat="1" ht="10.15" customHeight="1">
      <c r="B750" s="638"/>
      <c r="C750" s="638"/>
      <c r="E750" s="639"/>
      <c r="F750" s="642"/>
      <c r="G750" s="642"/>
      <c r="H750" s="644"/>
      <c r="I750" s="643"/>
      <c r="J750" s="643"/>
      <c r="K750" s="642"/>
      <c r="L750" s="4397"/>
      <c r="M750" s="4397"/>
      <c r="O750" s="641"/>
      <c r="P750" s="639"/>
      <c r="Q750" s="639"/>
      <c r="R750" s="640"/>
      <c r="S750" s="638"/>
      <c r="T750" s="639"/>
      <c r="U750" s="638"/>
    </row>
    <row r="751" spans="2:21" s="637" customFormat="1" ht="10.15" customHeight="1">
      <c r="B751" s="638"/>
      <c r="C751" s="638"/>
      <c r="E751" s="639"/>
      <c r="F751" s="642"/>
      <c r="G751" s="642"/>
      <c r="H751" s="644"/>
      <c r="I751" s="643"/>
      <c r="J751" s="643"/>
      <c r="K751" s="642"/>
      <c r="L751" s="4397"/>
      <c r="M751" s="4397"/>
      <c r="O751" s="641"/>
      <c r="P751" s="639"/>
      <c r="Q751" s="639"/>
      <c r="R751" s="640"/>
      <c r="S751" s="638"/>
      <c r="T751" s="639"/>
      <c r="U751" s="638"/>
    </row>
    <row r="752" spans="2:21" s="637" customFormat="1" ht="10.15" customHeight="1">
      <c r="B752" s="638"/>
      <c r="C752" s="638"/>
      <c r="E752" s="639"/>
      <c r="F752" s="642"/>
      <c r="G752" s="642"/>
      <c r="H752" s="644"/>
      <c r="I752" s="643"/>
      <c r="J752" s="643"/>
      <c r="K752" s="642"/>
      <c r="L752" s="4397"/>
      <c r="M752" s="4397"/>
      <c r="O752" s="641"/>
      <c r="P752" s="639"/>
      <c r="Q752" s="639"/>
      <c r="R752" s="640"/>
      <c r="S752" s="638"/>
      <c r="T752" s="639"/>
      <c r="U752" s="638"/>
    </row>
    <row r="753" spans="2:21" s="637" customFormat="1" ht="10.15" customHeight="1">
      <c r="B753" s="638"/>
      <c r="C753" s="638"/>
      <c r="E753" s="639"/>
      <c r="F753" s="642"/>
      <c r="G753" s="642"/>
      <c r="H753" s="644"/>
      <c r="I753" s="643"/>
      <c r="J753" s="643"/>
      <c r="K753" s="642"/>
      <c r="L753" s="4397"/>
      <c r="M753" s="4397"/>
      <c r="O753" s="641"/>
      <c r="P753" s="639"/>
      <c r="Q753" s="639"/>
      <c r="R753" s="640"/>
      <c r="S753" s="638"/>
      <c r="T753" s="639"/>
      <c r="U753" s="638"/>
    </row>
    <row r="754" spans="2:21" s="637" customFormat="1" ht="10.15" customHeight="1">
      <c r="B754" s="638"/>
      <c r="C754" s="638"/>
      <c r="E754" s="639"/>
      <c r="F754" s="642"/>
      <c r="G754" s="642"/>
      <c r="H754" s="644"/>
      <c r="I754" s="643"/>
      <c r="J754" s="643"/>
      <c r="K754" s="642"/>
      <c r="L754" s="4397"/>
      <c r="M754" s="4397"/>
      <c r="O754" s="641"/>
      <c r="P754" s="639"/>
      <c r="Q754" s="639"/>
      <c r="R754" s="640"/>
      <c r="S754" s="638"/>
      <c r="T754" s="639"/>
      <c r="U754" s="638"/>
    </row>
    <row r="755" spans="2:21" s="637" customFormat="1" ht="10.15" customHeight="1">
      <c r="B755" s="638"/>
      <c r="C755" s="638"/>
      <c r="E755" s="639"/>
      <c r="F755" s="642"/>
      <c r="G755" s="642"/>
      <c r="H755" s="644"/>
      <c r="I755" s="643"/>
      <c r="J755" s="643"/>
      <c r="K755" s="642"/>
      <c r="L755" s="4397"/>
      <c r="M755" s="4397"/>
      <c r="O755" s="641"/>
      <c r="P755" s="639"/>
      <c r="Q755" s="639"/>
      <c r="R755" s="640"/>
      <c r="S755" s="638"/>
      <c r="T755" s="639"/>
      <c r="U755" s="638"/>
    </row>
    <row r="756" spans="2:21" s="637" customFormat="1" ht="10.15" customHeight="1">
      <c r="B756" s="638"/>
      <c r="C756" s="638"/>
      <c r="E756" s="639"/>
      <c r="F756" s="642"/>
      <c r="G756" s="642"/>
      <c r="H756" s="644"/>
      <c r="I756" s="643"/>
      <c r="J756" s="643"/>
      <c r="K756" s="642"/>
      <c r="L756" s="4397"/>
      <c r="M756" s="4397"/>
      <c r="O756" s="641"/>
      <c r="P756" s="639"/>
      <c r="Q756" s="639"/>
      <c r="R756" s="640"/>
      <c r="S756" s="638"/>
      <c r="T756" s="639"/>
      <c r="U756" s="638"/>
    </row>
    <row r="757" spans="2:21" s="637" customFormat="1" ht="10.15" customHeight="1">
      <c r="B757" s="638"/>
      <c r="C757" s="638"/>
      <c r="E757" s="639"/>
      <c r="F757" s="642"/>
      <c r="G757" s="642"/>
      <c r="H757" s="644"/>
      <c r="I757" s="643"/>
      <c r="J757" s="643"/>
      <c r="K757" s="642"/>
      <c r="L757" s="4397"/>
      <c r="M757" s="4397"/>
      <c r="O757" s="641"/>
      <c r="P757" s="639"/>
      <c r="Q757" s="639"/>
      <c r="R757" s="640"/>
      <c r="S757" s="638"/>
      <c r="T757" s="639"/>
      <c r="U757" s="638"/>
    </row>
    <row r="758" spans="2:21" s="637" customFormat="1" ht="10.15" customHeight="1">
      <c r="B758" s="638"/>
      <c r="C758" s="638"/>
      <c r="E758" s="639"/>
      <c r="F758" s="642"/>
      <c r="G758" s="642"/>
      <c r="H758" s="644"/>
      <c r="I758" s="643"/>
      <c r="J758" s="643"/>
      <c r="K758" s="642"/>
      <c r="L758" s="4397"/>
      <c r="M758" s="4397"/>
      <c r="O758" s="641"/>
      <c r="P758" s="639"/>
      <c r="Q758" s="639"/>
      <c r="R758" s="640"/>
      <c r="S758" s="638"/>
      <c r="T758" s="639"/>
      <c r="U758" s="638"/>
    </row>
    <row r="759" spans="2:21" s="637" customFormat="1" ht="10.15" customHeight="1">
      <c r="B759" s="638"/>
      <c r="C759" s="638"/>
      <c r="E759" s="639"/>
      <c r="F759" s="642"/>
      <c r="G759" s="642"/>
      <c r="H759" s="644"/>
      <c r="I759" s="643"/>
      <c r="J759" s="643"/>
      <c r="K759" s="642"/>
      <c r="L759" s="4397"/>
      <c r="M759" s="4397"/>
      <c r="O759" s="641"/>
      <c r="P759" s="639"/>
      <c r="Q759" s="639"/>
      <c r="R759" s="640"/>
      <c r="S759" s="638"/>
      <c r="T759" s="639"/>
      <c r="U759" s="638"/>
    </row>
    <row r="760" spans="2:21" s="637" customFormat="1" ht="10.15" customHeight="1">
      <c r="B760" s="638"/>
      <c r="C760" s="638"/>
      <c r="E760" s="639"/>
      <c r="F760" s="642"/>
      <c r="G760" s="642"/>
      <c r="H760" s="644"/>
      <c r="I760" s="643"/>
      <c r="J760" s="643"/>
      <c r="K760" s="642"/>
      <c r="L760" s="4397"/>
      <c r="M760" s="4397"/>
      <c r="O760" s="641"/>
      <c r="P760" s="639"/>
      <c r="Q760" s="639"/>
      <c r="R760" s="640"/>
      <c r="S760" s="638"/>
      <c r="T760" s="639"/>
      <c r="U760" s="638"/>
    </row>
    <row r="761" spans="2:21" s="637" customFormat="1" ht="10.15" customHeight="1">
      <c r="B761" s="638"/>
      <c r="C761" s="638"/>
      <c r="E761" s="639"/>
      <c r="F761" s="642"/>
      <c r="G761" s="642"/>
      <c r="H761" s="644"/>
      <c r="I761" s="643"/>
      <c r="J761" s="643"/>
      <c r="K761" s="642"/>
      <c r="L761" s="4397"/>
      <c r="M761" s="4397"/>
      <c r="O761" s="641"/>
      <c r="P761" s="639"/>
      <c r="Q761" s="639"/>
      <c r="R761" s="640"/>
      <c r="S761" s="638"/>
      <c r="T761" s="639"/>
      <c r="U761" s="638"/>
    </row>
    <row r="762" spans="2:21" s="637" customFormat="1" ht="10.15" customHeight="1">
      <c r="B762" s="638"/>
      <c r="C762" s="638"/>
      <c r="E762" s="639"/>
      <c r="F762" s="642"/>
      <c r="G762" s="642"/>
      <c r="H762" s="644"/>
      <c r="I762" s="643"/>
      <c r="J762" s="643"/>
      <c r="K762" s="642"/>
      <c r="L762" s="4397"/>
      <c r="M762" s="4397"/>
      <c r="O762" s="641"/>
      <c r="P762" s="639"/>
      <c r="Q762" s="639"/>
      <c r="R762" s="640"/>
      <c r="S762" s="638"/>
      <c r="T762" s="639"/>
      <c r="U762" s="638"/>
    </row>
    <row r="763" spans="2:21" s="637" customFormat="1" ht="10.15" customHeight="1">
      <c r="B763" s="638"/>
      <c r="C763" s="638"/>
      <c r="E763" s="639"/>
      <c r="F763" s="642"/>
      <c r="G763" s="642"/>
      <c r="H763" s="644"/>
      <c r="I763" s="643"/>
      <c r="J763" s="643"/>
      <c r="K763" s="642"/>
      <c r="L763" s="4397"/>
      <c r="M763" s="4397"/>
      <c r="O763" s="641"/>
      <c r="P763" s="639"/>
      <c r="Q763" s="639"/>
      <c r="R763" s="640"/>
      <c r="S763" s="638"/>
      <c r="T763" s="639"/>
      <c r="U763" s="638"/>
    </row>
    <row r="764" spans="2:21" s="637" customFormat="1" ht="10.15" customHeight="1">
      <c r="B764" s="638"/>
      <c r="C764" s="638"/>
      <c r="E764" s="639"/>
      <c r="F764" s="642"/>
      <c r="G764" s="642"/>
      <c r="H764" s="644"/>
      <c r="I764" s="643"/>
      <c r="J764" s="643"/>
      <c r="K764" s="642"/>
      <c r="L764" s="4397"/>
      <c r="M764" s="4397"/>
      <c r="O764" s="641"/>
      <c r="P764" s="639"/>
      <c r="Q764" s="639"/>
      <c r="R764" s="640"/>
      <c r="S764" s="638"/>
      <c r="T764" s="639"/>
      <c r="U764" s="638"/>
    </row>
    <row r="765" spans="2:21" s="637" customFormat="1" ht="10.15" customHeight="1">
      <c r="B765" s="638"/>
      <c r="C765" s="638"/>
      <c r="E765" s="639"/>
      <c r="F765" s="642"/>
      <c r="G765" s="642"/>
      <c r="H765" s="644"/>
      <c r="I765" s="643"/>
      <c r="J765" s="643"/>
      <c r="K765" s="642"/>
      <c r="L765" s="4397"/>
      <c r="M765" s="4397"/>
      <c r="O765" s="641"/>
      <c r="P765" s="639"/>
      <c r="Q765" s="639"/>
      <c r="R765" s="640"/>
      <c r="S765" s="638"/>
      <c r="T765" s="639"/>
      <c r="U765" s="638"/>
    </row>
    <row r="766" spans="2:21" s="637" customFormat="1" ht="10.15" customHeight="1">
      <c r="B766" s="638"/>
      <c r="C766" s="638"/>
      <c r="E766" s="639"/>
      <c r="F766" s="642"/>
      <c r="G766" s="642"/>
      <c r="H766" s="644"/>
      <c r="I766" s="643"/>
      <c r="J766" s="643"/>
      <c r="K766" s="642"/>
      <c r="L766" s="4397"/>
      <c r="M766" s="4397"/>
      <c r="O766" s="641"/>
      <c r="P766" s="639"/>
      <c r="Q766" s="639"/>
      <c r="R766" s="640"/>
      <c r="S766" s="638"/>
      <c r="T766" s="639"/>
      <c r="U766" s="638"/>
    </row>
    <row r="767" spans="2:21" s="637" customFormat="1" ht="10.15" customHeight="1">
      <c r="B767" s="638"/>
      <c r="C767" s="638"/>
      <c r="E767" s="639"/>
      <c r="F767" s="642"/>
      <c r="G767" s="642"/>
      <c r="H767" s="644"/>
      <c r="I767" s="643"/>
      <c r="J767" s="643"/>
      <c r="K767" s="642"/>
      <c r="L767" s="4397"/>
      <c r="M767" s="4397"/>
      <c r="O767" s="641"/>
      <c r="P767" s="639"/>
      <c r="Q767" s="639"/>
      <c r="R767" s="640"/>
      <c r="S767" s="638"/>
      <c r="T767" s="639"/>
      <c r="U767" s="638"/>
    </row>
    <row r="768" spans="2:21" s="637" customFormat="1" ht="10.15" customHeight="1">
      <c r="B768" s="638"/>
      <c r="C768" s="638"/>
      <c r="E768" s="639"/>
      <c r="F768" s="642"/>
      <c r="G768" s="642"/>
      <c r="H768" s="644"/>
      <c r="I768" s="643"/>
      <c r="J768" s="643"/>
      <c r="K768" s="642"/>
      <c r="L768" s="4397"/>
      <c r="M768" s="4397"/>
      <c r="O768" s="641"/>
      <c r="P768" s="639"/>
      <c r="Q768" s="639"/>
      <c r="R768" s="640"/>
      <c r="S768" s="638"/>
      <c r="T768" s="639"/>
      <c r="U768" s="638"/>
    </row>
    <row r="769" spans="2:21" s="637" customFormat="1" ht="10.15" customHeight="1">
      <c r="B769" s="638"/>
      <c r="C769" s="638"/>
      <c r="E769" s="639"/>
      <c r="F769" s="642"/>
      <c r="G769" s="642"/>
      <c r="H769" s="644"/>
      <c r="I769" s="643"/>
      <c r="J769" s="643"/>
      <c r="K769" s="642"/>
      <c r="L769" s="4397"/>
      <c r="M769" s="4397"/>
      <c r="O769" s="641"/>
      <c r="P769" s="639"/>
      <c r="Q769" s="639"/>
      <c r="R769" s="640"/>
      <c r="S769" s="638"/>
      <c r="T769" s="639"/>
      <c r="U769" s="638"/>
    </row>
    <row r="770" spans="2:21" s="637" customFormat="1" ht="10.15" customHeight="1">
      <c r="B770" s="638"/>
      <c r="C770" s="638"/>
      <c r="E770" s="639"/>
      <c r="F770" s="642"/>
      <c r="G770" s="642"/>
      <c r="H770" s="644"/>
      <c r="I770" s="643"/>
      <c r="J770" s="643"/>
      <c r="K770" s="642"/>
      <c r="L770" s="4397"/>
      <c r="M770" s="4397"/>
      <c r="O770" s="641"/>
      <c r="P770" s="639"/>
      <c r="Q770" s="639"/>
      <c r="R770" s="640"/>
      <c r="S770" s="638"/>
      <c r="T770" s="639"/>
      <c r="U770" s="638"/>
    </row>
    <row r="771" spans="2:21" s="637" customFormat="1" ht="10.15" customHeight="1">
      <c r="B771" s="638"/>
      <c r="C771" s="638"/>
      <c r="E771" s="639"/>
      <c r="F771" s="642"/>
      <c r="G771" s="642"/>
      <c r="H771" s="644"/>
      <c r="I771" s="643"/>
      <c r="J771" s="643"/>
      <c r="K771" s="642"/>
      <c r="L771" s="4397"/>
      <c r="M771" s="4397"/>
      <c r="O771" s="641"/>
      <c r="P771" s="639"/>
      <c r="Q771" s="639"/>
      <c r="R771" s="640"/>
      <c r="S771" s="638"/>
      <c r="T771" s="639"/>
      <c r="U771" s="638"/>
    </row>
    <row r="772" spans="2:21" s="637" customFormat="1" ht="10.15" customHeight="1">
      <c r="B772" s="638"/>
      <c r="C772" s="638"/>
      <c r="E772" s="639"/>
      <c r="F772" s="642"/>
      <c r="G772" s="642"/>
      <c r="H772" s="644"/>
      <c r="I772" s="643"/>
      <c r="J772" s="643"/>
      <c r="K772" s="642"/>
      <c r="L772" s="4397"/>
      <c r="M772" s="4397"/>
      <c r="O772" s="641"/>
      <c r="P772" s="639"/>
      <c r="Q772" s="639"/>
      <c r="R772" s="640"/>
      <c r="S772" s="638"/>
      <c r="T772" s="639"/>
      <c r="U772" s="638"/>
    </row>
    <row r="773" spans="2:21" s="637" customFormat="1" ht="10.15" customHeight="1">
      <c r="B773" s="638"/>
      <c r="C773" s="638"/>
      <c r="E773" s="639"/>
      <c r="F773" s="642"/>
      <c r="G773" s="642"/>
      <c r="H773" s="644"/>
      <c r="I773" s="643"/>
      <c r="J773" s="643"/>
      <c r="K773" s="642"/>
      <c r="L773" s="4397"/>
      <c r="M773" s="4397"/>
      <c r="O773" s="641"/>
      <c r="P773" s="639"/>
      <c r="Q773" s="639"/>
      <c r="R773" s="640"/>
      <c r="S773" s="638"/>
      <c r="T773" s="639"/>
      <c r="U773" s="638"/>
    </row>
    <row r="774" spans="2:21" s="637" customFormat="1" ht="10.15" customHeight="1">
      <c r="B774" s="638"/>
      <c r="C774" s="638"/>
      <c r="E774" s="639"/>
      <c r="F774" s="642"/>
      <c r="G774" s="642"/>
      <c r="H774" s="644"/>
      <c r="I774" s="643"/>
      <c r="J774" s="643"/>
      <c r="K774" s="642"/>
      <c r="L774" s="4397"/>
      <c r="M774" s="4397"/>
      <c r="O774" s="641"/>
      <c r="P774" s="639"/>
      <c r="Q774" s="639"/>
      <c r="R774" s="640"/>
      <c r="S774" s="638"/>
      <c r="T774" s="639"/>
      <c r="U774" s="638"/>
    </row>
    <row r="775" spans="2:21" s="637" customFormat="1" ht="10.15" customHeight="1">
      <c r="B775" s="638"/>
      <c r="C775" s="638"/>
      <c r="E775" s="639"/>
      <c r="F775" s="642"/>
      <c r="G775" s="642"/>
      <c r="H775" s="644"/>
      <c r="I775" s="643"/>
      <c r="J775" s="643"/>
      <c r="K775" s="642"/>
      <c r="L775" s="4397"/>
      <c r="M775" s="4397"/>
      <c r="O775" s="641"/>
      <c r="P775" s="639"/>
      <c r="Q775" s="639"/>
      <c r="R775" s="640"/>
      <c r="S775" s="638"/>
      <c r="T775" s="639"/>
      <c r="U775" s="638"/>
    </row>
    <row r="776" spans="2:21" s="637" customFormat="1" ht="10.15" customHeight="1">
      <c r="B776" s="638"/>
      <c r="C776" s="638"/>
      <c r="E776" s="639"/>
      <c r="F776" s="642"/>
      <c r="G776" s="642"/>
      <c r="H776" s="644"/>
      <c r="I776" s="643"/>
      <c r="J776" s="643"/>
      <c r="K776" s="642"/>
      <c r="L776" s="4397"/>
      <c r="M776" s="4397"/>
      <c r="O776" s="641"/>
      <c r="P776" s="639"/>
      <c r="Q776" s="639"/>
      <c r="R776" s="640"/>
      <c r="S776" s="638"/>
      <c r="T776" s="639"/>
      <c r="U776" s="638"/>
    </row>
    <row r="777" spans="2:21" s="637" customFormat="1" ht="10.15" customHeight="1">
      <c r="B777" s="638"/>
      <c r="C777" s="638"/>
      <c r="E777" s="639"/>
      <c r="F777" s="642"/>
      <c r="G777" s="642"/>
      <c r="H777" s="644"/>
      <c r="I777" s="643"/>
      <c r="J777" s="643"/>
      <c r="K777" s="642"/>
      <c r="L777" s="4397"/>
      <c r="M777" s="4397"/>
      <c r="O777" s="641"/>
      <c r="P777" s="639"/>
      <c r="Q777" s="639"/>
      <c r="R777" s="640"/>
      <c r="S777" s="638"/>
      <c r="T777" s="639"/>
      <c r="U777" s="638"/>
    </row>
    <row r="778" spans="2:21" s="637" customFormat="1" ht="10.15" customHeight="1">
      <c r="B778" s="638"/>
      <c r="C778" s="638"/>
      <c r="E778" s="639"/>
      <c r="F778" s="642"/>
      <c r="G778" s="642"/>
      <c r="H778" s="644"/>
      <c r="I778" s="643"/>
      <c r="J778" s="643"/>
      <c r="K778" s="642"/>
      <c r="L778" s="4397"/>
      <c r="M778" s="4397"/>
      <c r="O778" s="641"/>
      <c r="P778" s="639"/>
      <c r="Q778" s="639"/>
      <c r="R778" s="640"/>
      <c r="S778" s="638"/>
      <c r="T778" s="639"/>
      <c r="U778" s="638"/>
    </row>
    <row r="779" spans="2:21" s="637" customFormat="1" ht="10.15" customHeight="1">
      <c r="B779" s="638"/>
      <c r="C779" s="638"/>
      <c r="E779" s="639"/>
      <c r="F779" s="642"/>
      <c r="G779" s="642"/>
      <c r="H779" s="644"/>
      <c r="I779" s="643"/>
      <c r="J779" s="643"/>
      <c r="K779" s="642"/>
      <c r="L779" s="4397"/>
      <c r="M779" s="4397"/>
      <c r="O779" s="641"/>
      <c r="P779" s="639"/>
      <c r="Q779" s="639"/>
      <c r="R779" s="640"/>
      <c r="S779" s="638"/>
      <c r="T779" s="639"/>
      <c r="U779" s="638"/>
    </row>
    <row r="780" spans="2:21" s="637" customFormat="1" ht="10.15" customHeight="1">
      <c r="B780" s="638"/>
      <c r="C780" s="638"/>
      <c r="E780" s="639"/>
      <c r="F780" s="642"/>
      <c r="G780" s="642"/>
      <c r="H780" s="644"/>
      <c r="I780" s="643"/>
      <c r="J780" s="643"/>
      <c r="K780" s="642"/>
      <c r="L780" s="4397"/>
      <c r="M780" s="4397"/>
      <c r="O780" s="641"/>
      <c r="P780" s="639"/>
      <c r="Q780" s="639"/>
      <c r="R780" s="640"/>
      <c r="S780" s="638"/>
      <c r="T780" s="639"/>
      <c r="U780" s="638"/>
    </row>
    <row r="781" spans="2:21" s="637" customFormat="1" ht="10.15" customHeight="1">
      <c r="B781" s="638"/>
      <c r="C781" s="638"/>
      <c r="E781" s="639"/>
      <c r="F781" s="642"/>
      <c r="G781" s="642"/>
      <c r="H781" s="644"/>
      <c r="I781" s="643"/>
      <c r="J781" s="643"/>
      <c r="K781" s="642"/>
      <c r="L781" s="4397"/>
      <c r="M781" s="4397"/>
      <c r="O781" s="641"/>
      <c r="P781" s="639"/>
      <c r="Q781" s="639"/>
      <c r="R781" s="640"/>
      <c r="S781" s="638"/>
      <c r="T781" s="639"/>
      <c r="U781" s="638"/>
    </row>
    <row r="782" spans="2:21" s="637" customFormat="1" ht="10.15" customHeight="1">
      <c r="B782" s="638"/>
      <c r="C782" s="638"/>
      <c r="E782" s="639"/>
      <c r="F782" s="642"/>
      <c r="G782" s="642"/>
      <c r="H782" s="644"/>
      <c r="I782" s="643"/>
      <c r="J782" s="643"/>
      <c r="K782" s="642"/>
      <c r="L782" s="4397"/>
      <c r="M782" s="4397"/>
      <c r="O782" s="641"/>
      <c r="P782" s="639"/>
      <c r="Q782" s="639"/>
      <c r="R782" s="640"/>
      <c r="S782" s="638"/>
      <c r="T782" s="639"/>
      <c r="U782" s="638"/>
    </row>
    <row r="783" spans="2:21" s="637" customFormat="1" ht="10.15" customHeight="1">
      <c r="B783" s="638"/>
      <c r="C783" s="638"/>
      <c r="E783" s="639"/>
      <c r="F783" s="642"/>
      <c r="G783" s="642"/>
      <c r="H783" s="644"/>
      <c r="I783" s="643"/>
      <c r="J783" s="643"/>
      <c r="K783" s="642"/>
      <c r="L783" s="4397"/>
      <c r="M783" s="4397"/>
      <c r="O783" s="641"/>
      <c r="P783" s="639"/>
      <c r="Q783" s="639"/>
      <c r="R783" s="640"/>
      <c r="S783" s="638"/>
      <c r="T783" s="639"/>
      <c r="U783" s="638"/>
    </row>
    <row r="784" spans="2:21" s="637" customFormat="1" ht="10.15" customHeight="1">
      <c r="B784" s="638"/>
      <c r="C784" s="638"/>
      <c r="E784" s="639"/>
      <c r="F784" s="642"/>
      <c r="G784" s="642"/>
      <c r="H784" s="644"/>
      <c r="I784" s="643"/>
      <c r="J784" s="643"/>
      <c r="K784" s="642"/>
      <c r="L784" s="4397"/>
      <c r="M784" s="4397"/>
      <c r="O784" s="641"/>
      <c r="P784" s="639"/>
      <c r="Q784" s="639"/>
      <c r="R784" s="640"/>
      <c r="S784" s="638"/>
      <c r="T784" s="639"/>
      <c r="U784" s="638"/>
    </row>
    <row r="785" spans="2:21" s="637" customFormat="1" ht="10.15" customHeight="1">
      <c r="B785" s="638"/>
      <c r="C785" s="638"/>
      <c r="E785" s="639"/>
      <c r="F785" s="642"/>
      <c r="G785" s="642"/>
      <c r="H785" s="644"/>
      <c r="I785" s="643"/>
      <c r="J785" s="643"/>
      <c r="K785" s="642"/>
      <c r="L785" s="4397"/>
      <c r="M785" s="4397"/>
      <c r="O785" s="641"/>
      <c r="P785" s="639"/>
      <c r="Q785" s="639"/>
      <c r="R785" s="640"/>
      <c r="S785" s="638"/>
      <c r="T785" s="639"/>
      <c r="U785" s="638"/>
    </row>
    <row r="786" spans="2:21" s="637" customFormat="1" ht="10.15" customHeight="1">
      <c r="B786" s="638"/>
      <c r="C786" s="638"/>
      <c r="E786" s="639"/>
      <c r="F786" s="642"/>
      <c r="G786" s="642"/>
      <c r="H786" s="644"/>
      <c r="I786" s="643"/>
      <c r="J786" s="643"/>
      <c r="K786" s="642"/>
      <c r="L786" s="4397"/>
      <c r="M786" s="4397"/>
      <c r="O786" s="641"/>
      <c r="P786" s="639"/>
      <c r="Q786" s="639"/>
      <c r="R786" s="640"/>
      <c r="S786" s="638"/>
      <c r="T786" s="639"/>
      <c r="U786" s="638"/>
    </row>
    <row r="787" spans="2:21" s="637" customFormat="1" ht="10.15" customHeight="1">
      <c r="B787" s="638"/>
      <c r="C787" s="638"/>
      <c r="E787" s="639"/>
      <c r="F787" s="642"/>
      <c r="G787" s="642"/>
      <c r="H787" s="644"/>
      <c r="I787" s="643"/>
      <c r="J787" s="643"/>
      <c r="K787" s="642"/>
      <c r="L787" s="4397"/>
      <c r="M787" s="4397"/>
      <c r="O787" s="641"/>
      <c r="P787" s="639"/>
      <c r="Q787" s="639"/>
      <c r="R787" s="640"/>
      <c r="S787" s="638"/>
      <c r="T787" s="639"/>
      <c r="U787" s="638"/>
    </row>
    <row r="788" spans="2:21" s="637" customFormat="1" ht="10.15" customHeight="1">
      <c r="B788" s="638"/>
      <c r="C788" s="638"/>
      <c r="E788" s="639"/>
      <c r="F788" s="642"/>
      <c r="G788" s="642"/>
      <c r="H788" s="644"/>
      <c r="I788" s="643"/>
      <c r="J788" s="643"/>
      <c r="K788" s="642"/>
      <c r="L788" s="4397"/>
      <c r="M788" s="4397"/>
      <c r="O788" s="641"/>
      <c r="P788" s="639"/>
      <c r="Q788" s="639"/>
      <c r="R788" s="640"/>
      <c r="S788" s="638"/>
      <c r="T788" s="639"/>
      <c r="U788" s="638"/>
    </row>
    <row r="789" spans="2:21" s="637" customFormat="1" ht="10.15" customHeight="1">
      <c r="B789" s="638"/>
      <c r="C789" s="638"/>
      <c r="E789" s="639"/>
      <c r="F789" s="642"/>
      <c r="G789" s="642"/>
      <c r="H789" s="644"/>
      <c r="I789" s="643"/>
      <c r="J789" s="643"/>
      <c r="K789" s="642"/>
      <c r="L789" s="4397"/>
      <c r="M789" s="4397"/>
      <c r="O789" s="641"/>
      <c r="P789" s="639"/>
      <c r="Q789" s="639"/>
      <c r="R789" s="640"/>
      <c r="S789" s="638"/>
      <c r="T789" s="639"/>
      <c r="U789" s="638"/>
    </row>
    <row r="790" spans="2:21" s="637" customFormat="1" ht="10.15" customHeight="1">
      <c r="B790" s="638"/>
      <c r="C790" s="638"/>
      <c r="E790" s="639"/>
      <c r="F790" s="642"/>
      <c r="G790" s="642"/>
      <c r="H790" s="644"/>
      <c r="I790" s="643"/>
      <c r="J790" s="643"/>
      <c r="K790" s="642"/>
      <c r="L790" s="4397"/>
      <c r="M790" s="4397"/>
      <c r="O790" s="641"/>
      <c r="P790" s="639"/>
      <c r="Q790" s="639"/>
      <c r="R790" s="640"/>
      <c r="S790" s="638"/>
      <c r="T790" s="639"/>
      <c r="U790" s="638"/>
    </row>
    <row r="791" spans="2:21" s="637" customFormat="1" ht="10.15" customHeight="1">
      <c r="B791" s="638"/>
      <c r="C791" s="638"/>
      <c r="E791" s="639"/>
      <c r="F791" s="642"/>
      <c r="G791" s="642"/>
      <c r="H791" s="644"/>
      <c r="I791" s="643"/>
      <c r="J791" s="643"/>
      <c r="K791" s="642"/>
      <c r="L791" s="4397"/>
      <c r="M791" s="4397"/>
      <c r="O791" s="641"/>
      <c r="P791" s="639"/>
      <c r="Q791" s="639"/>
      <c r="R791" s="640"/>
      <c r="S791" s="638"/>
      <c r="T791" s="639"/>
      <c r="U791" s="638"/>
    </row>
    <row r="792" spans="2:21" s="637" customFormat="1" ht="10.15" customHeight="1">
      <c r="B792" s="638"/>
      <c r="C792" s="638"/>
      <c r="E792" s="639"/>
      <c r="F792" s="642"/>
      <c r="G792" s="642"/>
      <c r="H792" s="644"/>
      <c r="I792" s="643"/>
      <c r="J792" s="643"/>
      <c r="K792" s="642"/>
      <c r="L792" s="4397"/>
      <c r="M792" s="4397"/>
      <c r="O792" s="641"/>
      <c r="P792" s="639"/>
      <c r="Q792" s="639"/>
      <c r="R792" s="640"/>
      <c r="S792" s="638"/>
      <c r="T792" s="639"/>
      <c r="U792" s="638"/>
    </row>
    <row r="793" spans="2:21" s="637" customFormat="1" ht="10.15" customHeight="1">
      <c r="B793" s="638"/>
      <c r="C793" s="638"/>
      <c r="E793" s="639"/>
      <c r="F793" s="642"/>
      <c r="G793" s="642"/>
      <c r="H793" s="644"/>
      <c r="I793" s="643"/>
      <c r="J793" s="643"/>
      <c r="K793" s="642"/>
      <c r="L793" s="4397"/>
      <c r="M793" s="4397"/>
      <c r="O793" s="641"/>
      <c r="P793" s="639"/>
      <c r="Q793" s="639"/>
      <c r="R793" s="640"/>
      <c r="S793" s="638"/>
      <c r="T793" s="639"/>
      <c r="U793" s="638"/>
    </row>
    <row r="794" spans="2:21" s="637" customFormat="1" ht="10.15" customHeight="1">
      <c r="B794" s="638"/>
      <c r="C794" s="638"/>
      <c r="E794" s="639"/>
      <c r="F794" s="642"/>
      <c r="G794" s="642"/>
      <c r="H794" s="644"/>
      <c r="I794" s="643"/>
      <c r="J794" s="643"/>
      <c r="K794" s="642"/>
      <c r="L794" s="4397"/>
      <c r="M794" s="4397"/>
      <c r="O794" s="641"/>
      <c r="P794" s="639"/>
      <c r="Q794" s="639"/>
      <c r="R794" s="640"/>
      <c r="S794" s="638"/>
      <c r="T794" s="639"/>
      <c r="U794" s="638"/>
    </row>
    <row r="795" spans="2:21" s="637" customFormat="1" ht="10.15" customHeight="1">
      <c r="B795" s="638"/>
      <c r="C795" s="638"/>
      <c r="E795" s="639"/>
      <c r="F795" s="642"/>
      <c r="G795" s="642"/>
      <c r="H795" s="644"/>
      <c r="I795" s="643"/>
      <c r="J795" s="643"/>
      <c r="K795" s="642"/>
      <c r="L795" s="4397"/>
      <c r="M795" s="4397"/>
      <c r="O795" s="641"/>
      <c r="P795" s="639"/>
      <c r="Q795" s="639"/>
      <c r="R795" s="640"/>
      <c r="S795" s="638"/>
      <c r="T795" s="639"/>
      <c r="U795" s="638"/>
    </row>
    <row r="796" spans="2:21" s="637" customFormat="1" ht="10.15" customHeight="1">
      <c r="B796" s="638"/>
      <c r="C796" s="638"/>
      <c r="E796" s="639"/>
      <c r="F796" s="642"/>
      <c r="G796" s="642"/>
      <c r="H796" s="644"/>
      <c r="I796" s="643"/>
      <c r="J796" s="643"/>
      <c r="K796" s="642"/>
      <c r="L796" s="4397"/>
      <c r="M796" s="4397"/>
      <c r="O796" s="641"/>
      <c r="P796" s="639"/>
      <c r="Q796" s="639"/>
      <c r="R796" s="640"/>
      <c r="S796" s="638"/>
      <c r="T796" s="639"/>
      <c r="U796" s="638"/>
    </row>
    <row r="797" spans="2:21" s="637" customFormat="1" ht="10.15" customHeight="1">
      <c r="B797" s="638"/>
      <c r="C797" s="638"/>
      <c r="E797" s="639"/>
      <c r="F797" s="642"/>
      <c r="G797" s="642"/>
      <c r="H797" s="644"/>
      <c r="I797" s="643"/>
      <c r="J797" s="643"/>
      <c r="K797" s="642"/>
      <c r="L797" s="4397"/>
      <c r="M797" s="4397"/>
      <c r="O797" s="641"/>
      <c r="P797" s="639"/>
      <c r="Q797" s="639"/>
      <c r="R797" s="640"/>
      <c r="S797" s="638"/>
      <c r="T797" s="639"/>
      <c r="U797" s="638"/>
    </row>
    <row r="798" spans="2:21" s="637" customFormat="1" ht="10.15" customHeight="1">
      <c r="B798" s="638"/>
      <c r="C798" s="638"/>
      <c r="E798" s="639"/>
      <c r="F798" s="642"/>
      <c r="G798" s="642"/>
      <c r="H798" s="644"/>
      <c r="I798" s="643"/>
      <c r="J798" s="643"/>
      <c r="K798" s="642"/>
      <c r="L798" s="4397"/>
      <c r="M798" s="4397"/>
      <c r="O798" s="641"/>
      <c r="P798" s="639"/>
      <c r="Q798" s="639"/>
      <c r="R798" s="640"/>
      <c r="S798" s="638"/>
      <c r="T798" s="639"/>
      <c r="U798" s="638"/>
    </row>
    <row r="799" spans="2:21" s="637" customFormat="1" ht="10.15" customHeight="1">
      <c r="B799" s="638"/>
      <c r="C799" s="638"/>
      <c r="E799" s="639"/>
      <c r="F799" s="642"/>
      <c r="G799" s="642"/>
      <c r="H799" s="644"/>
      <c r="I799" s="643"/>
      <c r="J799" s="643"/>
      <c r="K799" s="642"/>
      <c r="L799" s="4397"/>
      <c r="M799" s="4397"/>
      <c r="O799" s="641"/>
      <c r="P799" s="639"/>
      <c r="Q799" s="639"/>
      <c r="R799" s="640"/>
      <c r="S799" s="638"/>
      <c r="T799" s="639"/>
      <c r="U799" s="638"/>
    </row>
    <row r="800" spans="2:21" s="637" customFormat="1" ht="10.15" customHeight="1">
      <c r="B800" s="638"/>
      <c r="C800" s="638"/>
      <c r="E800" s="639"/>
      <c r="F800" s="642"/>
      <c r="G800" s="642"/>
      <c r="H800" s="644"/>
      <c r="I800" s="643"/>
      <c r="J800" s="643"/>
      <c r="K800" s="642"/>
      <c r="L800" s="4397"/>
      <c r="M800" s="4397"/>
      <c r="O800" s="641"/>
      <c r="P800" s="639"/>
      <c r="Q800" s="639"/>
      <c r="R800" s="640"/>
      <c r="S800" s="638"/>
      <c r="T800" s="639"/>
      <c r="U800" s="638"/>
    </row>
    <row r="801" spans="2:21" s="637" customFormat="1" ht="10.15" customHeight="1">
      <c r="B801" s="638"/>
      <c r="C801" s="638"/>
      <c r="E801" s="639"/>
      <c r="F801" s="642"/>
      <c r="G801" s="642"/>
      <c r="H801" s="644"/>
      <c r="I801" s="643"/>
      <c r="J801" s="643"/>
      <c r="K801" s="642"/>
      <c r="L801" s="4397"/>
      <c r="M801" s="4397"/>
      <c r="O801" s="641"/>
      <c r="P801" s="639"/>
      <c r="Q801" s="639"/>
      <c r="R801" s="640"/>
      <c r="S801" s="638"/>
      <c r="T801" s="639"/>
      <c r="U801" s="638"/>
    </row>
    <row r="802" spans="2:21" s="637" customFormat="1" ht="10.15" customHeight="1">
      <c r="B802" s="638"/>
      <c r="C802" s="638"/>
      <c r="E802" s="639"/>
      <c r="F802" s="642"/>
      <c r="G802" s="642"/>
      <c r="H802" s="644"/>
      <c r="I802" s="643"/>
      <c r="J802" s="643"/>
      <c r="K802" s="642"/>
      <c r="L802" s="4397"/>
      <c r="M802" s="4397"/>
      <c r="O802" s="641"/>
      <c r="P802" s="639"/>
      <c r="Q802" s="639"/>
      <c r="R802" s="640"/>
      <c r="S802" s="638"/>
      <c r="T802" s="639"/>
      <c r="U802" s="638"/>
    </row>
    <row r="803" spans="2:21" s="637" customFormat="1" ht="10.15" customHeight="1">
      <c r="B803" s="638"/>
      <c r="C803" s="638"/>
      <c r="E803" s="639"/>
      <c r="F803" s="642"/>
      <c r="G803" s="642"/>
      <c r="H803" s="644"/>
      <c r="I803" s="643"/>
      <c r="J803" s="643"/>
      <c r="K803" s="642"/>
      <c r="L803" s="4397"/>
      <c r="M803" s="4397"/>
      <c r="O803" s="641"/>
      <c r="P803" s="639"/>
      <c r="Q803" s="639"/>
      <c r="R803" s="640"/>
      <c r="S803" s="638"/>
      <c r="T803" s="639"/>
      <c r="U803" s="638"/>
    </row>
    <row r="804" spans="2:21" s="637" customFormat="1" ht="10.15" customHeight="1">
      <c r="B804" s="638"/>
      <c r="C804" s="638"/>
      <c r="E804" s="639"/>
      <c r="F804" s="642"/>
      <c r="G804" s="642"/>
      <c r="H804" s="644"/>
      <c r="I804" s="643"/>
      <c r="J804" s="643"/>
      <c r="K804" s="642"/>
      <c r="L804" s="4397"/>
      <c r="M804" s="4397"/>
      <c r="O804" s="641"/>
      <c r="P804" s="639"/>
      <c r="Q804" s="639"/>
      <c r="R804" s="640"/>
      <c r="S804" s="638"/>
      <c r="T804" s="639"/>
      <c r="U804" s="638"/>
    </row>
    <row r="805" spans="2:21" s="637" customFormat="1" ht="10.15" customHeight="1">
      <c r="B805" s="638"/>
      <c r="C805" s="638"/>
      <c r="E805" s="639"/>
      <c r="F805" s="642"/>
      <c r="G805" s="642"/>
      <c r="H805" s="644"/>
      <c r="I805" s="643"/>
      <c r="J805" s="643"/>
      <c r="K805" s="642"/>
      <c r="L805" s="4397"/>
      <c r="M805" s="4397"/>
      <c r="O805" s="641"/>
      <c r="P805" s="639"/>
      <c r="Q805" s="639"/>
      <c r="R805" s="640"/>
      <c r="S805" s="638"/>
      <c r="T805" s="639"/>
      <c r="U805" s="638"/>
    </row>
    <row r="806" spans="2:21" s="637" customFormat="1" ht="10.15" customHeight="1">
      <c r="B806" s="638"/>
      <c r="C806" s="638"/>
      <c r="E806" s="639"/>
      <c r="F806" s="642"/>
      <c r="G806" s="642"/>
      <c r="H806" s="644"/>
      <c r="I806" s="643"/>
      <c r="J806" s="643"/>
      <c r="K806" s="642"/>
      <c r="L806" s="4397"/>
      <c r="M806" s="4397"/>
      <c r="O806" s="641"/>
      <c r="P806" s="639"/>
      <c r="Q806" s="639"/>
      <c r="R806" s="640"/>
      <c r="S806" s="638"/>
      <c r="T806" s="639"/>
      <c r="U806" s="638"/>
    </row>
    <row r="807" spans="2:21" s="637" customFormat="1" ht="10.15" customHeight="1">
      <c r="B807" s="638"/>
      <c r="C807" s="638"/>
      <c r="E807" s="639"/>
      <c r="F807" s="642"/>
      <c r="G807" s="642"/>
      <c r="H807" s="644"/>
      <c r="I807" s="643"/>
      <c r="J807" s="643"/>
      <c r="K807" s="642"/>
      <c r="L807" s="4397"/>
      <c r="M807" s="4397"/>
      <c r="O807" s="641"/>
      <c r="P807" s="639"/>
      <c r="Q807" s="639"/>
      <c r="R807" s="640"/>
      <c r="S807" s="638"/>
      <c r="T807" s="639"/>
      <c r="U807" s="638"/>
    </row>
    <row r="808" spans="2:21" s="637" customFormat="1" ht="10.15" customHeight="1">
      <c r="B808" s="638"/>
      <c r="C808" s="638"/>
      <c r="E808" s="639"/>
      <c r="F808" s="642"/>
      <c r="G808" s="642"/>
      <c r="H808" s="644"/>
      <c r="I808" s="643"/>
      <c r="J808" s="643"/>
      <c r="K808" s="642"/>
      <c r="L808" s="4397"/>
      <c r="M808" s="4397"/>
      <c r="O808" s="641"/>
      <c r="P808" s="639"/>
      <c r="Q808" s="639"/>
      <c r="R808" s="640"/>
      <c r="S808" s="638"/>
      <c r="T808" s="639"/>
      <c r="U808" s="638"/>
    </row>
    <row r="809" spans="2:21" s="637" customFormat="1" ht="10.15" customHeight="1">
      <c r="B809" s="638"/>
      <c r="C809" s="638"/>
      <c r="E809" s="639"/>
      <c r="F809" s="642"/>
      <c r="G809" s="642"/>
      <c r="H809" s="644"/>
      <c r="I809" s="643"/>
      <c r="J809" s="643"/>
      <c r="K809" s="642"/>
      <c r="L809" s="4397"/>
      <c r="M809" s="4397"/>
      <c r="O809" s="641"/>
      <c r="P809" s="639"/>
      <c r="Q809" s="639"/>
      <c r="R809" s="640"/>
      <c r="S809" s="638"/>
      <c r="T809" s="639"/>
      <c r="U809" s="638"/>
    </row>
    <row r="810" spans="2:21" s="637" customFormat="1" ht="10.15" customHeight="1">
      <c r="B810" s="638"/>
      <c r="C810" s="638"/>
      <c r="E810" s="639"/>
      <c r="F810" s="642"/>
      <c r="G810" s="642"/>
      <c r="H810" s="644"/>
      <c r="I810" s="643"/>
      <c r="J810" s="643"/>
      <c r="K810" s="642"/>
      <c r="L810" s="4397"/>
      <c r="M810" s="4397"/>
      <c r="O810" s="641"/>
      <c r="P810" s="639"/>
      <c r="Q810" s="639"/>
      <c r="R810" s="640"/>
      <c r="S810" s="638"/>
      <c r="T810" s="639"/>
      <c r="U810" s="638"/>
    </row>
    <row r="811" spans="2:21" s="637" customFormat="1" ht="10.15" customHeight="1">
      <c r="B811" s="638"/>
      <c r="C811" s="638"/>
      <c r="E811" s="639"/>
      <c r="F811" s="642"/>
      <c r="G811" s="642"/>
      <c r="H811" s="644"/>
      <c r="I811" s="643"/>
      <c r="J811" s="643"/>
      <c r="K811" s="642"/>
      <c r="L811" s="4397"/>
      <c r="M811" s="4397"/>
      <c r="O811" s="641"/>
      <c r="P811" s="639"/>
      <c r="Q811" s="639"/>
      <c r="R811" s="640"/>
      <c r="S811" s="638"/>
      <c r="T811" s="639"/>
      <c r="U811" s="638"/>
    </row>
    <row r="812" spans="2:21" s="637" customFormat="1" ht="10.15" customHeight="1">
      <c r="B812" s="638"/>
      <c r="C812" s="638"/>
      <c r="E812" s="639"/>
      <c r="F812" s="642"/>
      <c r="G812" s="642"/>
      <c r="H812" s="644"/>
      <c r="I812" s="643"/>
      <c r="J812" s="643"/>
      <c r="K812" s="642"/>
      <c r="L812" s="4397"/>
      <c r="M812" s="4397"/>
      <c r="O812" s="641"/>
      <c r="P812" s="639"/>
      <c r="Q812" s="639"/>
      <c r="R812" s="640"/>
      <c r="S812" s="638"/>
      <c r="T812" s="639"/>
      <c r="U812" s="638"/>
    </row>
    <row r="813" spans="2:21" s="637" customFormat="1" ht="10.15" customHeight="1">
      <c r="B813" s="638"/>
      <c r="C813" s="638"/>
      <c r="E813" s="639"/>
      <c r="F813" s="642"/>
      <c r="G813" s="642"/>
      <c r="H813" s="644"/>
      <c r="I813" s="643"/>
      <c r="J813" s="643"/>
      <c r="K813" s="642"/>
      <c r="L813" s="4397"/>
      <c r="M813" s="4397"/>
      <c r="O813" s="641"/>
      <c r="P813" s="639"/>
      <c r="Q813" s="639"/>
      <c r="R813" s="640"/>
      <c r="S813" s="638"/>
      <c r="T813" s="639"/>
      <c r="U813" s="638"/>
    </row>
    <row r="814" spans="2:21" s="637" customFormat="1" ht="10.15" customHeight="1">
      <c r="B814" s="638"/>
      <c r="C814" s="638"/>
      <c r="E814" s="639"/>
      <c r="F814" s="642"/>
      <c r="G814" s="642"/>
      <c r="H814" s="644"/>
      <c r="I814" s="643"/>
      <c r="J814" s="643"/>
      <c r="K814" s="642"/>
      <c r="L814" s="4397"/>
      <c r="M814" s="4397"/>
      <c r="O814" s="641"/>
      <c r="P814" s="639"/>
      <c r="Q814" s="639"/>
      <c r="R814" s="640"/>
      <c r="S814" s="638"/>
      <c r="T814" s="639"/>
      <c r="U814" s="638"/>
    </row>
    <row r="815" spans="2:21" s="637" customFormat="1" ht="10.15" customHeight="1">
      <c r="B815" s="638"/>
      <c r="C815" s="638"/>
      <c r="E815" s="639"/>
      <c r="F815" s="642"/>
      <c r="G815" s="642"/>
      <c r="H815" s="644"/>
      <c r="I815" s="643"/>
      <c r="J815" s="643"/>
      <c r="K815" s="642"/>
      <c r="L815" s="4397"/>
      <c r="M815" s="4397"/>
      <c r="O815" s="641"/>
      <c r="P815" s="639"/>
      <c r="Q815" s="639"/>
      <c r="R815" s="640"/>
      <c r="S815" s="638"/>
      <c r="T815" s="639"/>
      <c r="U815" s="638"/>
    </row>
    <row r="816" spans="2:21" s="637" customFormat="1" ht="10.15" customHeight="1">
      <c r="B816" s="638"/>
      <c r="C816" s="638"/>
      <c r="E816" s="639"/>
      <c r="F816" s="642"/>
      <c r="G816" s="642"/>
      <c r="H816" s="644"/>
      <c r="I816" s="643"/>
      <c r="J816" s="643"/>
      <c r="K816" s="642"/>
      <c r="L816" s="4397"/>
      <c r="M816" s="4397"/>
      <c r="O816" s="641"/>
      <c r="P816" s="639"/>
      <c r="Q816" s="639"/>
      <c r="R816" s="640"/>
      <c r="S816" s="638"/>
      <c r="T816" s="639"/>
      <c r="U816" s="638"/>
    </row>
    <row r="817" spans="2:21" s="637" customFormat="1" ht="10.15" customHeight="1">
      <c r="B817" s="638"/>
      <c r="C817" s="638"/>
      <c r="E817" s="639"/>
      <c r="F817" s="642"/>
      <c r="G817" s="642"/>
      <c r="H817" s="644"/>
      <c r="I817" s="643"/>
      <c r="J817" s="643"/>
      <c r="K817" s="642"/>
      <c r="L817" s="4397"/>
      <c r="M817" s="4397"/>
      <c r="O817" s="641"/>
      <c r="P817" s="639"/>
      <c r="Q817" s="639"/>
      <c r="R817" s="640"/>
      <c r="S817" s="638"/>
      <c r="T817" s="639"/>
      <c r="U817" s="638"/>
    </row>
    <row r="818" spans="2:21" s="637" customFormat="1" ht="10.15" customHeight="1">
      <c r="B818" s="638"/>
      <c r="C818" s="638"/>
      <c r="E818" s="639"/>
      <c r="F818" s="642"/>
      <c r="G818" s="642"/>
      <c r="H818" s="644"/>
      <c r="I818" s="643"/>
      <c r="J818" s="643"/>
      <c r="K818" s="642"/>
      <c r="L818" s="4397"/>
      <c r="M818" s="4397"/>
      <c r="O818" s="641"/>
      <c r="P818" s="639"/>
      <c r="Q818" s="639"/>
      <c r="R818" s="640"/>
      <c r="S818" s="638"/>
      <c r="T818" s="639"/>
      <c r="U818" s="638"/>
    </row>
    <row r="819" spans="2:21" s="637" customFormat="1" ht="10.15" customHeight="1">
      <c r="B819" s="638"/>
      <c r="C819" s="638"/>
      <c r="E819" s="639"/>
      <c r="F819" s="642"/>
      <c r="G819" s="642"/>
      <c r="H819" s="644"/>
      <c r="I819" s="643"/>
      <c r="J819" s="643"/>
      <c r="K819" s="642"/>
      <c r="L819" s="4397"/>
      <c r="M819" s="4397"/>
      <c r="O819" s="641"/>
      <c r="P819" s="639"/>
      <c r="Q819" s="639"/>
      <c r="R819" s="640"/>
      <c r="S819" s="638"/>
      <c r="T819" s="639"/>
      <c r="U819" s="638"/>
    </row>
    <row r="820" spans="2:21" s="637" customFormat="1" ht="10.15" customHeight="1">
      <c r="B820" s="638"/>
      <c r="C820" s="638"/>
      <c r="E820" s="639"/>
      <c r="F820" s="642"/>
      <c r="G820" s="642"/>
      <c r="H820" s="644"/>
      <c r="I820" s="643"/>
      <c r="J820" s="643"/>
      <c r="K820" s="642"/>
      <c r="L820" s="4397"/>
      <c r="M820" s="4397"/>
      <c r="O820" s="641"/>
      <c r="P820" s="639"/>
      <c r="Q820" s="639"/>
      <c r="R820" s="640"/>
      <c r="S820" s="638"/>
      <c r="T820" s="639"/>
      <c r="U820" s="638"/>
    </row>
    <row r="821" spans="2:21" s="637" customFormat="1" ht="10.15" customHeight="1">
      <c r="B821" s="638"/>
      <c r="C821" s="638"/>
      <c r="E821" s="639"/>
      <c r="F821" s="642"/>
      <c r="G821" s="642"/>
      <c r="H821" s="644"/>
      <c r="I821" s="643"/>
      <c r="J821" s="643"/>
      <c r="K821" s="642"/>
      <c r="L821" s="4397"/>
      <c r="M821" s="4397"/>
      <c r="O821" s="641"/>
      <c r="P821" s="639"/>
      <c r="Q821" s="639"/>
      <c r="R821" s="640"/>
      <c r="S821" s="638"/>
      <c r="T821" s="639"/>
      <c r="U821" s="638"/>
    </row>
    <row r="822" spans="2:21" s="637" customFormat="1" ht="10.15" customHeight="1">
      <c r="B822" s="638"/>
      <c r="C822" s="638"/>
      <c r="E822" s="639"/>
      <c r="F822" s="642"/>
      <c r="G822" s="642"/>
      <c r="H822" s="644"/>
      <c r="I822" s="643"/>
      <c r="J822" s="643"/>
      <c r="K822" s="642"/>
      <c r="L822" s="4397"/>
      <c r="M822" s="4397"/>
      <c r="O822" s="641"/>
      <c r="P822" s="639"/>
      <c r="Q822" s="639"/>
      <c r="R822" s="640"/>
      <c r="S822" s="638"/>
      <c r="T822" s="639"/>
      <c r="U822" s="638"/>
    </row>
    <row r="823" spans="2:21" s="637" customFormat="1" ht="10.15" customHeight="1">
      <c r="B823" s="638"/>
      <c r="C823" s="638"/>
      <c r="E823" s="639"/>
      <c r="F823" s="642"/>
      <c r="G823" s="642"/>
      <c r="H823" s="644"/>
      <c r="I823" s="643"/>
      <c r="J823" s="643"/>
      <c r="K823" s="642"/>
      <c r="L823" s="4397"/>
      <c r="M823" s="4397"/>
      <c r="O823" s="641"/>
      <c r="P823" s="639"/>
      <c r="Q823" s="639"/>
      <c r="R823" s="640"/>
      <c r="S823" s="638"/>
      <c r="T823" s="639"/>
      <c r="U823" s="638"/>
    </row>
    <row r="824" spans="2:21" s="637" customFormat="1" ht="10.15" customHeight="1">
      <c r="B824" s="638"/>
      <c r="C824" s="638"/>
      <c r="E824" s="639"/>
      <c r="F824" s="642"/>
      <c r="G824" s="642"/>
      <c r="H824" s="644"/>
      <c r="I824" s="643"/>
      <c r="J824" s="643"/>
      <c r="K824" s="642"/>
      <c r="L824" s="4397"/>
      <c r="M824" s="4397"/>
      <c r="O824" s="641"/>
      <c r="P824" s="639"/>
      <c r="Q824" s="639"/>
      <c r="R824" s="640"/>
      <c r="S824" s="638"/>
      <c r="T824" s="639"/>
      <c r="U824" s="638"/>
    </row>
    <row r="825" spans="2:21" s="637" customFormat="1" ht="10.15" customHeight="1">
      <c r="B825" s="638"/>
      <c r="C825" s="638"/>
      <c r="E825" s="639"/>
      <c r="F825" s="642"/>
      <c r="G825" s="642"/>
      <c r="H825" s="644"/>
      <c r="I825" s="643"/>
      <c r="J825" s="643"/>
      <c r="K825" s="642"/>
      <c r="L825" s="4397"/>
      <c r="M825" s="4397"/>
      <c r="O825" s="641"/>
      <c r="P825" s="639"/>
      <c r="Q825" s="639"/>
      <c r="R825" s="640"/>
      <c r="S825" s="638"/>
      <c r="T825" s="639"/>
      <c r="U825" s="638"/>
    </row>
    <row r="826" spans="2:21" s="637" customFormat="1" ht="10.15" customHeight="1">
      <c r="B826" s="638"/>
      <c r="C826" s="638"/>
      <c r="E826" s="639"/>
      <c r="F826" s="642"/>
      <c r="G826" s="642"/>
      <c r="H826" s="644"/>
      <c r="I826" s="643"/>
      <c r="J826" s="643"/>
      <c r="K826" s="642"/>
      <c r="L826" s="4397"/>
      <c r="M826" s="4397"/>
      <c r="O826" s="641"/>
      <c r="P826" s="639"/>
      <c r="Q826" s="639"/>
      <c r="R826" s="640"/>
      <c r="S826" s="638"/>
      <c r="T826" s="639"/>
      <c r="U826" s="638"/>
    </row>
    <row r="827" spans="2:21" s="637" customFormat="1" ht="10.15" customHeight="1">
      <c r="B827" s="638"/>
      <c r="C827" s="638"/>
      <c r="E827" s="639"/>
      <c r="F827" s="642"/>
      <c r="G827" s="642"/>
      <c r="H827" s="644"/>
      <c r="I827" s="643"/>
      <c r="J827" s="643"/>
      <c r="K827" s="642"/>
      <c r="L827" s="4397"/>
      <c r="M827" s="4397"/>
      <c r="O827" s="641"/>
      <c r="P827" s="639"/>
      <c r="Q827" s="639"/>
      <c r="R827" s="640"/>
      <c r="S827" s="638"/>
      <c r="T827" s="639"/>
      <c r="U827" s="638"/>
    </row>
    <row r="828" spans="2:21" s="637" customFormat="1" ht="10.15" customHeight="1">
      <c r="B828" s="638"/>
      <c r="C828" s="638"/>
      <c r="E828" s="639"/>
      <c r="F828" s="642"/>
      <c r="G828" s="642"/>
      <c r="H828" s="644"/>
      <c r="I828" s="643"/>
      <c r="J828" s="643"/>
      <c r="K828" s="642"/>
      <c r="L828" s="4397"/>
      <c r="M828" s="4397"/>
      <c r="O828" s="641"/>
      <c r="P828" s="639"/>
      <c r="Q828" s="639"/>
      <c r="R828" s="640"/>
      <c r="S828" s="638"/>
      <c r="T828" s="639"/>
      <c r="U828" s="638"/>
    </row>
    <row r="829" spans="2:21" s="637" customFormat="1" ht="10.15" customHeight="1">
      <c r="B829" s="638"/>
      <c r="C829" s="638"/>
      <c r="E829" s="639"/>
      <c r="F829" s="642"/>
      <c r="G829" s="642"/>
      <c r="H829" s="644"/>
      <c r="I829" s="643"/>
      <c r="J829" s="643"/>
      <c r="K829" s="642"/>
      <c r="L829" s="4397"/>
      <c r="M829" s="4397"/>
      <c r="O829" s="641"/>
      <c r="P829" s="639"/>
      <c r="Q829" s="639"/>
      <c r="R829" s="640"/>
      <c r="S829" s="638"/>
      <c r="T829" s="639"/>
      <c r="U829" s="638"/>
    </row>
    <row r="830" spans="2:21" s="637" customFormat="1" ht="10.15" customHeight="1">
      <c r="B830" s="638"/>
      <c r="C830" s="638"/>
      <c r="E830" s="639"/>
      <c r="F830" s="642"/>
      <c r="G830" s="642"/>
      <c r="H830" s="644"/>
      <c r="I830" s="643"/>
      <c r="J830" s="643"/>
      <c r="K830" s="642"/>
      <c r="L830" s="4397"/>
      <c r="M830" s="4397"/>
      <c r="O830" s="641"/>
      <c r="P830" s="639"/>
      <c r="Q830" s="639"/>
      <c r="R830" s="640"/>
      <c r="S830" s="638"/>
      <c r="T830" s="639"/>
      <c r="U830" s="638"/>
    </row>
    <row r="831" spans="2:21" s="637" customFormat="1" ht="10.15" customHeight="1">
      <c r="B831" s="638"/>
      <c r="C831" s="638"/>
      <c r="E831" s="639"/>
      <c r="F831" s="642"/>
      <c r="G831" s="642"/>
      <c r="H831" s="644"/>
      <c r="I831" s="643"/>
      <c r="J831" s="643"/>
      <c r="K831" s="642"/>
      <c r="L831" s="4397"/>
      <c r="M831" s="4397"/>
      <c r="O831" s="641"/>
      <c r="P831" s="639"/>
      <c r="Q831" s="639"/>
      <c r="R831" s="640"/>
      <c r="S831" s="638"/>
      <c r="T831" s="639"/>
      <c r="U831" s="638"/>
    </row>
    <row r="832" spans="2:21" s="637" customFormat="1" ht="10.15" customHeight="1">
      <c r="B832" s="638"/>
      <c r="C832" s="638"/>
      <c r="E832" s="639"/>
      <c r="F832" s="642"/>
      <c r="G832" s="642"/>
      <c r="H832" s="644"/>
      <c r="I832" s="643"/>
      <c r="J832" s="643"/>
      <c r="K832" s="642"/>
      <c r="L832" s="4397"/>
      <c r="M832" s="4397"/>
      <c r="O832" s="641"/>
      <c r="P832" s="639"/>
      <c r="Q832" s="639"/>
      <c r="R832" s="640"/>
      <c r="S832" s="638"/>
      <c r="T832" s="639"/>
      <c r="U832" s="638"/>
    </row>
    <row r="833" spans="2:21" s="637" customFormat="1" ht="10.15" customHeight="1">
      <c r="B833" s="638"/>
      <c r="C833" s="638"/>
      <c r="E833" s="639"/>
      <c r="F833" s="642"/>
      <c r="G833" s="642"/>
      <c r="H833" s="644"/>
      <c r="I833" s="643"/>
      <c r="J833" s="643"/>
      <c r="K833" s="642"/>
      <c r="L833" s="4397"/>
      <c r="M833" s="4397"/>
      <c r="O833" s="641"/>
      <c r="P833" s="639"/>
      <c r="Q833" s="639"/>
      <c r="R833" s="640"/>
      <c r="S833" s="638"/>
      <c r="T833" s="639"/>
      <c r="U833" s="638"/>
    </row>
    <row r="834" spans="2:21" s="637" customFormat="1" ht="10.15" customHeight="1">
      <c r="B834" s="638"/>
      <c r="C834" s="638"/>
      <c r="E834" s="639"/>
      <c r="F834" s="642"/>
      <c r="G834" s="642"/>
      <c r="H834" s="644"/>
      <c r="I834" s="643"/>
      <c r="J834" s="643"/>
      <c r="K834" s="642"/>
      <c r="L834" s="4397"/>
      <c r="M834" s="4397"/>
      <c r="O834" s="641"/>
      <c r="P834" s="639"/>
      <c r="Q834" s="639"/>
      <c r="R834" s="640"/>
      <c r="S834" s="638"/>
      <c r="T834" s="639"/>
      <c r="U834" s="638"/>
    </row>
    <row r="835" spans="2:21" s="637" customFormat="1" ht="10.15" customHeight="1">
      <c r="B835" s="638"/>
      <c r="C835" s="638"/>
      <c r="E835" s="639"/>
      <c r="F835" s="642"/>
      <c r="G835" s="642"/>
      <c r="H835" s="644"/>
      <c r="I835" s="643"/>
      <c r="J835" s="643"/>
      <c r="K835" s="642"/>
      <c r="L835" s="4397"/>
      <c r="M835" s="4397"/>
      <c r="O835" s="641"/>
      <c r="P835" s="639"/>
      <c r="Q835" s="639"/>
      <c r="R835" s="640"/>
      <c r="S835" s="638"/>
      <c r="T835" s="639"/>
      <c r="U835" s="638"/>
    </row>
    <row r="836" spans="2:21" s="637" customFormat="1" ht="10.15" customHeight="1">
      <c r="B836" s="638"/>
      <c r="C836" s="638"/>
      <c r="E836" s="639"/>
      <c r="F836" s="642"/>
      <c r="G836" s="642"/>
      <c r="H836" s="644"/>
      <c r="I836" s="643"/>
      <c r="J836" s="643"/>
      <c r="K836" s="642"/>
      <c r="L836" s="4397"/>
      <c r="M836" s="4397"/>
      <c r="O836" s="641"/>
      <c r="P836" s="639"/>
      <c r="Q836" s="639"/>
      <c r="R836" s="640"/>
      <c r="S836" s="638"/>
      <c r="T836" s="639"/>
      <c r="U836" s="638"/>
    </row>
    <row r="837" spans="2:21" s="637" customFormat="1" ht="10.15" customHeight="1">
      <c r="B837" s="638"/>
      <c r="C837" s="638"/>
      <c r="E837" s="639"/>
      <c r="F837" s="642"/>
      <c r="G837" s="642"/>
      <c r="H837" s="644"/>
      <c r="I837" s="643"/>
      <c r="J837" s="643"/>
      <c r="K837" s="642"/>
      <c r="L837" s="4397"/>
      <c r="M837" s="4397"/>
      <c r="O837" s="641"/>
      <c r="P837" s="639"/>
      <c r="Q837" s="639"/>
      <c r="R837" s="640"/>
      <c r="S837" s="638"/>
      <c r="T837" s="639"/>
      <c r="U837" s="638"/>
    </row>
    <row r="838" spans="2:21" s="637" customFormat="1" ht="10.15" customHeight="1">
      <c r="B838" s="638"/>
      <c r="C838" s="638"/>
      <c r="E838" s="639"/>
      <c r="F838" s="642"/>
      <c r="G838" s="642"/>
      <c r="H838" s="644"/>
      <c r="I838" s="643"/>
      <c r="J838" s="643"/>
      <c r="K838" s="642"/>
      <c r="L838" s="4397"/>
      <c r="M838" s="4397"/>
      <c r="O838" s="641"/>
      <c r="P838" s="639"/>
      <c r="Q838" s="639"/>
      <c r="R838" s="640"/>
      <c r="S838" s="638"/>
      <c r="T838" s="639"/>
      <c r="U838" s="638"/>
    </row>
    <row r="839" spans="2:21" s="637" customFormat="1" ht="10.15" customHeight="1">
      <c r="B839" s="638"/>
      <c r="C839" s="638"/>
      <c r="E839" s="639"/>
      <c r="F839" s="642"/>
      <c r="G839" s="642"/>
      <c r="H839" s="644"/>
      <c r="I839" s="643"/>
      <c r="J839" s="643"/>
      <c r="K839" s="642"/>
      <c r="L839" s="4397"/>
      <c r="M839" s="4397"/>
      <c r="O839" s="641"/>
      <c r="P839" s="639"/>
      <c r="Q839" s="639"/>
      <c r="R839" s="640"/>
      <c r="S839" s="638"/>
      <c r="T839" s="639"/>
      <c r="U839" s="638"/>
    </row>
    <row r="840" spans="2:21" s="637" customFormat="1" ht="10.15" customHeight="1">
      <c r="B840" s="638"/>
      <c r="C840" s="638"/>
      <c r="E840" s="639"/>
      <c r="F840" s="642"/>
      <c r="G840" s="642"/>
      <c r="H840" s="644"/>
      <c r="I840" s="643"/>
      <c r="J840" s="643"/>
      <c r="K840" s="642"/>
      <c r="L840" s="4397"/>
      <c r="M840" s="4397"/>
      <c r="O840" s="641"/>
      <c r="P840" s="639"/>
      <c r="Q840" s="639"/>
      <c r="R840" s="640"/>
      <c r="S840" s="638"/>
      <c r="T840" s="639"/>
      <c r="U840" s="638"/>
    </row>
    <row r="841" spans="2:21" s="637" customFormat="1" ht="10.15" customHeight="1">
      <c r="B841" s="638"/>
      <c r="C841" s="638"/>
      <c r="E841" s="639"/>
      <c r="F841" s="642"/>
      <c r="G841" s="642"/>
      <c r="H841" s="644"/>
      <c r="I841" s="643"/>
      <c r="J841" s="643"/>
      <c r="K841" s="642"/>
      <c r="L841" s="4397"/>
      <c r="M841" s="4397"/>
      <c r="O841" s="641"/>
      <c r="P841" s="639"/>
      <c r="Q841" s="639"/>
      <c r="R841" s="640"/>
      <c r="S841" s="638"/>
      <c r="T841" s="639"/>
      <c r="U841" s="638"/>
    </row>
    <row r="842" spans="2:21" s="637" customFormat="1" ht="10.15" customHeight="1">
      <c r="B842" s="638"/>
      <c r="C842" s="638"/>
      <c r="E842" s="639"/>
      <c r="F842" s="642"/>
      <c r="G842" s="642"/>
      <c r="H842" s="644"/>
      <c r="I842" s="643"/>
      <c r="J842" s="643"/>
      <c r="K842" s="642"/>
      <c r="L842" s="4397"/>
      <c r="M842" s="4397"/>
      <c r="O842" s="641"/>
      <c r="P842" s="639"/>
      <c r="Q842" s="639"/>
      <c r="R842" s="640"/>
      <c r="S842" s="638"/>
      <c r="T842" s="639"/>
      <c r="U842" s="638"/>
    </row>
    <row r="843" spans="2:21" s="637" customFormat="1" ht="10.15" customHeight="1">
      <c r="B843" s="638"/>
      <c r="C843" s="638"/>
      <c r="E843" s="639"/>
      <c r="F843" s="642"/>
      <c r="G843" s="642"/>
      <c r="H843" s="644"/>
      <c r="I843" s="643"/>
      <c r="J843" s="643"/>
      <c r="K843" s="642"/>
      <c r="L843" s="4397"/>
      <c r="M843" s="4397"/>
      <c r="O843" s="641"/>
      <c r="P843" s="639"/>
      <c r="Q843" s="639"/>
      <c r="R843" s="640"/>
      <c r="S843" s="638"/>
      <c r="T843" s="639"/>
      <c r="U843" s="638"/>
    </row>
    <row r="844" spans="2:21" s="637" customFormat="1" ht="10.15" customHeight="1">
      <c r="B844" s="638"/>
      <c r="C844" s="638"/>
      <c r="E844" s="639"/>
      <c r="F844" s="642"/>
      <c r="G844" s="642"/>
      <c r="H844" s="644"/>
      <c r="I844" s="643"/>
      <c r="J844" s="643"/>
      <c r="K844" s="642"/>
      <c r="L844" s="4397"/>
      <c r="M844" s="4397"/>
      <c r="O844" s="641"/>
      <c r="P844" s="639"/>
      <c r="Q844" s="639"/>
      <c r="R844" s="640"/>
      <c r="S844" s="638"/>
      <c r="T844" s="639"/>
      <c r="U844" s="638"/>
    </row>
    <row r="845" spans="2:21" s="637" customFormat="1" ht="10.15" customHeight="1">
      <c r="B845" s="638"/>
      <c r="C845" s="638"/>
      <c r="E845" s="639"/>
      <c r="F845" s="642"/>
      <c r="G845" s="642"/>
      <c r="H845" s="644"/>
      <c r="I845" s="643"/>
      <c r="J845" s="643"/>
      <c r="K845" s="642"/>
      <c r="L845" s="4397"/>
      <c r="M845" s="4397"/>
      <c r="O845" s="641"/>
      <c r="P845" s="639"/>
      <c r="Q845" s="639"/>
      <c r="R845" s="640"/>
      <c r="S845" s="638"/>
      <c r="T845" s="639"/>
      <c r="U845" s="638"/>
    </row>
    <row r="846" spans="2:21" s="637" customFormat="1" ht="10.15" customHeight="1">
      <c r="B846" s="638"/>
      <c r="C846" s="638"/>
      <c r="E846" s="639"/>
      <c r="F846" s="642"/>
      <c r="G846" s="642"/>
      <c r="H846" s="644"/>
      <c r="I846" s="643"/>
      <c r="J846" s="643"/>
      <c r="K846" s="642"/>
      <c r="L846" s="4397"/>
      <c r="M846" s="4397"/>
      <c r="O846" s="641"/>
      <c r="P846" s="639"/>
      <c r="Q846" s="639"/>
      <c r="R846" s="640"/>
      <c r="S846" s="638"/>
      <c r="T846" s="639"/>
      <c r="U846" s="638"/>
    </row>
    <row r="847" spans="2:21" s="637" customFormat="1" ht="10.15" customHeight="1">
      <c r="B847" s="638"/>
      <c r="C847" s="638"/>
      <c r="E847" s="639"/>
      <c r="F847" s="642"/>
      <c r="G847" s="642"/>
      <c r="H847" s="644"/>
      <c r="I847" s="643"/>
      <c r="J847" s="643"/>
      <c r="K847" s="642"/>
      <c r="L847" s="4397"/>
      <c r="M847" s="4397"/>
      <c r="O847" s="641"/>
      <c r="P847" s="639"/>
      <c r="Q847" s="639"/>
      <c r="R847" s="640"/>
      <c r="S847" s="638"/>
      <c r="T847" s="639"/>
      <c r="U847" s="638"/>
    </row>
    <row r="848" spans="2:21" s="637" customFormat="1" ht="10.15" customHeight="1">
      <c r="B848" s="638"/>
      <c r="C848" s="638"/>
      <c r="E848" s="639"/>
      <c r="F848" s="642"/>
      <c r="G848" s="642"/>
      <c r="H848" s="644"/>
      <c r="I848" s="643"/>
      <c r="J848" s="643"/>
      <c r="K848" s="642"/>
      <c r="L848" s="4397"/>
      <c r="M848" s="4397"/>
      <c r="O848" s="641"/>
      <c r="P848" s="639"/>
      <c r="Q848" s="639"/>
      <c r="R848" s="640"/>
      <c r="S848" s="638"/>
      <c r="T848" s="639"/>
      <c r="U848" s="638"/>
    </row>
    <row r="849" spans="2:21" s="637" customFormat="1" ht="10.15" customHeight="1">
      <c r="B849" s="638"/>
      <c r="C849" s="638"/>
      <c r="E849" s="639"/>
      <c r="F849" s="642"/>
      <c r="G849" s="642"/>
      <c r="H849" s="644"/>
      <c r="I849" s="643"/>
      <c r="J849" s="643"/>
      <c r="K849" s="642"/>
      <c r="L849" s="4397"/>
      <c r="M849" s="4397"/>
      <c r="O849" s="641"/>
      <c r="P849" s="639"/>
      <c r="Q849" s="639"/>
      <c r="R849" s="640"/>
      <c r="S849" s="638"/>
      <c r="T849" s="639"/>
      <c r="U849" s="638"/>
    </row>
    <row r="850" spans="2:21" s="637" customFormat="1" ht="10.15" customHeight="1">
      <c r="B850" s="638"/>
      <c r="C850" s="638"/>
      <c r="E850" s="639"/>
      <c r="F850" s="642"/>
      <c r="G850" s="642"/>
      <c r="H850" s="644"/>
      <c r="I850" s="643"/>
      <c r="J850" s="643"/>
      <c r="K850" s="642"/>
      <c r="L850" s="4397"/>
      <c r="M850" s="4397"/>
      <c r="O850" s="641"/>
      <c r="P850" s="639"/>
      <c r="Q850" s="639"/>
      <c r="R850" s="640"/>
      <c r="S850" s="638"/>
      <c r="T850" s="639"/>
      <c r="U850" s="638"/>
    </row>
    <row r="851" spans="2:21" s="637" customFormat="1" ht="10.15" customHeight="1">
      <c r="B851" s="638"/>
      <c r="C851" s="638"/>
      <c r="E851" s="639"/>
      <c r="F851" s="642"/>
      <c r="G851" s="642"/>
      <c r="H851" s="644"/>
      <c r="I851" s="643"/>
      <c r="J851" s="643"/>
      <c r="K851" s="642"/>
      <c r="L851" s="4397"/>
      <c r="M851" s="4397"/>
      <c r="O851" s="641"/>
      <c r="P851" s="639"/>
      <c r="Q851" s="639"/>
      <c r="R851" s="640"/>
      <c r="S851" s="638"/>
      <c r="T851" s="639"/>
      <c r="U851" s="638"/>
    </row>
    <row r="852" spans="2:21" s="637" customFormat="1" ht="10.15" customHeight="1">
      <c r="B852" s="638"/>
      <c r="C852" s="638"/>
      <c r="E852" s="639"/>
      <c r="F852" s="642"/>
      <c r="G852" s="642"/>
      <c r="H852" s="644"/>
      <c r="I852" s="643"/>
      <c r="J852" s="643"/>
      <c r="K852" s="642"/>
      <c r="L852" s="4397"/>
      <c r="M852" s="4397"/>
      <c r="O852" s="641"/>
      <c r="P852" s="639"/>
      <c r="Q852" s="639"/>
      <c r="R852" s="640"/>
      <c r="S852" s="638"/>
      <c r="T852" s="639"/>
      <c r="U852" s="638"/>
    </row>
    <row r="853" spans="2:21" s="637" customFormat="1" ht="10.15" customHeight="1">
      <c r="B853" s="638"/>
      <c r="C853" s="638"/>
      <c r="E853" s="639"/>
      <c r="F853" s="642"/>
      <c r="G853" s="642"/>
      <c r="H853" s="644"/>
      <c r="I853" s="643"/>
      <c r="J853" s="643"/>
      <c r="K853" s="642"/>
      <c r="L853" s="4397"/>
      <c r="M853" s="4397"/>
      <c r="O853" s="641"/>
      <c r="P853" s="639"/>
      <c r="Q853" s="639"/>
      <c r="R853" s="640"/>
      <c r="S853" s="638"/>
      <c r="T853" s="639"/>
      <c r="U853" s="638"/>
    </row>
    <row r="854" spans="2:21" s="637" customFormat="1" ht="10.15" customHeight="1">
      <c r="B854" s="638"/>
      <c r="C854" s="638"/>
      <c r="E854" s="639"/>
      <c r="F854" s="642"/>
      <c r="G854" s="642"/>
      <c r="H854" s="644"/>
      <c r="I854" s="643"/>
      <c r="J854" s="643"/>
      <c r="K854" s="642"/>
      <c r="L854" s="4397"/>
      <c r="M854" s="4397"/>
      <c r="O854" s="641"/>
      <c r="P854" s="639"/>
      <c r="Q854" s="639"/>
      <c r="R854" s="640"/>
      <c r="S854" s="638"/>
      <c r="T854" s="639"/>
      <c r="U854" s="638"/>
    </row>
    <row r="855" spans="2:21" s="637" customFormat="1" ht="10.15" customHeight="1">
      <c r="B855" s="638"/>
      <c r="C855" s="638"/>
      <c r="E855" s="639"/>
      <c r="F855" s="642"/>
      <c r="G855" s="642"/>
      <c r="H855" s="644"/>
      <c r="I855" s="643"/>
      <c r="J855" s="643"/>
      <c r="K855" s="642"/>
      <c r="L855" s="4397"/>
      <c r="M855" s="4397"/>
      <c r="O855" s="641"/>
      <c r="P855" s="639"/>
      <c r="Q855" s="639"/>
      <c r="R855" s="640"/>
      <c r="S855" s="638"/>
      <c r="T855" s="639"/>
      <c r="U855" s="638"/>
    </row>
    <row r="856" spans="2:21" s="637" customFormat="1" ht="10.15" customHeight="1">
      <c r="B856" s="638"/>
      <c r="C856" s="638"/>
      <c r="E856" s="639"/>
      <c r="F856" s="642"/>
      <c r="G856" s="642"/>
      <c r="H856" s="644"/>
      <c r="I856" s="643"/>
      <c r="J856" s="643"/>
      <c r="K856" s="642"/>
      <c r="L856" s="4397"/>
      <c r="M856" s="4397"/>
      <c r="O856" s="641"/>
      <c r="P856" s="639"/>
      <c r="Q856" s="639"/>
      <c r="R856" s="640"/>
      <c r="S856" s="638"/>
      <c r="T856" s="639"/>
      <c r="U856" s="638"/>
    </row>
    <row r="857" spans="2:21" s="637" customFormat="1" ht="10.15" customHeight="1">
      <c r="B857" s="638"/>
      <c r="C857" s="638"/>
      <c r="E857" s="639"/>
      <c r="F857" s="642"/>
      <c r="G857" s="642"/>
      <c r="H857" s="644"/>
      <c r="I857" s="643"/>
      <c r="J857" s="643"/>
      <c r="K857" s="642"/>
      <c r="L857" s="4397"/>
      <c r="M857" s="4397"/>
      <c r="O857" s="641"/>
      <c r="P857" s="639"/>
      <c r="Q857" s="639"/>
      <c r="R857" s="640"/>
      <c r="S857" s="638"/>
      <c r="T857" s="639"/>
      <c r="U857" s="638"/>
    </row>
    <row r="858" spans="2:21" s="637" customFormat="1" ht="10.15" customHeight="1">
      <c r="B858" s="638"/>
      <c r="C858" s="638"/>
      <c r="E858" s="639"/>
      <c r="F858" s="642"/>
      <c r="G858" s="642"/>
      <c r="H858" s="644"/>
      <c r="I858" s="643"/>
      <c r="J858" s="643"/>
      <c r="K858" s="642"/>
      <c r="L858" s="4397"/>
      <c r="M858" s="4397"/>
      <c r="O858" s="641"/>
      <c r="P858" s="639"/>
      <c r="Q858" s="639"/>
      <c r="R858" s="640"/>
      <c r="S858" s="638"/>
      <c r="T858" s="639"/>
      <c r="U858" s="638"/>
    </row>
    <row r="859" spans="2:21" s="637" customFormat="1" ht="10.15" customHeight="1">
      <c r="B859" s="638"/>
      <c r="C859" s="638"/>
      <c r="E859" s="639"/>
      <c r="F859" s="642"/>
      <c r="G859" s="642"/>
      <c r="H859" s="644"/>
      <c r="I859" s="643"/>
      <c r="J859" s="643"/>
      <c r="K859" s="642"/>
      <c r="L859" s="4397"/>
      <c r="M859" s="4397"/>
      <c r="O859" s="641"/>
      <c r="P859" s="639"/>
      <c r="Q859" s="639"/>
      <c r="R859" s="640"/>
      <c r="S859" s="638"/>
      <c r="T859" s="639"/>
      <c r="U859" s="638"/>
    </row>
    <row r="860" spans="2:21" s="637" customFormat="1" ht="10.15" customHeight="1">
      <c r="B860" s="638"/>
      <c r="C860" s="638"/>
      <c r="E860" s="639"/>
      <c r="F860" s="642"/>
      <c r="G860" s="642"/>
      <c r="H860" s="644"/>
      <c r="I860" s="643"/>
      <c r="J860" s="643"/>
      <c r="K860" s="642"/>
      <c r="L860" s="4397"/>
      <c r="M860" s="4397"/>
      <c r="O860" s="641"/>
      <c r="P860" s="639"/>
      <c r="Q860" s="639"/>
      <c r="R860" s="640"/>
      <c r="S860" s="638"/>
      <c r="T860" s="639"/>
      <c r="U860" s="638"/>
    </row>
    <row r="861" spans="2:21" s="637" customFormat="1" ht="10.15" customHeight="1">
      <c r="B861" s="638"/>
      <c r="C861" s="638"/>
      <c r="E861" s="639"/>
      <c r="F861" s="642"/>
      <c r="G861" s="642"/>
      <c r="H861" s="644"/>
      <c r="I861" s="643"/>
      <c r="J861" s="643"/>
      <c r="K861" s="642"/>
      <c r="L861" s="4397"/>
      <c r="M861" s="4397"/>
      <c r="O861" s="641"/>
      <c r="P861" s="639"/>
      <c r="Q861" s="639"/>
      <c r="R861" s="640"/>
      <c r="S861" s="638"/>
      <c r="T861" s="639"/>
      <c r="U861" s="638"/>
    </row>
    <row r="862" spans="2:21" s="637" customFormat="1" ht="10.15" customHeight="1">
      <c r="B862" s="638"/>
      <c r="C862" s="638"/>
      <c r="E862" s="639"/>
      <c r="F862" s="642"/>
      <c r="G862" s="642"/>
      <c r="H862" s="644"/>
      <c r="I862" s="643"/>
      <c r="J862" s="643"/>
      <c r="K862" s="642"/>
      <c r="L862" s="4397"/>
      <c r="M862" s="4397"/>
      <c r="O862" s="641"/>
      <c r="P862" s="639"/>
      <c r="Q862" s="639"/>
      <c r="R862" s="640"/>
      <c r="S862" s="638"/>
      <c r="T862" s="639"/>
      <c r="U862" s="638"/>
    </row>
    <row r="863" spans="2:21" s="637" customFormat="1" ht="10.15" customHeight="1">
      <c r="B863" s="638"/>
      <c r="C863" s="638"/>
      <c r="E863" s="639"/>
      <c r="F863" s="642"/>
      <c r="G863" s="642"/>
      <c r="H863" s="644"/>
      <c r="I863" s="643"/>
      <c r="J863" s="643"/>
      <c r="K863" s="642"/>
      <c r="L863" s="4397"/>
      <c r="M863" s="4397"/>
      <c r="O863" s="641"/>
      <c r="P863" s="639"/>
      <c r="Q863" s="639"/>
      <c r="R863" s="640"/>
      <c r="S863" s="638"/>
      <c r="T863" s="639"/>
      <c r="U863" s="638"/>
    </row>
    <row r="864" spans="2:21" s="637" customFormat="1" ht="10.15" customHeight="1">
      <c r="B864" s="638"/>
      <c r="C864" s="638"/>
      <c r="E864" s="639"/>
      <c r="F864" s="642"/>
      <c r="G864" s="642"/>
      <c r="H864" s="644"/>
      <c r="I864" s="643"/>
      <c r="J864" s="643"/>
      <c r="K864" s="642"/>
      <c r="L864" s="4397"/>
      <c r="M864" s="4397"/>
      <c r="O864" s="641"/>
      <c r="P864" s="639"/>
      <c r="Q864" s="639"/>
      <c r="R864" s="640"/>
      <c r="S864" s="638"/>
      <c r="T864" s="639"/>
      <c r="U864" s="638"/>
    </row>
    <row r="865" spans="2:21" s="637" customFormat="1" ht="10.15" customHeight="1">
      <c r="B865" s="638"/>
      <c r="C865" s="638"/>
      <c r="E865" s="639"/>
      <c r="F865" s="642"/>
      <c r="G865" s="642"/>
      <c r="H865" s="644"/>
      <c r="I865" s="643"/>
      <c r="J865" s="643"/>
      <c r="K865" s="642"/>
      <c r="L865" s="4397"/>
      <c r="M865" s="4397"/>
      <c r="O865" s="641"/>
      <c r="P865" s="639"/>
      <c r="Q865" s="639"/>
      <c r="R865" s="640"/>
      <c r="S865" s="638"/>
      <c r="T865" s="639"/>
      <c r="U865" s="638"/>
    </row>
    <row r="866" spans="2:21" s="637" customFormat="1" ht="10.15" customHeight="1">
      <c r="B866" s="638"/>
      <c r="C866" s="638"/>
      <c r="E866" s="639"/>
      <c r="F866" s="642"/>
      <c r="G866" s="642"/>
      <c r="H866" s="644"/>
      <c r="I866" s="643"/>
      <c r="J866" s="643"/>
      <c r="K866" s="642"/>
      <c r="L866" s="4397"/>
      <c r="M866" s="4397"/>
      <c r="O866" s="641"/>
      <c r="P866" s="639"/>
      <c r="Q866" s="639"/>
      <c r="R866" s="640"/>
      <c r="S866" s="638"/>
      <c r="T866" s="639"/>
      <c r="U866" s="638"/>
    </row>
    <row r="867" spans="2:21" s="637" customFormat="1" ht="10.15" customHeight="1">
      <c r="B867" s="638"/>
      <c r="C867" s="638"/>
      <c r="E867" s="639"/>
      <c r="F867" s="642"/>
      <c r="G867" s="642"/>
      <c r="H867" s="644"/>
      <c r="I867" s="643"/>
      <c r="J867" s="643"/>
      <c r="K867" s="642"/>
      <c r="L867" s="4397"/>
      <c r="M867" s="4397"/>
      <c r="O867" s="641"/>
      <c r="P867" s="639"/>
      <c r="Q867" s="639"/>
      <c r="R867" s="640"/>
      <c r="S867" s="638"/>
      <c r="T867" s="639"/>
      <c r="U867" s="638"/>
    </row>
    <row r="868" spans="2:21" s="637" customFormat="1" ht="10.15" customHeight="1">
      <c r="B868" s="638"/>
      <c r="C868" s="638"/>
      <c r="E868" s="639"/>
      <c r="F868" s="642"/>
      <c r="G868" s="642"/>
      <c r="H868" s="644"/>
      <c r="I868" s="643"/>
      <c r="J868" s="643"/>
      <c r="K868" s="642"/>
      <c r="L868" s="4397"/>
      <c r="M868" s="4397"/>
      <c r="O868" s="641"/>
      <c r="P868" s="639"/>
      <c r="Q868" s="639"/>
      <c r="R868" s="640"/>
      <c r="S868" s="638"/>
      <c r="T868" s="639"/>
      <c r="U868" s="638"/>
    </row>
    <row r="869" spans="2:21" s="637" customFormat="1" ht="10.15" customHeight="1">
      <c r="B869" s="638"/>
      <c r="C869" s="638"/>
      <c r="E869" s="639"/>
      <c r="F869" s="642"/>
      <c r="G869" s="642"/>
      <c r="H869" s="644"/>
      <c r="I869" s="643"/>
      <c r="J869" s="643"/>
      <c r="K869" s="642"/>
      <c r="L869" s="4397"/>
      <c r="M869" s="4397"/>
      <c r="O869" s="641"/>
      <c r="P869" s="639"/>
      <c r="Q869" s="639"/>
      <c r="R869" s="640"/>
      <c r="S869" s="638"/>
      <c r="T869" s="639"/>
      <c r="U869" s="638"/>
    </row>
    <row r="870" spans="2:21" s="637" customFormat="1" ht="10.15" customHeight="1">
      <c r="B870" s="638"/>
      <c r="C870" s="638"/>
      <c r="E870" s="639"/>
      <c r="F870" s="642"/>
      <c r="G870" s="642"/>
      <c r="H870" s="644"/>
      <c r="I870" s="643"/>
      <c r="J870" s="643"/>
      <c r="K870" s="642"/>
      <c r="L870" s="4397"/>
      <c r="M870" s="4397"/>
      <c r="O870" s="641"/>
      <c r="P870" s="639"/>
      <c r="Q870" s="639"/>
      <c r="R870" s="640"/>
      <c r="S870" s="638"/>
      <c r="T870" s="639"/>
      <c r="U870" s="638"/>
    </row>
    <row r="871" spans="2:21" s="637" customFormat="1" ht="10.15" customHeight="1">
      <c r="B871" s="638"/>
      <c r="C871" s="638"/>
      <c r="E871" s="639"/>
      <c r="F871" s="642"/>
      <c r="G871" s="642"/>
      <c r="H871" s="644"/>
      <c r="I871" s="643"/>
      <c r="J871" s="643"/>
      <c r="K871" s="642"/>
      <c r="L871" s="4397"/>
      <c r="M871" s="4397"/>
      <c r="O871" s="641"/>
      <c r="P871" s="639"/>
      <c r="Q871" s="639"/>
      <c r="R871" s="640"/>
      <c r="S871" s="638"/>
      <c r="T871" s="639"/>
      <c r="U871" s="638"/>
    </row>
    <row r="872" spans="2:21" s="637" customFormat="1" ht="10.15" customHeight="1">
      <c r="B872" s="638"/>
      <c r="C872" s="638"/>
      <c r="E872" s="639"/>
      <c r="F872" s="642"/>
      <c r="G872" s="642"/>
      <c r="H872" s="644"/>
      <c r="I872" s="643"/>
      <c r="J872" s="643"/>
      <c r="K872" s="642"/>
      <c r="L872" s="4397"/>
      <c r="M872" s="4397"/>
      <c r="O872" s="641"/>
      <c r="P872" s="639"/>
      <c r="Q872" s="639"/>
      <c r="R872" s="640"/>
      <c r="S872" s="638"/>
      <c r="T872" s="639"/>
      <c r="U872" s="638"/>
    </row>
    <row r="873" spans="2:21" s="637" customFormat="1" ht="10.15" customHeight="1">
      <c r="B873" s="638"/>
      <c r="C873" s="638"/>
      <c r="E873" s="639"/>
      <c r="F873" s="642"/>
      <c r="G873" s="642"/>
      <c r="H873" s="644"/>
      <c r="I873" s="643"/>
      <c r="J873" s="643"/>
      <c r="K873" s="642"/>
      <c r="L873" s="4397"/>
      <c r="M873" s="4397"/>
      <c r="O873" s="641"/>
      <c r="P873" s="639"/>
      <c r="Q873" s="639"/>
      <c r="R873" s="640"/>
      <c r="S873" s="638"/>
      <c r="T873" s="639"/>
      <c r="U873" s="638"/>
    </row>
    <row r="874" spans="2:21" s="637" customFormat="1" ht="10.15" customHeight="1">
      <c r="B874" s="638"/>
      <c r="C874" s="638"/>
      <c r="E874" s="639"/>
      <c r="F874" s="642"/>
      <c r="G874" s="642"/>
      <c r="H874" s="644"/>
      <c r="I874" s="643"/>
      <c r="J874" s="643"/>
      <c r="K874" s="642"/>
      <c r="L874" s="4397"/>
      <c r="M874" s="4397"/>
      <c r="O874" s="641"/>
      <c r="P874" s="639"/>
      <c r="Q874" s="639"/>
      <c r="R874" s="640"/>
      <c r="S874" s="638"/>
      <c r="T874" s="639"/>
      <c r="U874" s="638"/>
    </row>
    <row r="875" spans="2:21" s="637" customFormat="1" ht="10.15" customHeight="1">
      <c r="B875" s="638"/>
      <c r="C875" s="638"/>
      <c r="E875" s="639"/>
      <c r="F875" s="642"/>
      <c r="G875" s="642"/>
      <c r="H875" s="644"/>
      <c r="I875" s="643"/>
      <c r="J875" s="643"/>
      <c r="K875" s="642"/>
      <c r="L875" s="4397"/>
      <c r="M875" s="4397"/>
      <c r="O875" s="641"/>
      <c r="P875" s="639"/>
      <c r="Q875" s="639"/>
      <c r="R875" s="640"/>
      <c r="S875" s="638"/>
      <c r="T875" s="639"/>
      <c r="U875" s="638"/>
    </row>
    <row r="876" spans="2:21" s="637" customFormat="1" ht="10.15" customHeight="1">
      <c r="B876" s="638"/>
      <c r="C876" s="638"/>
      <c r="E876" s="639"/>
      <c r="F876" s="642"/>
      <c r="G876" s="642"/>
      <c r="H876" s="644"/>
      <c r="I876" s="643"/>
      <c r="J876" s="643"/>
      <c r="K876" s="642"/>
      <c r="L876" s="4397"/>
      <c r="M876" s="4397"/>
      <c r="O876" s="641"/>
      <c r="P876" s="639"/>
      <c r="Q876" s="639"/>
      <c r="R876" s="640"/>
      <c r="S876" s="638"/>
      <c r="T876" s="639"/>
      <c r="U876" s="638"/>
    </row>
    <row r="877" spans="2:21" s="637" customFormat="1" ht="10.15" customHeight="1">
      <c r="B877" s="638"/>
      <c r="C877" s="638"/>
      <c r="E877" s="639"/>
      <c r="F877" s="642"/>
      <c r="G877" s="642"/>
      <c r="H877" s="644"/>
      <c r="I877" s="643"/>
      <c r="J877" s="643"/>
      <c r="K877" s="642"/>
      <c r="L877" s="4397"/>
      <c r="M877" s="4397"/>
      <c r="O877" s="641"/>
      <c r="P877" s="639"/>
      <c r="Q877" s="639"/>
      <c r="R877" s="640"/>
      <c r="S877" s="638"/>
      <c r="T877" s="639"/>
      <c r="U877" s="638"/>
    </row>
    <row r="878" spans="2:21" s="637" customFormat="1" ht="10.15" customHeight="1">
      <c r="B878" s="638"/>
      <c r="C878" s="638"/>
      <c r="E878" s="639"/>
      <c r="F878" s="642"/>
      <c r="G878" s="642"/>
      <c r="H878" s="644"/>
      <c r="I878" s="643"/>
      <c r="J878" s="643"/>
      <c r="K878" s="642"/>
      <c r="L878" s="4397"/>
      <c r="M878" s="4397"/>
      <c r="O878" s="641"/>
      <c r="P878" s="639"/>
      <c r="Q878" s="639"/>
      <c r="R878" s="640"/>
      <c r="S878" s="638"/>
      <c r="T878" s="639"/>
      <c r="U878" s="638"/>
    </row>
    <row r="879" spans="2:21" s="637" customFormat="1" ht="10.15" customHeight="1">
      <c r="B879" s="638"/>
      <c r="C879" s="638"/>
      <c r="E879" s="639"/>
      <c r="F879" s="642"/>
      <c r="G879" s="642"/>
      <c r="H879" s="644"/>
      <c r="I879" s="643"/>
      <c r="J879" s="643"/>
      <c r="K879" s="642"/>
      <c r="L879" s="4397"/>
      <c r="M879" s="4397"/>
      <c r="O879" s="641"/>
      <c r="P879" s="639"/>
      <c r="Q879" s="639"/>
      <c r="R879" s="640"/>
      <c r="S879" s="638"/>
      <c r="T879" s="639"/>
      <c r="U879" s="638"/>
    </row>
    <row r="880" spans="2:21" s="637" customFormat="1" ht="10.15" customHeight="1">
      <c r="B880" s="638"/>
      <c r="C880" s="638"/>
      <c r="E880" s="639"/>
      <c r="F880" s="642"/>
      <c r="G880" s="642"/>
      <c r="H880" s="644"/>
      <c r="I880" s="643"/>
      <c r="J880" s="643"/>
      <c r="K880" s="642"/>
      <c r="L880" s="4397"/>
      <c r="M880" s="4397"/>
      <c r="O880" s="641"/>
      <c r="P880" s="639"/>
      <c r="Q880" s="639"/>
      <c r="R880" s="640"/>
      <c r="S880" s="638"/>
      <c r="T880" s="639"/>
      <c r="U880" s="638"/>
    </row>
    <row r="881" spans="2:21" s="637" customFormat="1" ht="10.15" customHeight="1">
      <c r="B881" s="638"/>
      <c r="C881" s="638"/>
      <c r="E881" s="639"/>
      <c r="F881" s="642"/>
      <c r="G881" s="642"/>
      <c r="H881" s="644"/>
      <c r="I881" s="643"/>
      <c r="J881" s="643"/>
      <c r="K881" s="642"/>
      <c r="L881" s="4397"/>
      <c r="M881" s="4397"/>
      <c r="O881" s="641"/>
      <c r="P881" s="639"/>
      <c r="Q881" s="639"/>
      <c r="R881" s="640"/>
      <c r="S881" s="638"/>
      <c r="T881" s="639"/>
      <c r="U881" s="638"/>
    </row>
    <row r="882" spans="2:21" s="637" customFormat="1" ht="10.15" customHeight="1">
      <c r="B882" s="638"/>
      <c r="C882" s="638"/>
      <c r="E882" s="639"/>
      <c r="F882" s="642"/>
      <c r="G882" s="642"/>
      <c r="H882" s="644"/>
      <c r="I882" s="643"/>
      <c r="J882" s="643"/>
      <c r="K882" s="642"/>
      <c r="L882" s="4397"/>
      <c r="M882" s="4397"/>
      <c r="O882" s="641"/>
      <c r="P882" s="639"/>
      <c r="Q882" s="639"/>
      <c r="R882" s="640"/>
      <c r="S882" s="638"/>
      <c r="T882" s="639"/>
      <c r="U882" s="638"/>
    </row>
    <row r="883" spans="2:21" s="637" customFormat="1" ht="10.15" customHeight="1">
      <c r="B883" s="638"/>
      <c r="C883" s="638"/>
      <c r="E883" s="639"/>
      <c r="F883" s="642"/>
      <c r="G883" s="642"/>
      <c r="H883" s="644"/>
      <c r="I883" s="643"/>
      <c r="J883" s="643"/>
      <c r="K883" s="642"/>
      <c r="L883" s="4397"/>
      <c r="M883" s="4397"/>
      <c r="O883" s="641"/>
      <c r="P883" s="639"/>
      <c r="Q883" s="639"/>
      <c r="R883" s="640"/>
      <c r="S883" s="638"/>
      <c r="T883" s="639"/>
      <c r="U883" s="638"/>
    </row>
    <row r="884" spans="2:21" s="637" customFormat="1" ht="10.15" customHeight="1">
      <c r="B884" s="638"/>
      <c r="C884" s="638"/>
      <c r="E884" s="639"/>
      <c r="F884" s="642"/>
      <c r="G884" s="642"/>
      <c r="H884" s="644"/>
      <c r="I884" s="643"/>
      <c r="J884" s="643"/>
      <c r="K884" s="642"/>
      <c r="L884" s="4397"/>
      <c r="M884" s="4397"/>
      <c r="O884" s="641"/>
      <c r="P884" s="639"/>
      <c r="Q884" s="639"/>
      <c r="R884" s="640"/>
      <c r="S884" s="638"/>
      <c r="T884" s="639"/>
      <c r="U884" s="638"/>
    </row>
    <row r="885" spans="2:21" s="637" customFormat="1" ht="10.15" customHeight="1">
      <c r="B885" s="638"/>
      <c r="C885" s="638"/>
      <c r="E885" s="639"/>
      <c r="F885" s="642"/>
      <c r="G885" s="642"/>
      <c r="H885" s="644"/>
      <c r="I885" s="643"/>
      <c r="J885" s="643"/>
      <c r="K885" s="642"/>
      <c r="L885" s="4397"/>
      <c r="M885" s="4397"/>
      <c r="O885" s="641"/>
      <c r="P885" s="639"/>
      <c r="Q885" s="639"/>
      <c r="R885" s="640"/>
      <c r="S885" s="638"/>
      <c r="T885" s="639"/>
      <c r="U885" s="638"/>
    </row>
    <row r="886" spans="2:21" s="637" customFormat="1" ht="10.15" customHeight="1">
      <c r="B886" s="638"/>
      <c r="C886" s="638"/>
      <c r="E886" s="639"/>
      <c r="F886" s="642"/>
      <c r="G886" s="642"/>
      <c r="H886" s="644"/>
      <c r="I886" s="643"/>
      <c r="J886" s="643"/>
      <c r="K886" s="642"/>
      <c r="L886" s="4397"/>
      <c r="M886" s="4397"/>
      <c r="O886" s="641"/>
      <c r="P886" s="639"/>
      <c r="Q886" s="639"/>
      <c r="R886" s="640"/>
      <c r="S886" s="638"/>
      <c r="T886" s="639"/>
      <c r="U886" s="638"/>
    </row>
    <row r="887" spans="2:21" s="637" customFormat="1" ht="10.15" customHeight="1">
      <c r="B887" s="638"/>
      <c r="C887" s="638"/>
      <c r="E887" s="639"/>
      <c r="F887" s="642"/>
      <c r="G887" s="642"/>
      <c r="H887" s="644"/>
      <c r="I887" s="643"/>
      <c r="J887" s="643"/>
      <c r="K887" s="642"/>
      <c r="L887" s="4397"/>
      <c r="M887" s="4397"/>
      <c r="O887" s="641"/>
      <c r="P887" s="639"/>
      <c r="Q887" s="639"/>
      <c r="R887" s="640"/>
      <c r="S887" s="638"/>
      <c r="T887" s="639"/>
      <c r="U887" s="638"/>
    </row>
    <row r="888" spans="2:21" s="637" customFormat="1" ht="10.15" customHeight="1">
      <c r="B888" s="638"/>
      <c r="C888" s="638"/>
      <c r="E888" s="639"/>
      <c r="F888" s="642"/>
      <c r="G888" s="642"/>
      <c r="H888" s="644"/>
      <c r="I888" s="643"/>
      <c r="J888" s="643"/>
      <c r="K888" s="642"/>
      <c r="L888" s="4397"/>
      <c r="M888" s="4397"/>
      <c r="O888" s="641"/>
      <c r="P888" s="639"/>
      <c r="Q888" s="639"/>
      <c r="R888" s="640"/>
      <c r="S888" s="638"/>
      <c r="T888" s="639"/>
      <c r="U888" s="638"/>
    </row>
    <row r="889" spans="2:21" s="637" customFormat="1" ht="10.15" customHeight="1">
      <c r="B889" s="638"/>
      <c r="C889" s="638"/>
      <c r="E889" s="639"/>
      <c r="F889" s="642"/>
      <c r="G889" s="642"/>
      <c r="H889" s="644"/>
      <c r="I889" s="643"/>
      <c r="J889" s="643"/>
      <c r="K889" s="642"/>
      <c r="L889" s="4397"/>
      <c r="M889" s="4397"/>
      <c r="O889" s="641"/>
      <c r="P889" s="639"/>
      <c r="Q889" s="639"/>
      <c r="R889" s="640"/>
      <c r="S889" s="638"/>
      <c r="T889" s="639"/>
      <c r="U889" s="638"/>
    </row>
    <row r="890" spans="2:21" s="637" customFormat="1" ht="10.15" customHeight="1">
      <c r="B890" s="638"/>
      <c r="C890" s="638"/>
      <c r="E890" s="639"/>
      <c r="F890" s="642"/>
      <c r="G890" s="642"/>
      <c r="H890" s="644"/>
      <c r="I890" s="643"/>
      <c r="J890" s="643"/>
      <c r="K890" s="642"/>
      <c r="L890" s="4397"/>
      <c r="M890" s="4397"/>
      <c r="O890" s="641"/>
      <c r="P890" s="639"/>
      <c r="Q890" s="639"/>
      <c r="R890" s="640"/>
      <c r="S890" s="638"/>
      <c r="T890" s="639"/>
      <c r="U890" s="638"/>
    </row>
    <row r="891" spans="2:21" s="637" customFormat="1" ht="10.15" customHeight="1">
      <c r="B891" s="638"/>
      <c r="C891" s="638"/>
      <c r="E891" s="639"/>
      <c r="F891" s="642"/>
      <c r="G891" s="642"/>
      <c r="H891" s="644"/>
      <c r="I891" s="643"/>
      <c r="J891" s="643"/>
      <c r="K891" s="642"/>
      <c r="L891" s="4397"/>
      <c r="M891" s="4397"/>
      <c r="O891" s="641"/>
      <c r="P891" s="639"/>
      <c r="Q891" s="639"/>
      <c r="R891" s="640"/>
      <c r="S891" s="638"/>
      <c r="T891" s="639"/>
      <c r="U891" s="638"/>
    </row>
    <row r="892" spans="2:21" s="637" customFormat="1" ht="10.15" customHeight="1">
      <c r="B892" s="638"/>
      <c r="C892" s="638"/>
      <c r="E892" s="639"/>
      <c r="F892" s="642"/>
      <c r="G892" s="642"/>
      <c r="H892" s="644"/>
      <c r="I892" s="643"/>
      <c r="J892" s="643"/>
      <c r="K892" s="642"/>
      <c r="L892" s="4397"/>
      <c r="M892" s="4397"/>
      <c r="O892" s="641"/>
      <c r="P892" s="639"/>
      <c r="Q892" s="639"/>
      <c r="R892" s="640"/>
      <c r="S892" s="638"/>
      <c r="T892" s="639"/>
      <c r="U892" s="638"/>
    </row>
    <row r="893" spans="2:21" s="637" customFormat="1" ht="10.15" customHeight="1">
      <c r="B893" s="638"/>
      <c r="C893" s="638"/>
      <c r="E893" s="639"/>
      <c r="F893" s="642"/>
      <c r="G893" s="642"/>
      <c r="H893" s="644"/>
      <c r="I893" s="643"/>
      <c r="J893" s="643"/>
      <c r="K893" s="642"/>
      <c r="L893" s="4397"/>
      <c r="M893" s="4397"/>
      <c r="O893" s="641"/>
      <c r="P893" s="639"/>
      <c r="Q893" s="639"/>
      <c r="R893" s="640"/>
      <c r="S893" s="638"/>
      <c r="T893" s="639"/>
      <c r="U893" s="638"/>
    </row>
    <row r="894" spans="2:21" s="637" customFormat="1" ht="10.15" customHeight="1">
      <c r="B894" s="638"/>
      <c r="C894" s="638"/>
      <c r="E894" s="639"/>
      <c r="F894" s="642"/>
      <c r="G894" s="642"/>
      <c r="H894" s="644"/>
      <c r="I894" s="643"/>
      <c r="J894" s="643"/>
      <c r="K894" s="642"/>
      <c r="L894" s="4397"/>
      <c r="M894" s="4397"/>
      <c r="O894" s="641"/>
      <c r="P894" s="639"/>
      <c r="Q894" s="639"/>
      <c r="R894" s="640"/>
      <c r="S894" s="638"/>
      <c r="T894" s="639"/>
      <c r="U894" s="638"/>
    </row>
    <row r="895" spans="2:21" s="637" customFormat="1" ht="10.15" customHeight="1">
      <c r="B895" s="638"/>
      <c r="C895" s="638"/>
      <c r="E895" s="639"/>
      <c r="F895" s="642"/>
      <c r="G895" s="642"/>
      <c r="H895" s="644"/>
      <c r="I895" s="643"/>
      <c r="J895" s="643"/>
      <c r="K895" s="642"/>
      <c r="L895" s="4397"/>
      <c r="M895" s="4397"/>
      <c r="O895" s="641"/>
      <c r="P895" s="639"/>
      <c r="Q895" s="639"/>
      <c r="R895" s="640"/>
      <c r="S895" s="638"/>
      <c r="T895" s="639"/>
      <c r="U895" s="638"/>
    </row>
    <row r="896" spans="2:21" s="637" customFormat="1" ht="10.15" customHeight="1">
      <c r="B896" s="638"/>
      <c r="C896" s="638"/>
      <c r="E896" s="639"/>
      <c r="F896" s="642"/>
      <c r="G896" s="642"/>
      <c r="H896" s="644"/>
      <c r="I896" s="643"/>
      <c r="J896" s="643"/>
      <c r="K896" s="642"/>
      <c r="L896" s="4397"/>
      <c r="M896" s="4397"/>
      <c r="O896" s="641"/>
      <c r="P896" s="639"/>
      <c r="Q896" s="639"/>
      <c r="R896" s="640"/>
      <c r="S896" s="638"/>
      <c r="T896" s="639"/>
      <c r="U896" s="638"/>
    </row>
    <row r="897" spans="2:21" s="637" customFormat="1" ht="10.15" customHeight="1">
      <c r="B897" s="638"/>
      <c r="C897" s="638"/>
      <c r="E897" s="639"/>
      <c r="F897" s="642"/>
      <c r="G897" s="642"/>
      <c r="H897" s="644"/>
      <c r="I897" s="643"/>
      <c r="J897" s="643"/>
      <c r="K897" s="642"/>
      <c r="L897" s="4397"/>
      <c r="M897" s="4397"/>
      <c r="O897" s="641"/>
      <c r="P897" s="639"/>
      <c r="Q897" s="639"/>
      <c r="R897" s="640"/>
      <c r="S897" s="638"/>
      <c r="T897" s="639"/>
      <c r="U897" s="638"/>
    </row>
    <row r="898" spans="2:21" s="637" customFormat="1" ht="10.15" customHeight="1">
      <c r="B898" s="638"/>
      <c r="C898" s="638"/>
      <c r="E898" s="639"/>
      <c r="F898" s="642"/>
      <c r="G898" s="642"/>
      <c r="H898" s="644"/>
      <c r="I898" s="643"/>
      <c r="J898" s="643"/>
      <c r="K898" s="642"/>
      <c r="L898" s="4397"/>
      <c r="M898" s="4397"/>
      <c r="O898" s="641"/>
      <c r="P898" s="639"/>
      <c r="Q898" s="639"/>
      <c r="R898" s="640"/>
      <c r="S898" s="638"/>
      <c r="T898" s="639"/>
      <c r="U898" s="638"/>
    </row>
    <row r="899" spans="2:21" s="637" customFormat="1" ht="10.15" customHeight="1">
      <c r="B899" s="638"/>
      <c r="C899" s="638"/>
      <c r="E899" s="639"/>
      <c r="F899" s="642"/>
      <c r="G899" s="642"/>
      <c r="H899" s="644"/>
      <c r="I899" s="643"/>
      <c r="J899" s="643"/>
      <c r="K899" s="642"/>
      <c r="L899" s="4397"/>
      <c r="M899" s="4397"/>
      <c r="O899" s="641"/>
      <c r="P899" s="639"/>
      <c r="Q899" s="639"/>
      <c r="R899" s="640"/>
      <c r="S899" s="638"/>
      <c r="T899" s="639"/>
      <c r="U899" s="638"/>
    </row>
    <row r="900" spans="2:21" s="637" customFormat="1" ht="10.15" customHeight="1">
      <c r="B900" s="638"/>
      <c r="C900" s="638"/>
      <c r="E900" s="639"/>
      <c r="F900" s="642"/>
      <c r="G900" s="642"/>
      <c r="H900" s="644"/>
      <c r="I900" s="643"/>
      <c r="J900" s="643"/>
      <c r="K900" s="642"/>
      <c r="L900" s="4397"/>
      <c r="M900" s="4397"/>
      <c r="O900" s="641"/>
      <c r="P900" s="639"/>
      <c r="Q900" s="639"/>
      <c r="R900" s="640"/>
      <c r="S900" s="638"/>
      <c r="T900" s="639"/>
      <c r="U900" s="638"/>
    </row>
    <row r="901" spans="2:21" s="637" customFormat="1" ht="10.15" customHeight="1">
      <c r="B901" s="638"/>
      <c r="C901" s="638"/>
      <c r="E901" s="639"/>
      <c r="F901" s="642"/>
      <c r="G901" s="642"/>
      <c r="H901" s="644"/>
      <c r="I901" s="643"/>
      <c r="J901" s="643"/>
      <c r="K901" s="642"/>
      <c r="L901" s="4397"/>
      <c r="M901" s="4397"/>
      <c r="O901" s="641"/>
      <c r="P901" s="639"/>
      <c r="Q901" s="639"/>
      <c r="R901" s="640"/>
      <c r="S901" s="638"/>
      <c r="T901" s="639"/>
      <c r="U901" s="638"/>
    </row>
    <row r="902" spans="2:21" s="637" customFormat="1" ht="10.15" customHeight="1">
      <c r="B902" s="638"/>
      <c r="C902" s="638"/>
      <c r="E902" s="639"/>
      <c r="F902" s="642"/>
      <c r="G902" s="642"/>
      <c r="H902" s="644"/>
      <c r="I902" s="643"/>
      <c r="J902" s="643"/>
      <c r="K902" s="642"/>
      <c r="L902" s="4397"/>
      <c r="M902" s="4397"/>
      <c r="O902" s="641"/>
      <c r="P902" s="639"/>
      <c r="Q902" s="639"/>
      <c r="R902" s="640"/>
      <c r="S902" s="638"/>
      <c r="T902" s="639"/>
      <c r="U902" s="638"/>
    </row>
    <row r="903" spans="2:21" s="637" customFormat="1" ht="10.15" customHeight="1">
      <c r="B903" s="638"/>
      <c r="C903" s="638"/>
      <c r="E903" s="639"/>
      <c r="F903" s="642"/>
      <c r="G903" s="642"/>
      <c r="H903" s="644"/>
      <c r="I903" s="643"/>
      <c r="J903" s="643"/>
      <c r="K903" s="642"/>
      <c r="L903" s="4397"/>
      <c r="M903" s="4397"/>
      <c r="O903" s="641"/>
      <c r="P903" s="639"/>
      <c r="Q903" s="639"/>
      <c r="R903" s="640"/>
      <c r="S903" s="638"/>
      <c r="T903" s="639"/>
      <c r="U903" s="638"/>
    </row>
    <row r="904" spans="2:21" s="637" customFormat="1" ht="10.15" customHeight="1">
      <c r="B904" s="638"/>
      <c r="C904" s="638"/>
      <c r="E904" s="639"/>
      <c r="F904" s="642"/>
      <c r="G904" s="642"/>
      <c r="H904" s="644"/>
      <c r="I904" s="643"/>
      <c r="J904" s="643"/>
      <c r="K904" s="642"/>
      <c r="L904" s="4397"/>
      <c r="M904" s="4397"/>
      <c r="O904" s="641"/>
      <c r="P904" s="639"/>
      <c r="Q904" s="639"/>
      <c r="R904" s="640"/>
      <c r="S904" s="638"/>
      <c r="T904" s="639"/>
      <c r="U904" s="638"/>
    </row>
    <row r="905" spans="2:21" s="637" customFormat="1" ht="10.15" customHeight="1">
      <c r="B905" s="638"/>
      <c r="C905" s="638"/>
      <c r="E905" s="639"/>
      <c r="F905" s="642"/>
      <c r="G905" s="642"/>
      <c r="H905" s="644"/>
      <c r="I905" s="643"/>
      <c r="J905" s="643"/>
      <c r="K905" s="642"/>
      <c r="L905" s="4397"/>
      <c r="M905" s="4397"/>
      <c r="O905" s="641"/>
      <c r="P905" s="639"/>
      <c r="Q905" s="639"/>
      <c r="R905" s="640"/>
      <c r="S905" s="638"/>
      <c r="T905" s="639"/>
      <c r="U905" s="638"/>
    </row>
    <row r="906" spans="2:21" s="637" customFormat="1" ht="10.15" customHeight="1">
      <c r="B906" s="638"/>
      <c r="C906" s="638"/>
      <c r="E906" s="639"/>
      <c r="F906" s="642"/>
      <c r="G906" s="642"/>
      <c r="H906" s="644"/>
      <c r="I906" s="643"/>
      <c r="J906" s="643"/>
      <c r="K906" s="642"/>
      <c r="L906" s="4397"/>
      <c r="M906" s="4397"/>
      <c r="O906" s="641"/>
      <c r="P906" s="639"/>
      <c r="Q906" s="639"/>
      <c r="R906" s="640"/>
      <c r="S906" s="638"/>
      <c r="T906" s="639"/>
      <c r="U906" s="638"/>
    </row>
    <row r="907" spans="2:21" s="637" customFormat="1" ht="10.15" customHeight="1">
      <c r="B907" s="638"/>
      <c r="C907" s="638"/>
      <c r="E907" s="639"/>
      <c r="F907" s="642"/>
      <c r="G907" s="642"/>
      <c r="H907" s="644"/>
      <c r="I907" s="643"/>
      <c r="J907" s="643"/>
      <c r="K907" s="642"/>
      <c r="L907" s="4397"/>
      <c r="M907" s="4397"/>
      <c r="O907" s="641"/>
      <c r="P907" s="639"/>
      <c r="Q907" s="639"/>
      <c r="R907" s="640"/>
      <c r="S907" s="638"/>
      <c r="T907" s="639"/>
      <c r="U907" s="638"/>
    </row>
    <row r="908" spans="2:21" s="637" customFormat="1" ht="10.15" customHeight="1">
      <c r="B908" s="638"/>
      <c r="C908" s="638"/>
      <c r="E908" s="639"/>
      <c r="F908" s="642"/>
      <c r="G908" s="642"/>
      <c r="H908" s="644"/>
      <c r="I908" s="643"/>
      <c r="J908" s="643"/>
      <c r="K908" s="642"/>
      <c r="L908" s="4397"/>
      <c r="M908" s="4397"/>
      <c r="O908" s="641"/>
      <c r="P908" s="639"/>
      <c r="Q908" s="639"/>
      <c r="R908" s="640"/>
      <c r="S908" s="638"/>
      <c r="T908" s="639"/>
      <c r="U908" s="638"/>
    </row>
    <row r="909" spans="2:21" s="637" customFormat="1" ht="10.15" customHeight="1">
      <c r="B909" s="638"/>
      <c r="C909" s="638"/>
      <c r="E909" s="639"/>
      <c r="F909" s="642"/>
      <c r="G909" s="642"/>
      <c r="H909" s="644"/>
      <c r="I909" s="643"/>
      <c r="J909" s="643"/>
      <c r="K909" s="642"/>
      <c r="L909" s="4397"/>
      <c r="M909" s="4397"/>
      <c r="O909" s="641"/>
      <c r="P909" s="639"/>
      <c r="Q909" s="639"/>
      <c r="R909" s="640"/>
      <c r="S909" s="638"/>
      <c r="T909" s="639"/>
      <c r="U909" s="638"/>
    </row>
    <row r="910" spans="2:21" s="637" customFormat="1" ht="10.15" customHeight="1">
      <c r="B910" s="638"/>
      <c r="C910" s="638"/>
      <c r="E910" s="639"/>
      <c r="F910" s="642"/>
      <c r="G910" s="642"/>
      <c r="H910" s="644"/>
      <c r="I910" s="643"/>
      <c r="J910" s="643"/>
      <c r="K910" s="642"/>
      <c r="L910" s="4397"/>
      <c r="M910" s="4397"/>
      <c r="O910" s="641"/>
      <c r="P910" s="639"/>
      <c r="Q910" s="639"/>
      <c r="R910" s="640"/>
      <c r="S910" s="638"/>
      <c r="T910" s="639"/>
      <c r="U910" s="638"/>
    </row>
    <row r="911" spans="2:21" s="637" customFormat="1" ht="10.15" customHeight="1">
      <c r="B911" s="638"/>
      <c r="C911" s="638"/>
      <c r="E911" s="639"/>
      <c r="F911" s="642"/>
      <c r="G911" s="642"/>
      <c r="H911" s="644"/>
      <c r="I911" s="643"/>
      <c r="J911" s="643"/>
      <c r="K911" s="642"/>
      <c r="L911" s="4397"/>
      <c r="M911" s="4397"/>
      <c r="O911" s="641"/>
      <c r="P911" s="639"/>
      <c r="Q911" s="639"/>
      <c r="R911" s="640"/>
      <c r="S911" s="638"/>
      <c r="T911" s="639"/>
      <c r="U911" s="638"/>
    </row>
    <row r="912" spans="2:21" s="637" customFormat="1" ht="10.15" customHeight="1">
      <c r="B912" s="638"/>
      <c r="C912" s="638"/>
      <c r="E912" s="639"/>
      <c r="F912" s="642"/>
      <c r="G912" s="642"/>
      <c r="H912" s="644"/>
      <c r="I912" s="643"/>
      <c r="J912" s="643"/>
      <c r="K912" s="642"/>
      <c r="L912" s="4397"/>
      <c r="M912" s="4397"/>
      <c r="O912" s="641"/>
      <c r="P912" s="639"/>
      <c r="Q912" s="639"/>
      <c r="R912" s="640"/>
      <c r="S912" s="638"/>
      <c r="T912" s="639"/>
      <c r="U912" s="638"/>
    </row>
    <row r="913" spans="2:21" s="637" customFormat="1" ht="10.15" customHeight="1">
      <c r="B913" s="638"/>
      <c r="C913" s="638"/>
      <c r="E913" s="639"/>
      <c r="F913" s="642"/>
      <c r="G913" s="642"/>
      <c r="H913" s="644"/>
      <c r="I913" s="643"/>
      <c r="J913" s="643"/>
      <c r="K913" s="642"/>
      <c r="L913" s="4397"/>
      <c r="M913" s="4397"/>
      <c r="O913" s="641"/>
      <c r="P913" s="639"/>
      <c r="Q913" s="639"/>
      <c r="R913" s="640"/>
      <c r="S913" s="638"/>
      <c r="T913" s="639"/>
      <c r="U913" s="638"/>
    </row>
    <row r="914" spans="2:21" s="637" customFormat="1" ht="10.15" customHeight="1">
      <c r="B914" s="638"/>
      <c r="C914" s="638"/>
      <c r="E914" s="639"/>
      <c r="F914" s="642"/>
      <c r="G914" s="642"/>
      <c r="H914" s="644"/>
      <c r="I914" s="643"/>
      <c r="J914" s="643"/>
      <c r="K914" s="642"/>
      <c r="L914" s="4397"/>
      <c r="M914" s="4397"/>
      <c r="O914" s="641"/>
      <c r="P914" s="639"/>
      <c r="Q914" s="639"/>
      <c r="R914" s="640"/>
      <c r="S914" s="638"/>
      <c r="T914" s="639"/>
      <c r="U914" s="638"/>
    </row>
    <row r="915" spans="2:21" s="637" customFormat="1" ht="10.15" customHeight="1">
      <c r="B915" s="638"/>
      <c r="C915" s="638"/>
      <c r="E915" s="639"/>
      <c r="F915" s="642"/>
      <c r="G915" s="642"/>
      <c r="H915" s="644"/>
      <c r="I915" s="643"/>
      <c r="J915" s="643"/>
      <c r="K915" s="642"/>
      <c r="L915" s="4397"/>
      <c r="M915" s="4397"/>
      <c r="O915" s="641"/>
      <c r="P915" s="639"/>
      <c r="Q915" s="639"/>
      <c r="R915" s="640"/>
      <c r="S915" s="638"/>
      <c r="T915" s="639"/>
      <c r="U915" s="638"/>
    </row>
    <row r="916" spans="2:21" s="637" customFormat="1" ht="10.15" customHeight="1">
      <c r="B916" s="638"/>
      <c r="C916" s="638"/>
      <c r="E916" s="639"/>
      <c r="F916" s="642"/>
      <c r="G916" s="642"/>
      <c r="H916" s="644"/>
      <c r="I916" s="643"/>
      <c r="J916" s="643"/>
      <c r="K916" s="642"/>
      <c r="L916" s="4397"/>
      <c r="M916" s="4397"/>
      <c r="O916" s="641"/>
      <c r="P916" s="639"/>
      <c r="Q916" s="639"/>
      <c r="R916" s="640"/>
      <c r="S916" s="638"/>
      <c r="T916" s="639"/>
      <c r="U916" s="638"/>
    </row>
    <row r="917" spans="2:21" s="637" customFormat="1" ht="10.15" customHeight="1">
      <c r="B917" s="638"/>
      <c r="C917" s="638"/>
      <c r="E917" s="639"/>
      <c r="F917" s="642"/>
      <c r="G917" s="642"/>
      <c r="H917" s="644"/>
      <c r="I917" s="643"/>
      <c r="J917" s="643"/>
      <c r="K917" s="642"/>
      <c r="L917" s="4397"/>
      <c r="M917" s="4397"/>
      <c r="O917" s="641"/>
      <c r="P917" s="639"/>
      <c r="Q917" s="639"/>
      <c r="R917" s="640"/>
      <c r="S917" s="638"/>
      <c r="T917" s="639"/>
      <c r="U917" s="638"/>
    </row>
    <row r="918" spans="2:21" s="637" customFormat="1" ht="10.15" customHeight="1">
      <c r="B918" s="638"/>
      <c r="C918" s="638"/>
      <c r="E918" s="639"/>
      <c r="F918" s="642"/>
      <c r="G918" s="642"/>
      <c r="H918" s="644"/>
      <c r="I918" s="643"/>
      <c r="J918" s="643"/>
      <c r="K918" s="642"/>
      <c r="L918" s="4397"/>
      <c r="M918" s="4397"/>
      <c r="O918" s="641"/>
      <c r="P918" s="639"/>
      <c r="Q918" s="639"/>
      <c r="R918" s="640"/>
      <c r="S918" s="638"/>
      <c r="T918" s="639"/>
      <c r="U918" s="638"/>
    </row>
    <row r="919" spans="2:21" s="637" customFormat="1" ht="10.15" customHeight="1">
      <c r="B919" s="638"/>
      <c r="C919" s="638"/>
      <c r="E919" s="639"/>
      <c r="F919" s="642"/>
      <c r="G919" s="642"/>
      <c r="H919" s="644"/>
      <c r="I919" s="643"/>
      <c r="J919" s="643"/>
      <c r="K919" s="642"/>
      <c r="L919" s="4397"/>
      <c r="M919" s="4397"/>
      <c r="O919" s="641"/>
      <c r="P919" s="639"/>
      <c r="Q919" s="639"/>
      <c r="R919" s="640"/>
      <c r="S919" s="638"/>
      <c r="T919" s="639"/>
      <c r="U919" s="638"/>
    </row>
    <row r="920" spans="2:21" s="637" customFormat="1" ht="10.15" customHeight="1">
      <c r="B920" s="638"/>
      <c r="C920" s="638"/>
      <c r="E920" s="639"/>
      <c r="F920" s="642"/>
      <c r="G920" s="642"/>
      <c r="H920" s="644"/>
      <c r="I920" s="643"/>
      <c r="J920" s="643"/>
      <c r="K920" s="642"/>
      <c r="L920" s="4397"/>
      <c r="M920" s="4397"/>
      <c r="O920" s="641"/>
      <c r="P920" s="639"/>
      <c r="Q920" s="639"/>
      <c r="R920" s="640"/>
      <c r="S920" s="638"/>
      <c r="T920" s="639"/>
      <c r="U920" s="638"/>
    </row>
    <row r="921" spans="2:21" s="637" customFormat="1" ht="10.15" customHeight="1">
      <c r="B921" s="638"/>
      <c r="C921" s="638"/>
      <c r="E921" s="639"/>
      <c r="F921" s="642"/>
      <c r="G921" s="642"/>
      <c r="H921" s="644"/>
      <c r="I921" s="643"/>
      <c r="J921" s="643"/>
      <c r="K921" s="642"/>
      <c r="L921" s="4397"/>
      <c r="M921" s="4397"/>
      <c r="O921" s="641"/>
      <c r="P921" s="639"/>
      <c r="Q921" s="639"/>
      <c r="R921" s="640"/>
      <c r="S921" s="638"/>
      <c r="T921" s="639"/>
      <c r="U921" s="638"/>
    </row>
    <row r="922" spans="2:21" s="637" customFormat="1" ht="10.15" customHeight="1">
      <c r="B922" s="638"/>
      <c r="C922" s="638"/>
      <c r="E922" s="639"/>
      <c r="F922" s="642"/>
      <c r="G922" s="642"/>
      <c r="H922" s="644"/>
      <c r="I922" s="643"/>
      <c r="J922" s="643"/>
      <c r="K922" s="642"/>
      <c r="L922" s="4397"/>
      <c r="M922" s="4397"/>
      <c r="O922" s="641"/>
      <c r="P922" s="639"/>
      <c r="Q922" s="639"/>
      <c r="R922" s="640"/>
      <c r="S922" s="638"/>
      <c r="T922" s="639"/>
      <c r="U922" s="638"/>
    </row>
    <row r="923" spans="2:21" s="637" customFormat="1" ht="10.15" customHeight="1">
      <c r="B923" s="638"/>
      <c r="C923" s="638"/>
      <c r="E923" s="639"/>
      <c r="F923" s="642"/>
      <c r="G923" s="642"/>
      <c r="H923" s="644"/>
      <c r="I923" s="643"/>
      <c r="J923" s="643"/>
      <c r="K923" s="642"/>
      <c r="L923" s="4397"/>
      <c r="M923" s="4397"/>
      <c r="O923" s="641"/>
      <c r="P923" s="639"/>
      <c r="Q923" s="639"/>
      <c r="R923" s="640"/>
      <c r="S923" s="638"/>
      <c r="T923" s="639"/>
      <c r="U923" s="638"/>
    </row>
    <row r="924" spans="2:21" s="637" customFormat="1" ht="10.15" customHeight="1">
      <c r="B924" s="638"/>
      <c r="C924" s="638"/>
      <c r="E924" s="639"/>
      <c r="F924" s="642"/>
      <c r="G924" s="642"/>
      <c r="H924" s="644"/>
      <c r="I924" s="643"/>
      <c r="J924" s="643"/>
      <c r="K924" s="642"/>
      <c r="L924" s="4397"/>
      <c r="M924" s="4397"/>
      <c r="O924" s="641"/>
      <c r="P924" s="639"/>
      <c r="Q924" s="639"/>
      <c r="R924" s="640"/>
      <c r="S924" s="638"/>
      <c r="T924" s="639"/>
      <c r="U924" s="638"/>
    </row>
    <row r="925" spans="2:21" s="637" customFormat="1" ht="10.15" customHeight="1">
      <c r="B925" s="638"/>
      <c r="C925" s="638"/>
      <c r="E925" s="639"/>
      <c r="F925" s="642"/>
      <c r="G925" s="642"/>
      <c r="H925" s="644"/>
      <c r="I925" s="643"/>
      <c r="J925" s="643"/>
      <c r="K925" s="642"/>
      <c r="L925" s="4397"/>
      <c r="M925" s="4397"/>
      <c r="O925" s="641"/>
      <c r="P925" s="639"/>
      <c r="Q925" s="639"/>
      <c r="R925" s="640"/>
      <c r="S925" s="638"/>
      <c r="T925" s="639"/>
      <c r="U925" s="638"/>
    </row>
    <row r="926" spans="2:21" s="637" customFormat="1" ht="10.15" customHeight="1">
      <c r="B926" s="638"/>
      <c r="C926" s="638"/>
      <c r="E926" s="639"/>
      <c r="F926" s="642"/>
      <c r="G926" s="642"/>
      <c r="H926" s="644"/>
      <c r="I926" s="643"/>
      <c r="J926" s="643"/>
      <c r="K926" s="642"/>
      <c r="L926" s="4397"/>
      <c r="M926" s="4397"/>
      <c r="O926" s="641"/>
      <c r="P926" s="639"/>
      <c r="Q926" s="639"/>
      <c r="R926" s="640"/>
      <c r="S926" s="638"/>
      <c r="T926" s="639"/>
      <c r="U926" s="638"/>
    </row>
    <row r="927" spans="2:21" s="637" customFormat="1" ht="10.15" customHeight="1">
      <c r="B927" s="638"/>
      <c r="C927" s="638"/>
      <c r="E927" s="639"/>
      <c r="F927" s="642"/>
      <c r="G927" s="642"/>
      <c r="H927" s="644"/>
      <c r="I927" s="643"/>
      <c r="J927" s="643"/>
      <c r="K927" s="642"/>
      <c r="L927" s="4397"/>
      <c r="M927" s="4397"/>
      <c r="O927" s="641"/>
      <c r="P927" s="639"/>
      <c r="Q927" s="639"/>
      <c r="R927" s="640"/>
      <c r="S927" s="638"/>
      <c r="T927" s="639"/>
      <c r="U927" s="638"/>
    </row>
    <row r="928" spans="2:21" s="637" customFormat="1" ht="10.15" customHeight="1">
      <c r="B928" s="638"/>
      <c r="C928" s="638"/>
      <c r="E928" s="639"/>
      <c r="F928" s="642"/>
      <c r="G928" s="642"/>
      <c r="H928" s="644"/>
      <c r="I928" s="643"/>
      <c r="J928" s="643"/>
      <c r="K928" s="642"/>
      <c r="L928" s="4397"/>
      <c r="M928" s="4397"/>
      <c r="O928" s="641"/>
      <c r="P928" s="639"/>
      <c r="Q928" s="639"/>
      <c r="R928" s="640"/>
      <c r="S928" s="638"/>
      <c r="T928" s="639"/>
      <c r="U928" s="638"/>
    </row>
    <row r="929" spans="2:21" s="637" customFormat="1" ht="10.15" customHeight="1">
      <c r="B929" s="638"/>
      <c r="C929" s="638"/>
      <c r="E929" s="639"/>
      <c r="F929" s="642"/>
      <c r="G929" s="642"/>
      <c r="H929" s="644"/>
      <c r="I929" s="643"/>
      <c r="J929" s="643"/>
      <c r="K929" s="642"/>
      <c r="L929" s="4397"/>
      <c r="M929" s="4397"/>
      <c r="O929" s="641"/>
      <c r="P929" s="639"/>
      <c r="Q929" s="639"/>
      <c r="R929" s="640"/>
      <c r="S929" s="638"/>
      <c r="T929" s="639"/>
      <c r="U929" s="638"/>
    </row>
    <row r="930" spans="2:21" s="631" customFormat="1">
      <c r="B930" s="635"/>
      <c r="C930" s="632"/>
      <c r="D930" s="632"/>
      <c r="E930" s="634"/>
      <c r="F930" s="636"/>
      <c r="G930" s="636"/>
      <c r="I930" s="632"/>
      <c r="N930" s="632"/>
    </row>
    <row r="931" spans="2:21" s="631" customFormat="1">
      <c r="B931" s="635"/>
      <c r="C931" s="632"/>
      <c r="D931" s="632"/>
      <c r="E931" s="634"/>
      <c r="F931" s="636"/>
      <c r="G931" s="636"/>
      <c r="I931" s="632"/>
      <c r="N931" s="632"/>
    </row>
    <row r="932" spans="2:21" s="631" customFormat="1">
      <c r="B932" s="635"/>
      <c r="C932" s="632"/>
      <c r="D932" s="632"/>
      <c r="E932" s="634"/>
      <c r="F932" s="636"/>
      <c r="G932" s="636"/>
      <c r="I932" s="632"/>
      <c r="N932" s="632"/>
    </row>
    <row r="933" spans="2:21" s="631" customFormat="1">
      <c r="B933" s="635"/>
      <c r="C933" s="632"/>
      <c r="D933" s="632"/>
      <c r="E933" s="634"/>
      <c r="F933" s="636"/>
      <c r="G933" s="636"/>
      <c r="I933" s="632"/>
      <c r="N933" s="632"/>
    </row>
    <row r="934" spans="2:21" s="631" customFormat="1">
      <c r="B934" s="635"/>
      <c r="C934" s="632"/>
      <c r="D934" s="632"/>
      <c r="E934" s="634"/>
      <c r="F934" s="636"/>
      <c r="G934" s="636"/>
      <c r="I934" s="632"/>
      <c r="N934" s="632"/>
    </row>
    <row r="935" spans="2:21" s="631" customFormat="1">
      <c r="B935" s="635"/>
      <c r="C935" s="632"/>
      <c r="D935" s="632"/>
      <c r="E935" s="634"/>
      <c r="F935" s="636"/>
      <c r="G935" s="636"/>
      <c r="I935" s="632"/>
      <c r="N935" s="632"/>
    </row>
    <row r="936" spans="2:21" s="631" customFormat="1">
      <c r="B936" s="635"/>
      <c r="C936" s="632"/>
      <c r="D936" s="632"/>
      <c r="E936" s="634"/>
      <c r="F936" s="636"/>
      <c r="G936" s="636"/>
      <c r="I936" s="632"/>
      <c r="N936" s="632"/>
    </row>
    <row r="937" spans="2:21" s="631" customFormat="1">
      <c r="B937" s="635"/>
      <c r="C937" s="632"/>
      <c r="D937" s="632"/>
      <c r="E937" s="634"/>
      <c r="F937" s="636"/>
      <c r="G937" s="636"/>
      <c r="I937" s="632"/>
      <c r="N937" s="632"/>
    </row>
    <row r="938" spans="2:21" s="631" customFormat="1">
      <c r="B938" s="635"/>
      <c r="C938" s="632"/>
      <c r="D938" s="632"/>
      <c r="E938" s="634"/>
      <c r="F938" s="636"/>
      <c r="G938" s="636"/>
      <c r="I938" s="632"/>
      <c r="N938" s="632"/>
    </row>
    <row r="939" spans="2:21" s="631" customFormat="1">
      <c r="B939" s="635"/>
      <c r="C939" s="632"/>
      <c r="D939" s="632"/>
      <c r="E939" s="634"/>
      <c r="F939" s="636"/>
      <c r="G939" s="636"/>
      <c r="I939" s="632"/>
      <c r="N939" s="632"/>
    </row>
    <row r="940" spans="2:21" s="631" customFormat="1">
      <c r="B940" s="635"/>
      <c r="C940" s="632"/>
      <c r="D940" s="632"/>
      <c r="E940" s="634"/>
      <c r="F940" s="636"/>
      <c r="G940" s="636"/>
      <c r="I940" s="632"/>
      <c r="N940" s="632"/>
    </row>
    <row r="941" spans="2:21" s="631" customFormat="1">
      <c r="B941" s="635"/>
      <c r="C941" s="632"/>
      <c r="D941" s="632"/>
      <c r="E941" s="634"/>
      <c r="F941" s="636"/>
      <c r="G941" s="636"/>
      <c r="I941" s="632"/>
      <c r="N941" s="632"/>
    </row>
    <row r="942" spans="2:21" s="631" customFormat="1">
      <c r="B942" s="635"/>
      <c r="C942" s="632"/>
      <c r="D942" s="632"/>
      <c r="E942" s="634"/>
      <c r="F942" s="636"/>
      <c r="G942" s="636"/>
      <c r="I942" s="632"/>
      <c r="N942" s="632"/>
    </row>
    <row r="943" spans="2:21" s="631" customFormat="1">
      <c r="B943" s="635"/>
      <c r="C943" s="632"/>
      <c r="D943" s="632"/>
      <c r="E943" s="634"/>
      <c r="F943" s="636"/>
      <c r="G943" s="636"/>
      <c r="I943" s="632"/>
      <c r="N943" s="632"/>
    </row>
    <row r="944" spans="2:21" s="631" customFormat="1">
      <c r="B944" s="635"/>
      <c r="C944" s="632"/>
      <c r="D944" s="632"/>
      <c r="E944" s="634"/>
      <c r="F944" s="636"/>
      <c r="G944" s="636"/>
      <c r="I944" s="632"/>
      <c r="N944" s="632"/>
    </row>
    <row r="945" spans="2:14" s="631" customFormat="1">
      <c r="B945" s="635"/>
      <c r="C945" s="632"/>
      <c r="D945" s="632"/>
      <c r="E945" s="634"/>
      <c r="F945" s="636"/>
      <c r="G945" s="636"/>
      <c r="I945" s="632"/>
      <c r="N945" s="632"/>
    </row>
    <row r="946" spans="2:14" s="631" customFormat="1">
      <c r="B946" s="635"/>
      <c r="C946" s="632"/>
      <c r="D946" s="632"/>
      <c r="E946" s="634"/>
      <c r="F946" s="636"/>
      <c r="G946" s="636"/>
      <c r="I946" s="632"/>
      <c r="N946" s="632"/>
    </row>
    <row r="947" spans="2:14" s="631" customFormat="1">
      <c r="B947" s="635"/>
      <c r="C947" s="632"/>
      <c r="D947" s="632"/>
      <c r="E947" s="634"/>
      <c r="F947" s="636"/>
      <c r="G947" s="636"/>
      <c r="I947" s="632"/>
      <c r="N947" s="632"/>
    </row>
    <row r="948" spans="2:14" s="631" customFormat="1">
      <c r="B948" s="635"/>
      <c r="C948" s="632"/>
      <c r="D948" s="632"/>
      <c r="E948" s="634"/>
      <c r="F948" s="636"/>
      <c r="G948" s="636"/>
      <c r="I948" s="632"/>
      <c r="N948" s="632"/>
    </row>
    <row r="949" spans="2:14" s="631" customFormat="1">
      <c r="B949" s="635"/>
      <c r="C949" s="632"/>
      <c r="D949" s="632"/>
      <c r="E949" s="634"/>
      <c r="F949" s="636"/>
      <c r="G949" s="636"/>
      <c r="I949" s="632"/>
      <c r="N949" s="632"/>
    </row>
    <row r="950" spans="2:14" s="631" customFormat="1">
      <c r="B950" s="635"/>
      <c r="C950" s="632"/>
      <c r="D950" s="632"/>
      <c r="E950" s="634"/>
      <c r="F950" s="636"/>
      <c r="G950" s="636"/>
      <c r="I950" s="632"/>
      <c r="N950" s="632"/>
    </row>
    <row r="951" spans="2:14" s="631" customFormat="1">
      <c r="B951" s="635"/>
      <c r="C951" s="632"/>
      <c r="D951" s="632"/>
      <c r="E951" s="634"/>
      <c r="F951" s="636"/>
      <c r="G951" s="636"/>
      <c r="I951" s="632"/>
      <c r="N951" s="632"/>
    </row>
    <row r="952" spans="2:14" s="631" customFormat="1">
      <c r="B952" s="635"/>
      <c r="C952" s="632"/>
      <c r="D952" s="632"/>
      <c r="E952" s="634"/>
      <c r="F952" s="636"/>
      <c r="G952" s="636"/>
      <c r="I952" s="632"/>
      <c r="N952" s="632"/>
    </row>
    <row r="953" spans="2:14" s="631" customFormat="1">
      <c r="B953" s="635"/>
      <c r="C953" s="632"/>
      <c r="D953" s="632"/>
      <c r="E953" s="634"/>
      <c r="F953" s="636"/>
      <c r="G953" s="636"/>
      <c r="I953" s="632"/>
      <c r="N953" s="632"/>
    </row>
    <row r="954" spans="2:14" s="631" customFormat="1">
      <c r="B954" s="635"/>
      <c r="C954" s="632"/>
      <c r="D954" s="632"/>
      <c r="E954" s="634"/>
      <c r="F954" s="636"/>
      <c r="G954" s="636"/>
      <c r="I954" s="632"/>
      <c r="N954" s="632"/>
    </row>
    <row r="955" spans="2:14" s="631" customFormat="1">
      <c r="B955" s="635"/>
      <c r="C955" s="632"/>
      <c r="D955" s="632"/>
      <c r="E955" s="634"/>
      <c r="F955" s="636"/>
      <c r="G955" s="636"/>
      <c r="I955" s="632"/>
      <c r="N955" s="632"/>
    </row>
    <row r="956" spans="2:14" s="631" customFormat="1">
      <c r="B956" s="635"/>
      <c r="C956" s="632"/>
      <c r="D956" s="632"/>
      <c r="E956" s="634"/>
      <c r="F956" s="636"/>
      <c r="G956" s="636"/>
      <c r="I956" s="632"/>
      <c r="N956" s="632"/>
    </row>
    <row r="957" spans="2:14" s="631" customFormat="1">
      <c r="B957" s="635"/>
      <c r="C957" s="632"/>
      <c r="D957" s="632"/>
      <c r="E957" s="634"/>
      <c r="F957" s="636"/>
      <c r="G957" s="636"/>
      <c r="I957" s="632"/>
      <c r="N957" s="632"/>
    </row>
    <row r="958" spans="2:14" s="631" customFormat="1">
      <c r="B958" s="635"/>
      <c r="C958" s="632"/>
      <c r="D958" s="632"/>
      <c r="E958" s="634"/>
      <c r="F958" s="636"/>
      <c r="G958" s="636"/>
      <c r="I958" s="632"/>
      <c r="N958" s="632"/>
    </row>
    <row r="959" spans="2:14" s="631" customFormat="1">
      <c r="B959" s="635"/>
      <c r="C959" s="632"/>
      <c r="D959" s="632"/>
      <c r="E959" s="634"/>
      <c r="F959" s="636"/>
      <c r="G959" s="636"/>
      <c r="I959" s="632"/>
      <c r="N959" s="632"/>
    </row>
    <row r="960" spans="2:14" s="631" customFormat="1">
      <c r="B960" s="635"/>
      <c r="C960" s="632"/>
      <c r="D960" s="632"/>
      <c r="E960" s="634"/>
      <c r="F960" s="636"/>
      <c r="G960" s="636"/>
      <c r="I960" s="632"/>
      <c r="N960" s="632"/>
    </row>
    <row r="961" spans="2:14" s="631" customFormat="1">
      <c r="B961" s="635"/>
      <c r="C961" s="632"/>
      <c r="D961" s="632"/>
      <c r="E961" s="634"/>
      <c r="F961" s="636"/>
      <c r="G961" s="636"/>
      <c r="I961" s="632"/>
      <c r="N961" s="632"/>
    </row>
    <row r="962" spans="2:14" s="631" customFormat="1">
      <c r="B962" s="635"/>
      <c r="C962" s="632"/>
      <c r="D962" s="632"/>
      <c r="E962" s="634"/>
      <c r="F962" s="636"/>
      <c r="G962" s="636"/>
      <c r="I962" s="632"/>
      <c r="N962" s="632"/>
    </row>
    <row r="963" spans="2:14" s="631" customFormat="1">
      <c r="B963" s="635"/>
      <c r="C963" s="632"/>
      <c r="D963" s="632"/>
      <c r="E963" s="634"/>
      <c r="F963" s="636"/>
      <c r="G963" s="636"/>
      <c r="I963" s="632"/>
      <c r="N963" s="632"/>
    </row>
    <row r="964" spans="2:14" s="631" customFormat="1">
      <c r="B964" s="635"/>
      <c r="C964" s="632"/>
      <c r="D964" s="632"/>
      <c r="E964" s="634"/>
      <c r="F964" s="636"/>
      <c r="G964" s="636"/>
      <c r="I964" s="632"/>
      <c r="N964" s="632"/>
    </row>
    <row r="965" spans="2:14" s="631" customFormat="1">
      <c r="B965" s="635"/>
      <c r="C965" s="632"/>
      <c r="D965" s="632"/>
      <c r="E965" s="634"/>
      <c r="F965" s="636"/>
      <c r="G965" s="636"/>
      <c r="I965" s="632"/>
      <c r="N965" s="632"/>
    </row>
    <row r="966" spans="2:14" s="631" customFormat="1">
      <c r="B966" s="635"/>
      <c r="C966" s="632"/>
      <c r="D966" s="632"/>
      <c r="E966" s="634"/>
      <c r="F966" s="636"/>
      <c r="G966" s="636"/>
      <c r="I966" s="632"/>
      <c r="N966" s="632"/>
    </row>
    <row r="967" spans="2:14" s="631" customFormat="1">
      <c r="B967" s="635"/>
      <c r="C967" s="632"/>
      <c r="D967" s="632"/>
      <c r="E967" s="634"/>
      <c r="F967" s="636"/>
      <c r="G967" s="636"/>
      <c r="I967" s="632"/>
      <c r="N967" s="632"/>
    </row>
    <row r="968" spans="2:14" s="631" customFormat="1">
      <c r="B968" s="635"/>
      <c r="C968" s="632"/>
      <c r="D968" s="632"/>
      <c r="E968" s="634"/>
      <c r="F968" s="636"/>
      <c r="G968" s="636"/>
      <c r="I968" s="632"/>
      <c r="N968" s="632"/>
    </row>
    <row r="969" spans="2:14" s="631" customFormat="1">
      <c r="B969" s="635"/>
      <c r="C969" s="632"/>
      <c r="D969" s="632"/>
      <c r="E969" s="634"/>
      <c r="F969" s="636"/>
      <c r="G969" s="636"/>
      <c r="I969" s="632"/>
      <c r="N969" s="632"/>
    </row>
    <row r="970" spans="2:14" s="631" customFormat="1">
      <c r="B970" s="635"/>
      <c r="C970" s="632"/>
      <c r="D970" s="632"/>
      <c r="E970" s="634"/>
      <c r="F970" s="636"/>
      <c r="G970" s="636"/>
      <c r="I970" s="632"/>
      <c r="N970" s="632"/>
    </row>
    <row r="971" spans="2:14" s="631" customFormat="1">
      <c r="B971" s="635"/>
      <c r="C971" s="632"/>
      <c r="D971" s="632"/>
      <c r="E971" s="634"/>
      <c r="F971" s="636"/>
      <c r="G971" s="636"/>
      <c r="I971" s="632"/>
      <c r="N971" s="632"/>
    </row>
    <row r="972" spans="2:14" s="631" customFormat="1">
      <c r="B972" s="635"/>
      <c r="C972" s="632"/>
      <c r="D972" s="632"/>
      <c r="E972" s="634"/>
      <c r="F972" s="636"/>
      <c r="G972" s="636"/>
      <c r="I972" s="632"/>
      <c r="N972" s="632"/>
    </row>
    <row r="973" spans="2:14" s="631" customFormat="1">
      <c r="B973" s="635"/>
      <c r="C973" s="632"/>
      <c r="D973" s="632"/>
      <c r="E973" s="634"/>
      <c r="F973" s="636"/>
      <c r="G973" s="636"/>
      <c r="I973" s="632"/>
      <c r="N973" s="632"/>
    </row>
    <row r="974" spans="2:14" s="631" customFormat="1">
      <c r="B974" s="635"/>
      <c r="C974" s="632"/>
      <c r="D974" s="632"/>
      <c r="E974" s="634"/>
      <c r="F974" s="636"/>
      <c r="G974" s="636"/>
      <c r="I974" s="632"/>
      <c r="N974" s="632"/>
    </row>
    <row r="975" spans="2:14" s="631" customFormat="1">
      <c r="B975" s="635"/>
      <c r="C975" s="632"/>
      <c r="D975" s="632"/>
      <c r="E975" s="634"/>
      <c r="F975" s="636"/>
      <c r="G975" s="636"/>
      <c r="I975" s="632"/>
      <c r="N975" s="632"/>
    </row>
    <row r="976" spans="2:14" s="631" customFormat="1">
      <c r="B976" s="635"/>
      <c r="C976" s="632"/>
      <c r="D976" s="632"/>
      <c r="E976" s="634"/>
      <c r="F976" s="636"/>
      <c r="G976" s="636"/>
      <c r="I976" s="632"/>
      <c r="N976" s="632"/>
    </row>
    <row r="977" spans="2:14" s="631" customFormat="1">
      <c r="B977" s="635"/>
      <c r="C977" s="632"/>
      <c r="D977" s="632"/>
      <c r="E977" s="634"/>
      <c r="F977" s="636"/>
      <c r="G977" s="636"/>
      <c r="I977" s="632"/>
      <c r="N977" s="632"/>
    </row>
    <row r="978" spans="2:14" s="631" customFormat="1">
      <c r="B978" s="635"/>
      <c r="C978" s="632"/>
      <c r="D978" s="632"/>
      <c r="E978" s="634"/>
      <c r="F978" s="636"/>
      <c r="G978" s="636"/>
      <c r="I978" s="632"/>
      <c r="N978" s="632"/>
    </row>
    <row r="979" spans="2:14" s="631" customFormat="1">
      <c r="B979" s="635"/>
      <c r="C979" s="632"/>
      <c r="D979" s="632"/>
      <c r="E979" s="634"/>
      <c r="F979" s="636"/>
      <c r="G979" s="636"/>
      <c r="I979" s="632"/>
      <c r="N979" s="632"/>
    </row>
    <row r="980" spans="2:14" s="631" customFormat="1">
      <c r="B980" s="635"/>
      <c r="C980" s="632"/>
      <c r="D980" s="632"/>
      <c r="E980" s="634"/>
      <c r="F980" s="636"/>
      <c r="G980" s="636"/>
      <c r="I980" s="632"/>
      <c r="N980" s="632"/>
    </row>
    <row r="981" spans="2:14" s="631" customFormat="1">
      <c r="B981" s="635"/>
      <c r="C981" s="632"/>
      <c r="D981" s="632"/>
      <c r="E981" s="634"/>
      <c r="F981" s="636"/>
      <c r="G981" s="636"/>
      <c r="I981" s="632"/>
      <c r="N981" s="632"/>
    </row>
    <row r="982" spans="2:14" s="631" customFormat="1">
      <c r="B982" s="635"/>
      <c r="C982" s="632"/>
      <c r="D982" s="632"/>
      <c r="E982" s="634"/>
      <c r="F982" s="636"/>
      <c r="G982" s="636"/>
      <c r="I982" s="632"/>
      <c r="N982" s="632"/>
    </row>
    <row r="983" spans="2:14" s="631" customFormat="1">
      <c r="B983" s="635"/>
      <c r="C983" s="632"/>
      <c r="D983" s="632"/>
      <c r="E983" s="634"/>
      <c r="F983" s="636"/>
      <c r="G983" s="636"/>
      <c r="I983" s="632"/>
      <c r="N983" s="632"/>
    </row>
    <row r="984" spans="2:14" s="631" customFormat="1">
      <c r="B984" s="635"/>
      <c r="C984" s="632"/>
      <c r="D984" s="632"/>
      <c r="E984" s="634"/>
      <c r="F984" s="636"/>
      <c r="G984" s="636"/>
      <c r="I984" s="632"/>
      <c r="N984" s="632"/>
    </row>
    <row r="985" spans="2:14" s="631" customFormat="1">
      <c r="B985" s="635"/>
      <c r="C985" s="632"/>
      <c r="D985" s="632"/>
      <c r="E985" s="634"/>
      <c r="F985" s="636"/>
      <c r="G985" s="636"/>
      <c r="I985" s="632"/>
      <c r="N985" s="632"/>
    </row>
    <row r="986" spans="2:14" s="631" customFormat="1">
      <c r="B986" s="635"/>
      <c r="C986" s="632"/>
      <c r="D986" s="632"/>
      <c r="E986" s="634"/>
      <c r="F986" s="636"/>
      <c r="G986" s="636"/>
      <c r="I986" s="632"/>
      <c r="N986" s="632"/>
    </row>
    <row r="987" spans="2:14" s="631" customFormat="1">
      <c r="B987" s="635"/>
      <c r="C987" s="632"/>
      <c r="D987" s="632"/>
      <c r="E987" s="634"/>
      <c r="F987" s="636"/>
      <c r="G987" s="636"/>
      <c r="I987" s="632"/>
      <c r="N987" s="632"/>
    </row>
    <row r="988" spans="2:14" s="631" customFormat="1">
      <c r="B988" s="635"/>
      <c r="C988" s="632"/>
      <c r="D988" s="632"/>
      <c r="E988" s="634"/>
      <c r="F988" s="636"/>
      <c r="G988" s="636"/>
      <c r="I988" s="632"/>
      <c r="N988" s="632"/>
    </row>
    <row r="989" spans="2:14" s="631" customFormat="1">
      <c r="B989" s="635"/>
      <c r="C989" s="632"/>
      <c r="D989" s="632"/>
      <c r="E989" s="634"/>
      <c r="F989" s="636"/>
      <c r="G989" s="636"/>
      <c r="I989" s="632"/>
      <c r="N989" s="632"/>
    </row>
    <row r="990" spans="2:14" s="631" customFormat="1">
      <c r="B990" s="635"/>
      <c r="C990" s="632"/>
      <c r="D990" s="632"/>
      <c r="E990" s="634"/>
      <c r="F990" s="636"/>
      <c r="G990" s="636"/>
      <c r="I990" s="632"/>
      <c r="N990" s="632"/>
    </row>
    <row r="991" spans="2:14" s="631" customFormat="1">
      <c r="B991" s="635"/>
      <c r="C991" s="632"/>
      <c r="D991" s="632"/>
      <c r="E991" s="634"/>
      <c r="F991" s="636"/>
      <c r="G991" s="636"/>
      <c r="I991" s="632"/>
      <c r="N991" s="632"/>
    </row>
    <row r="992" spans="2:14" s="631" customFormat="1">
      <c r="B992" s="635"/>
      <c r="C992" s="632"/>
      <c r="D992" s="632"/>
      <c r="E992" s="634"/>
      <c r="F992" s="636"/>
      <c r="G992" s="636"/>
      <c r="I992" s="632"/>
      <c r="N992" s="632"/>
    </row>
    <row r="993" spans="2:14" s="631" customFormat="1">
      <c r="B993" s="635"/>
      <c r="C993" s="632"/>
      <c r="D993" s="632"/>
      <c r="E993" s="634"/>
      <c r="F993" s="636"/>
      <c r="G993" s="636"/>
      <c r="I993" s="632"/>
      <c r="N993" s="632"/>
    </row>
    <row r="994" spans="2:14" s="631" customFormat="1">
      <c r="B994" s="635"/>
      <c r="C994" s="632"/>
      <c r="D994" s="632"/>
      <c r="E994" s="634"/>
      <c r="F994" s="636"/>
      <c r="G994" s="636"/>
      <c r="I994" s="632"/>
      <c r="N994" s="632"/>
    </row>
    <row r="995" spans="2:14" s="631" customFormat="1">
      <c r="B995" s="635"/>
      <c r="C995" s="632"/>
      <c r="D995" s="632"/>
      <c r="E995" s="634"/>
      <c r="F995" s="636"/>
      <c r="G995" s="636"/>
      <c r="I995" s="632"/>
      <c r="N995" s="632"/>
    </row>
    <row r="996" spans="2:14" s="631" customFormat="1">
      <c r="B996" s="635"/>
      <c r="C996" s="632"/>
      <c r="D996" s="632"/>
      <c r="E996" s="634"/>
      <c r="F996" s="636"/>
      <c r="G996" s="636"/>
      <c r="I996" s="632"/>
      <c r="N996" s="632"/>
    </row>
    <row r="997" spans="2:14" s="631" customFormat="1">
      <c r="B997" s="635"/>
      <c r="C997" s="632"/>
      <c r="D997" s="632"/>
      <c r="E997" s="634"/>
      <c r="F997" s="636"/>
      <c r="G997" s="636"/>
      <c r="I997" s="632"/>
      <c r="N997" s="632"/>
    </row>
    <row r="998" spans="2:14" s="631" customFormat="1">
      <c r="B998" s="635"/>
      <c r="C998" s="632"/>
      <c r="D998" s="632"/>
      <c r="E998" s="634"/>
      <c r="F998" s="636"/>
      <c r="G998" s="636"/>
      <c r="I998" s="632"/>
      <c r="N998" s="632"/>
    </row>
    <row r="999" spans="2:14" s="631" customFormat="1">
      <c r="B999" s="635"/>
      <c r="C999" s="632"/>
      <c r="D999" s="632"/>
      <c r="E999" s="634"/>
      <c r="F999" s="636"/>
      <c r="G999" s="636"/>
      <c r="I999" s="632"/>
      <c r="N999" s="632"/>
    </row>
    <row r="1000" spans="2:14" s="631" customFormat="1">
      <c r="B1000" s="635"/>
      <c r="C1000" s="632"/>
      <c r="D1000" s="632"/>
      <c r="E1000" s="634"/>
      <c r="F1000" s="636"/>
      <c r="G1000" s="636"/>
      <c r="I1000" s="632"/>
      <c r="N1000" s="632"/>
    </row>
    <row r="1001" spans="2:14" s="631" customFormat="1">
      <c r="B1001" s="635"/>
      <c r="C1001" s="632"/>
      <c r="D1001" s="632"/>
      <c r="E1001" s="634"/>
      <c r="F1001" s="636"/>
      <c r="G1001" s="636"/>
      <c r="I1001" s="632"/>
      <c r="N1001" s="632"/>
    </row>
    <row r="1002" spans="2:14" s="631" customFormat="1">
      <c r="B1002" s="635"/>
      <c r="C1002" s="632"/>
      <c r="D1002" s="632"/>
      <c r="E1002" s="634"/>
      <c r="F1002" s="636"/>
      <c r="G1002" s="636"/>
      <c r="I1002" s="632"/>
      <c r="N1002" s="632"/>
    </row>
    <row r="1003" spans="2:14" s="631" customFormat="1">
      <c r="B1003" s="635"/>
      <c r="C1003" s="632"/>
      <c r="D1003" s="632"/>
      <c r="E1003" s="634"/>
      <c r="F1003" s="636"/>
      <c r="G1003" s="636"/>
      <c r="I1003" s="632"/>
      <c r="N1003" s="632"/>
    </row>
    <row r="1004" spans="2:14" s="631" customFormat="1">
      <c r="B1004" s="635"/>
      <c r="C1004" s="632"/>
      <c r="D1004" s="632"/>
      <c r="E1004" s="634"/>
      <c r="F1004" s="636"/>
      <c r="G1004" s="636"/>
      <c r="I1004" s="632"/>
      <c r="N1004" s="632"/>
    </row>
    <row r="1005" spans="2:14" s="631" customFormat="1">
      <c r="B1005" s="635"/>
      <c r="C1005" s="632"/>
      <c r="D1005" s="632"/>
      <c r="E1005" s="634"/>
      <c r="F1005" s="636"/>
      <c r="G1005" s="636"/>
      <c r="I1005" s="632"/>
      <c r="N1005" s="632"/>
    </row>
    <row r="1006" spans="2:14" s="631" customFormat="1">
      <c r="B1006" s="635"/>
      <c r="C1006" s="632"/>
      <c r="D1006" s="632"/>
      <c r="E1006" s="634"/>
      <c r="F1006" s="636"/>
      <c r="G1006" s="636"/>
      <c r="I1006" s="632"/>
      <c r="N1006" s="632"/>
    </row>
    <row r="1007" spans="2:14" s="631" customFormat="1">
      <c r="B1007" s="635"/>
      <c r="C1007" s="632"/>
      <c r="D1007" s="632"/>
      <c r="E1007" s="634"/>
      <c r="F1007" s="636"/>
      <c r="G1007" s="636"/>
      <c r="I1007" s="632"/>
      <c r="N1007" s="632"/>
    </row>
    <row r="1008" spans="2:14" s="631" customFormat="1">
      <c r="B1008" s="635"/>
      <c r="C1008" s="632"/>
      <c r="D1008" s="632"/>
      <c r="E1008" s="634"/>
      <c r="F1008" s="636"/>
      <c r="G1008" s="636"/>
      <c r="I1008" s="632"/>
      <c r="N1008" s="632"/>
    </row>
    <row r="1009" spans="2:14" s="631" customFormat="1">
      <c r="B1009" s="635"/>
      <c r="C1009" s="632"/>
      <c r="D1009" s="632"/>
      <c r="E1009" s="634"/>
      <c r="F1009" s="636"/>
      <c r="G1009" s="636"/>
      <c r="I1009" s="632"/>
      <c r="N1009" s="632"/>
    </row>
    <row r="1010" spans="2:14" s="631" customFormat="1">
      <c r="B1010" s="635"/>
      <c r="C1010" s="632"/>
      <c r="D1010" s="632"/>
      <c r="E1010" s="634"/>
      <c r="F1010" s="636"/>
      <c r="G1010" s="636"/>
      <c r="I1010" s="632"/>
      <c r="N1010" s="632"/>
    </row>
    <row r="1011" spans="2:14" s="631" customFormat="1">
      <c r="B1011" s="635"/>
      <c r="C1011" s="632"/>
      <c r="D1011" s="632"/>
      <c r="E1011" s="634"/>
      <c r="F1011" s="636"/>
      <c r="G1011" s="636"/>
      <c r="I1011" s="632"/>
      <c r="N1011" s="632"/>
    </row>
    <row r="1012" spans="2:14" s="631" customFormat="1">
      <c r="B1012" s="635"/>
      <c r="C1012" s="632"/>
      <c r="D1012" s="632"/>
      <c r="E1012" s="634"/>
      <c r="F1012" s="636"/>
      <c r="G1012" s="636"/>
      <c r="I1012" s="632"/>
      <c r="N1012" s="632"/>
    </row>
    <row r="1013" spans="2:14" s="631" customFormat="1">
      <c r="B1013" s="635"/>
      <c r="C1013" s="632"/>
      <c r="D1013" s="632"/>
      <c r="E1013" s="634"/>
      <c r="F1013" s="636"/>
      <c r="G1013" s="636"/>
      <c r="I1013" s="632"/>
      <c r="N1013" s="632"/>
    </row>
    <row r="1014" spans="2:14" s="631" customFormat="1">
      <c r="B1014" s="635"/>
      <c r="C1014" s="632"/>
      <c r="D1014" s="632"/>
      <c r="E1014" s="634"/>
      <c r="F1014" s="636"/>
      <c r="G1014" s="636"/>
      <c r="I1014" s="632"/>
      <c r="N1014" s="632"/>
    </row>
    <row r="1015" spans="2:14" s="631" customFormat="1">
      <c r="B1015" s="635"/>
      <c r="C1015" s="632"/>
      <c r="D1015" s="632"/>
      <c r="E1015" s="634"/>
      <c r="F1015" s="636"/>
      <c r="G1015" s="636"/>
      <c r="I1015" s="632"/>
      <c r="N1015" s="632"/>
    </row>
    <row r="1016" spans="2:14" s="631" customFormat="1">
      <c r="B1016" s="635"/>
      <c r="C1016" s="632"/>
      <c r="D1016" s="632"/>
      <c r="E1016" s="634"/>
      <c r="F1016" s="636"/>
      <c r="G1016" s="636"/>
      <c r="I1016" s="632"/>
      <c r="N1016" s="632"/>
    </row>
    <row r="1017" spans="2:14" s="631" customFormat="1">
      <c r="B1017" s="635"/>
      <c r="C1017" s="632"/>
      <c r="D1017" s="632"/>
      <c r="E1017" s="634"/>
      <c r="F1017" s="636"/>
      <c r="G1017" s="636"/>
      <c r="I1017" s="632"/>
      <c r="N1017" s="632"/>
    </row>
    <row r="1018" spans="2:14" s="631" customFormat="1">
      <c r="B1018" s="635"/>
      <c r="C1018" s="632"/>
      <c r="D1018" s="632"/>
      <c r="E1018" s="634"/>
      <c r="F1018" s="636"/>
      <c r="G1018" s="636"/>
      <c r="I1018" s="632"/>
      <c r="N1018" s="632"/>
    </row>
    <row r="1019" spans="2:14" s="631" customFormat="1">
      <c r="B1019" s="635"/>
      <c r="C1019" s="632"/>
      <c r="D1019" s="632"/>
      <c r="E1019" s="634"/>
      <c r="F1019" s="636"/>
      <c r="G1019" s="636"/>
      <c r="I1019" s="632"/>
      <c r="N1019" s="632"/>
    </row>
    <row r="1020" spans="2:14" s="631" customFormat="1">
      <c r="B1020" s="635"/>
      <c r="C1020" s="632"/>
      <c r="D1020" s="632"/>
      <c r="E1020" s="634"/>
      <c r="F1020" s="636"/>
      <c r="G1020" s="636"/>
      <c r="I1020" s="632"/>
      <c r="N1020" s="632"/>
    </row>
    <row r="1021" spans="2:14" s="631" customFormat="1">
      <c r="B1021" s="635"/>
      <c r="C1021" s="632"/>
      <c r="D1021" s="632"/>
      <c r="E1021" s="634"/>
      <c r="F1021" s="636"/>
      <c r="G1021" s="636"/>
      <c r="I1021" s="632"/>
      <c r="N1021" s="632"/>
    </row>
    <row r="1022" spans="2:14" s="631" customFormat="1">
      <c r="B1022" s="635"/>
      <c r="C1022" s="632"/>
      <c r="D1022" s="632"/>
      <c r="E1022" s="634"/>
      <c r="F1022" s="636"/>
      <c r="G1022" s="636"/>
      <c r="I1022" s="632"/>
      <c r="N1022" s="632"/>
    </row>
    <row r="1023" spans="2:14" s="631" customFormat="1">
      <c r="B1023" s="635"/>
      <c r="C1023" s="632"/>
      <c r="D1023" s="632"/>
      <c r="E1023" s="634"/>
      <c r="F1023" s="636"/>
      <c r="G1023" s="636"/>
      <c r="I1023" s="632"/>
      <c r="N1023" s="632"/>
    </row>
    <row r="1024" spans="2:14" s="631" customFormat="1">
      <c r="B1024" s="635"/>
      <c r="C1024" s="632"/>
      <c r="D1024" s="632"/>
      <c r="E1024" s="634"/>
      <c r="F1024" s="636"/>
      <c r="G1024" s="636"/>
      <c r="I1024" s="632"/>
      <c r="N1024" s="632"/>
    </row>
    <row r="1025" spans="2:14" s="631" customFormat="1">
      <c r="B1025" s="635"/>
      <c r="C1025" s="632"/>
      <c r="D1025" s="632"/>
      <c r="E1025" s="634"/>
      <c r="F1025" s="636"/>
      <c r="G1025" s="636"/>
      <c r="I1025" s="632"/>
      <c r="N1025" s="632"/>
    </row>
    <row r="1026" spans="2:14" s="631" customFormat="1">
      <c r="B1026" s="635"/>
      <c r="C1026" s="632"/>
      <c r="D1026" s="632"/>
      <c r="E1026" s="634"/>
      <c r="F1026" s="636"/>
      <c r="G1026" s="636"/>
      <c r="I1026" s="632"/>
      <c r="N1026" s="632"/>
    </row>
    <row r="1027" spans="2:14" s="631" customFormat="1">
      <c r="B1027" s="635"/>
      <c r="C1027" s="632"/>
      <c r="D1027" s="632"/>
      <c r="E1027" s="634"/>
      <c r="F1027" s="636"/>
      <c r="G1027" s="636"/>
      <c r="I1027" s="632"/>
      <c r="N1027" s="632"/>
    </row>
    <row r="1028" spans="2:14" s="631" customFormat="1">
      <c r="B1028" s="635"/>
      <c r="C1028" s="632"/>
      <c r="D1028" s="632"/>
      <c r="E1028" s="634"/>
      <c r="F1028" s="636"/>
      <c r="G1028" s="636"/>
      <c r="I1028" s="632"/>
      <c r="N1028" s="632"/>
    </row>
    <row r="1029" spans="2:14" s="631" customFormat="1">
      <c r="B1029" s="635"/>
      <c r="C1029" s="632"/>
      <c r="D1029" s="632"/>
      <c r="E1029" s="634"/>
      <c r="F1029" s="636"/>
      <c r="G1029" s="636"/>
      <c r="I1029" s="632"/>
      <c r="N1029" s="632"/>
    </row>
    <row r="1030" spans="2:14" s="631" customFormat="1">
      <c r="B1030" s="635"/>
      <c r="C1030" s="632"/>
      <c r="D1030" s="632"/>
      <c r="E1030" s="634"/>
      <c r="F1030" s="636"/>
      <c r="G1030" s="636"/>
      <c r="I1030" s="632"/>
      <c r="N1030" s="632"/>
    </row>
    <row r="1031" spans="2:14" s="631" customFormat="1">
      <c r="B1031" s="635"/>
      <c r="C1031" s="632"/>
      <c r="D1031" s="632"/>
      <c r="E1031" s="634"/>
      <c r="F1031" s="636"/>
      <c r="G1031" s="636"/>
      <c r="I1031" s="632"/>
      <c r="N1031" s="632"/>
    </row>
    <row r="1032" spans="2:14" s="631" customFormat="1">
      <c r="B1032" s="635"/>
      <c r="C1032" s="632"/>
      <c r="D1032" s="632"/>
      <c r="E1032" s="634"/>
      <c r="F1032" s="636"/>
      <c r="G1032" s="636"/>
      <c r="I1032" s="632"/>
      <c r="N1032" s="632"/>
    </row>
    <row r="1033" spans="2:14" s="631" customFormat="1">
      <c r="B1033" s="635"/>
      <c r="C1033" s="632"/>
      <c r="D1033" s="632"/>
      <c r="E1033" s="634"/>
      <c r="F1033" s="636"/>
      <c r="G1033" s="636"/>
      <c r="I1033" s="632"/>
      <c r="N1033" s="632"/>
    </row>
    <row r="1034" spans="2:14" s="631" customFormat="1">
      <c r="B1034" s="635"/>
      <c r="C1034" s="632"/>
      <c r="D1034" s="632"/>
      <c r="E1034" s="634"/>
      <c r="F1034" s="636"/>
      <c r="G1034" s="636"/>
      <c r="I1034" s="632"/>
      <c r="N1034" s="632"/>
    </row>
    <row r="1035" spans="2:14" s="631" customFormat="1">
      <c r="B1035" s="635"/>
      <c r="C1035" s="632"/>
      <c r="D1035" s="632"/>
      <c r="E1035" s="634"/>
      <c r="F1035" s="636"/>
      <c r="G1035" s="636"/>
      <c r="I1035" s="632"/>
      <c r="N1035" s="632"/>
    </row>
    <row r="1036" spans="2:14" s="631" customFormat="1">
      <c r="B1036" s="635"/>
      <c r="C1036" s="632"/>
      <c r="D1036" s="632"/>
      <c r="E1036" s="634"/>
      <c r="F1036" s="636"/>
      <c r="G1036" s="636"/>
      <c r="I1036" s="632"/>
      <c r="N1036" s="632"/>
    </row>
    <row r="1037" spans="2:14" s="631" customFormat="1">
      <c r="B1037" s="635"/>
      <c r="C1037" s="632"/>
      <c r="D1037" s="632"/>
      <c r="E1037" s="634"/>
      <c r="F1037" s="636"/>
      <c r="G1037" s="636"/>
      <c r="I1037" s="632"/>
      <c r="N1037" s="632"/>
    </row>
    <row r="1038" spans="2:14" s="631" customFormat="1">
      <c r="B1038" s="635"/>
      <c r="C1038" s="632"/>
      <c r="D1038" s="632"/>
      <c r="E1038" s="634"/>
      <c r="F1038" s="636"/>
      <c r="G1038" s="636"/>
      <c r="I1038" s="632"/>
      <c r="N1038" s="632"/>
    </row>
    <row r="1039" spans="2:14" s="631" customFormat="1">
      <c r="B1039" s="635"/>
      <c r="C1039" s="632"/>
      <c r="D1039" s="632"/>
      <c r="E1039" s="634"/>
      <c r="F1039" s="636"/>
      <c r="G1039" s="636"/>
      <c r="I1039" s="632"/>
      <c r="N1039" s="632"/>
    </row>
    <row r="1040" spans="2:14" s="631" customFormat="1">
      <c r="B1040" s="635"/>
      <c r="C1040" s="632"/>
      <c r="D1040" s="632"/>
      <c r="E1040" s="634"/>
      <c r="F1040" s="636"/>
      <c r="G1040" s="636"/>
      <c r="I1040" s="632"/>
      <c r="N1040" s="632"/>
    </row>
    <row r="1041" spans="2:14" s="631" customFormat="1">
      <c r="B1041" s="635"/>
      <c r="C1041" s="632"/>
      <c r="D1041" s="632"/>
      <c r="E1041" s="634"/>
      <c r="F1041" s="636"/>
      <c r="G1041" s="636"/>
      <c r="I1041" s="632"/>
      <c r="N1041" s="632"/>
    </row>
    <row r="1042" spans="2:14" s="631" customFormat="1">
      <c r="B1042" s="635"/>
      <c r="C1042" s="632"/>
      <c r="D1042" s="632"/>
      <c r="E1042" s="634"/>
      <c r="F1042" s="636"/>
      <c r="G1042" s="636"/>
      <c r="I1042" s="632"/>
      <c r="N1042" s="632"/>
    </row>
    <row r="1043" spans="2:14" s="631" customFormat="1">
      <c r="B1043" s="635"/>
      <c r="C1043" s="632"/>
      <c r="D1043" s="632"/>
      <c r="E1043" s="634"/>
      <c r="F1043" s="636"/>
      <c r="G1043" s="636"/>
      <c r="I1043" s="632"/>
      <c r="N1043" s="632"/>
    </row>
    <row r="1044" spans="2:14" s="631" customFormat="1">
      <c r="B1044" s="635"/>
      <c r="C1044" s="632"/>
      <c r="D1044" s="632"/>
      <c r="E1044" s="634"/>
      <c r="F1044" s="636"/>
      <c r="G1044" s="636"/>
      <c r="I1044" s="632"/>
      <c r="N1044" s="632"/>
    </row>
    <row r="1045" spans="2:14" s="631" customFormat="1">
      <c r="B1045" s="635"/>
      <c r="C1045" s="632"/>
      <c r="D1045" s="632"/>
      <c r="E1045" s="634"/>
      <c r="F1045" s="636"/>
      <c r="G1045" s="636"/>
      <c r="I1045" s="632"/>
      <c r="N1045" s="632"/>
    </row>
    <row r="1046" spans="2:14" s="631" customFormat="1">
      <c r="B1046" s="635"/>
      <c r="C1046" s="632"/>
      <c r="D1046" s="632"/>
      <c r="E1046" s="634"/>
      <c r="F1046" s="636"/>
      <c r="G1046" s="636"/>
      <c r="I1046" s="632"/>
      <c r="N1046" s="632"/>
    </row>
    <row r="1047" spans="2:14" s="631" customFormat="1">
      <c r="B1047" s="635"/>
      <c r="C1047" s="632"/>
      <c r="D1047" s="632"/>
      <c r="E1047" s="634"/>
      <c r="F1047" s="636"/>
      <c r="G1047" s="636"/>
      <c r="I1047" s="632"/>
      <c r="N1047" s="632"/>
    </row>
    <row r="1048" spans="2:14" s="631" customFormat="1">
      <c r="B1048" s="635"/>
      <c r="C1048" s="632"/>
      <c r="D1048" s="632"/>
      <c r="E1048" s="634"/>
      <c r="F1048" s="636"/>
      <c r="G1048" s="636"/>
      <c r="I1048" s="632"/>
      <c r="N1048" s="632"/>
    </row>
    <row r="1049" spans="2:14" s="631" customFormat="1">
      <c r="B1049" s="635"/>
      <c r="C1049" s="632"/>
      <c r="D1049" s="632"/>
      <c r="E1049" s="634"/>
      <c r="F1049" s="636"/>
      <c r="G1049" s="636"/>
      <c r="I1049" s="632"/>
      <c r="N1049" s="632"/>
    </row>
    <row r="1050" spans="2:14" s="631" customFormat="1">
      <c r="B1050" s="635"/>
      <c r="C1050" s="632"/>
      <c r="D1050" s="632"/>
      <c r="E1050" s="634"/>
      <c r="F1050" s="636"/>
      <c r="G1050" s="636"/>
      <c r="I1050" s="632"/>
      <c r="N1050" s="632"/>
    </row>
    <row r="1051" spans="2:14" s="631" customFormat="1">
      <c r="B1051" s="635"/>
      <c r="C1051" s="632"/>
      <c r="D1051" s="632"/>
      <c r="E1051" s="634"/>
      <c r="F1051" s="636"/>
      <c r="G1051" s="636"/>
      <c r="I1051" s="632"/>
      <c r="N1051" s="632"/>
    </row>
    <row r="1052" spans="2:14" s="631" customFormat="1">
      <c r="B1052" s="635"/>
      <c r="C1052" s="632"/>
      <c r="D1052" s="632"/>
      <c r="E1052" s="634"/>
      <c r="F1052" s="636"/>
      <c r="G1052" s="636"/>
      <c r="I1052" s="632"/>
      <c r="N1052" s="632"/>
    </row>
    <row r="1053" spans="2:14" s="631" customFormat="1">
      <c r="B1053" s="635"/>
      <c r="C1053" s="632"/>
      <c r="D1053" s="632"/>
      <c r="E1053" s="634"/>
      <c r="F1053" s="636"/>
      <c r="G1053" s="636"/>
      <c r="I1053" s="632"/>
      <c r="N1053" s="632"/>
    </row>
    <row r="1054" spans="2:14" s="631" customFormat="1">
      <c r="B1054" s="635"/>
      <c r="C1054" s="632"/>
      <c r="D1054" s="632"/>
      <c r="E1054" s="634"/>
      <c r="F1054" s="636"/>
      <c r="G1054" s="636"/>
      <c r="I1054" s="632"/>
      <c r="N1054" s="632"/>
    </row>
    <row r="1055" spans="2:14" s="631" customFormat="1">
      <c r="B1055" s="635"/>
      <c r="C1055" s="632"/>
      <c r="D1055" s="632"/>
      <c r="E1055" s="634"/>
      <c r="F1055" s="636"/>
      <c r="G1055" s="636"/>
      <c r="I1055" s="632"/>
      <c r="N1055" s="632"/>
    </row>
    <row r="1056" spans="2:14" s="631" customFormat="1">
      <c r="B1056" s="635"/>
      <c r="C1056" s="632"/>
      <c r="D1056" s="632"/>
      <c r="E1056" s="634"/>
      <c r="F1056" s="636"/>
      <c r="G1056" s="636"/>
      <c r="I1056" s="632"/>
      <c r="N1056" s="632"/>
    </row>
    <row r="1057" spans="2:14" s="631" customFormat="1">
      <c r="B1057" s="635"/>
      <c r="C1057" s="632"/>
      <c r="D1057" s="632"/>
      <c r="E1057" s="634"/>
      <c r="F1057" s="636"/>
      <c r="G1057" s="636"/>
      <c r="I1057" s="632"/>
      <c r="N1057" s="632"/>
    </row>
    <row r="1058" spans="2:14" s="631" customFormat="1">
      <c r="B1058" s="635"/>
      <c r="C1058" s="632"/>
      <c r="D1058" s="632"/>
      <c r="E1058" s="634"/>
      <c r="F1058" s="636"/>
      <c r="G1058" s="636"/>
      <c r="I1058" s="632"/>
      <c r="N1058" s="632"/>
    </row>
    <row r="1059" spans="2:14" s="631" customFormat="1">
      <c r="B1059" s="635"/>
      <c r="C1059" s="632"/>
      <c r="D1059" s="632"/>
      <c r="E1059" s="634"/>
      <c r="F1059" s="636"/>
      <c r="G1059" s="636"/>
      <c r="I1059" s="632"/>
      <c r="N1059" s="632"/>
    </row>
    <row r="1060" spans="2:14" s="631" customFormat="1">
      <c r="B1060" s="635"/>
      <c r="C1060" s="632"/>
      <c r="D1060" s="632"/>
      <c r="E1060" s="634"/>
      <c r="F1060" s="636"/>
      <c r="G1060" s="636"/>
      <c r="I1060" s="632"/>
      <c r="N1060" s="632"/>
    </row>
    <row r="1061" spans="2:14" s="631" customFormat="1">
      <c r="B1061" s="635"/>
      <c r="C1061" s="632"/>
      <c r="D1061" s="632"/>
      <c r="E1061" s="634"/>
      <c r="F1061" s="636"/>
      <c r="G1061" s="636"/>
      <c r="I1061" s="632"/>
      <c r="N1061" s="632"/>
    </row>
    <row r="1062" spans="2:14" s="631" customFormat="1">
      <c r="B1062" s="635"/>
      <c r="C1062" s="632"/>
      <c r="D1062" s="632"/>
      <c r="E1062" s="634"/>
      <c r="F1062" s="636"/>
      <c r="G1062" s="636"/>
      <c r="I1062" s="632"/>
      <c r="N1062" s="632"/>
    </row>
    <row r="1063" spans="2:14" s="631" customFormat="1">
      <c r="B1063" s="635"/>
      <c r="C1063" s="632"/>
      <c r="D1063" s="632"/>
      <c r="E1063" s="634"/>
      <c r="F1063" s="636"/>
      <c r="G1063" s="636"/>
      <c r="I1063" s="632"/>
      <c r="N1063" s="632"/>
    </row>
    <row r="1064" spans="2:14" s="631" customFormat="1">
      <c r="B1064" s="635"/>
      <c r="C1064" s="632"/>
      <c r="D1064" s="632"/>
      <c r="E1064" s="634"/>
      <c r="F1064" s="636"/>
      <c r="G1064" s="636"/>
      <c r="I1064" s="632"/>
      <c r="N1064" s="632"/>
    </row>
    <row r="1065" spans="2:14" s="631" customFormat="1">
      <c r="B1065" s="635"/>
      <c r="C1065" s="632"/>
      <c r="D1065" s="632"/>
      <c r="E1065" s="634"/>
      <c r="F1065" s="636"/>
      <c r="G1065" s="636"/>
      <c r="I1065" s="632"/>
      <c r="N1065" s="632"/>
    </row>
    <row r="1066" spans="2:14" s="631" customFormat="1">
      <c r="B1066" s="635"/>
      <c r="C1066" s="632"/>
      <c r="D1066" s="632"/>
      <c r="E1066" s="634"/>
      <c r="F1066" s="636"/>
      <c r="G1066" s="636"/>
      <c r="I1066" s="632"/>
      <c r="N1066" s="632"/>
    </row>
    <row r="1067" spans="2:14" s="631" customFormat="1">
      <c r="B1067" s="635"/>
      <c r="C1067" s="632"/>
      <c r="D1067" s="632"/>
      <c r="E1067" s="634"/>
      <c r="F1067" s="636"/>
      <c r="G1067" s="636"/>
      <c r="I1067" s="632"/>
      <c r="N1067" s="632"/>
    </row>
    <row r="1068" spans="2:14" s="631" customFormat="1">
      <c r="B1068" s="635"/>
      <c r="C1068" s="632"/>
      <c r="D1068" s="632"/>
      <c r="E1068" s="634"/>
      <c r="F1068" s="636"/>
      <c r="G1068" s="636"/>
      <c r="I1068" s="632"/>
      <c r="N1068" s="632"/>
    </row>
    <row r="1069" spans="2:14" s="631" customFormat="1">
      <c r="B1069" s="635"/>
      <c r="C1069" s="632"/>
      <c r="D1069" s="632"/>
      <c r="E1069" s="634"/>
      <c r="F1069" s="636"/>
      <c r="G1069" s="636"/>
      <c r="I1069" s="632"/>
      <c r="N1069" s="632"/>
    </row>
    <row r="1070" spans="2:14" s="631" customFormat="1">
      <c r="B1070" s="635"/>
      <c r="C1070" s="632"/>
      <c r="D1070" s="632"/>
      <c r="E1070" s="634"/>
      <c r="F1070" s="636"/>
      <c r="G1070" s="636"/>
      <c r="I1070" s="632"/>
      <c r="N1070" s="632"/>
    </row>
    <row r="1071" spans="2:14" s="631" customFormat="1">
      <c r="B1071" s="635"/>
      <c r="C1071" s="632"/>
      <c r="D1071" s="632"/>
      <c r="E1071" s="634"/>
      <c r="F1071" s="636"/>
      <c r="G1071" s="636"/>
      <c r="I1071" s="632"/>
      <c r="N1071" s="632"/>
    </row>
    <row r="1072" spans="2:14" s="631" customFormat="1">
      <c r="B1072" s="635"/>
      <c r="C1072" s="632"/>
      <c r="D1072" s="632"/>
      <c r="E1072" s="634"/>
      <c r="F1072" s="636"/>
      <c r="G1072" s="636"/>
      <c r="I1072" s="632"/>
      <c r="N1072" s="632"/>
    </row>
    <row r="1073" spans="2:14" s="631" customFormat="1">
      <c r="B1073" s="635"/>
      <c r="C1073" s="632"/>
      <c r="D1073" s="632"/>
      <c r="E1073" s="634"/>
      <c r="F1073" s="636"/>
      <c r="G1073" s="636"/>
      <c r="I1073" s="632"/>
      <c r="N1073" s="632"/>
    </row>
    <row r="1074" spans="2:14" s="631" customFormat="1">
      <c r="B1074" s="635"/>
      <c r="C1074" s="632"/>
      <c r="D1074" s="632"/>
      <c r="E1074" s="634"/>
      <c r="F1074" s="636"/>
      <c r="G1074" s="636"/>
      <c r="I1074" s="632"/>
      <c r="N1074" s="632"/>
    </row>
    <row r="1075" spans="2:14" s="631" customFormat="1">
      <c r="B1075" s="635"/>
      <c r="C1075" s="632"/>
      <c r="D1075" s="632"/>
      <c r="E1075" s="634"/>
      <c r="F1075" s="636"/>
      <c r="G1075" s="636"/>
      <c r="I1075" s="632"/>
      <c r="N1075" s="632"/>
    </row>
    <row r="1076" spans="2:14" s="631" customFormat="1">
      <c r="B1076" s="635"/>
      <c r="C1076" s="632"/>
      <c r="D1076" s="632"/>
      <c r="E1076" s="634"/>
      <c r="F1076" s="636"/>
      <c r="G1076" s="636"/>
      <c r="I1076" s="632"/>
      <c r="N1076" s="632"/>
    </row>
    <row r="1077" spans="2:14" s="631" customFormat="1">
      <c r="B1077" s="635"/>
      <c r="C1077" s="632"/>
      <c r="D1077" s="632"/>
      <c r="E1077" s="634"/>
      <c r="F1077" s="636"/>
      <c r="G1077" s="636"/>
      <c r="I1077" s="632"/>
      <c r="N1077" s="632"/>
    </row>
    <row r="1078" spans="2:14" s="631" customFormat="1">
      <c r="B1078" s="635"/>
      <c r="C1078" s="632"/>
      <c r="D1078" s="632"/>
      <c r="E1078" s="634"/>
      <c r="F1078" s="636"/>
      <c r="G1078" s="636"/>
      <c r="I1078" s="632"/>
      <c r="N1078" s="632"/>
    </row>
    <row r="1079" spans="2:14" s="631" customFormat="1">
      <c r="B1079" s="635"/>
      <c r="C1079" s="632"/>
      <c r="D1079" s="632"/>
      <c r="E1079" s="634"/>
      <c r="F1079" s="636"/>
      <c r="G1079" s="636"/>
      <c r="I1079" s="632"/>
      <c r="N1079" s="632"/>
    </row>
    <row r="1080" spans="2:14" s="631" customFormat="1">
      <c r="B1080" s="635"/>
      <c r="C1080" s="632"/>
      <c r="D1080" s="632"/>
      <c r="E1080" s="634"/>
      <c r="F1080" s="636"/>
      <c r="G1080" s="636"/>
      <c r="I1080" s="632"/>
      <c r="N1080" s="632"/>
    </row>
    <row r="1081" spans="2:14" s="631" customFormat="1">
      <c r="B1081" s="635"/>
      <c r="C1081" s="632"/>
      <c r="D1081" s="632"/>
      <c r="E1081" s="634"/>
      <c r="F1081" s="636"/>
      <c r="G1081" s="636"/>
      <c r="I1081" s="632"/>
      <c r="N1081" s="632"/>
    </row>
    <row r="1082" spans="2:14" s="631" customFormat="1">
      <c r="B1082" s="635"/>
      <c r="C1082" s="632"/>
      <c r="D1082" s="632"/>
      <c r="E1082" s="634"/>
      <c r="F1082" s="636"/>
      <c r="G1082" s="636"/>
      <c r="I1082" s="632"/>
      <c r="N1082" s="632"/>
    </row>
    <row r="1083" spans="2:14" s="631" customFormat="1">
      <c r="B1083" s="635"/>
      <c r="C1083" s="632"/>
      <c r="D1083" s="632"/>
      <c r="E1083" s="634"/>
      <c r="F1083" s="636"/>
      <c r="G1083" s="636"/>
      <c r="I1083" s="632"/>
      <c r="N1083" s="632"/>
    </row>
    <row r="1084" spans="2:14" s="631" customFormat="1">
      <c r="B1084" s="635"/>
      <c r="C1084" s="632"/>
      <c r="D1084" s="632"/>
      <c r="E1084" s="634"/>
      <c r="F1084" s="636"/>
      <c r="G1084" s="636"/>
      <c r="I1084" s="632"/>
      <c r="N1084" s="632"/>
    </row>
    <row r="1085" spans="2:14" s="631" customFormat="1">
      <c r="B1085" s="635"/>
      <c r="C1085" s="632"/>
      <c r="D1085" s="632"/>
      <c r="E1085" s="634"/>
      <c r="F1085" s="636"/>
      <c r="G1085" s="636"/>
      <c r="I1085" s="632"/>
      <c r="N1085" s="632"/>
    </row>
    <row r="1086" spans="2:14" s="631" customFormat="1">
      <c r="B1086" s="635"/>
      <c r="C1086" s="632"/>
      <c r="D1086" s="632"/>
      <c r="E1086" s="634"/>
      <c r="F1086" s="636"/>
      <c r="G1086" s="636"/>
      <c r="I1086" s="632"/>
      <c r="N1086" s="632"/>
    </row>
    <row r="1087" spans="2:14" s="631" customFormat="1">
      <c r="B1087" s="635"/>
      <c r="C1087" s="632"/>
      <c r="D1087" s="632"/>
      <c r="E1087" s="634"/>
      <c r="F1087" s="636"/>
      <c r="G1087" s="636"/>
      <c r="I1087" s="632"/>
      <c r="N1087" s="632"/>
    </row>
    <row r="1088" spans="2:14" s="631" customFormat="1">
      <c r="B1088" s="635"/>
      <c r="C1088" s="632"/>
      <c r="D1088" s="632"/>
      <c r="E1088" s="634"/>
      <c r="F1088" s="636"/>
      <c r="G1088" s="636"/>
      <c r="I1088" s="632"/>
      <c r="N1088" s="632"/>
    </row>
    <row r="1089" spans="2:14" s="631" customFormat="1">
      <c r="B1089" s="635"/>
      <c r="C1089" s="632"/>
      <c r="D1089" s="632"/>
      <c r="E1089" s="634"/>
      <c r="F1089" s="636"/>
      <c r="G1089" s="636"/>
      <c r="I1089" s="632"/>
      <c r="N1089" s="632"/>
    </row>
    <row r="1090" spans="2:14" s="631" customFormat="1">
      <c r="B1090" s="635"/>
      <c r="C1090" s="632"/>
      <c r="D1090" s="632"/>
      <c r="E1090" s="634"/>
      <c r="F1090" s="636"/>
      <c r="G1090" s="636"/>
      <c r="I1090" s="632"/>
      <c r="N1090" s="632"/>
    </row>
    <row r="1091" spans="2:14" s="631" customFormat="1">
      <c r="B1091" s="635"/>
      <c r="C1091" s="632"/>
      <c r="D1091" s="632"/>
      <c r="E1091" s="634"/>
      <c r="F1091" s="636"/>
      <c r="G1091" s="636"/>
      <c r="I1091" s="632"/>
      <c r="N1091" s="632"/>
    </row>
    <row r="1092" spans="2:14" s="631" customFormat="1">
      <c r="B1092" s="635"/>
      <c r="C1092" s="632"/>
      <c r="D1092" s="632"/>
      <c r="E1092" s="634"/>
      <c r="F1092" s="636"/>
      <c r="G1092" s="636"/>
      <c r="I1092" s="632"/>
      <c r="N1092" s="632"/>
    </row>
    <row r="1093" spans="2:14" s="631" customFormat="1">
      <c r="B1093" s="635"/>
      <c r="C1093" s="632"/>
      <c r="D1093" s="632"/>
      <c r="E1093" s="634"/>
      <c r="F1093" s="636"/>
      <c r="G1093" s="636"/>
      <c r="I1093" s="632"/>
      <c r="N1093" s="632"/>
    </row>
    <row r="1094" spans="2:14" s="631" customFormat="1">
      <c r="B1094" s="635"/>
      <c r="C1094" s="632"/>
      <c r="D1094" s="632"/>
      <c r="E1094" s="634"/>
      <c r="F1094" s="636"/>
      <c r="G1094" s="636"/>
      <c r="I1094" s="632"/>
      <c r="N1094" s="632"/>
    </row>
    <row r="1095" spans="2:14" s="631" customFormat="1">
      <c r="B1095" s="635"/>
      <c r="C1095" s="632"/>
      <c r="D1095" s="632"/>
      <c r="E1095" s="634"/>
      <c r="F1095" s="636"/>
      <c r="G1095" s="636"/>
      <c r="I1095" s="632"/>
      <c r="N1095" s="632"/>
    </row>
    <row r="1096" spans="2:14" s="631" customFormat="1">
      <c r="B1096" s="635"/>
      <c r="C1096" s="632"/>
      <c r="D1096" s="632"/>
      <c r="E1096" s="634"/>
      <c r="F1096" s="636"/>
      <c r="G1096" s="636"/>
      <c r="I1096" s="632"/>
      <c r="N1096" s="632"/>
    </row>
    <row r="1097" spans="2:14" s="631" customFormat="1">
      <c r="B1097" s="635"/>
      <c r="C1097" s="632"/>
      <c r="D1097" s="632"/>
      <c r="E1097" s="634"/>
      <c r="F1097" s="636"/>
      <c r="G1097" s="636"/>
      <c r="I1097" s="632"/>
      <c r="N1097" s="632"/>
    </row>
    <row r="1098" spans="2:14" s="631" customFormat="1">
      <c r="B1098" s="635"/>
      <c r="C1098" s="632"/>
      <c r="D1098" s="632"/>
      <c r="E1098" s="634"/>
      <c r="F1098" s="636"/>
      <c r="G1098" s="636"/>
      <c r="I1098" s="632"/>
      <c r="N1098" s="632"/>
    </row>
    <row r="1099" spans="2:14" s="631" customFormat="1">
      <c r="B1099" s="635"/>
      <c r="C1099" s="632"/>
      <c r="D1099" s="632"/>
      <c r="E1099" s="634"/>
      <c r="F1099" s="636"/>
      <c r="G1099" s="636"/>
      <c r="I1099" s="632"/>
      <c r="N1099" s="632"/>
    </row>
    <row r="1100" spans="2:14" s="631" customFormat="1">
      <c r="B1100" s="635"/>
      <c r="C1100" s="632"/>
      <c r="D1100" s="632"/>
      <c r="E1100" s="634"/>
      <c r="F1100" s="636"/>
      <c r="G1100" s="636"/>
      <c r="I1100" s="632"/>
      <c r="N1100" s="632"/>
    </row>
    <row r="1101" spans="2:14" s="631" customFormat="1">
      <c r="B1101" s="635"/>
      <c r="C1101" s="632"/>
      <c r="D1101" s="632"/>
      <c r="E1101" s="634"/>
      <c r="F1101" s="636"/>
      <c r="G1101" s="636"/>
      <c r="I1101" s="632"/>
      <c r="N1101" s="632"/>
    </row>
    <row r="1102" spans="2:14" s="631" customFormat="1">
      <c r="B1102" s="635"/>
      <c r="C1102" s="632"/>
      <c r="D1102" s="632"/>
      <c r="E1102" s="634"/>
      <c r="F1102" s="636"/>
      <c r="G1102" s="636"/>
      <c r="I1102" s="632"/>
      <c r="N1102" s="632"/>
    </row>
    <row r="1103" spans="2:14" s="631" customFormat="1">
      <c r="B1103" s="635"/>
      <c r="C1103" s="632"/>
      <c r="D1103" s="632"/>
      <c r="E1103" s="634"/>
      <c r="F1103" s="636"/>
      <c r="G1103" s="636"/>
      <c r="I1103" s="632"/>
      <c r="N1103" s="632"/>
    </row>
    <row r="1104" spans="2:14" s="631" customFormat="1">
      <c r="B1104" s="635"/>
      <c r="C1104" s="632"/>
      <c r="D1104" s="632"/>
      <c r="E1104" s="634"/>
      <c r="F1104" s="636"/>
      <c r="G1104" s="636"/>
      <c r="I1104" s="632"/>
      <c r="N1104" s="632"/>
    </row>
    <row r="1105" spans="2:14" s="631" customFormat="1">
      <c r="B1105" s="635"/>
      <c r="C1105" s="632"/>
      <c r="D1105" s="632"/>
      <c r="E1105" s="634"/>
      <c r="F1105" s="636"/>
      <c r="G1105" s="636"/>
      <c r="I1105" s="632"/>
      <c r="N1105" s="632"/>
    </row>
    <row r="1106" spans="2:14" s="631" customFormat="1">
      <c r="B1106" s="635"/>
      <c r="C1106" s="632"/>
      <c r="D1106" s="632"/>
      <c r="E1106" s="634"/>
      <c r="F1106" s="636"/>
      <c r="G1106" s="636"/>
      <c r="I1106" s="632"/>
      <c r="N1106" s="632"/>
    </row>
    <row r="1107" spans="2:14" s="631" customFormat="1">
      <c r="B1107" s="635"/>
      <c r="C1107" s="632"/>
      <c r="D1107" s="632"/>
      <c r="E1107" s="634"/>
      <c r="F1107" s="636"/>
      <c r="G1107" s="636"/>
      <c r="I1107" s="632"/>
      <c r="N1107" s="632"/>
    </row>
    <row r="1108" spans="2:14" s="631" customFormat="1">
      <c r="B1108" s="635"/>
      <c r="C1108" s="632"/>
      <c r="D1108" s="632"/>
      <c r="E1108" s="634"/>
      <c r="F1108" s="636"/>
      <c r="G1108" s="636"/>
      <c r="I1108" s="632"/>
      <c r="N1108" s="632"/>
    </row>
    <row r="1109" spans="2:14" s="631" customFormat="1">
      <c r="B1109" s="635"/>
      <c r="C1109" s="632"/>
      <c r="D1109" s="632"/>
      <c r="E1109" s="634"/>
      <c r="F1109" s="636"/>
      <c r="G1109" s="636"/>
      <c r="I1109" s="632"/>
      <c r="N1109" s="632"/>
    </row>
    <row r="1110" spans="2:14" s="631" customFormat="1">
      <c r="B1110" s="635"/>
      <c r="C1110" s="632"/>
      <c r="D1110" s="632"/>
      <c r="E1110" s="634"/>
      <c r="F1110" s="636"/>
      <c r="G1110" s="636"/>
      <c r="I1110" s="632"/>
      <c r="N1110" s="632"/>
    </row>
    <row r="1111" spans="2:14" s="631" customFormat="1">
      <c r="B1111" s="635"/>
      <c r="C1111" s="632"/>
      <c r="D1111" s="632"/>
      <c r="E1111" s="634"/>
      <c r="F1111" s="636"/>
      <c r="G1111" s="636"/>
      <c r="I1111" s="632"/>
      <c r="N1111" s="632"/>
    </row>
    <row r="1112" spans="2:14" s="631" customFormat="1">
      <c r="B1112" s="635"/>
      <c r="C1112" s="632"/>
      <c r="D1112" s="632"/>
      <c r="E1112" s="634"/>
      <c r="F1112" s="636"/>
      <c r="G1112" s="636"/>
      <c r="I1112" s="632"/>
      <c r="N1112" s="632"/>
    </row>
    <row r="1113" spans="2:14" s="631" customFormat="1">
      <c r="B1113" s="635"/>
      <c r="C1113" s="632"/>
      <c r="D1113" s="632"/>
      <c r="E1113" s="634"/>
      <c r="F1113" s="636"/>
      <c r="G1113" s="636"/>
      <c r="I1113" s="632"/>
      <c r="N1113" s="632"/>
    </row>
    <row r="1114" spans="2:14" s="631" customFormat="1">
      <c r="B1114" s="635"/>
      <c r="C1114" s="632"/>
      <c r="D1114" s="632"/>
      <c r="E1114" s="634"/>
      <c r="F1114" s="636"/>
      <c r="G1114" s="636"/>
      <c r="I1114" s="632"/>
      <c r="N1114" s="632"/>
    </row>
    <row r="1115" spans="2:14" s="631" customFormat="1">
      <c r="B1115" s="635"/>
      <c r="C1115" s="632"/>
      <c r="D1115" s="632"/>
      <c r="E1115" s="634"/>
      <c r="F1115" s="636"/>
      <c r="G1115" s="636"/>
      <c r="I1115" s="632"/>
      <c r="N1115" s="632"/>
    </row>
    <row r="1116" spans="2:14" s="631" customFormat="1">
      <c r="B1116" s="635"/>
      <c r="C1116" s="632"/>
      <c r="D1116" s="632"/>
      <c r="E1116" s="634"/>
      <c r="F1116" s="636"/>
      <c r="G1116" s="636"/>
      <c r="I1116" s="632"/>
      <c r="N1116" s="632"/>
    </row>
    <row r="1117" spans="2:14" s="631" customFormat="1">
      <c r="B1117" s="635"/>
      <c r="C1117" s="632"/>
      <c r="D1117" s="632"/>
      <c r="E1117" s="634"/>
      <c r="F1117" s="636"/>
      <c r="G1117" s="636"/>
      <c r="I1117" s="632"/>
      <c r="N1117" s="632"/>
    </row>
    <row r="1118" spans="2:14" s="631" customFormat="1">
      <c r="B1118" s="635"/>
      <c r="C1118" s="632"/>
      <c r="D1118" s="632"/>
      <c r="E1118" s="634"/>
      <c r="F1118" s="636"/>
      <c r="G1118" s="636"/>
      <c r="I1118" s="632"/>
      <c r="N1118" s="632"/>
    </row>
    <row r="1119" spans="2:14" s="631" customFormat="1">
      <c r="B1119" s="635"/>
      <c r="C1119" s="632"/>
      <c r="D1119" s="632"/>
      <c r="E1119" s="634"/>
      <c r="F1119" s="636"/>
      <c r="G1119" s="636"/>
      <c r="I1119" s="632"/>
      <c r="N1119" s="632"/>
    </row>
    <row r="1120" spans="2:14" s="631" customFormat="1">
      <c r="B1120" s="635"/>
      <c r="C1120" s="632"/>
      <c r="D1120" s="632"/>
      <c r="E1120" s="634"/>
      <c r="F1120" s="636"/>
      <c r="G1120" s="636"/>
      <c r="I1120" s="632"/>
      <c r="N1120" s="632"/>
    </row>
    <row r="1121" spans="2:14" s="631" customFormat="1">
      <c r="B1121" s="635"/>
      <c r="C1121" s="632"/>
      <c r="D1121" s="632"/>
      <c r="E1121" s="634"/>
      <c r="F1121" s="636"/>
      <c r="G1121" s="636"/>
      <c r="I1121" s="632"/>
      <c r="N1121" s="632"/>
    </row>
    <row r="1122" spans="2:14" s="631" customFormat="1">
      <c r="B1122" s="635"/>
      <c r="C1122" s="632"/>
      <c r="D1122" s="632"/>
      <c r="E1122" s="634"/>
      <c r="F1122" s="636"/>
      <c r="G1122" s="636"/>
      <c r="I1122" s="632"/>
      <c r="N1122" s="632"/>
    </row>
    <row r="1123" spans="2:14" s="631" customFormat="1">
      <c r="B1123" s="635"/>
      <c r="C1123" s="632"/>
      <c r="D1123" s="632"/>
      <c r="E1123" s="634"/>
      <c r="F1123" s="636"/>
      <c r="G1123" s="636"/>
      <c r="I1123" s="632"/>
      <c r="N1123" s="632"/>
    </row>
    <row r="1124" spans="2:14" s="631" customFormat="1">
      <c r="B1124" s="635"/>
      <c r="C1124" s="632"/>
      <c r="D1124" s="632"/>
      <c r="E1124" s="634"/>
      <c r="F1124" s="636"/>
      <c r="G1124" s="636"/>
      <c r="I1124" s="632"/>
      <c r="N1124" s="632"/>
    </row>
    <row r="1125" spans="2:14" s="631" customFormat="1">
      <c r="B1125" s="635"/>
      <c r="C1125" s="632"/>
      <c r="D1125" s="632"/>
      <c r="E1125" s="634"/>
      <c r="F1125" s="636"/>
      <c r="G1125" s="636"/>
      <c r="I1125" s="632"/>
      <c r="N1125" s="632"/>
    </row>
    <row r="1126" spans="2:14" s="631" customFormat="1">
      <c r="B1126" s="635"/>
      <c r="C1126" s="632"/>
      <c r="D1126" s="632"/>
      <c r="E1126" s="634"/>
      <c r="F1126" s="636"/>
      <c r="G1126" s="636"/>
      <c r="I1126" s="632"/>
      <c r="N1126" s="632"/>
    </row>
    <row r="1127" spans="2:14" s="631" customFormat="1">
      <c r="B1127" s="635"/>
      <c r="C1127" s="632"/>
      <c r="D1127" s="632"/>
      <c r="E1127" s="634"/>
      <c r="F1127" s="633"/>
      <c r="G1127" s="633"/>
      <c r="I1127" s="632"/>
      <c r="N1127" s="632"/>
    </row>
    <row r="1128" spans="2:14" s="631" customFormat="1">
      <c r="B1128" s="635"/>
      <c r="C1128" s="632"/>
      <c r="D1128" s="632"/>
      <c r="E1128" s="634"/>
      <c r="F1128" s="633"/>
      <c r="G1128" s="633"/>
      <c r="I1128" s="632"/>
      <c r="N1128" s="632"/>
    </row>
    <row r="1129" spans="2:14" s="631" customFormat="1">
      <c r="B1129" s="635"/>
      <c r="C1129" s="632"/>
      <c r="D1129" s="632"/>
      <c r="E1129" s="634"/>
      <c r="F1129" s="633"/>
      <c r="G1129" s="633"/>
      <c r="I1129" s="632"/>
      <c r="N1129" s="632"/>
    </row>
    <row r="1130" spans="2:14" s="631" customFormat="1">
      <c r="B1130" s="635"/>
      <c r="C1130" s="632"/>
      <c r="D1130" s="632"/>
      <c r="E1130" s="634"/>
      <c r="F1130" s="633"/>
      <c r="G1130" s="633"/>
      <c r="I1130" s="632"/>
      <c r="N1130" s="632"/>
    </row>
    <row r="1131" spans="2:14" s="631" customFormat="1">
      <c r="B1131" s="635"/>
      <c r="C1131" s="632"/>
      <c r="D1131" s="632"/>
      <c r="E1131" s="634"/>
      <c r="F1131" s="633"/>
      <c r="G1131" s="633"/>
      <c r="I1131" s="632"/>
      <c r="N1131" s="632"/>
    </row>
    <row r="1132" spans="2:14" s="631" customFormat="1">
      <c r="B1132" s="635"/>
      <c r="C1132" s="632"/>
      <c r="D1132" s="632"/>
      <c r="E1132" s="634"/>
      <c r="F1132" s="633"/>
      <c r="G1132" s="633"/>
      <c r="I1132" s="632"/>
      <c r="N1132" s="632"/>
    </row>
    <row r="1133" spans="2:14" s="631" customFormat="1">
      <c r="B1133" s="635"/>
      <c r="C1133" s="632"/>
      <c r="D1133" s="632"/>
      <c r="E1133" s="634"/>
      <c r="F1133" s="633"/>
      <c r="G1133" s="633"/>
      <c r="I1133" s="632"/>
      <c r="N1133" s="632"/>
    </row>
    <row r="1134" spans="2:14" s="631" customFormat="1">
      <c r="B1134" s="635"/>
      <c r="C1134" s="632"/>
      <c r="D1134" s="632"/>
      <c r="E1134" s="634"/>
      <c r="F1134" s="633"/>
      <c r="G1134" s="633"/>
      <c r="I1134" s="632"/>
      <c r="N1134" s="632"/>
    </row>
    <row r="1135" spans="2:14" s="631" customFormat="1">
      <c r="B1135" s="635"/>
      <c r="C1135" s="632"/>
      <c r="D1135" s="632"/>
      <c r="E1135" s="634"/>
      <c r="F1135" s="633"/>
      <c r="G1135" s="633"/>
      <c r="I1135" s="632"/>
      <c r="N1135" s="632"/>
    </row>
    <row r="1136" spans="2:14" s="631" customFormat="1">
      <c r="B1136" s="635"/>
      <c r="C1136" s="632"/>
      <c r="D1136" s="632"/>
      <c r="E1136" s="634"/>
      <c r="F1136" s="633"/>
      <c r="G1136" s="633"/>
      <c r="I1136" s="632"/>
      <c r="N1136" s="632"/>
    </row>
    <row r="1137" spans="2:14" s="631" customFormat="1">
      <c r="B1137" s="635"/>
      <c r="C1137" s="632"/>
      <c r="D1137" s="632"/>
      <c r="E1137" s="634"/>
      <c r="F1137" s="633"/>
      <c r="G1137" s="633"/>
      <c r="I1137" s="632"/>
      <c r="N1137" s="632"/>
    </row>
    <row r="1138" spans="2:14" s="631" customFormat="1">
      <c r="B1138" s="635"/>
      <c r="C1138" s="632"/>
      <c r="D1138" s="632"/>
      <c r="E1138" s="634"/>
      <c r="F1138" s="633"/>
      <c r="G1138" s="633"/>
      <c r="I1138" s="632"/>
      <c r="N1138" s="632"/>
    </row>
    <row r="1139" spans="2:14" s="631" customFormat="1">
      <c r="B1139" s="635"/>
      <c r="C1139" s="632"/>
      <c r="D1139" s="632"/>
      <c r="E1139" s="634"/>
      <c r="F1139" s="633"/>
      <c r="G1139" s="633"/>
      <c r="I1139" s="632"/>
      <c r="N1139" s="632"/>
    </row>
    <row r="1140" spans="2:14" s="631" customFormat="1">
      <c r="B1140" s="635"/>
      <c r="C1140" s="632"/>
      <c r="D1140" s="632"/>
      <c r="E1140" s="634"/>
      <c r="F1140" s="633"/>
      <c r="G1140" s="633"/>
      <c r="I1140" s="632"/>
      <c r="N1140" s="632"/>
    </row>
    <row r="1141" spans="2:14" s="631" customFormat="1">
      <c r="B1141" s="635"/>
      <c r="C1141" s="632"/>
      <c r="D1141" s="632"/>
      <c r="E1141" s="634"/>
      <c r="F1141" s="633"/>
      <c r="G1141" s="633"/>
      <c r="I1141" s="632"/>
      <c r="N1141" s="632"/>
    </row>
    <row r="1142" spans="2:14" s="631" customFormat="1">
      <c r="B1142" s="635"/>
      <c r="C1142" s="632"/>
      <c r="D1142" s="632"/>
      <c r="E1142" s="634"/>
      <c r="F1142" s="633"/>
      <c r="G1142" s="633"/>
      <c r="I1142" s="632"/>
      <c r="N1142" s="632"/>
    </row>
    <row r="1143" spans="2:14" s="631" customFormat="1">
      <c r="B1143" s="635"/>
      <c r="C1143" s="632"/>
      <c r="D1143" s="632"/>
      <c r="E1143" s="634"/>
      <c r="F1143" s="633"/>
      <c r="G1143" s="633"/>
      <c r="I1143" s="632"/>
      <c r="N1143" s="632"/>
    </row>
    <row r="1144" spans="2:14" s="631" customFormat="1">
      <c r="B1144" s="635"/>
      <c r="C1144" s="632"/>
      <c r="D1144" s="632"/>
      <c r="E1144" s="634"/>
      <c r="F1144" s="633"/>
      <c r="G1144" s="633"/>
      <c r="I1144" s="632"/>
      <c r="N1144" s="632"/>
    </row>
    <row r="1145" spans="2:14" s="631" customFormat="1">
      <c r="B1145" s="635"/>
      <c r="C1145" s="632"/>
      <c r="D1145" s="632"/>
      <c r="E1145" s="634"/>
      <c r="F1145" s="633"/>
      <c r="G1145" s="633"/>
      <c r="I1145" s="632"/>
      <c r="N1145" s="632"/>
    </row>
    <row r="1146" spans="2:14" s="631" customFormat="1">
      <c r="B1146" s="635"/>
      <c r="C1146" s="632"/>
      <c r="D1146" s="632"/>
      <c r="E1146" s="634"/>
      <c r="F1146" s="633"/>
      <c r="G1146" s="633"/>
      <c r="I1146" s="632"/>
      <c r="N1146" s="632"/>
    </row>
    <row r="1147" spans="2:14" s="631" customFormat="1">
      <c r="B1147" s="635"/>
      <c r="C1147" s="632"/>
      <c r="D1147" s="632"/>
      <c r="E1147" s="634"/>
      <c r="F1147" s="633"/>
      <c r="G1147" s="633"/>
      <c r="I1147" s="632"/>
      <c r="N1147" s="632"/>
    </row>
    <row r="1148" spans="2:14" s="631" customFormat="1">
      <c r="B1148" s="635"/>
      <c r="C1148" s="632"/>
      <c r="D1148" s="632"/>
      <c r="E1148" s="634"/>
      <c r="F1148" s="633"/>
      <c r="G1148" s="633"/>
      <c r="I1148" s="632"/>
      <c r="N1148" s="632"/>
    </row>
    <row r="1149" spans="2:14" s="631" customFormat="1">
      <c r="B1149" s="635"/>
      <c r="C1149" s="632"/>
      <c r="D1149" s="632"/>
      <c r="E1149" s="634"/>
      <c r="F1149" s="633"/>
      <c r="G1149" s="633"/>
      <c r="I1149" s="632"/>
      <c r="N1149" s="632"/>
    </row>
    <row r="1150" spans="2:14" s="631" customFormat="1">
      <c r="B1150" s="635"/>
      <c r="C1150" s="632"/>
      <c r="D1150" s="632"/>
      <c r="E1150" s="634"/>
      <c r="F1150" s="633"/>
      <c r="G1150" s="633"/>
      <c r="I1150" s="632"/>
      <c r="N1150" s="632"/>
    </row>
    <row r="1151" spans="2:14" s="631" customFormat="1">
      <c r="B1151" s="635"/>
      <c r="C1151" s="632"/>
      <c r="D1151" s="632"/>
      <c r="E1151" s="634"/>
      <c r="F1151" s="633"/>
      <c r="G1151" s="633"/>
      <c r="I1151" s="632"/>
      <c r="N1151" s="632"/>
    </row>
    <row r="1152" spans="2:14" s="631" customFormat="1">
      <c r="B1152" s="635"/>
      <c r="C1152" s="632"/>
      <c r="D1152" s="632"/>
      <c r="E1152" s="634"/>
      <c r="F1152" s="633"/>
      <c r="G1152" s="633"/>
      <c r="I1152" s="632"/>
      <c r="N1152" s="632"/>
    </row>
    <row r="1153" spans="2:14" s="631" customFormat="1">
      <c r="B1153" s="635"/>
      <c r="C1153" s="632"/>
      <c r="D1153" s="632"/>
      <c r="E1153" s="634"/>
      <c r="F1153" s="633"/>
      <c r="G1153" s="633"/>
      <c r="I1153" s="632"/>
      <c r="N1153" s="632"/>
    </row>
    <row r="1154" spans="2:14" s="631" customFormat="1">
      <c r="B1154" s="635"/>
      <c r="C1154" s="632"/>
      <c r="D1154" s="632"/>
      <c r="E1154" s="634"/>
      <c r="F1154" s="633"/>
      <c r="G1154" s="633"/>
      <c r="I1154" s="632"/>
      <c r="N1154" s="632"/>
    </row>
    <row r="1155" spans="2:14" s="631" customFormat="1">
      <c r="B1155" s="635"/>
      <c r="C1155" s="632"/>
      <c r="D1155" s="632"/>
      <c r="E1155" s="634"/>
      <c r="F1155" s="633"/>
      <c r="G1155" s="633"/>
      <c r="I1155" s="632"/>
      <c r="N1155" s="632"/>
    </row>
    <row r="1156" spans="2:14" s="631" customFormat="1">
      <c r="B1156" s="635"/>
      <c r="C1156" s="632"/>
      <c r="D1156" s="632"/>
      <c r="E1156" s="634"/>
      <c r="F1156" s="633"/>
      <c r="G1156" s="633"/>
      <c r="I1156" s="632"/>
      <c r="N1156" s="632"/>
    </row>
    <row r="1157" spans="2:14" s="631" customFormat="1">
      <c r="B1157" s="635"/>
      <c r="C1157" s="632"/>
      <c r="D1157" s="632"/>
      <c r="E1157" s="634"/>
      <c r="F1157" s="633"/>
      <c r="G1157" s="633"/>
      <c r="I1157" s="632"/>
      <c r="N1157" s="632"/>
    </row>
    <row r="1158" spans="2:14" s="631" customFormat="1">
      <c r="B1158" s="635"/>
      <c r="C1158" s="632"/>
      <c r="D1158" s="632"/>
      <c r="E1158" s="634"/>
      <c r="F1158" s="633"/>
      <c r="G1158" s="633"/>
      <c r="I1158" s="632"/>
      <c r="N1158" s="632"/>
    </row>
    <row r="1159" spans="2:14" s="631" customFormat="1">
      <c r="B1159" s="635"/>
      <c r="C1159" s="632"/>
      <c r="D1159" s="632"/>
      <c r="E1159" s="634"/>
      <c r="F1159" s="633"/>
      <c r="G1159" s="633"/>
      <c r="I1159" s="632"/>
      <c r="N1159" s="632"/>
    </row>
    <row r="1160" spans="2:14" s="631" customFormat="1">
      <c r="B1160" s="635"/>
      <c r="C1160" s="632"/>
      <c r="D1160" s="632"/>
      <c r="E1160" s="634"/>
      <c r="F1160" s="633"/>
      <c r="G1160" s="633"/>
      <c r="I1160" s="632"/>
      <c r="N1160" s="632"/>
    </row>
    <row r="1161" spans="2:14" s="631" customFormat="1">
      <c r="B1161" s="635"/>
      <c r="C1161" s="632"/>
      <c r="D1161" s="632"/>
      <c r="E1161" s="634"/>
      <c r="F1161" s="633"/>
      <c r="G1161" s="633"/>
      <c r="I1161" s="632"/>
      <c r="N1161" s="632"/>
    </row>
    <row r="1162" spans="2:14" s="631" customFormat="1">
      <c r="B1162" s="635"/>
      <c r="C1162" s="632"/>
      <c r="D1162" s="632"/>
      <c r="E1162" s="634"/>
      <c r="F1162" s="633"/>
      <c r="G1162" s="633"/>
      <c r="I1162" s="632"/>
      <c r="N1162" s="632"/>
    </row>
    <row r="1163" spans="2:14" s="631" customFormat="1">
      <c r="B1163" s="635"/>
      <c r="C1163" s="632"/>
      <c r="D1163" s="632"/>
      <c r="E1163" s="634"/>
      <c r="F1163" s="633"/>
      <c r="G1163" s="633"/>
      <c r="I1163" s="632"/>
      <c r="N1163" s="632"/>
    </row>
    <row r="1164" spans="2:14" s="631" customFormat="1">
      <c r="B1164" s="635"/>
      <c r="C1164" s="632"/>
      <c r="D1164" s="632"/>
      <c r="E1164" s="634"/>
      <c r="F1164" s="633"/>
      <c r="G1164" s="633"/>
      <c r="I1164" s="632"/>
      <c r="N1164" s="632"/>
    </row>
    <row r="1165" spans="2:14" s="631" customFormat="1">
      <c r="B1165" s="635"/>
      <c r="C1165" s="632"/>
      <c r="D1165" s="632"/>
      <c r="E1165" s="634"/>
      <c r="F1165" s="633"/>
      <c r="G1165" s="633"/>
      <c r="I1165" s="632"/>
      <c r="N1165" s="632"/>
    </row>
    <row r="1166" spans="2:14" s="631" customFormat="1">
      <c r="B1166" s="635"/>
      <c r="C1166" s="632"/>
      <c r="D1166" s="632"/>
      <c r="E1166" s="634"/>
      <c r="F1166" s="633"/>
      <c r="G1166" s="633"/>
      <c r="I1166" s="632"/>
      <c r="N1166" s="632"/>
    </row>
    <row r="1167" spans="2:14" s="631" customFormat="1">
      <c r="B1167" s="635"/>
      <c r="C1167" s="632"/>
      <c r="D1167" s="632"/>
      <c r="E1167" s="634"/>
      <c r="F1167" s="633"/>
      <c r="G1167" s="633"/>
      <c r="I1167" s="632"/>
      <c r="N1167" s="632"/>
    </row>
    <row r="1168" spans="2:14" s="631" customFormat="1">
      <c r="B1168" s="635"/>
      <c r="C1168" s="632"/>
      <c r="D1168" s="632"/>
      <c r="E1168" s="634"/>
      <c r="F1168" s="633"/>
      <c r="G1168" s="633"/>
      <c r="I1168" s="632"/>
      <c r="N1168" s="632"/>
    </row>
    <row r="1169" spans="2:14" s="631" customFormat="1">
      <c r="B1169" s="635"/>
      <c r="C1169" s="632"/>
      <c r="D1169" s="632"/>
      <c r="E1169" s="634"/>
      <c r="F1169" s="633"/>
      <c r="G1169" s="633"/>
      <c r="I1169" s="632"/>
      <c r="N1169" s="632"/>
    </row>
    <row r="1170" spans="2:14" s="631" customFormat="1">
      <c r="B1170" s="635"/>
      <c r="C1170" s="632"/>
      <c r="D1170" s="632"/>
      <c r="E1170" s="634"/>
      <c r="F1170" s="633"/>
      <c r="G1170" s="633"/>
      <c r="I1170" s="632"/>
      <c r="N1170" s="632"/>
    </row>
    <row r="1171" spans="2:14" s="631" customFormat="1">
      <c r="B1171" s="635"/>
      <c r="C1171" s="632"/>
      <c r="D1171" s="632"/>
      <c r="E1171" s="634"/>
      <c r="F1171" s="633"/>
      <c r="G1171" s="633"/>
      <c r="I1171" s="632"/>
      <c r="N1171" s="632"/>
    </row>
    <row r="1172" spans="2:14" s="631" customFormat="1">
      <c r="B1172" s="635"/>
      <c r="C1172" s="632"/>
      <c r="D1172" s="632"/>
      <c r="E1172" s="634"/>
      <c r="F1172" s="633"/>
      <c r="G1172" s="633"/>
      <c r="I1172" s="632"/>
      <c r="N1172" s="632"/>
    </row>
    <row r="1173" spans="2:14" s="631" customFormat="1">
      <c r="B1173" s="635"/>
      <c r="C1173" s="632"/>
      <c r="D1173" s="632"/>
      <c r="E1173" s="634"/>
      <c r="F1173" s="633"/>
      <c r="G1173" s="633"/>
      <c r="I1173" s="632"/>
      <c r="N1173" s="632"/>
    </row>
    <row r="1174" spans="2:14" s="631" customFormat="1">
      <c r="B1174" s="635"/>
      <c r="C1174" s="632"/>
      <c r="D1174" s="632"/>
      <c r="E1174" s="634"/>
      <c r="F1174" s="633"/>
      <c r="G1174" s="633"/>
      <c r="I1174" s="632"/>
      <c r="N1174" s="632"/>
    </row>
    <row r="1175" spans="2:14" s="631" customFormat="1">
      <c r="B1175" s="635"/>
      <c r="C1175" s="632"/>
      <c r="D1175" s="632"/>
      <c r="E1175" s="634"/>
      <c r="F1175" s="633"/>
      <c r="G1175" s="633"/>
      <c r="I1175" s="632"/>
      <c r="N1175" s="632"/>
    </row>
    <row r="1176" spans="2:14" s="631" customFormat="1">
      <c r="B1176" s="635"/>
      <c r="C1176" s="632"/>
      <c r="D1176" s="632"/>
      <c r="E1176" s="634"/>
      <c r="F1176" s="633"/>
      <c r="G1176" s="633"/>
      <c r="I1176" s="632"/>
      <c r="N1176" s="632"/>
    </row>
    <row r="1177" spans="2:14" s="631" customFormat="1">
      <c r="B1177" s="635"/>
      <c r="C1177" s="632"/>
      <c r="D1177" s="632"/>
      <c r="E1177" s="634"/>
      <c r="F1177" s="633"/>
      <c r="G1177" s="633"/>
      <c r="I1177" s="632"/>
      <c r="N1177" s="632"/>
    </row>
    <row r="1178" spans="2:14" s="631" customFormat="1">
      <c r="B1178" s="635"/>
      <c r="C1178" s="632"/>
      <c r="D1178" s="632"/>
      <c r="E1178" s="634"/>
      <c r="F1178" s="633"/>
      <c r="G1178" s="633"/>
      <c r="I1178" s="632"/>
      <c r="N1178" s="632"/>
    </row>
    <row r="1179" spans="2:14" s="631" customFormat="1">
      <c r="B1179" s="635"/>
      <c r="C1179" s="632"/>
      <c r="D1179" s="632"/>
      <c r="E1179" s="634"/>
      <c r="F1179" s="633"/>
      <c r="G1179" s="633"/>
      <c r="I1179" s="632"/>
      <c r="N1179" s="632"/>
    </row>
    <row r="1180" spans="2:14" s="631" customFormat="1">
      <c r="B1180" s="635"/>
      <c r="C1180" s="632"/>
      <c r="D1180" s="632"/>
      <c r="E1180" s="634"/>
      <c r="F1180" s="633"/>
      <c r="G1180" s="633"/>
      <c r="I1180" s="632"/>
      <c r="N1180" s="632"/>
    </row>
    <row r="1181" spans="2:14" s="631" customFormat="1">
      <c r="B1181" s="635"/>
      <c r="C1181" s="632"/>
      <c r="D1181" s="632"/>
      <c r="E1181" s="634"/>
      <c r="F1181" s="633"/>
      <c r="G1181" s="633"/>
      <c r="I1181" s="632"/>
      <c r="N1181" s="632"/>
    </row>
    <row r="1182" spans="2:14" s="631" customFormat="1">
      <c r="B1182" s="635"/>
      <c r="C1182" s="632"/>
      <c r="D1182" s="632"/>
      <c r="E1182" s="634"/>
      <c r="F1182" s="633"/>
      <c r="G1182" s="633"/>
      <c r="I1182" s="632"/>
      <c r="N1182" s="632"/>
    </row>
    <row r="1183" spans="2:14" s="631" customFormat="1">
      <c r="B1183" s="635"/>
      <c r="C1183" s="632"/>
      <c r="D1183" s="632"/>
      <c r="E1183" s="634"/>
      <c r="F1183" s="633"/>
      <c r="G1183" s="633"/>
      <c r="I1183" s="632"/>
      <c r="N1183" s="632"/>
    </row>
    <row r="1184" spans="2:14" s="631" customFormat="1">
      <c r="B1184" s="635"/>
      <c r="C1184" s="632"/>
      <c r="D1184" s="632"/>
      <c r="E1184" s="634"/>
      <c r="F1184" s="633"/>
      <c r="G1184" s="633"/>
      <c r="I1184" s="632"/>
      <c r="N1184" s="632"/>
    </row>
    <row r="1185" spans="2:14" s="631" customFormat="1">
      <c r="B1185" s="635"/>
      <c r="C1185" s="632"/>
      <c r="D1185" s="632"/>
      <c r="E1185" s="634"/>
      <c r="F1185" s="633"/>
      <c r="G1185" s="633"/>
      <c r="I1185" s="632"/>
      <c r="N1185" s="632"/>
    </row>
    <row r="1186" spans="2:14" s="631" customFormat="1">
      <c r="B1186" s="635"/>
      <c r="C1186" s="632"/>
      <c r="D1186" s="632"/>
      <c r="E1186" s="634"/>
      <c r="F1186" s="633"/>
      <c r="G1186" s="633"/>
      <c r="I1186" s="632"/>
      <c r="N1186" s="632"/>
    </row>
    <row r="1187" spans="2:14" s="631" customFormat="1">
      <c r="B1187" s="635"/>
      <c r="C1187" s="632"/>
      <c r="D1187" s="632"/>
      <c r="E1187" s="634"/>
      <c r="F1187" s="633"/>
      <c r="G1187" s="633"/>
      <c r="I1187" s="632"/>
      <c r="N1187" s="632"/>
    </row>
    <row r="1188" spans="2:14" s="631" customFormat="1">
      <c r="B1188" s="635"/>
      <c r="C1188" s="632"/>
      <c r="D1188" s="632"/>
      <c r="E1188" s="634"/>
      <c r="F1188" s="633"/>
      <c r="G1188" s="633"/>
      <c r="I1188" s="632"/>
      <c r="N1188" s="632"/>
    </row>
    <row r="1189" spans="2:14" s="631" customFormat="1">
      <c r="B1189" s="635"/>
      <c r="C1189" s="632"/>
      <c r="D1189" s="632"/>
      <c r="E1189" s="634"/>
      <c r="F1189" s="633"/>
      <c r="G1189" s="633"/>
      <c r="I1189" s="632"/>
      <c r="N1189" s="632"/>
    </row>
    <row r="1190" spans="2:14" s="631" customFormat="1">
      <c r="B1190" s="635"/>
      <c r="C1190" s="632"/>
      <c r="D1190" s="632"/>
      <c r="E1190" s="634"/>
      <c r="F1190" s="633"/>
      <c r="G1190" s="633"/>
      <c r="I1190" s="632"/>
      <c r="N1190" s="632"/>
    </row>
    <row r="1191" spans="2:14" s="631" customFormat="1">
      <c r="B1191" s="635"/>
      <c r="C1191" s="632"/>
      <c r="D1191" s="632"/>
      <c r="E1191" s="634"/>
      <c r="F1191" s="633"/>
      <c r="G1191" s="633"/>
      <c r="I1191" s="632"/>
      <c r="N1191" s="632"/>
    </row>
    <row r="1192" spans="2:14" s="631" customFormat="1">
      <c r="B1192" s="635"/>
      <c r="C1192" s="632"/>
      <c r="D1192" s="632"/>
      <c r="E1192" s="634"/>
      <c r="F1192" s="633"/>
      <c r="G1192" s="633"/>
      <c r="I1192" s="632"/>
      <c r="N1192" s="632"/>
    </row>
    <row r="1193" spans="2:14" s="631" customFormat="1">
      <c r="B1193" s="635"/>
      <c r="C1193" s="632"/>
      <c r="D1193" s="632"/>
      <c r="E1193" s="634"/>
      <c r="F1193" s="633"/>
      <c r="G1193" s="633"/>
      <c r="I1193" s="632"/>
      <c r="N1193" s="632"/>
    </row>
    <row r="1194" spans="2:14" s="631" customFormat="1">
      <c r="B1194" s="635"/>
      <c r="C1194" s="632"/>
      <c r="D1194" s="632"/>
      <c r="E1194" s="634"/>
      <c r="F1194" s="633"/>
      <c r="G1194" s="633"/>
      <c r="I1194" s="632"/>
      <c r="N1194" s="632"/>
    </row>
    <row r="1195" spans="2:14" s="631" customFormat="1">
      <c r="B1195" s="635"/>
      <c r="C1195" s="632"/>
      <c r="D1195" s="632"/>
      <c r="E1195" s="634"/>
      <c r="F1195" s="633"/>
      <c r="G1195" s="633"/>
      <c r="I1195" s="632"/>
      <c r="N1195" s="632"/>
    </row>
    <row r="1196" spans="2:14" s="631" customFormat="1">
      <c r="B1196" s="635"/>
      <c r="C1196" s="632"/>
      <c r="D1196" s="632"/>
      <c r="E1196" s="634"/>
      <c r="F1196" s="633"/>
      <c r="G1196" s="633"/>
      <c r="I1196" s="632"/>
      <c r="N1196" s="632"/>
    </row>
    <row r="1197" spans="2:14" s="631" customFormat="1">
      <c r="B1197" s="635"/>
      <c r="C1197" s="632"/>
      <c r="D1197" s="632"/>
      <c r="E1197" s="634"/>
      <c r="F1197" s="633"/>
      <c r="G1197" s="633"/>
      <c r="I1197" s="632"/>
      <c r="N1197" s="632"/>
    </row>
    <row r="1198" spans="2:14" s="631" customFormat="1">
      <c r="B1198" s="635"/>
      <c r="C1198" s="632"/>
      <c r="D1198" s="632"/>
      <c r="E1198" s="634"/>
      <c r="F1198" s="633"/>
      <c r="G1198" s="633"/>
      <c r="I1198" s="632"/>
      <c r="N1198" s="632"/>
    </row>
    <row r="1199" spans="2:14" s="631" customFormat="1">
      <c r="B1199" s="635"/>
      <c r="C1199" s="632"/>
      <c r="D1199" s="632"/>
      <c r="E1199" s="634"/>
      <c r="F1199" s="633"/>
      <c r="G1199" s="633"/>
      <c r="I1199" s="632"/>
      <c r="N1199" s="632"/>
    </row>
    <row r="1200" spans="2:14" s="631" customFormat="1">
      <c r="B1200" s="635"/>
      <c r="C1200" s="632"/>
      <c r="D1200" s="632"/>
      <c r="E1200" s="634"/>
      <c r="F1200" s="633"/>
      <c r="G1200" s="633"/>
      <c r="I1200" s="632"/>
      <c r="N1200" s="632"/>
    </row>
    <row r="1201" spans="2:14" s="631" customFormat="1">
      <c r="B1201" s="635"/>
      <c r="C1201" s="632"/>
      <c r="D1201" s="632"/>
      <c r="E1201" s="634"/>
      <c r="F1201" s="633"/>
      <c r="G1201" s="633"/>
      <c r="I1201" s="632"/>
      <c r="N1201" s="632"/>
    </row>
    <row r="1202" spans="2:14" s="631" customFormat="1">
      <c r="B1202" s="635"/>
      <c r="C1202" s="632"/>
      <c r="D1202" s="632"/>
      <c r="E1202" s="634"/>
      <c r="F1202" s="633"/>
      <c r="G1202" s="633"/>
      <c r="I1202" s="632"/>
      <c r="N1202" s="632"/>
    </row>
    <row r="1203" spans="2:14" s="631" customFormat="1">
      <c r="B1203" s="635"/>
      <c r="C1203" s="632"/>
      <c r="D1203" s="632"/>
      <c r="E1203" s="634"/>
      <c r="F1203" s="633"/>
      <c r="G1203" s="633"/>
      <c r="I1203" s="632"/>
      <c r="N1203" s="632"/>
    </row>
    <row r="1204" spans="2:14" s="631" customFormat="1">
      <c r="B1204" s="635"/>
      <c r="C1204" s="632"/>
      <c r="D1204" s="632"/>
      <c r="E1204" s="634"/>
      <c r="F1204" s="633"/>
      <c r="G1204" s="633"/>
      <c r="I1204" s="632"/>
      <c r="N1204" s="632"/>
    </row>
    <row r="1205" spans="2:14" s="631" customFormat="1">
      <c r="B1205" s="635"/>
      <c r="C1205" s="632"/>
      <c r="D1205" s="632"/>
      <c r="E1205" s="634"/>
      <c r="F1205" s="633"/>
      <c r="G1205" s="633"/>
      <c r="I1205" s="632"/>
      <c r="N1205" s="632"/>
    </row>
    <row r="1206" spans="2:14" s="631" customFormat="1">
      <c r="B1206" s="635"/>
      <c r="C1206" s="632"/>
      <c r="D1206" s="632"/>
      <c r="E1206" s="634"/>
      <c r="F1206" s="633"/>
      <c r="G1206" s="633"/>
      <c r="I1206" s="632"/>
      <c r="N1206" s="632"/>
    </row>
    <row r="1207" spans="2:14" s="631" customFormat="1">
      <c r="B1207" s="635"/>
      <c r="C1207" s="632"/>
      <c r="D1207" s="632"/>
      <c r="E1207" s="634"/>
      <c r="F1207" s="633"/>
      <c r="G1207" s="633"/>
      <c r="I1207" s="632"/>
      <c r="N1207" s="632"/>
    </row>
    <row r="1208" spans="2:14" s="631" customFormat="1">
      <c r="B1208" s="635"/>
      <c r="C1208" s="632"/>
      <c r="D1208" s="632"/>
      <c r="E1208" s="634"/>
      <c r="F1208" s="633"/>
      <c r="G1208" s="633"/>
      <c r="I1208" s="632"/>
      <c r="N1208" s="632"/>
    </row>
    <row r="1209" spans="2:14" s="631" customFormat="1">
      <c r="B1209" s="635"/>
      <c r="C1209" s="632"/>
      <c r="D1209" s="632"/>
      <c r="E1209" s="634"/>
      <c r="F1209" s="633"/>
      <c r="G1209" s="633"/>
      <c r="I1209" s="632"/>
      <c r="N1209" s="632"/>
    </row>
    <row r="1210" spans="2:14" s="631" customFormat="1">
      <c r="B1210" s="635"/>
      <c r="C1210" s="632"/>
      <c r="D1210" s="632"/>
      <c r="E1210" s="634"/>
      <c r="F1210" s="633"/>
      <c r="G1210" s="633"/>
      <c r="I1210" s="632"/>
      <c r="N1210" s="632"/>
    </row>
    <row r="1211" spans="2:14" s="631" customFormat="1">
      <c r="B1211" s="635"/>
      <c r="C1211" s="632"/>
      <c r="D1211" s="632"/>
      <c r="E1211" s="634"/>
      <c r="F1211" s="633"/>
      <c r="G1211" s="633"/>
      <c r="I1211" s="632"/>
      <c r="N1211" s="632"/>
    </row>
    <row r="1212" spans="2:14" s="631" customFormat="1">
      <c r="B1212" s="635"/>
      <c r="C1212" s="632"/>
      <c r="D1212" s="632"/>
      <c r="E1212" s="634"/>
      <c r="F1212" s="633"/>
      <c r="G1212" s="633"/>
      <c r="I1212" s="632"/>
      <c r="N1212" s="632"/>
    </row>
    <row r="1213" spans="2:14" s="631" customFormat="1">
      <c r="B1213" s="635"/>
      <c r="C1213" s="632"/>
      <c r="D1213" s="632"/>
      <c r="E1213" s="634"/>
      <c r="F1213" s="633"/>
      <c r="G1213" s="633"/>
      <c r="I1213" s="632"/>
      <c r="N1213" s="632"/>
    </row>
    <row r="1214" spans="2:14" s="631" customFormat="1">
      <c r="B1214" s="635"/>
      <c r="C1214" s="632"/>
      <c r="D1214" s="632"/>
      <c r="E1214" s="634"/>
      <c r="F1214" s="633"/>
      <c r="G1214" s="633"/>
      <c r="I1214" s="632"/>
      <c r="N1214" s="632"/>
    </row>
    <row r="1215" spans="2:14" s="631" customFormat="1">
      <c r="B1215" s="635"/>
      <c r="C1215" s="632"/>
      <c r="D1215" s="632"/>
      <c r="E1215" s="634"/>
      <c r="F1215" s="633"/>
      <c r="G1215" s="633"/>
      <c r="I1215" s="632"/>
      <c r="N1215" s="632"/>
    </row>
    <row r="1216" spans="2:14" s="631" customFormat="1">
      <c r="B1216" s="635"/>
      <c r="C1216" s="632"/>
      <c r="D1216" s="632"/>
      <c r="E1216" s="634"/>
      <c r="F1216" s="633"/>
      <c r="G1216" s="633"/>
      <c r="I1216" s="632"/>
      <c r="N1216" s="632"/>
    </row>
    <row r="1217" spans="2:14" s="631" customFormat="1">
      <c r="B1217" s="635"/>
      <c r="C1217" s="632"/>
      <c r="D1217" s="632"/>
      <c r="E1217" s="634"/>
      <c r="F1217" s="633"/>
      <c r="G1217" s="633"/>
      <c r="I1217" s="632"/>
      <c r="N1217" s="632"/>
    </row>
    <row r="1218" spans="2:14" s="631" customFormat="1">
      <c r="B1218" s="635"/>
      <c r="C1218" s="632"/>
      <c r="D1218" s="632"/>
      <c r="E1218" s="634"/>
      <c r="F1218" s="633"/>
      <c r="G1218" s="633"/>
      <c r="I1218" s="632"/>
      <c r="N1218" s="632"/>
    </row>
    <row r="1219" spans="2:14" s="631" customFormat="1">
      <c r="B1219" s="635"/>
      <c r="C1219" s="632"/>
      <c r="D1219" s="632"/>
      <c r="E1219" s="634"/>
      <c r="F1219" s="633"/>
      <c r="G1219" s="633"/>
      <c r="I1219" s="632"/>
      <c r="N1219" s="632"/>
    </row>
    <row r="1220" spans="2:14" s="631" customFormat="1">
      <c r="B1220" s="635"/>
      <c r="C1220" s="632"/>
      <c r="D1220" s="632"/>
      <c r="E1220" s="634"/>
      <c r="F1220" s="633"/>
      <c r="G1220" s="633"/>
      <c r="I1220" s="632"/>
      <c r="N1220" s="632"/>
    </row>
    <row r="1221" spans="2:14" s="631" customFormat="1">
      <c r="B1221" s="635"/>
      <c r="C1221" s="632"/>
      <c r="D1221" s="632"/>
      <c r="E1221" s="634"/>
      <c r="F1221" s="633"/>
      <c r="G1221" s="633"/>
      <c r="I1221" s="632"/>
      <c r="N1221" s="632"/>
    </row>
    <row r="1222" spans="2:14" s="631" customFormat="1">
      <c r="B1222" s="635"/>
      <c r="C1222" s="632"/>
      <c r="D1222" s="632"/>
      <c r="E1222" s="634"/>
      <c r="F1222" s="633"/>
      <c r="G1222" s="633"/>
      <c r="I1222" s="632"/>
      <c r="N1222" s="632"/>
    </row>
    <row r="1223" spans="2:14" s="631" customFormat="1">
      <c r="B1223" s="635"/>
      <c r="C1223" s="632"/>
      <c r="D1223" s="632"/>
      <c r="E1223" s="634"/>
      <c r="F1223" s="633"/>
      <c r="G1223" s="633"/>
      <c r="I1223" s="632"/>
      <c r="N1223" s="632"/>
    </row>
    <row r="1224" spans="2:14" s="631" customFormat="1">
      <c r="B1224" s="635"/>
      <c r="C1224" s="632"/>
      <c r="D1224" s="632"/>
      <c r="E1224" s="634"/>
      <c r="F1224" s="633"/>
      <c r="G1224" s="633"/>
      <c r="I1224" s="632"/>
      <c r="N1224" s="632"/>
    </row>
    <row r="1225" spans="2:14" s="631" customFormat="1">
      <c r="B1225" s="635"/>
      <c r="C1225" s="632"/>
      <c r="D1225" s="632"/>
      <c r="E1225" s="634"/>
      <c r="F1225" s="633"/>
      <c r="G1225" s="633"/>
      <c r="I1225" s="632"/>
      <c r="N1225" s="632"/>
    </row>
    <row r="1226" spans="2:14" s="631" customFormat="1">
      <c r="B1226" s="635"/>
      <c r="C1226" s="632"/>
      <c r="D1226" s="632"/>
      <c r="E1226" s="634"/>
      <c r="F1226" s="633"/>
      <c r="G1226" s="633"/>
      <c r="I1226" s="632"/>
      <c r="N1226" s="632"/>
    </row>
    <row r="1227" spans="2:14" s="631" customFormat="1">
      <c r="B1227" s="635"/>
      <c r="C1227" s="632"/>
      <c r="D1227" s="632"/>
      <c r="E1227" s="634"/>
      <c r="F1227" s="633"/>
      <c r="G1227" s="633"/>
      <c r="I1227" s="632"/>
      <c r="N1227" s="632"/>
    </row>
    <row r="1228" spans="2:14" s="631" customFormat="1">
      <c r="B1228" s="635"/>
      <c r="C1228" s="632"/>
      <c r="D1228" s="632"/>
      <c r="E1228" s="634"/>
      <c r="F1228" s="633"/>
      <c r="G1228" s="633"/>
      <c r="I1228" s="632"/>
      <c r="N1228" s="632"/>
    </row>
    <row r="1229" spans="2:14" s="631" customFormat="1">
      <c r="B1229" s="635"/>
      <c r="C1229" s="632"/>
      <c r="D1229" s="632"/>
      <c r="E1229" s="634"/>
      <c r="F1229" s="633"/>
      <c r="G1229" s="633"/>
      <c r="I1229" s="632"/>
      <c r="N1229" s="632"/>
    </row>
    <row r="1230" spans="2:14" s="631" customFormat="1">
      <c r="B1230" s="635"/>
      <c r="C1230" s="632"/>
      <c r="D1230" s="632"/>
      <c r="E1230" s="634"/>
      <c r="F1230" s="633"/>
      <c r="G1230" s="633"/>
      <c r="I1230" s="632"/>
      <c r="N1230" s="632"/>
    </row>
    <row r="1231" spans="2:14" s="631" customFormat="1">
      <c r="B1231" s="635"/>
      <c r="C1231" s="632"/>
      <c r="D1231" s="632"/>
      <c r="E1231" s="634"/>
      <c r="F1231" s="633"/>
      <c r="G1231" s="633"/>
      <c r="I1231" s="632"/>
      <c r="N1231" s="632"/>
    </row>
    <row r="1232" spans="2:14" s="631" customFormat="1">
      <c r="B1232" s="635"/>
      <c r="C1232" s="632"/>
      <c r="D1232" s="632"/>
      <c r="E1232" s="634"/>
      <c r="F1232" s="633"/>
      <c r="G1232" s="633"/>
      <c r="I1232" s="632"/>
      <c r="N1232" s="632"/>
    </row>
  </sheetData>
  <sheetProtection sheet="1" objects="1" scenarios="1"/>
  <mergeCells count="465">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878:M878"/>
    <mergeCell ref="L879:M879"/>
    <mergeCell ref="L880:M880"/>
    <mergeCell ref="L881:M881"/>
    <mergeCell ref="L874:M874"/>
    <mergeCell ref="L875:M875"/>
    <mergeCell ref="L876:M876"/>
    <mergeCell ref="L877:M877"/>
    <mergeCell ref="L887:M887"/>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38:M838"/>
    <mergeCell ref="L839:M839"/>
    <mergeCell ref="L840:M840"/>
    <mergeCell ref="L841:M841"/>
    <mergeCell ref="L834:M834"/>
    <mergeCell ref="L835:M835"/>
    <mergeCell ref="L836:M836"/>
    <mergeCell ref="L837:M837"/>
    <mergeCell ref="L847:M847"/>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798:M798"/>
    <mergeCell ref="L799:M799"/>
    <mergeCell ref="L800:M800"/>
    <mergeCell ref="L801:M801"/>
    <mergeCell ref="L794:M794"/>
    <mergeCell ref="L795:M795"/>
    <mergeCell ref="L796:M796"/>
    <mergeCell ref="L797:M797"/>
    <mergeCell ref="L807:M807"/>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58:M758"/>
    <mergeCell ref="L759:M759"/>
    <mergeCell ref="L760:M760"/>
    <mergeCell ref="L761:M761"/>
    <mergeCell ref="L754:M754"/>
    <mergeCell ref="L755:M755"/>
    <mergeCell ref="L756:M756"/>
    <mergeCell ref="L757:M757"/>
    <mergeCell ref="L767:M767"/>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18:M718"/>
    <mergeCell ref="L719:M719"/>
    <mergeCell ref="L720:M720"/>
    <mergeCell ref="L721:M721"/>
    <mergeCell ref="L714:M714"/>
    <mergeCell ref="L715:M715"/>
    <mergeCell ref="L716:M716"/>
    <mergeCell ref="L717:M717"/>
    <mergeCell ref="L727:M727"/>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678:M678"/>
    <mergeCell ref="L679:M679"/>
    <mergeCell ref="L680:M680"/>
    <mergeCell ref="L681:M681"/>
    <mergeCell ref="L674:M674"/>
    <mergeCell ref="L675:M675"/>
    <mergeCell ref="L676:M676"/>
    <mergeCell ref="L677:M677"/>
    <mergeCell ref="L687:M687"/>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38:M638"/>
    <mergeCell ref="L639:M639"/>
    <mergeCell ref="L640:M640"/>
    <mergeCell ref="L641:M641"/>
    <mergeCell ref="L634:M634"/>
    <mergeCell ref="L635:M635"/>
    <mergeCell ref="L636:M636"/>
    <mergeCell ref="L637:M637"/>
    <mergeCell ref="L647:M647"/>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598:M598"/>
    <mergeCell ref="L599:M599"/>
    <mergeCell ref="L600:M600"/>
    <mergeCell ref="L601:M601"/>
    <mergeCell ref="L594:M594"/>
    <mergeCell ref="L595:M595"/>
    <mergeCell ref="L596:M596"/>
    <mergeCell ref="L597:M597"/>
    <mergeCell ref="L607:M607"/>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58:M558"/>
    <mergeCell ref="L559:M559"/>
    <mergeCell ref="L560:M560"/>
    <mergeCell ref="L561:M561"/>
    <mergeCell ref="L554:M554"/>
    <mergeCell ref="L555:M555"/>
    <mergeCell ref="L556:M556"/>
    <mergeCell ref="L557:M557"/>
    <mergeCell ref="L567:M567"/>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18:M518"/>
    <mergeCell ref="L519:M519"/>
    <mergeCell ref="L520:M520"/>
    <mergeCell ref="L521:M521"/>
    <mergeCell ref="L514:M514"/>
    <mergeCell ref="L515:M515"/>
    <mergeCell ref="L516:M516"/>
    <mergeCell ref="L517:M517"/>
    <mergeCell ref="L527:M527"/>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F2:H2"/>
    <mergeCell ref="F4:G5"/>
    <mergeCell ref="N5:O5"/>
    <mergeCell ref="L486:M486"/>
    <mergeCell ref="P4:Q5"/>
    <mergeCell ref="B4:C5"/>
    <mergeCell ref="D4:E5"/>
    <mergeCell ref="H4:I5"/>
    <mergeCell ref="J4:K5"/>
    <mergeCell ref="L4:M5"/>
    <mergeCell ref="N4:O4"/>
    <mergeCell ref="L478:M478"/>
    <mergeCell ref="L479:M479"/>
    <mergeCell ref="L480:M480"/>
    <mergeCell ref="L481:M481"/>
    <mergeCell ref="L475:M475"/>
    <mergeCell ref="L476:M476"/>
    <mergeCell ref="L477:M47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1"/>
  <headerFooter alignWithMargins="0">
    <oddFooter>&amp;L&amp;11LEL Schwäbisch Gmünd&amp;C&amp;P+8&amp;R&amp;11&amp;F</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2">
    <tabColor rgb="FF00B0F0"/>
    <pageSetUpPr fitToPage="1"/>
  </sheetPr>
  <dimension ref="A1:AH221"/>
  <sheetViews>
    <sheetView showZeros="0" zoomScaleNormal="100" workbookViewId="0"/>
  </sheetViews>
  <sheetFormatPr baseColWidth="10" defaultColWidth="10.5" defaultRowHeight="12.75"/>
  <cols>
    <col min="1" max="1" width="0.75" style="31" customWidth="1"/>
    <col min="2" max="2" width="0.625" style="31" customWidth="1"/>
    <col min="3" max="3" width="11.125" style="31" customWidth="1"/>
    <col min="4" max="5" width="8.75" style="31" customWidth="1"/>
    <col min="6" max="6" width="10.5" style="31" customWidth="1"/>
    <col min="7" max="7" width="7.5" style="31" customWidth="1"/>
    <col min="8" max="8" width="5.5" style="31" customWidth="1"/>
    <col min="9" max="9" width="5.125" style="31" customWidth="1"/>
    <col min="10" max="10" width="9.25" style="31" customWidth="1"/>
    <col min="11" max="11" width="11.375" style="31" customWidth="1"/>
    <col min="12" max="12" width="7.125" style="31" customWidth="1"/>
    <col min="13" max="13" width="6.625" style="31" customWidth="1"/>
    <col min="14" max="14" width="7.5" style="31" customWidth="1"/>
    <col min="15" max="15" width="6.75" style="31" customWidth="1"/>
    <col min="16" max="16" width="11.75" style="31" customWidth="1"/>
    <col min="17" max="18" width="10.5" style="31" customWidth="1"/>
    <col min="19" max="23" width="10.5" style="31" hidden="1" customWidth="1"/>
    <col min="24" max="24" width="6" style="31" customWidth="1"/>
    <col min="25" max="26" width="10.5" style="31"/>
    <col min="27" max="27" width="0" style="31" hidden="1" customWidth="1"/>
    <col min="28" max="16384" width="10.5" style="31"/>
  </cols>
  <sheetData>
    <row r="1" spans="2:27" ht="16.5" customHeight="1">
      <c r="C1" s="1973"/>
    </row>
    <row r="2" spans="2:27" ht="20.25">
      <c r="C2" s="1063" t="s">
        <v>1042</v>
      </c>
      <c r="O2" s="501" t="s">
        <v>1334</v>
      </c>
      <c r="P2" s="2384"/>
      <c r="Q2" s="2384"/>
    </row>
    <row r="3" spans="2:27" ht="2.1" customHeight="1">
      <c r="B3" s="49"/>
      <c r="C3" s="696"/>
      <c r="D3" s="695"/>
      <c r="E3" s="695"/>
      <c r="O3" s="4450">
        <f>SDÖ1!$O$3</f>
        <v>0</v>
      </c>
    </row>
    <row r="4" spans="2:27" ht="7.5" customHeight="1">
      <c r="C4" s="2383"/>
      <c r="D4" s="2382"/>
      <c r="E4" s="2382"/>
      <c r="F4" s="2381"/>
      <c r="G4" s="2381"/>
      <c r="H4" s="2381"/>
      <c r="I4" s="2381"/>
      <c r="J4" s="2381"/>
      <c r="K4" s="2381"/>
      <c r="L4" s="2381"/>
      <c r="M4" s="2381"/>
      <c r="N4" s="2381"/>
      <c r="O4" s="4450"/>
    </row>
    <row r="5" spans="2:27" ht="4.1500000000000004" customHeight="1">
      <c r="C5" s="2380"/>
      <c r="D5" s="695"/>
      <c r="E5" s="695"/>
      <c r="O5" s="4450"/>
    </row>
    <row r="6" spans="2:27" ht="19.7" customHeight="1">
      <c r="C6" s="1063" t="s">
        <v>995</v>
      </c>
      <c r="J6" s="2379" t="s">
        <v>1673</v>
      </c>
      <c r="K6" s="1063"/>
      <c r="L6" s="1063"/>
      <c r="N6" s="2378"/>
      <c r="O6" s="231"/>
    </row>
    <row r="7" spans="2:27" ht="14.25" customHeight="1">
      <c r="C7" s="35" t="s">
        <v>1672</v>
      </c>
      <c r="J7" s="35" t="s">
        <v>1671</v>
      </c>
      <c r="N7" s="2378"/>
      <c r="O7" s="231"/>
    </row>
    <row r="8" spans="2:27" ht="19.899999999999999" customHeight="1" thickBot="1">
      <c r="C8" s="389" t="s">
        <v>2176</v>
      </c>
      <c r="D8" s="54"/>
      <c r="E8" s="2377"/>
      <c r="F8" s="2377"/>
      <c r="G8" s="2377"/>
      <c r="H8" s="35"/>
      <c r="J8" s="35" t="s">
        <v>1670</v>
      </c>
    </row>
    <row r="9" spans="2:27" ht="20.25" customHeight="1">
      <c r="C9" s="3407" t="s">
        <v>992</v>
      </c>
      <c r="D9" s="3408"/>
      <c r="E9" s="3409"/>
      <c r="F9" s="3410" t="s">
        <v>1669</v>
      </c>
      <c r="G9" s="4458" t="s">
        <v>1668</v>
      </c>
      <c r="H9" s="4459"/>
      <c r="I9" s="3411"/>
      <c r="J9" s="3407" t="s">
        <v>296</v>
      </c>
      <c r="K9" s="3412"/>
      <c r="L9" s="3413"/>
      <c r="M9" s="3414"/>
      <c r="N9" s="3415"/>
      <c r="O9" s="3416"/>
      <c r="Q9" s="33"/>
    </row>
    <row r="10" spans="2:27" ht="23.1" customHeight="1" thickBot="1">
      <c r="C10" s="3417" t="s">
        <v>1667</v>
      </c>
      <c r="D10" s="3418"/>
      <c r="E10" s="3418"/>
      <c r="F10" s="3419" t="s">
        <v>1666</v>
      </c>
      <c r="G10" s="4460" t="s">
        <v>1665</v>
      </c>
      <c r="H10" s="4461"/>
      <c r="I10" s="3420"/>
      <c r="J10" s="3421"/>
      <c r="K10" s="3422"/>
      <c r="L10" s="3422"/>
      <c r="M10" s="3423" t="s">
        <v>1664</v>
      </c>
      <c r="N10" s="3424" t="s">
        <v>1233</v>
      </c>
      <c r="O10" s="3425" t="s">
        <v>171</v>
      </c>
      <c r="Q10" s="33"/>
      <c r="S10" s="35" t="s">
        <v>272</v>
      </c>
      <c r="AA10" s="35" t="s">
        <v>296</v>
      </c>
    </row>
    <row r="11" spans="2:27">
      <c r="C11" s="2376" t="s">
        <v>269</v>
      </c>
      <c r="D11" s="2150"/>
      <c r="E11" s="2375" t="s">
        <v>983</v>
      </c>
      <c r="F11" s="4045">
        <v>0.92</v>
      </c>
      <c r="G11" s="4462" t="s">
        <v>1663</v>
      </c>
      <c r="H11" s="4463"/>
      <c r="I11" s="288"/>
      <c r="J11" s="2359" t="s">
        <v>1662</v>
      </c>
      <c r="K11" s="2354"/>
      <c r="L11" s="375"/>
      <c r="M11" s="2355"/>
      <c r="N11" s="2360">
        <v>18</v>
      </c>
      <c r="O11" s="2357"/>
      <c r="P11" s="288"/>
      <c r="Q11" s="33"/>
      <c r="S11" s="2348" t="s">
        <v>1602</v>
      </c>
      <c r="AA11" s="35" t="s">
        <v>1661</v>
      </c>
    </row>
    <row r="12" spans="2:27">
      <c r="C12" s="2349" t="s">
        <v>269</v>
      </c>
      <c r="D12" s="2148"/>
      <c r="E12" s="293" t="s">
        <v>965</v>
      </c>
      <c r="F12" s="4046">
        <v>0.92</v>
      </c>
      <c r="G12" s="4420">
        <v>220</v>
      </c>
      <c r="H12" s="4437"/>
      <c r="I12" s="288"/>
      <c r="J12" s="2359" t="s">
        <v>1660</v>
      </c>
      <c r="K12" s="2354"/>
      <c r="L12" s="375"/>
      <c r="M12" s="2367">
        <v>1</v>
      </c>
      <c r="N12" s="2360">
        <v>25</v>
      </c>
      <c r="O12" s="2366">
        <v>25</v>
      </c>
      <c r="P12" s="288"/>
      <c r="Q12" s="33"/>
      <c r="S12" s="2348" t="s">
        <v>1659</v>
      </c>
      <c r="AA12" s="35" t="s">
        <v>1658</v>
      </c>
    </row>
    <row r="13" spans="2:27">
      <c r="C13" s="2349" t="s">
        <v>90</v>
      </c>
      <c r="D13" s="2148"/>
      <c r="E13" s="293"/>
      <c r="F13" s="4046">
        <v>0.84</v>
      </c>
      <c r="G13" s="4420">
        <v>120</v>
      </c>
      <c r="H13" s="4437"/>
      <c r="I13" s="288"/>
      <c r="J13" s="2359" t="s">
        <v>1657</v>
      </c>
      <c r="K13" s="2354"/>
      <c r="L13" s="375"/>
      <c r="M13" s="2367">
        <v>2</v>
      </c>
      <c r="N13" s="2360">
        <f>2.3*30</f>
        <v>69</v>
      </c>
      <c r="O13" s="2366">
        <f>M13*N13</f>
        <v>138</v>
      </c>
      <c r="P13" s="288"/>
      <c r="Q13" s="33"/>
      <c r="S13" s="2348" t="s">
        <v>1602</v>
      </c>
      <c r="AA13" s="35" t="s">
        <v>1656</v>
      </c>
    </row>
    <row r="14" spans="2:27">
      <c r="C14" s="2349" t="s">
        <v>84</v>
      </c>
      <c r="D14" s="2148"/>
      <c r="E14" s="293"/>
      <c r="F14" s="4046">
        <v>1.1200000000000001</v>
      </c>
      <c r="G14" s="4420">
        <v>220</v>
      </c>
      <c r="H14" s="4437"/>
      <c r="I14" s="288"/>
      <c r="J14" s="2359" t="s">
        <v>1655</v>
      </c>
      <c r="K14" s="2354"/>
      <c r="L14" s="375"/>
      <c r="M14" s="2371">
        <v>10</v>
      </c>
      <c r="N14" s="2370">
        <v>2</v>
      </c>
      <c r="O14" s="2369">
        <f>M14*N14</f>
        <v>20</v>
      </c>
      <c r="P14" s="288"/>
      <c r="Q14" s="33"/>
      <c r="S14" s="2348" t="s">
        <v>1654</v>
      </c>
      <c r="V14" s="2348" t="s">
        <v>1602</v>
      </c>
    </row>
    <row r="15" spans="2:27">
      <c r="C15" s="2349" t="s">
        <v>75</v>
      </c>
      <c r="D15" s="2148"/>
      <c r="E15" s="293"/>
      <c r="F15" s="4046">
        <v>0.91</v>
      </c>
      <c r="G15" s="4420">
        <v>140</v>
      </c>
      <c r="H15" s="4437"/>
      <c r="I15" s="288"/>
      <c r="J15" s="2356"/>
      <c r="K15" s="375"/>
      <c r="L15" s="375"/>
      <c r="M15" s="2353"/>
      <c r="N15" s="2352"/>
      <c r="O15" s="2351"/>
      <c r="P15" s="288"/>
      <c r="Q15" s="33"/>
      <c r="S15" s="2348" t="s">
        <v>1653</v>
      </c>
      <c r="V15" s="2348" t="s">
        <v>1602</v>
      </c>
    </row>
    <row r="16" spans="2:27" s="3647" customFormat="1">
      <c r="C16" s="3651" t="s">
        <v>86</v>
      </c>
      <c r="D16" s="2148"/>
      <c r="E16" s="293"/>
      <c r="F16" s="4046">
        <v>0.8</v>
      </c>
      <c r="G16" s="4420">
        <v>218</v>
      </c>
      <c r="H16" s="4421"/>
      <c r="I16" s="288"/>
      <c r="J16" s="2356"/>
      <c r="K16" s="375"/>
      <c r="L16" s="375"/>
      <c r="M16" s="2353"/>
      <c r="N16" s="2352"/>
      <c r="O16" s="2351"/>
      <c r="P16" s="288"/>
      <c r="Q16" s="33"/>
      <c r="S16" s="2348"/>
      <c r="V16" s="2348"/>
    </row>
    <row r="17" spans="1:27">
      <c r="C17" s="2349" t="s">
        <v>1652</v>
      </c>
      <c r="D17" s="2148"/>
      <c r="E17" s="293"/>
      <c r="F17" s="4046">
        <v>0.93</v>
      </c>
      <c r="G17" s="4420">
        <v>140</v>
      </c>
      <c r="H17" s="4437"/>
      <c r="I17" s="288"/>
      <c r="J17" s="2359"/>
      <c r="K17" s="2354"/>
      <c r="L17" s="375"/>
      <c r="M17" s="2355"/>
      <c r="N17" s="2360"/>
      <c r="O17" s="2357"/>
      <c r="P17" s="288"/>
      <c r="Q17" s="33"/>
      <c r="S17" s="2348" t="s">
        <v>1651</v>
      </c>
      <c r="AA17" s="35" t="s">
        <v>1650</v>
      </c>
    </row>
    <row r="18" spans="1:27">
      <c r="C18" s="2349" t="s">
        <v>1649</v>
      </c>
      <c r="D18" s="2148"/>
      <c r="E18" s="293"/>
      <c r="F18" s="4046">
        <v>0.93</v>
      </c>
      <c r="G18" s="4420">
        <v>140</v>
      </c>
      <c r="H18" s="4437"/>
      <c r="I18" s="288"/>
      <c r="J18" s="2359"/>
      <c r="K18" s="2354"/>
      <c r="L18" s="375"/>
      <c r="M18" s="2355"/>
      <c r="N18" s="2358"/>
      <c r="O18" s="2357"/>
      <c r="P18" s="288"/>
      <c r="Q18" s="33"/>
      <c r="S18" s="2348" t="s">
        <v>1602</v>
      </c>
    </row>
    <row r="19" spans="1:27">
      <c r="C19" s="2349" t="s">
        <v>70</v>
      </c>
      <c r="D19" s="2148"/>
      <c r="E19" s="293"/>
      <c r="F19" s="4047" t="s">
        <v>2165</v>
      </c>
      <c r="G19" s="4435" t="s">
        <v>1648</v>
      </c>
      <c r="H19" s="4436"/>
      <c r="I19" s="288"/>
      <c r="J19" s="2359"/>
      <c r="K19" s="2354"/>
      <c r="L19" s="375"/>
      <c r="M19" s="2355"/>
      <c r="N19" s="2374"/>
      <c r="O19" s="2357"/>
      <c r="P19" s="288"/>
      <c r="Q19" s="33"/>
      <c r="S19" s="2348" t="s">
        <v>1647</v>
      </c>
      <c r="V19" s="2348" t="s">
        <v>1602</v>
      </c>
    </row>
    <row r="20" spans="1:27">
      <c r="C20" s="2349" t="s">
        <v>263</v>
      </c>
      <c r="D20" s="2148"/>
      <c r="E20" s="293"/>
      <c r="F20" s="4046">
        <v>3.3</v>
      </c>
      <c r="G20" s="4435" t="s">
        <v>1646</v>
      </c>
      <c r="H20" s="4436"/>
      <c r="I20" s="288"/>
      <c r="J20" s="2356"/>
      <c r="K20" s="375"/>
      <c r="L20" s="375"/>
      <c r="M20" s="2353"/>
      <c r="N20" s="2352"/>
      <c r="O20" s="2351"/>
      <c r="P20" s="288"/>
      <c r="Q20" s="33"/>
      <c r="S20" s="2348" t="s">
        <v>1645</v>
      </c>
    </row>
    <row r="21" spans="1:27">
      <c r="C21" s="2349" t="s">
        <v>54</v>
      </c>
      <c r="D21" s="2148"/>
      <c r="E21" s="293"/>
      <c r="F21" s="4046">
        <v>1.1000000000000001</v>
      </c>
      <c r="G21" s="4420" t="s">
        <v>1644</v>
      </c>
      <c r="H21" s="4437"/>
      <c r="I21" s="288"/>
      <c r="J21" s="2359" t="s">
        <v>1643</v>
      </c>
      <c r="K21" s="2354"/>
      <c r="L21" s="375"/>
      <c r="M21" s="2371">
        <v>1</v>
      </c>
      <c r="N21" s="2373" t="s">
        <v>1642</v>
      </c>
      <c r="O21" s="2372" t="s">
        <v>1642</v>
      </c>
      <c r="P21" s="288"/>
      <c r="Q21" s="33"/>
      <c r="S21" s="2348" t="s">
        <v>1641</v>
      </c>
      <c r="AA21" s="35" t="s">
        <v>1640</v>
      </c>
    </row>
    <row r="22" spans="1:27">
      <c r="A22" s="31">
        <v>1.25</v>
      </c>
      <c r="C22" s="2349" t="s">
        <v>52</v>
      </c>
      <c r="D22" s="2148"/>
      <c r="E22" s="293"/>
      <c r="F22" s="4046">
        <v>1.3</v>
      </c>
      <c r="G22" s="4420" t="s">
        <v>1639</v>
      </c>
      <c r="H22" s="4437"/>
      <c r="I22" s="288"/>
      <c r="J22" s="2359" t="s">
        <v>1484</v>
      </c>
      <c r="K22" s="2354"/>
      <c r="L22" s="375"/>
      <c r="M22" s="2371">
        <v>1</v>
      </c>
      <c r="N22" s="2370">
        <v>181</v>
      </c>
      <c r="O22" s="2369">
        <f>M22*N22</f>
        <v>181</v>
      </c>
      <c r="P22" s="288"/>
      <c r="Q22" s="33"/>
      <c r="S22" s="2348" t="s">
        <v>1638</v>
      </c>
      <c r="AA22" s="35" t="s">
        <v>1637</v>
      </c>
    </row>
    <row r="23" spans="1:27" ht="13.9" customHeight="1">
      <c r="C23" s="2349" t="s">
        <v>60</v>
      </c>
      <c r="D23" s="2148"/>
      <c r="E23" s="293"/>
      <c r="F23" s="4047" t="s">
        <v>2166</v>
      </c>
      <c r="G23" s="4435" t="s">
        <v>1636</v>
      </c>
      <c r="H23" s="4473"/>
      <c r="I23" s="288"/>
      <c r="J23" s="2359"/>
      <c r="K23" s="2354"/>
      <c r="L23" s="375"/>
      <c r="M23" s="2355"/>
      <c r="N23" s="2358"/>
      <c r="O23" s="2357"/>
      <c r="P23" s="288"/>
      <c r="Q23" s="33"/>
      <c r="S23" s="35" t="s">
        <v>1633</v>
      </c>
    </row>
    <row r="24" spans="1:27" ht="13.9" customHeight="1">
      <c r="C24" s="2349" t="s">
        <v>64</v>
      </c>
      <c r="D24" s="2148"/>
      <c r="E24" s="293"/>
      <c r="F24" s="4047" t="s">
        <v>1635</v>
      </c>
      <c r="G24" s="4420" t="s">
        <v>1634</v>
      </c>
      <c r="H24" s="4421"/>
      <c r="I24" s="2368"/>
      <c r="J24" s="2359"/>
      <c r="K24" s="2354"/>
      <c r="L24" s="375"/>
      <c r="M24" s="2355"/>
      <c r="N24" s="2358"/>
      <c r="O24" s="2357"/>
      <c r="P24" s="288"/>
      <c r="Q24" s="33"/>
      <c r="S24" s="35" t="s">
        <v>1633</v>
      </c>
    </row>
    <row r="25" spans="1:27">
      <c r="C25" s="2349" t="s">
        <v>1632</v>
      </c>
      <c r="D25" s="2148"/>
      <c r="E25" s="293"/>
      <c r="F25" s="4046">
        <v>1.2</v>
      </c>
      <c r="G25" s="4420">
        <v>2500</v>
      </c>
      <c r="H25" s="4437"/>
      <c r="I25" s="288"/>
      <c r="J25" s="2359" t="s">
        <v>1631</v>
      </c>
      <c r="K25" s="2354"/>
      <c r="L25" s="375"/>
      <c r="M25" s="2367">
        <v>1</v>
      </c>
      <c r="N25" s="2360">
        <v>2.8</v>
      </c>
      <c r="O25" s="2366">
        <f>M25*N25</f>
        <v>2.8</v>
      </c>
      <c r="P25" s="288"/>
      <c r="Q25" s="33"/>
      <c r="S25" s="2348" t="s">
        <v>1630</v>
      </c>
    </row>
    <row r="26" spans="1:27">
      <c r="C26" s="2349"/>
      <c r="D26" s="2148"/>
      <c r="E26" s="293"/>
      <c r="F26" s="4048"/>
      <c r="G26" s="4435"/>
      <c r="H26" s="4436"/>
      <c r="I26" s="288"/>
      <c r="J26" s="2359" t="s">
        <v>1629</v>
      </c>
      <c r="K26" s="2354"/>
      <c r="L26" s="375"/>
      <c r="M26" s="2355"/>
      <c r="N26" s="2365">
        <v>5.5</v>
      </c>
      <c r="O26" s="2357"/>
      <c r="P26" s="288"/>
      <c r="Q26" s="33"/>
      <c r="S26" s="2348" t="s">
        <v>1628</v>
      </c>
      <c r="AA26" s="35" t="s">
        <v>1627</v>
      </c>
    </row>
    <row r="27" spans="1:27">
      <c r="C27" s="2363" t="s">
        <v>1623</v>
      </c>
      <c r="D27" s="2362"/>
      <c r="E27" s="2361"/>
      <c r="F27" s="4049">
        <v>4.5</v>
      </c>
      <c r="G27" s="4054" t="s">
        <v>1622</v>
      </c>
      <c r="H27" s="4055"/>
      <c r="I27" s="288"/>
      <c r="J27" s="2359" t="s">
        <v>1626</v>
      </c>
      <c r="K27" s="2354"/>
      <c r="L27" s="375"/>
      <c r="M27" s="2355"/>
      <c r="N27" s="2364" t="s">
        <v>1625</v>
      </c>
      <c r="O27" s="2351"/>
      <c r="P27" s="288"/>
      <c r="S27" s="35" t="s">
        <v>1624</v>
      </c>
    </row>
    <row r="28" spans="1:27" ht="12.75" customHeight="1">
      <c r="C28" s="2349" t="s">
        <v>1621</v>
      </c>
      <c r="D28" s="2148"/>
      <c r="E28" s="293"/>
      <c r="F28" s="4046">
        <v>5.38</v>
      </c>
      <c r="G28" s="4050" t="s">
        <v>1620</v>
      </c>
      <c r="H28" s="4051"/>
      <c r="I28" s="288"/>
      <c r="J28" s="2356"/>
      <c r="K28" s="375"/>
      <c r="L28" s="375"/>
      <c r="M28" s="2353"/>
      <c r="N28" s="2352"/>
      <c r="O28" s="2351"/>
      <c r="P28" s="288"/>
      <c r="S28" s="2348" t="s">
        <v>1602</v>
      </c>
    </row>
    <row r="29" spans="1:27" ht="14.25" customHeight="1">
      <c r="C29" s="2349" t="s">
        <v>1617</v>
      </c>
      <c r="D29" s="2148"/>
      <c r="E29" s="293"/>
      <c r="F29" s="4046">
        <v>6.66</v>
      </c>
      <c r="G29" s="4053" t="s">
        <v>1616</v>
      </c>
      <c r="H29" s="4052"/>
      <c r="I29" s="288"/>
      <c r="J29" s="2359" t="s">
        <v>1619</v>
      </c>
      <c r="K29" s="2354"/>
      <c r="L29" s="375"/>
      <c r="M29" s="2355"/>
      <c r="N29" s="2360">
        <v>0.18</v>
      </c>
      <c r="O29" s="2357"/>
      <c r="P29" s="288"/>
      <c r="S29" s="2348" t="s">
        <v>1602</v>
      </c>
      <c r="AA29" s="35" t="s">
        <v>1618</v>
      </c>
    </row>
    <row r="30" spans="1:27" ht="14.25" customHeight="1">
      <c r="C30" s="2349" t="s">
        <v>1614</v>
      </c>
      <c r="D30" s="2148"/>
      <c r="E30" s="293"/>
      <c r="F30" s="4046">
        <v>1.2</v>
      </c>
      <c r="G30" s="4050">
        <v>120</v>
      </c>
      <c r="H30" s="4051"/>
      <c r="I30" s="288"/>
      <c r="J30" s="2359" t="s">
        <v>1615</v>
      </c>
      <c r="K30" s="2354"/>
      <c r="L30" s="375"/>
      <c r="M30" s="2355"/>
      <c r="N30" s="2360">
        <v>0.7</v>
      </c>
      <c r="O30" s="2357"/>
      <c r="P30" s="288"/>
      <c r="S30" s="2348" t="s">
        <v>1602</v>
      </c>
    </row>
    <row r="31" spans="1:27">
      <c r="C31" s="2349" t="s">
        <v>944</v>
      </c>
      <c r="D31" s="2148"/>
      <c r="E31" s="293"/>
      <c r="F31" s="4046">
        <v>5.5</v>
      </c>
      <c r="G31" s="4053" t="s">
        <v>1612</v>
      </c>
      <c r="H31" s="4052"/>
      <c r="I31" s="288"/>
      <c r="J31" s="2359" t="s">
        <v>1613</v>
      </c>
      <c r="K31" s="2354"/>
      <c r="L31" s="375"/>
      <c r="M31" s="2355"/>
      <c r="N31" s="2358">
        <v>0.7</v>
      </c>
      <c r="O31" s="2357"/>
      <c r="P31" s="288"/>
      <c r="Q31" s="33"/>
      <c r="S31" s="2348" t="s">
        <v>1602</v>
      </c>
    </row>
    <row r="32" spans="1:27">
      <c r="C32" s="2349" t="s">
        <v>1607</v>
      </c>
      <c r="D32" s="2148"/>
      <c r="E32" s="293"/>
      <c r="F32" s="4046">
        <v>5.8</v>
      </c>
      <c r="G32" s="4053" t="s">
        <v>1606</v>
      </c>
      <c r="H32" s="4052"/>
      <c r="I32" s="2345"/>
      <c r="J32" s="2359" t="s">
        <v>1611</v>
      </c>
      <c r="K32" s="2354"/>
      <c r="L32" s="375"/>
      <c r="M32" s="2355"/>
      <c r="N32" s="2358">
        <v>10</v>
      </c>
      <c r="O32" s="2357"/>
      <c r="P32" s="288"/>
      <c r="Q32" s="33"/>
    </row>
    <row r="33" spans="2:20" ht="12.95" customHeight="1">
      <c r="C33" s="2349" t="s">
        <v>1605</v>
      </c>
      <c r="D33" s="2148"/>
      <c r="E33" s="293"/>
      <c r="F33" s="4046">
        <v>3.15</v>
      </c>
      <c r="G33" s="4050">
        <v>20</v>
      </c>
      <c r="H33" s="4052"/>
      <c r="I33" s="2345"/>
      <c r="J33" s="2356"/>
      <c r="K33" s="375"/>
      <c r="L33" s="375"/>
      <c r="M33" s="2353"/>
      <c r="N33" s="2352"/>
      <c r="O33" s="2351"/>
      <c r="P33" s="288"/>
      <c r="Q33" s="33"/>
    </row>
    <row r="34" spans="2:20">
      <c r="C34" s="2349" t="s">
        <v>1604</v>
      </c>
      <c r="D34" s="2148"/>
      <c r="E34" s="293"/>
      <c r="F34" s="4046">
        <v>2.2000000000000002</v>
      </c>
      <c r="G34" s="4050"/>
      <c r="H34" s="4052"/>
      <c r="I34" s="2345"/>
      <c r="J34" s="2359" t="s">
        <v>1610</v>
      </c>
      <c r="K34" s="2354"/>
      <c r="L34" s="375"/>
      <c r="M34" s="2355"/>
      <c r="N34" s="2358">
        <v>8</v>
      </c>
      <c r="O34" s="2357"/>
      <c r="P34" s="288"/>
      <c r="Q34" s="33"/>
      <c r="S34" s="2348" t="s">
        <v>1609</v>
      </c>
    </row>
    <row r="35" spans="2:20" ht="13.5" thickBot="1">
      <c r="C35" s="2347" t="s">
        <v>1603</v>
      </c>
      <c r="D35" s="2346"/>
      <c r="E35" s="4064"/>
      <c r="F35" s="4046" t="s">
        <v>2167</v>
      </c>
      <c r="G35" s="4481">
        <v>15</v>
      </c>
      <c r="H35" s="4482"/>
      <c r="I35" s="2345"/>
      <c r="J35" s="4060" t="s">
        <v>1608</v>
      </c>
      <c r="K35" s="2354"/>
      <c r="L35" s="2350"/>
      <c r="M35" s="4061"/>
      <c r="N35" s="4062">
        <v>6</v>
      </c>
      <c r="O35" s="4063"/>
      <c r="P35" s="288"/>
      <c r="Q35" s="33"/>
    </row>
    <row r="36" spans="2:20">
      <c r="B36" s="49"/>
      <c r="F36" s="690"/>
      <c r="H36" s="136"/>
      <c r="I36" s="136"/>
      <c r="J36" s="136"/>
      <c r="K36" s="4065"/>
    </row>
    <row r="37" spans="2:20" hidden="1">
      <c r="B37" s="49"/>
      <c r="C37" s="33"/>
      <c r="D37" s="33"/>
      <c r="E37" s="33"/>
      <c r="F37" s="33"/>
      <c r="G37" s="33"/>
      <c r="H37" s="33"/>
      <c r="I37" s="33"/>
    </row>
    <row r="38" spans="2:20" ht="20.25">
      <c r="C38" s="1063" t="s">
        <v>1601</v>
      </c>
      <c r="D38" s="1063"/>
      <c r="E38" s="1063"/>
      <c r="O38" s="33"/>
    </row>
    <row r="39" spans="2:20">
      <c r="C39" s="1055" t="s">
        <v>1016</v>
      </c>
      <c r="D39" s="272"/>
      <c r="E39" s="272"/>
      <c r="F39" s="272"/>
      <c r="G39" s="358"/>
      <c r="H39" s="272"/>
      <c r="I39" s="1054" t="s">
        <v>228</v>
      </c>
    </row>
    <row r="40" spans="2:20">
      <c r="C40" s="1053" t="s">
        <v>736</v>
      </c>
      <c r="D40" s="272"/>
      <c r="E40" s="272"/>
      <c r="F40" s="272"/>
      <c r="G40" s="358"/>
      <c r="H40" s="272"/>
      <c r="I40" s="1052" t="s">
        <v>1600</v>
      </c>
      <c r="Q40" s="33"/>
    </row>
    <row r="41" spans="2:20">
      <c r="C41" s="765" t="s">
        <v>52</v>
      </c>
      <c r="D41" s="32"/>
      <c r="E41" s="32"/>
      <c r="F41" s="32"/>
      <c r="G41" s="765"/>
      <c r="H41" s="32"/>
      <c r="I41" s="1051" t="s">
        <v>1599</v>
      </c>
      <c r="Q41" s="33"/>
    </row>
    <row r="42" spans="2:20">
      <c r="C42" s="765" t="s">
        <v>1013</v>
      </c>
      <c r="D42" s="32"/>
      <c r="E42" s="32"/>
      <c r="F42" s="32"/>
      <c r="G42" s="765"/>
      <c r="H42" s="32"/>
      <c r="I42" s="1051" t="s">
        <v>1598</v>
      </c>
      <c r="Q42" s="33"/>
    </row>
    <row r="43" spans="2:20">
      <c r="C43" s="765" t="s">
        <v>50</v>
      </c>
      <c r="D43" s="32"/>
      <c r="E43" s="32"/>
      <c r="F43" s="32"/>
      <c r="G43" s="765"/>
      <c r="H43" s="32"/>
      <c r="I43" s="1050" t="s">
        <v>1011</v>
      </c>
      <c r="Q43" s="33"/>
    </row>
    <row r="44" spans="2:20">
      <c r="C44" s="1049" t="s">
        <v>1010</v>
      </c>
      <c r="D44" s="319"/>
      <c r="E44" s="319"/>
      <c r="F44" s="319"/>
      <c r="G44" s="1049"/>
      <c r="H44" s="319"/>
      <c r="I44" s="1048" t="s">
        <v>1597</v>
      </c>
      <c r="Q44" s="33"/>
    </row>
    <row r="45" spans="2:20">
      <c r="C45" s="395" t="s">
        <v>1596</v>
      </c>
      <c r="D45" s="1047"/>
      <c r="E45" s="1047"/>
      <c r="F45" s="1047"/>
      <c r="G45" s="1047"/>
      <c r="H45" s="1047" t="s">
        <v>1595</v>
      </c>
      <c r="I45" s="1046"/>
    </row>
    <row r="46" spans="2:20" ht="13.5" thickBot="1">
      <c r="Q46" s="33"/>
    </row>
    <row r="47" spans="2:20" ht="14.25">
      <c r="C47" s="2344" t="s">
        <v>1594</v>
      </c>
      <c r="D47" s="690"/>
      <c r="E47" s="2343"/>
      <c r="F47" s="2342" t="s">
        <v>90</v>
      </c>
      <c r="G47" s="2342"/>
      <c r="H47" s="2342"/>
      <c r="I47" s="2341"/>
      <c r="Q47" s="33"/>
    </row>
    <row r="48" spans="2:20">
      <c r="C48" s="2234"/>
      <c r="D48" s="32"/>
      <c r="E48" s="32"/>
      <c r="F48" s="32"/>
      <c r="G48" s="32"/>
      <c r="H48" s="32"/>
      <c r="I48" s="2340"/>
      <c r="Q48" s="33"/>
      <c r="T48" s="31" t="s">
        <v>1270</v>
      </c>
    </row>
    <row r="49" spans="2:20">
      <c r="C49" s="2339" t="s">
        <v>1004</v>
      </c>
      <c r="D49" s="32"/>
      <c r="E49" s="1042" t="s">
        <v>1003</v>
      </c>
      <c r="F49" s="1041" t="s">
        <v>909</v>
      </c>
      <c r="G49" s="32"/>
      <c r="H49" s="330"/>
      <c r="I49" s="723"/>
      <c r="Q49" s="33"/>
    </row>
    <row r="50" spans="2:20">
      <c r="C50" s="2285" t="s">
        <v>1002</v>
      </c>
      <c r="D50" s="32"/>
      <c r="E50" s="940">
        <v>30</v>
      </c>
      <c r="F50" s="232" t="s">
        <v>113</v>
      </c>
      <c r="G50" s="32"/>
      <c r="H50" s="330"/>
      <c r="I50" s="723"/>
      <c r="Q50" s="33"/>
    </row>
    <row r="51" spans="2:20">
      <c r="C51" s="2285"/>
      <c r="D51" s="32"/>
      <c r="E51" s="330"/>
      <c r="F51" s="330"/>
      <c r="G51" s="330"/>
      <c r="H51" s="330"/>
      <c r="I51" s="723"/>
      <c r="Q51" s="33"/>
    </row>
    <row r="52" spans="2:20">
      <c r="C52" s="2338">
        <f>E50%</f>
        <v>0.3</v>
      </c>
      <c r="D52" s="1039">
        <f>E49*E50%/100</f>
        <v>0.39</v>
      </c>
      <c r="E52" s="330" t="s">
        <v>1001</v>
      </c>
      <c r="F52" s="724">
        <f>F13</f>
        <v>0.84</v>
      </c>
      <c r="G52" s="330" t="s">
        <v>997</v>
      </c>
      <c r="H52" s="725">
        <f>D52*F52</f>
        <v>0.3276</v>
      </c>
      <c r="I52" s="723" t="s">
        <v>171</v>
      </c>
      <c r="Q52" s="33"/>
    </row>
    <row r="53" spans="2:20">
      <c r="C53" s="2338">
        <f>1-C52</f>
        <v>0.7</v>
      </c>
      <c r="D53" s="1039">
        <f>E49*C53%</f>
        <v>0.90999999999999992</v>
      </c>
      <c r="E53" s="330" t="s">
        <v>1000</v>
      </c>
      <c r="F53" s="724">
        <f>SDÖ1!O19</f>
        <v>35.283333333333339</v>
      </c>
      <c r="G53" s="330" t="s">
        <v>997</v>
      </c>
      <c r="H53" s="725">
        <f>D53*F53</f>
        <v>32.107833333333332</v>
      </c>
      <c r="I53" s="723" t="s">
        <v>171</v>
      </c>
      <c r="Q53" s="33"/>
    </row>
    <row r="54" spans="2:20" ht="14.25">
      <c r="C54" s="244"/>
      <c r="D54" s="232" t="s">
        <v>1593</v>
      </c>
      <c r="E54" s="330"/>
      <c r="F54" s="724">
        <v>15</v>
      </c>
      <c r="G54" s="330" t="s">
        <v>997</v>
      </c>
      <c r="H54" s="725">
        <f>D53*F54</f>
        <v>13.649999999999999</v>
      </c>
      <c r="I54" s="723" t="s">
        <v>171</v>
      </c>
      <c r="Q54" s="33"/>
    </row>
    <row r="55" spans="2:20" ht="14.25">
      <c r="C55" s="244"/>
      <c r="D55" s="330" t="s">
        <v>998</v>
      </c>
      <c r="E55" s="330"/>
      <c r="F55" s="724">
        <v>4</v>
      </c>
      <c r="G55" s="330" t="s">
        <v>997</v>
      </c>
      <c r="H55" s="725">
        <f>D53*F55</f>
        <v>3.6399999999999997</v>
      </c>
      <c r="I55" s="723" t="s">
        <v>171</v>
      </c>
      <c r="Q55" s="33"/>
    </row>
    <row r="56" spans="2:20" ht="13.5" thickBot="1">
      <c r="C56" s="2337" t="s">
        <v>996</v>
      </c>
      <c r="D56" s="2336"/>
      <c r="E56" s="2336"/>
      <c r="F56" s="2336"/>
      <c r="G56" s="2336"/>
      <c r="H56" s="2335">
        <f>SUM(H52:H55)</f>
        <v>49.725433333333328</v>
      </c>
      <c r="I56" s="2334" t="s">
        <v>171</v>
      </c>
      <c r="Q56" s="33"/>
    </row>
    <row r="57" spans="2:20">
      <c r="Q57" s="33"/>
      <c r="T57" s="31" t="s">
        <v>1270</v>
      </c>
    </row>
    <row r="58" spans="2:20" ht="20.25">
      <c r="B58" s="33"/>
      <c r="C58" s="4480" t="s">
        <v>900</v>
      </c>
      <c r="D58" s="4480"/>
      <c r="E58" s="4480"/>
      <c r="F58" s="4480"/>
      <c r="G58" s="4480"/>
      <c r="H58" s="4480"/>
      <c r="I58" s="4480"/>
      <c r="J58" s="4480"/>
      <c r="K58" s="4480"/>
      <c r="L58" s="4480"/>
      <c r="M58" s="4480"/>
      <c r="N58" s="33"/>
      <c r="Q58" s="33"/>
      <c r="T58" s="31" t="s">
        <v>1270</v>
      </c>
    </row>
    <row r="59" spans="2:20" ht="16.350000000000001" customHeight="1" thickBot="1">
      <c r="C59" s="4485" t="s">
        <v>899</v>
      </c>
      <c r="D59" s="4485"/>
      <c r="E59" s="4485"/>
      <c r="F59" s="4485"/>
      <c r="G59" s="4485"/>
      <c r="H59" s="4485"/>
      <c r="I59" s="4485"/>
      <c r="J59" s="4485"/>
      <c r="K59" s="4485"/>
      <c r="L59" s="4485"/>
      <c r="M59" s="4485"/>
      <c r="N59" s="33"/>
      <c r="Q59" s="33"/>
    </row>
    <row r="60" spans="2:20" ht="52.35" customHeight="1">
      <c r="B60" s="936">
        <f>ROWS($B$60:$B60)</f>
        <v>1</v>
      </c>
      <c r="C60" s="4477" t="s">
        <v>898</v>
      </c>
      <c r="D60" s="4478"/>
      <c r="E60" s="4479"/>
      <c r="F60" s="4483" t="s">
        <v>1592</v>
      </c>
      <c r="G60" s="4484"/>
      <c r="H60" s="2333"/>
      <c r="I60" s="4477" t="s">
        <v>898</v>
      </c>
      <c r="J60" s="4478"/>
      <c r="K60" s="4479"/>
      <c r="L60" s="4483" t="s">
        <v>1591</v>
      </c>
      <c r="M60" s="4484"/>
      <c r="N60" s="33"/>
      <c r="Q60" s="33"/>
    </row>
    <row r="61" spans="2:20" ht="13.7" hidden="1" customHeight="1">
      <c r="B61" s="936">
        <f>ROWS($B$60:$B61)</f>
        <v>2</v>
      </c>
      <c r="C61" s="2332"/>
      <c r="D61" s="2331"/>
      <c r="E61" s="2330"/>
      <c r="F61" s="2329"/>
      <c r="G61" s="2328"/>
      <c r="H61" s="2333"/>
      <c r="I61" s="2332"/>
      <c r="J61" s="2331"/>
      <c r="K61" s="2330"/>
      <c r="L61" s="2329"/>
      <c r="M61" s="2328"/>
      <c r="N61" s="33"/>
      <c r="Q61" s="33"/>
    </row>
    <row r="62" spans="2:20">
      <c r="B62" s="936">
        <f>ROWS($B$60:$B62)</f>
        <v>3</v>
      </c>
      <c r="C62" s="2325" t="s">
        <v>895</v>
      </c>
      <c r="D62" s="2324"/>
      <c r="E62" s="2324"/>
      <c r="F62" s="4475">
        <f>'SDK7'!G102</f>
        <v>16</v>
      </c>
      <c r="G62" s="4476"/>
      <c r="H62" s="2313">
        <v>5</v>
      </c>
      <c r="I62" s="2325" t="s">
        <v>894</v>
      </c>
      <c r="J62" s="2324"/>
      <c r="K62" s="2324"/>
      <c r="L62" s="3649">
        <v>34</v>
      </c>
      <c r="M62" s="2323"/>
      <c r="N62" s="33"/>
      <c r="Q62" s="33"/>
    </row>
    <row r="63" spans="2:20" ht="14.25">
      <c r="B63" s="936">
        <f>ROWS($B$60:$B63)</f>
        <v>4</v>
      </c>
      <c r="C63" s="2325" t="s">
        <v>893</v>
      </c>
      <c r="D63" s="2324"/>
      <c r="E63" s="2324"/>
      <c r="F63" s="4475">
        <f>'SDK7'!G103</f>
        <v>16</v>
      </c>
      <c r="G63" s="4476"/>
      <c r="H63" s="2313">
        <v>6</v>
      </c>
      <c r="I63" s="2325" t="s">
        <v>892</v>
      </c>
      <c r="J63" s="2326"/>
      <c r="K63" s="38"/>
      <c r="L63" s="3649">
        <v>12.6</v>
      </c>
      <c r="M63" s="2323"/>
      <c r="N63" s="33"/>
      <c r="P63" s="2327"/>
      <c r="Q63" s="33"/>
    </row>
    <row r="64" spans="2:20">
      <c r="B64" s="936">
        <f>ROWS($B$60:$B64)</f>
        <v>5</v>
      </c>
      <c r="C64" s="2325" t="s">
        <v>891</v>
      </c>
      <c r="D64" s="2324"/>
      <c r="E64" s="2324"/>
      <c r="F64" s="4475">
        <f>'SDK7'!G104</f>
        <v>15</v>
      </c>
      <c r="G64" s="4476"/>
      <c r="H64" s="2313">
        <v>7</v>
      </c>
      <c r="I64" s="2325" t="s">
        <v>890</v>
      </c>
      <c r="J64" s="2326"/>
      <c r="K64" s="38"/>
      <c r="L64" s="3649">
        <v>12.6</v>
      </c>
      <c r="M64" s="2323"/>
      <c r="N64" s="33"/>
    </row>
    <row r="65" spans="1:14">
      <c r="B65" s="936">
        <f>ROWS($B$60:$B65)</f>
        <v>6</v>
      </c>
      <c r="C65" s="2325" t="s">
        <v>889</v>
      </c>
      <c r="D65" s="2324"/>
      <c r="E65" s="2324"/>
      <c r="F65" s="4475">
        <f>'SDK7'!G105</f>
        <v>15</v>
      </c>
      <c r="G65" s="4476"/>
      <c r="H65" s="2313">
        <v>8</v>
      </c>
      <c r="I65" s="2325" t="s">
        <v>888</v>
      </c>
      <c r="J65" s="2326"/>
      <c r="K65" s="38"/>
      <c r="L65" s="3649">
        <v>12.6</v>
      </c>
      <c r="M65" s="2323"/>
      <c r="N65" s="33"/>
    </row>
    <row r="66" spans="1:14">
      <c r="B66" s="936">
        <f>ROWS($B$60:$B66)</f>
        <v>7</v>
      </c>
      <c r="C66" s="2325" t="s">
        <v>887</v>
      </c>
      <c r="D66" s="2324"/>
      <c r="E66" s="2324"/>
      <c r="F66" s="4475">
        <f>'SDK7'!G106</f>
        <v>43</v>
      </c>
      <c r="G66" s="4476"/>
      <c r="H66" s="2313">
        <v>9</v>
      </c>
      <c r="I66" s="2325" t="s">
        <v>886</v>
      </c>
      <c r="J66" s="2326"/>
      <c r="K66" s="38"/>
      <c r="L66" s="3649">
        <v>12.6</v>
      </c>
      <c r="M66" s="2323"/>
      <c r="N66" s="33"/>
    </row>
    <row r="67" spans="1:14" ht="13.15" customHeight="1">
      <c r="B67" s="936">
        <f>ROWS($B$60:$B67)</f>
        <v>8</v>
      </c>
      <c r="C67" s="2325" t="s">
        <v>885</v>
      </c>
      <c r="D67" s="2324"/>
      <c r="E67" s="2324"/>
      <c r="F67" s="4475">
        <f>'SDK7'!G107</f>
        <v>42</v>
      </c>
      <c r="G67" s="4476"/>
      <c r="H67" s="2313">
        <v>10</v>
      </c>
      <c r="I67" s="2325" t="s">
        <v>884</v>
      </c>
      <c r="J67" s="2326"/>
      <c r="K67" s="38"/>
      <c r="L67" s="3649">
        <v>12.6</v>
      </c>
      <c r="M67" s="2323"/>
      <c r="N67" s="33"/>
    </row>
    <row r="68" spans="1:14" ht="13.15" customHeight="1">
      <c r="B68" s="936">
        <f>ROWS($B$60:$B68)</f>
        <v>9</v>
      </c>
      <c r="C68" s="2325" t="s">
        <v>883</v>
      </c>
      <c r="D68" s="2324"/>
      <c r="E68" s="2324"/>
      <c r="F68" s="4475">
        <f>'SDK7'!G108</f>
        <v>42</v>
      </c>
      <c r="G68" s="4476"/>
      <c r="H68" s="2313">
        <v>11</v>
      </c>
      <c r="I68" s="2325" t="s">
        <v>882</v>
      </c>
      <c r="J68" s="2326"/>
      <c r="K68" s="38"/>
      <c r="L68" s="3649">
        <v>38</v>
      </c>
      <c r="M68" s="2323"/>
      <c r="N68" s="2152"/>
    </row>
    <row r="69" spans="1:14" ht="13.15" customHeight="1">
      <c r="B69" s="936">
        <f>ROWS($B$60:$B69)</f>
        <v>10</v>
      </c>
      <c r="C69" s="2325" t="s">
        <v>881</v>
      </c>
      <c r="D69" s="2324"/>
      <c r="E69" s="2324"/>
      <c r="F69" s="4475">
        <f>'SDK7'!G109</f>
        <v>30</v>
      </c>
      <c r="G69" s="4476"/>
      <c r="H69" s="2313">
        <v>12</v>
      </c>
      <c r="I69" s="2325" t="s">
        <v>880</v>
      </c>
      <c r="J69" s="2326"/>
      <c r="K69" s="38"/>
      <c r="L69" s="3649">
        <v>10</v>
      </c>
      <c r="M69" s="2323"/>
      <c r="N69" s="2152"/>
    </row>
    <row r="70" spans="1:14" ht="13.15" customHeight="1">
      <c r="B70" s="936">
        <f>ROWS($B$60:$B70)</f>
        <v>11</v>
      </c>
      <c r="C70" s="2325" t="s">
        <v>879</v>
      </c>
      <c r="D70" s="2324"/>
      <c r="E70" s="2324"/>
      <c r="F70" s="4475">
        <f>'SDK7'!G110</f>
        <v>32</v>
      </c>
      <c r="G70" s="4476"/>
      <c r="H70" s="2313">
        <v>13</v>
      </c>
      <c r="I70" s="2325" t="s">
        <v>878</v>
      </c>
      <c r="J70" s="2326"/>
      <c r="K70" s="38"/>
      <c r="L70" s="3649">
        <v>20</v>
      </c>
      <c r="M70" s="2323"/>
      <c r="N70" s="2152"/>
    </row>
    <row r="71" spans="1:14" ht="13.15" customHeight="1">
      <c r="B71" s="936">
        <f>ROWS($B$60:$B71)</f>
        <v>12</v>
      </c>
      <c r="C71" s="2325" t="s">
        <v>877</v>
      </c>
      <c r="D71" s="2324"/>
      <c r="E71" s="2324"/>
      <c r="F71" s="4475">
        <f>'SDK7'!G111</f>
        <v>31</v>
      </c>
      <c r="G71" s="4476"/>
      <c r="H71" s="2313">
        <v>14</v>
      </c>
      <c r="I71" s="2325" t="s">
        <v>876</v>
      </c>
      <c r="J71" s="2326"/>
      <c r="K71" s="38"/>
      <c r="L71" s="3649">
        <v>18</v>
      </c>
      <c r="M71" s="2323"/>
      <c r="N71" s="2152"/>
    </row>
    <row r="72" spans="1:14" ht="13.15" customHeight="1">
      <c r="B72" s="936">
        <f>ROWS($B$60:$B72)</f>
        <v>13</v>
      </c>
      <c r="C72" s="2325" t="s">
        <v>875</v>
      </c>
      <c r="D72" s="2324"/>
      <c r="E72" s="2324"/>
      <c r="F72" s="4475">
        <f>'SDK7'!G112</f>
        <v>25</v>
      </c>
      <c r="G72" s="4476"/>
      <c r="H72" s="2313">
        <v>15</v>
      </c>
      <c r="I72" s="2325" t="s">
        <v>874</v>
      </c>
      <c r="J72" s="2326"/>
      <c r="K72" s="38"/>
      <c r="L72" s="3649">
        <v>18</v>
      </c>
      <c r="M72" s="2323"/>
      <c r="N72" s="2152"/>
    </row>
    <row r="73" spans="1:14" ht="13.15" customHeight="1">
      <c r="B73" s="936">
        <f>ROWS($B$60:$B73)</f>
        <v>14</v>
      </c>
      <c r="C73" s="2325" t="s">
        <v>873</v>
      </c>
      <c r="D73" s="2324"/>
      <c r="E73" s="2324"/>
      <c r="F73" s="4475">
        <f>'SDK7'!G113</f>
        <v>15</v>
      </c>
      <c r="G73" s="4476"/>
      <c r="H73" s="2313">
        <v>16</v>
      </c>
      <c r="I73" s="2322" t="s">
        <v>1590</v>
      </c>
      <c r="J73" s="2321"/>
      <c r="K73" s="2320"/>
      <c r="L73" s="2319"/>
      <c r="M73" s="2318"/>
      <c r="N73" s="2152"/>
    </row>
    <row r="74" spans="1:14" ht="13.15" customHeight="1" thickBot="1">
      <c r="B74" s="936">
        <f>ROWS($B$60:$B74)</f>
        <v>15</v>
      </c>
      <c r="C74" s="2317"/>
      <c r="D74" s="2316"/>
      <c r="E74" s="2316"/>
      <c r="F74" s="2315"/>
      <c r="G74" s="2314"/>
      <c r="H74" s="2313">
        <v>17</v>
      </c>
      <c r="I74" s="2312"/>
      <c r="J74" s="2311"/>
      <c r="K74" s="2310"/>
      <c r="L74" s="2309"/>
      <c r="M74" s="2308"/>
      <c r="N74" s="2152"/>
    </row>
    <row r="75" spans="1:14" ht="13.15" customHeight="1">
      <c r="B75" s="2153"/>
      <c r="C75" s="2152"/>
      <c r="D75" s="2154"/>
      <c r="E75" s="2153"/>
      <c r="F75" s="2153"/>
      <c r="G75" s="2152"/>
      <c r="H75" s="400"/>
      <c r="I75" s="2307" t="s">
        <v>870</v>
      </c>
      <c r="J75" s="2306"/>
      <c r="K75" s="2306"/>
      <c r="L75" s="2306"/>
      <c r="M75" s="2305"/>
      <c r="N75" s="2152"/>
    </row>
    <row r="76" spans="1:14" ht="15" hidden="1" customHeight="1">
      <c r="A76" s="2153"/>
      <c r="B76" s="2152"/>
      <c r="C76" s="2154"/>
      <c r="D76" s="2153"/>
      <c r="E76" s="2153"/>
      <c r="F76" s="2152"/>
      <c r="G76" s="2152"/>
      <c r="H76" s="2152"/>
      <c r="I76" s="2152"/>
      <c r="J76" s="2152"/>
      <c r="K76" s="2152"/>
      <c r="L76" s="2152"/>
      <c r="M76" s="2152"/>
    </row>
    <row r="77" spans="1:14" ht="13.15" hidden="1" customHeight="1">
      <c r="I77" s="3647"/>
      <c r="J77" s="3647"/>
      <c r="K77" s="3647"/>
      <c r="L77" s="3647"/>
      <c r="M77" s="3647"/>
    </row>
    <row r="78" spans="1:14" ht="7.15" hidden="1" customHeight="1">
      <c r="I78" s="3647"/>
      <c r="J78" s="3647"/>
      <c r="K78" s="3647"/>
      <c r="L78" s="3647"/>
      <c r="M78" s="3647"/>
    </row>
    <row r="79" spans="1:14" ht="14.45" hidden="1" customHeight="1">
      <c r="I79" s="3647"/>
      <c r="J79" s="3647"/>
      <c r="K79" s="3647"/>
      <c r="L79" s="3647"/>
      <c r="M79" s="3647"/>
    </row>
    <row r="80" spans="1:14" ht="12.75" hidden="1" customHeight="1">
      <c r="I80" s="3647"/>
      <c r="J80" s="3647"/>
      <c r="K80" s="3647"/>
      <c r="L80" s="3647"/>
      <c r="M80" s="3647"/>
    </row>
    <row r="81" spans="3:14" ht="12.75" hidden="1" customHeight="1">
      <c r="I81" s="3647"/>
      <c r="J81" s="3647"/>
      <c r="K81" s="3647"/>
      <c r="L81" s="3647"/>
      <c r="M81" s="3647"/>
    </row>
    <row r="82" spans="3:14" ht="12.75" hidden="1" customHeight="1">
      <c r="I82" s="3647"/>
      <c r="J82" s="3647"/>
      <c r="K82" s="3647"/>
      <c r="L82" s="3647"/>
      <c r="M82" s="3647"/>
    </row>
    <row r="83" spans="3:14" ht="12.75" hidden="1" customHeight="1">
      <c r="I83" s="3647"/>
      <c r="J83" s="3647"/>
      <c r="K83" s="3647"/>
      <c r="L83" s="3647"/>
      <c r="M83" s="3647"/>
    </row>
    <row r="84" spans="3:14" ht="20.25">
      <c r="C84" s="328" t="s">
        <v>869</v>
      </c>
      <c r="D84" s="328"/>
      <c r="E84" s="328"/>
      <c r="F84" s="328"/>
      <c r="G84" s="328"/>
      <c r="H84" s="328"/>
      <c r="I84" s="328"/>
      <c r="J84" s="328"/>
      <c r="K84" s="328"/>
      <c r="L84" s="328"/>
      <c r="M84" s="328"/>
    </row>
    <row r="85" spans="3:14" ht="13.5" thickBot="1">
      <c r="C85" s="383" t="s">
        <v>1589</v>
      </c>
      <c r="D85" s="32"/>
      <c r="E85" s="32"/>
      <c r="F85" s="32"/>
      <c r="G85" s="32"/>
      <c r="H85" s="32"/>
      <c r="I85" s="3648"/>
      <c r="J85" s="3648"/>
      <c r="K85" s="3648"/>
      <c r="L85" s="3647"/>
      <c r="M85" s="3647"/>
    </row>
    <row r="86" spans="3:14">
      <c r="C86" s="692" t="s">
        <v>866</v>
      </c>
      <c r="D86" s="2304"/>
      <c r="E86" s="2303" t="s">
        <v>114</v>
      </c>
      <c r="F86" s="2302">
        <v>20</v>
      </c>
      <c r="G86" s="2302">
        <v>30</v>
      </c>
      <c r="H86" s="4433">
        <v>50</v>
      </c>
      <c r="I86" s="4474"/>
      <c r="J86" s="4433">
        <v>100</v>
      </c>
      <c r="K86" s="4434"/>
      <c r="L86" s="3647"/>
      <c r="M86" s="3647"/>
    </row>
    <row r="87" spans="3:14" ht="13.5" thickBot="1">
      <c r="C87" s="686" t="s">
        <v>865</v>
      </c>
      <c r="D87" s="2301"/>
      <c r="E87" s="2292" t="s">
        <v>864</v>
      </c>
      <c r="F87" s="2300">
        <v>120</v>
      </c>
      <c r="G87" s="2300">
        <v>180</v>
      </c>
      <c r="H87" s="4417">
        <v>300</v>
      </c>
      <c r="I87" s="4418"/>
      <c r="J87" s="4417">
        <v>600</v>
      </c>
      <c r="K87" s="4419"/>
      <c r="L87" s="3647"/>
      <c r="M87" s="3647"/>
    </row>
    <row r="88" spans="3:14" ht="4.9000000000000004" customHeight="1" thickBot="1">
      <c r="C88" s="65"/>
      <c r="I88" s="3647"/>
      <c r="J88" s="3647"/>
      <c r="K88" s="3647"/>
      <c r="L88" s="3647"/>
      <c r="M88" s="3647"/>
    </row>
    <row r="89" spans="3:14">
      <c r="C89" s="2299"/>
      <c r="D89" s="2268"/>
      <c r="E89" s="2298"/>
      <c r="F89" s="2268"/>
      <c r="G89" s="2268"/>
      <c r="H89" s="4416"/>
      <c r="I89" s="4416"/>
      <c r="J89" s="2268"/>
      <c r="K89" s="727"/>
      <c r="L89" s="3647"/>
      <c r="M89" s="3647"/>
    </row>
    <row r="90" spans="3:14">
      <c r="C90" s="2285" t="s">
        <v>863</v>
      </c>
      <c r="D90" s="929">
        <v>0.75</v>
      </c>
      <c r="E90" s="458" t="s">
        <v>862</v>
      </c>
      <c r="F90" s="913">
        <f>F87/$D$90</f>
        <v>160</v>
      </c>
      <c r="G90" s="913">
        <f>G87/$D$90</f>
        <v>240</v>
      </c>
      <c r="H90" s="4430">
        <f>H87/$D$90</f>
        <v>400</v>
      </c>
      <c r="I90" s="4431"/>
      <c r="J90" s="4430">
        <f>J87/$D$90</f>
        <v>800</v>
      </c>
      <c r="K90" s="4442"/>
      <c r="L90" s="3647"/>
      <c r="M90" s="3647"/>
    </row>
    <row r="91" spans="3:14" ht="18" customHeight="1">
      <c r="C91" s="2285" t="s">
        <v>861</v>
      </c>
      <c r="D91" s="877"/>
      <c r="E91" s="458" t="s">
        <v>612</v>
      </c>
      <c r="F91" s="924">
        <v>170</v>
      </c>
      <c r="G91" s="924">
        <v>160</v>
      </c>
      <c r="H91" s="4428">
        <v>120</v>
      </c>
      <c r="I91" s="4429"/>
      <c r="J91" s="4428">
        <v>100</v>
      </c>
      <c r="K91" s="4432"/>
      <c r="L91" s="3647"/>
      <c r="M91" s="3647"/>
    </row>
    <row r="92" spans="3:14" ht="10.9" customHeight="1">
      <c r="C92" s="2297" t="s">
        <v>860</v>
      </c>
      <c r="D92" s="498"/>
      <c r="E92" s="858" t="s">
        <v>612</v>
      </c>
      <c r="F92" s="919">
        <f>F90*F91</f>
        <v>27200</v>
      </c>
      <c r="G92" s="919">
        <f>G90*G91</f>
        <v>38400</v>
      </c>
      <c r="H92" s="4426">
        <f>H90*H91</f>
        <v>48000</v>
      </c>
      <c r="I92" s="4427"/>
      <c r="J92" s="4426">
        <f>J90*J91</f>
        <v>80000</v>
      </c>
      <c r="K92" s="4440"/>
      <c r="L92" s="3647"/>
      <c r="M92" s="3647"/>
    </row>
    <row r="93" spans="3:14" ht="19.899999999999999" customHeight="1">
      <c r="C93" s="2285" t="s">
        <v>859</v>
      </c>
      <c r="D93" s="914">
        <v>0.04</v>
      </c>
      <c r="E93" s="458" t="s">
        <v>612</v>
      </c>
      <c r="F93" s="913">
        <f>F92*$D$93</f>
        <v>1088</v>
      </c>
      <c r="G93" s="913">
        <f>G92*$D$93</f>
        <v>1536</v>
      </c>
      <c r="H93" s="4424">
        <f>H92*$D$93</f>
        <v>1920</v>
      </c>
      <c r="I93" s="4425"/>
      <c r="J93" s="4424">
        <f>J92*$D$93</f>
        <v>3200</v>
      </c>
      <c r="K93" s="4443"/>
      <c r="L93" s="3647"/>
      <c r="M93" s="3647"/>
    </row>
    <row r="94" spans="3:14">
      <c r="C94" s="2240" t="s">
        <v>858</v>
      </c>
      <c r="D94" s="2296">
        <v>0.02</v>
      </c>
      <c r="E94" s="826" t="s">
        <v>612</v>
      </c>
      <c r="F94" s="908">
        <f>F92*$D$94</f>
        <v>544</v>
      </c>
      <c r="G94" s="908">
        <f>G92*$D$94</f>
        <v>768</v>
      </c>
      <c r="H94" s="4422">
        <f>H92*$D$94</f>
        <v>960</v>
      </c>
      <c r="I94" s="4423"/>
      <c r="J94" s="4422">
        <f>J92*$D$94</f>
        <v>1600</v>
      </c>
      <c r="K94" s="4441"/>
      <c r="L94" s="3647"/>
      <c r="M94" s="3647"/>
      <c r="N94" s="506"/>
    </row>
    <row r="95" spans="3:14" ht="9.6" customHeight="1">
      <c r="C95" s="2295" t="s">
        <v>857</v>
      </c>
      <c r="D95" s="904"/>
      <c r="E95" s="903" t="s">
        <v>612</v>
      </c>
      <c r="F95" s="902">
        <f>SUM(F93:F94)</f>
        <v>1632</v>
      </c>
      <c r="G95" s="902">
        <f>SUM(G93:G94)</f>
        <v>2304</v>
      </c>
      <c r="H95" s="4454">
        <f>SUM(H93:H94)</f>
        <v>2880</v>
      </c>
      <c r="I95" s="4456"/>
      <c r="J95" s="4454">
        <f>SUM(J93:J94)</f>
        <v>4800</v>
      </c>
      <c r="K95" s="4455"/>
      <c r="L95" s="3647"/>
      <c r="M95" s="3647"/>
      <c r="N95" s="506"/>
    </row>
    <row r="96" spans="3:14" ht="13.5" thickBot="1">
      <c r="C96" s="2294"/>
      <c r="D96" s="2293"/>
      <c r="E96" s="2292" t="s">
        <v>811</v>
      </c>
      <c r="F96" s="2291">
        <f>F95/F87</f>
        <v>13.6</v>
      </c>
      <c r="G96" s="2291">
        <f>G95/G87</f>
        <v>12.8</v>
      </c>
      <c r="H96" s="4448">
        <f>H95/H87</f>
        <v>9.6</v>
      </c>
      <c r="I96" s="4449"/>
      <c r="J96" s="4448">
        <f>J95/J87</f>
        <v>8</v>
      </c>
      <c r="K96" s="4457"/>
      <c r="L96" s="3647"/>
      <c r="M96" s="3647"/>
      <c r="N96" s="506"/>
    </row>
    <row r="97" spans="3:34" ht="6.75" customHeight="1" thickBot="1">
      <c r="C97" s="65"/>
      <c r="I97" s="3647"/>
      <c r="J97" s="3647"/>
      <c r="K97" s="3647"/>
      <c r="L97" s="3647"/>
      <c r="M97" s="3647"/>
      <c r="N97" s="506"/>
    </row>
    <row r="98" spans="3:34">
      <c r="C98" s="2290" t="s">
        <v>815</v>
      </c>
      <c r="D98" s="690"/>
      <c r="E98" s="690"/>
      <c r="F98" s="690"/>
      <c r="G98" s="690"/>
      <c r="H98" s="690"/>
      <c r="I98" s="690"/>
      <c r="J98" s="690"/>
      <c r="K98" s="2289"/>
      <c r="L98" s="3647"/>
      <c r="M98" s="3647"/>
      <c r="N98" s="506"/>
    </row>
    <row r="99" spans="3:34">
      <c r="C99" s="2288" t="s">
        <v>1588</v>
      </c>
      <c r="D99" s="330"/>
      <c r="E99" s="330"/>
      <c r="F99" s="330"/>
      <c r="G99" s="330"/>
      <c r="H99" s="330"/>
      <c r="I99" s="330"/>
      <c r="J99" s="330"/>
      <c r="K99" s="723"/>
      <c r="L99" s="3647"/>
      <c r="M99" s="3647"/>
      <c r="N99" s="506"/>
    </row>
    <row r="100" spans="3:34">
      <c r="C100" s="2240"/>
      <c r="D100" s="871"/>
      <c r="E100" s="826" t="s">
        <v>811</v>
      </c>
      <c r="F100" s="891">
        <v>0.15</v>
      </c>
      <c r="G100" s="891">
        <v>0.15</v>
      </c>
      <c r="H100" s="4438">
        <v>0.15</v>
      </c>
      <c r="I100" s="4452"/>
      <c r="J100" s="4438">
        <v>0.15</v>
      </c>
      <c r="K100" s="4439"/>
      <c r="L100" s="3647"/>
      <c r="M100" s="3647"/>
      <c r="N100" s="506"/>
      <c r="X100" s="31" t="s">
        <v>832</v>
      </c>
    </row>
    <row r="101" spans="3:34">
      <c r="C101" s="2287" t="s">
        <v>854</v>
      </c>
      <c r="D101" s="846"/>
      <c r="E101" s="846"/>
      <c r="F101" s="846"/>
      <c r="G101" s="846"/>
      <c r="H101" s="846"/>
      <c r="I101" s="846"/>
      <c r="J101" s="846"/>
      <c r="K101" s="2286"/>
      <c r="L101" s="3647"/>
      <c r="M101" s="3647"/>
      <c r="N101" s="506"/>
      <c r="AB101" s="31" t="s">
        <v>831</v>
      </c>
      <c r="AD101" s="31" t="s">
        <v>830</v>
      </c>
      <c r="AF101" s="31" t="s">
        <v>829</v>
      </c>
      <c r="AH101" s="31" t="s">
        <v>828</v>
      </c>
    </row>
    <row r="102" spans="3:34" ht="14.25">
      <c r="C102" s="2240" t="s">
        <v>853</v>
      </c>
      <c r="D102" s="871"/>
      <c r="E102" s="826" t="s">
        <v>811</v>
      </c>
      <c r="F102" s="886">
        <v>0.05</v>
      </c>
      <c r="G102" s="886">
        <v>0.05</v>
      </c>
      <c r="H102" s="4446">
        <v>0.05</v>
      </c>
      <c r="I102" s="4447"/>
      <c r="J102" s="4446">
        <v>0.05</v>
      </c>
      <c r="K102" s="4453"/>
      <c r="L102" s="3647"/>
      <c r="M102" s="3647"/>
      <c r="P102" s="33"/>
      <c r="Q102" s="33"/>
      <c r="R102" s="33"/>
      <c r="S102" s="2284"/>
      <c r="X102" s="31" t="s">
        <v>826</v>
      </c>
      <c r="AB102" s="31" t="s">
        <v>825</v>
      </c>
      <c r="AD102" s="31" t="s">
        <v>824</v>
      </c>
      <c r="AF102" s="31" t="s">
        <v>824</v>
      </c>
      <c r="AH102" s="31" t="s">
        <v>824</v>
      </c>
    </row>
    <row r="103" spans="3:34" ht="14.25">
      <c r="C103" s="2287" t="s">
        <v>852</v>
      </c>
      <c r="D103" s="846"/>
      <c r="E103" s="846"/>
      <c r="F103" s="846"/>
      <c r="G103" s="846"/>
      <c r="H103" s="846"/>
      <c r="I103" s="846"/>
      <c r="J103" s="846"/>
      <c r="K103" s="2286"/>
      <c r="L103" s="3647"/>
      <c r="M103" s="3647"/>
      <c r="P103" s="33"/>
      <c r="Q103" s="33"/>
      <c r="R103" s="33"/>
      <c r="S103" s="2284"/>
      <c r="AB103" s="31" t="s">
        <v>822</v>
      </c>
      <c r="AD103" s="31" t="s">
        <v>821</v>
      </c>
      <c r="AF103" s="31" t="s">
        <v>820</v>
      </c>
      <c r="AH103" s="31" t="s">
        <v>820</v>
      </c>
    </row>
    <row r="104" spans="3:34" ht="14.25">
      <c r="C104" s="2240" t="s">
        <v>851</v>
      </c>
      <c r="D104" s="879">
        <v>250</v>
      </c>
      <c r="E104" s="826" t="s">
        <v>811</v>
      </c>
      <c r="F104" s="870">
        <f>$D$104/F87</f>
        <v>2.0833333333333335</v>
      </c>
      <c r="G104" s="870">
        <f>$D$104/G87</f>
        <v>1.3888888888888888</v>
      </c>
      <c r="H104" s="4444">
        <f>$D$104/H87</f>
        <v>0.83333333333333337</v>
      </c>
      <c r="I104" s="4451"/>
      <c r="J104" s="4444">
        <f>$D$104/J87</f>
        <v>0.41666666666666669</v>
      </c>
      <c r="K104" s="4445"/>
      <c r="L104" s="3647"/>
      <c r="M104" s="3647"/>
      <c r="P104" s="33"/>
      <c r="Q104" s="33"/>
      <c r="R104" s="33"/>
      <c r="S104" s="2284"/>
      <c r="AD104" s="31" t="s">
        <v>818</v>
      </c>
      <c r="AF104" s="31" t="s">
        <v>817</v>
      </c>
      <c r="AH104" s="31" t="s">
        <v>816</v>
      </c>
    </row>
    <row r="105" spans="3:34" ht="14.25">
      <c r="C105" s="2287" t="s">
        <v>850</v>
      </c>
      <c r="D105" s="846"/>
      <c r="E105" s="846"/>
      <c r="F105" s="846"/>
      <c r="G105" s="846"/>
      <c r="H105" s="846"/>
      <c r="I105" s="846"/>
      <c r="J105" s="846"/>
      <c r="K105" s="2286"/>
      <c r="L105" s="3647"/>
      <c r="M105" s="3647"/>
      <c r="P105" s="33"/>
      <c r="Q105" s="33"/>
      <c r="R105" s="33"/>
      <c r="S105" s="2284"/>
    </row>
    <row r="106" spans="3:34" ht="14.25">
      <c r="C106" s="2285" t="s">
        <v>849</v>
      </c>
      <c r="D106" s="877"/>
      <c r="E106" s="458" t="s">
        <v>848</v>
      </c>
      <c r="F106" s="876">
        <v>500</v>
      </c>
      <c r="G106" s="876">
        <v>700</v>
      </c>
      <c r="H106" s="4464">
        <v>1000</v>
      </c>
      <c r="I106" s="4465"/>
      <c r="J106" s="4464">
        <v>1000</v>
      </c>
      <c r="K106" s="4466"/>
      <c r="L106" s="3647"/>
      <c r="M106" s="3647"/>
      <c r="N106" s="769"/>
      <c r="O106" s="769"/>
      <c r="P106" s="33"/>
      <c r="Q106" s="33"/>
      <c r="R106" s="33"/>
      <c r="S106" s="2284"/>
      <c r="X106" s="31" t="s">
        <v>812</v>
      </c>
      <c r="AB106" s="745">
        <v>202765</v>
      </c>
      <c r="AD106" s="745">
        <v>202765</v>
      </c>
      <c r="AF106" s="745">
        <v>202765</v>
      </c>
      <c r="AH106" s="745">
        <v>202765</v>
      </c>
    </row>
    <row r="107" spans="3:34" ht="14.25">
      <c r="C107" s="2240"/>
      <c r="D107" s="871"/>
      <c r="E107" s="826" t="s">
        <v>811</v>
      </c>
      <c r="F107" s="870">
        <f>F106/F87</f>
        <v>4.166666666666667</v>
      </c>
      <c r="G107" s="870">
        <f>G106/G87</f>
        <v>3.8888888888888888</v>
      </c>
      <c r="H107" s="4444">
        <f>H106/H87</f>
        <v>3.3333333333333335</v>
      </c>
      <c r="I107" s="4451"/>
      <c r="J107" s="4444">
        <f>J106/J87</f>
        <v>1.6666666666666667</v>
      </c>
      <c r="K107" s="4445"/>
      <c r="L107" s="3647"/>
      <c r="M107" s="3647"/>
      <c r="N107" s="769"/>
      <c r="O107" s="769"/>
      <c r="P107" s="33"/>
      <c r="Q107" s="33"/>
      <c r="R107" s="33"/>
      <c r="S107" s="2284"/>
      <c r="X107" s="708" t="s">
        <v>810</v>
      </c>
      <c r="AB107" s="745">
        <v>19284</v>
      </c>
      <c r="AD107" s="745">
        <v>19284</v>
      </c>
      <c r="AF107" s="745">
        <v>19284</v>
      </c>
      <c r="AH107" s="745">
        <v>19284</v>
      </c>
    </row>
    <row r="108" spans="3:34" ht="13.5" thickBot="1">
      <c r="C108" s="2227" t="s">
        <v>847</v>
      </c>
      <c r="D108" s="2283"/>
      <c r="E108" s="2282" t="s">
        <v>811</v>
      </c>
      <c r="F108" s="2281">
        <f>SUM(F100,F102,F104,F107)</f>
        <v>6.4500000000000011</v>
      </c>
      <c r="G108" s="2281">
        <f>SUM(G100,G102,G104,G107)</f>
        <v>5.4777777777777779</v>
      </c>
      <c r="H108" s="4469">
        <f>SUM(H100,H102,H104,H107)</f>
        <v>4.3666666666666671</v>
      </c>
      <c r="I108" s="4470"/>
      <c r="J108" s="4469">
        <f>SUM(J100,J102,J104,J107)</f>
        <v>2.2833333333333332</v>
      </c>
      <c r="K108" s="4472"/>
      <c r="L108" s="3647"/>
      <c r="M108" s="3647"/>
      <c r="N108" s="769"/>
      <c r="O108" s="769"/>
      <c r="P108" s="33"/>
      <c r="Q108" s="33"/>
      <c r="R108" s="33"/>
      <c r="Y108" s="31" t="s">
        <v>808</v>
      </c>
      <c r="AB108" s="745">
        <v>12143</v>
      </c>
      <c r="AD108" s="745">
        <v>12143</v>
      </c>
      <c r="AF108" s="745">
        <v>12143</v>
      </c>
      <c r="AH108" s="745">
        <v>12143</v>
      </c>
    </row>
    <row r="109" spans="3:34" ht="4.9000000000000004" customHeight="1" thickBot="1">
      <c r="C109" s="506"/>
      <c r="D109" s="506"/>
      <c r="E109" s="506"/>
      <c r="F109" s="506"/>
      <c r="G109" s="506"/>
      <c r="H109" s="506"/>
      <c r="I109" s="506"/>
      <c r="J109" s="330"/>
      <c r="K109" s="506"/>
      <c r="L109" s="3647"/>
      <c r="M109" s="3647"/>
      <c r="N109" s="769"/>
      <c r="O109" s="769"/>
      <c r="P109" s="33"/>
      <c r="Q109" s="33"/>
      <c r="R109" s="33"/>
      <c r="Y109" s="31" t="s">
        <v>806</v>
      </c>
      <c r="AB109" s="745">
        <v>6085</v>
      </c>
      <c r="AD109" s="745">
        <v>6085</v>
      </c>
      <c r="AF109" s="745">
        <v>6085</v>
      </c>
      <c r="AH109" s="745">
        <v>6085</v>
      </c>
    </row>
    <row r="110" spans="3:34" ht="16.5" thickTop="1" thickBot="1">
      <c r="C110" s="2280" t="s">
        <v>846</v>
      </c>
      <c r="D110" s="2279"/>
      <c r="E110" s="2278" t="s">
        <v>811</v>
      </c>
      <c r="F110" s="2277">
        <f>F96+F108</f>
        <v>20.05</v>
      </c>
      <c r="G110" s="2277">
        <f>G96+G108</f>
        <v>18.277777777777779</v>
      </c>
      <c r="H110" s="4467">
        <f>H96+H108</f>
        <v>13.966666666666667</v>
      </c>
      <c r="I110" s="4471"/>
      <c r="J110" s="4467">
        <f>J96+J108</f>
        <v>10.283333333333333</v>
      </c>
      <c r="K110" s="4468"/>
      <c r="L110" s="3647"/>
      <c r="M110" s="3647"/>
      <c r="N110" s="769"/>
      <c r="O110" s="769"/>
      <c r="P110" s="33"/>
      <c r="Q110" s="33"/>
      <c r="R110" s="33"/>
      <c r="Y110" s="31" t="s">
        <v>804</v>
      </c>
      <c r="AB110" s="745">
        <v>1056</v>
      </c>
      <c r="AD110" s="745">
        <v>1056</v>
      </c>
      <c r="AF110" s="745">
        <v>1056</v>
      </c>
      <c r="AH110" s="745">
        <v>1056</v>
      </c>
    </row>
    <row r="111" spans="3:34" ht="8.85" customHeight="1" thickTop="1">
      <c r="I111" s="3647"/>
      <c r="J111" s="3647"/>
      <c r="K111" s="3647"/>
      <c r="L111" s="3647"/>
      <c r="M111" s="3647"/>
      <c r="N111" s="773"/>
      <c r="O111" s="773"/>
      <c r="P111" s="2276"/>
      <c r="Q111" s="2276"/>
      <c r="R111" s="2275"/>
      <c r="X111" s="708" t="s">
        <v>801</v>
      </c>
      <c r="AB111" s="745">
        <v>8133</v>
      </c>
      <c r="AD111" s="745">
        <v>8108</v>
      </c>
      <c r="AF111" s="745">
        <v>15526</v>
      </c>
      <c r="AH111" s="745">
        <v>8294</v>
      </c>
    </row>
    <row r="112" spans="3:34" ht="21" thickBot="1">
      <c r="C112" s="328" t="s">
        <v>1587</v>
      </c>
      <c r="D112" s="731"/>
      <c r="E112" s="32"/>
      <c r="F112" s="32"/>
      <c r="I112" s="3647"/>
      <c r="J112" s="3647"/>
      <c r="K112" s="3647"/>
      <c r="L112" s="3647"/>
      <c r="M112" s="3647"/>
      <c r="N112" s="773"/>
      <c r="O112" s="773"/>
      <c r="P112" s="2274"/>
      <c r="Q112" s="2274"/>
      <c r="Y112" s="31" t="s">
        <v>800</v>
      </c>
      <c r="AB112" s="745">
        <v>4456</v>
      </c>
      <c r="AD112" s="745">
        <v>4342</v>
      </c>
      <c r="AF112" s="745">
        <v>10424</v>
      </c>
      <c r="AH112" s="745">
        <v>4624</v>
      </c>
    </row>
    <row r="113" spans="3:34" ht="21" hidden="1" customHeight="1" thickBot="1">
      <c r="C113" s="383"/>
      <c r="D113" s="32"/>
      <c r="E113" s="330"/>
      <c r="F113" s="330"/>
      <c r="G113" s="506"/>
      <c r="H113" s="506"/>
      <c r="I113" s="506"/>
      <c r="J113" s="506"/>
      <c r="K113" s="2273"/>
      <c r="L113" s="506"/>
      <c r="M113" s="506"/>
      <c r="N113" s="762"/>
      <c r="O113" s="762"/>
      <c r="P113" s="762"/>
      <c r="Q113" s="762"/>
      <c r="Y113" s="31" t="s">
        <v>798</v>
      </c>
      <c r="AB113" s="745">
        <v>245.1</v>
      </c>
      <c r="AD113" s="745">
        <v>251.1</v>
      </c>
      <c r="AF113" s="745">
        <v>340.1</v>
      </c>
      <c r="AH113" s="745">
        <v>244.7</v>
      </c>
    </row>
    <row r="114" spans="3:34" ht="13.5" hidden="1" customHeight="1" thickBot="1">
      <c r="C114" s="2255"/>
      <c r="D114" s="838"/>
      <c r="E114" s="506"/>
      <c r="F114" s="506"/>
      <c r="G114" s="506"/>
      <c r="H114" s="506"/>
      <c r="I114" s="506"/>
      <c r="J114" s="506"/>
      <c r="K114" s="2273"/>
      <c r="L114" s="506"/>
      <c r="M114" s="506"/>
      <c r="N114" s="762"/>
      <c r="O114" s="762"/>
      <c r="P114" s="762"/>
      <c r="Q114" s="762"/>
      <c r="Y114" s="31" t="s">
        <v>764</v>
      </c>
      <c r="AB114" s="745">
        <v>3676</v>
      </c>
      <c r="AD114" s="745">
        <v>3766</v>
      </c>
      <c r="AF114" s="745">
        <v>5102</v>
      </c>
      <c r="AH114" s="745">
        <v>3670</v>
      </c>
    </row>
    <row r="115" spans="3:34">
      <c r="C115" s="2272" t="s">
        <v>844</v>
      </c>
      <c r="D115" s="2271">
        <v>600</v>
      </c>
      <c r="E115" s="2270" t="s">
        <v>843</v>
      </c>
      <c r="F115" s="2269"/>
      <c r="G115" s="2268"/>
      <c r="H115" s="2268"/>
      <c r="I115" s="2267" t="s">
        <v>1586</v>
      </c>
      <c r="J115" s="690"/>
      <c r="K115" s="690"/>
      <c r="L115" s="2266" t="s">
        <v>841</v>
      </c>
      <c r="M115" s="330"/>
      <c r="N115" s="755"/>
      <c r="O115" s="755"/>
      <c r="P115" s="762"/>
      <c r="Q115" s="762"/>
      <c r="X115" s="708" t="s">
        <v>795</v>
      </c>
      <c r="AB115" s="745">
        <v>27417</v>
      </c>
      <c r="AD115" s="745">
        <v>27392</v>
      </c>
      <c r="AF115" s="745">
        <v>34810</v>
      </c>
      <c r="AH115" s="745">
        <v>27578</v>
      </c>
    </row>
    <row r="116" spans="3:34" ht="18" customHeight="1" thickBot="1">
      <c r="C116" s="2265" t="s">
        <v>840</v>
      </c>
      <c r="D116" s="2264">
        <v>5</v>
      </c>
      <c r="E116" s="2263" t="s">
        <v>839</v>
      </c>
      <c r="F116" s="2262"/>
      <c r="G116" s="2261"/>
      <c r="H116" s="2261"/>
      <c r="I116" s="2260" t="s">
        <v>838</v>
      </c>
      <c r="J116" s="684"/>
      <c r="K116" s="2259">
        <v>1</v>
      </c>
      <c r="L116" s="2258">
        <v>30</v>
      </c>
      <c r="M116" s="3647"/>
      <c r="N116" s="2257"/>
      <c r="O116" s="2256"/>
      <c r="P116" s="730"/>
      <c r="Q116" s="730"/>
      <c r="X116" s="31" t="s">
        <v>793</v>
      </c>
      <c r="AB116" s="745">
        <v>2000</v>
      </c>
      <c r="AD116" s="745">
        <v>1865</v>
      </c>
      <c r="AF116" s="745">
        <v>1988</v>
      </c>
      <c r="AH116" s="745">
        <v>1980</v>
      </c>
    </row>
    <row r="117" spans="3:34" ht="9.75" customHeight="1" thickBot="1">
      <c r="C117" s="2255"/>
      <c r="D117" s="838"/>
      <c r="E117" s="506"/>
      <c r="F117" s="506"/>
      <c r="G117" s="506"/>
      <c r="H117" s="506"/>
      <c r="I117" s="3647"/>
      <c r="J117" s="3647"/>
      <c r="K117" s="3647"/>
      <c r="L117" s="3647"/>
      <c r="M117" s="3647"/>
      <c r="N117" s="742"/>
      <c r="O117" s="742"/>
      <c r="P117" s="2254"/>
      <c r="Q117" s="2254"/>
      <c r="X117" s="708" t="s">
        <v>792</v>
      </c>
      <c r="AB117" s="740">
        <v>13.71</v>
      </c>
      <c r="AD117" s="740">
        <v>14.69</v>
      </c>
      <c r="AF117" s="740">
        <v>17.510000000000002</v>
      </c>
      <c r="AH117" s="740">
        <v>13.93</v>
      </c>
    </row>
    <row r="118" spans="3:34" ht="16.899999999999999" customHeight="1">
      <c r="C118" s="2253" t="s">
        <v>837</v>
      </c>
      <c r="D118" s="2251" t="s">
        <v>836</v>
      </c>
      <c r="E118" s="2252" t="s">
        <v>620</v>
      </c>
      <c r="F118" s="2251" t="s">
        <v>835</v>
      </c>
      <c r="G118" s="2250" t="s">
        <v>806</v>
      </c>
      <c r="H118" s="2249" t="s">
        <v>834</v>
      </c>
      <c r="I118" s="2248"/>
      <c r="J118" s="2247"/>
      <c r="K118" s="2246"/>
      <c r="L118" s="2245"/>
      <c r="M118" s="330"/>
      <c r="N118" s="762"/>
      <c r="O118" s="762"/>
      <c r="P118" s="731"/>
      <c r="Q118" s="730"/>
    </row>
    <row r="119" spans="3:34" ht="13.5">
      <c r="C119" s="2241"/>
      <c r="D119" s="831" t="s">
        <v>833</v>
      </c>
      <c r="E119" s="398" t="s">
        <v>614</v>
      </c>
      <c r="F119" s="831"/>
      <c r="G119" s="2244">
        <v>0.02</v>
      </c>
      <c r="H119" s="829">
        <v>2.5000000000000001E-3</v>
      </c>
      <c r="I119" s="467" t="s">
        <v>772</v>
      </c>
      <c r="J119" s="3644" t="s">
        <v>771</v>
      </c>
      <c r="K119" s="2243" t="s">
        <v>813</v>
      </c>
      <c r="L119" s="2232"/>
      <c r="M119" s="3645"/>
    </row>
    <row r="120" spans="3:34">
      <c r="C120" s="2241"/>
      <c r="D120" s="779" t="s">
        <v>612</v>
      </c>
      <c r="E120" s="827" t="s">
        <v>613</v>
      </c>
      <c r="F120" s="779" t="s">
        <v>612</v>
      </c>
      <c r="G120" s="778" t="s">
        <v>612</v>
      </c>
      <c r="H120" s="802" t="s">
        <v>612</v>
      </c>
      <c r="I120" s="776" t="s">
        <v>612</v>
      </c>
      <c r="J120" s="802" t="s">
        <v>612</v>
      </c>
      <c r="K120" s="2242" t="s">
        <v>612</v>
      </c>
      <c r="L120" s="2229"/>
      <c r="M120" s="3646"/>
    </row>
    <row r="121" spans="3:34">
      <c r="C121" s="2241" t="s">
        <v>827</v>
      </c>
      <c r="D121" s="824">
        <v>30000</v>
      </c>
      <c r="E121" s="823">
        <v>10</v>
      </c>
      <c r="F121" s="822">
        <f>D121/E121</f>
        <v>3000</v>
      </c>
      <c r="G121" s="821">
        <f>D121*G119</f>
        <v>600</v>
      </c>
      <c r="H121" s="820">
        <f>D121*H119</f>
        <v>75</v>
      </c>
      <c r="I121" s="796">
        <f>SUM(F121:H121)</f>
        <v>3675</v>
      </c>
      <c r="J121" s="814"/>
      <c r="K121" s="2218"/>
      <c r="L121" s="2217"/>
      <c r="M121" s="3648"/>
      <c r="Y121" s="31" t="s">
        <v>788</v>
      </c>
      <c r="AB121" s="31">
        <v>125</v>
      </c>
      <c r="AC121" s="31">
        <v>160</v>
      </c>
    </row>
    <row r="122" spans="3:34">
      <c r="C122" s="2240" t="s">
        <v>823</v>
      </c>
      <c r="D122" s="819">
        <v>70000</v>
      </c>
      <c r="E122" s="818">
        <v>40</v>
      </c>
      <c r="F122" s="817">
        <f>D122/E122</f>
        <v>1750</v>
      </c>
      <c r="G122" s="816">
        <f>D122*G119</f>
        <v>1400</v>
      </c>
      <c r="H122" s="815">
        <f>D122*H119</f>
        <v>175</v>
      </c>
      <c r="I122" s="793">
        <f>SUM(F122:H122)</f>
        <v>3325</v>
      </c>
      <c r="J122" s="814"/>
      <c r="K122" s="2218"/>
      <c r="L122" s="2217"/>
      <c r="M122" s="3648"/>
      <c r="Y122" s="31" t="s">
        <v>786</v>
      </c>
      <c r="AB122" s="31">
        <v>180</v>
      </c>
      <c r="AC122" s="31">
        <v>230</v>
      </c>
    </row>
    <row r="123" spans="3:34" ht="13.5" thickBot="1">
      <c r="C123" s="2227" t="s">
        <v>819</v>
      </c>
      <c r="D123" s="2238">
        <f>SUM(D121:D122)</f>
        <v>100000</v>
      </c>
      <c r="E123" s="2239"/>
      <c r="F123" s="2238">
        <f>SUM(F121:F122)</f>
        <v>4750</v>
      </c>
      <c r="G123" s="2237">
        <f>SUM(G121:G122)</f>
        <v>2000</v>
      </c>
      <c r="H123" s="2236">
        <f>SUM(H121:H122)</f>
        <v>250</v>
      </c>
      <c r="I123" s="2225">
        <f>SUM(F123:H123)</f>
        <v>7000</v>
      </c>
      <c r="J123" s="2224">
        <f>IF(D115=0,0,I123/D115)</f>
        <v>11.666666666666666</v>
      </c>
      <c r="K123" s="2223">
        <f>J123/10</f>
        <v>1.1666666666666665</v>
      </c>
      <c r="L123" s="2235"/>
      <c r="M123" s="808"/>
    </row>
    <row r="124" spans="3:34">
      <c r="C124" s="2234"/>
      <c r="F124" s="765"/>
      <c r="I124" s="765"/>
      <c r="J124" s="2233"/>
      <c r="K124" s="2218"/>
      <c r="L124" s="2217"/>
      <c r="M124" s="3648"/>
    </row>
    <row r="125" spans="3:34" ht="13.5">
      <c r="C125" s="2222" t="s">
        <v>815</v>
      </c>
      <c r="D125" s="32"/>
      <c r="E125" s="32"/>
      <c r="F125" s="765"/>
      <c r="G125" s="466"/>
      <c r="H125" s="805" t="s">
        <v>814</v>
      </c>
      <c r="I125" s="467"/>
      <c r="J125" s="781" t="s">
        <v>771</v>
      </c>
      <c r="K125" s="2220" t="s">
        <v>813</v>
      </c>
      <c r="L125" s="2232"/>
      <c r="M125" s="3645"/>
      <c r="N125" s="33"/>
      <c r="O125" s="33"/>
      <c r="P125" s="33"/>
    </row>
    <row r="126" spans="3:34" ht="13.5">
      <c r="C126" s="2231" t="s">
        <v>353</v>
      </c>
      <c r="D126" s="319"/>
      <c r="E126" s="319"/>
      <c r="F126" s="776" t="s">
        <v>811</v>
      </c>
      <c r="G126" s="802"/>
      <c r="H126" s="801" t="s">
        <v>113</v>
      </c>
      <c r="I126" s="776"/>
      <c r="J126" s="775" t="s">
        <v>612</v>
      </c>
      <c r="K126" s="2230" t="s">
        <v>612</v>
      </c>
      <c r="L126" s="2229"/>
      <c r="M126" s="3646"/>
      <c r="N126" s="33"/>
      <c r="O126" s="33"/>
      <c r="P126" s="33"/>
    </row>
    <row r="127" spans="3:34">
      <c r="C127" s="2219" t="s">
        <v>809</v>
      </c>
      <c r="D127" s="32"/>
      <c r="E127" s="32"/>
      <c r="F127" s="798">
        <v>3</v>
      </c>
      <c r="G127" s="797"/>
      <c r="H127" s="794">
        <v>100</v>
      </c>
      <c r="I127" s="796"/>
      <c r="J127" s="764">
        <f>F127*H127%</f>
        <v>3</v>
      </c>
      <c r="K127" s="2218"/>
      <c r="L127" s="2217"/>
      <c r="M127" s="3648"/>
      <c r="N127" s="33"/>
      <c r="O127" s="33"/>
      <c r="P127" s="33"/>
    </row>
    <row r="128" spans="3:34" ht="12.95" customHeight="1">
      <c r="C128" s="2228" t="s">
        <v>807</v>
      </c>
      <c r="D128" s="32"/>
      <c r="E128" s="32"/>
      <c r="F128" s="768"/>
      <c r="G128" s="32"/>
      <c r="H128" s="794"/>
      <c r="I128" s="793"/>
      <c r="J128" s="792">
        <f>F128*H128%</f>
        <v>0</v>
      </c>
      <c r="K128" s="2218"/>
      <c r="L128" s="2217"/>
      <c r="M128" s="3648"/>
      <c r="N128" s="33"/>
      <c r="O128" s="33"/>
      <c r="P128" s="33"/>
    </row>
    <row r="129" spans="2:22" ht="13.5" thickBot="1">
      <c r="C129" s="2227" t="s">
        <v>805</v>
      </c>
      <c r="D129" s="2226"/>
      <c r="E129" s="2226"/>
      <c r="F129" s="2225"/>
      <c r="G129" s="2226"/>
      <c r="H129" s="2226"/>
      <c r="I129" s="2225"/>
      <c r="J129" s="2224">
        <f>SUM(J127:J128)</f>
        <v>3</v>
      </c>
      <c r="K129" s="2223">
        <f>J129/10</f>
        <v>0.3</v>
      </c>
      <c r="L129" s="2217"/>
      <c r="M129" s="3648"/>
      <c r="N129" s="33"/>
      <c r="O129" s="33"/>
      <c r="P129" s="33"/>
    </row>
    <row r="130" spans="2:22" ht="13.5">
      <c r="B130" s="32"/>
      <c r="C130" s="2222" t="s">
        <v>803</v>
      </c>
      <c r="F130" s="2221" t="s">
        <v>113</v>
      </c>
      <c r="G130" s="783"/>
      <c r="H130" s="782"/>
      <c r="I130" s="467"/>
      <c r="J130" s="781" t="s">
        <v>1585</v>
      </c>
      <c r="K130" s="2220" t="s">
        <v>612</v>
      </c>
      <c r="L130" s="2217"/>
      <c r="M130" s="3648"/>
      <c r="N130" s="33"/>
      <c r="O130" s="33"/>
      <c r="P130" s="33"/>
    </row>
    <row r="131" spans="2:22">
      <c r="C131" s="2219" t="s">
        <v>799</v>
      </c>
      <c r="D131" s="769"/>
      <c r="E131" s="32"/>
      <c r="F131" s="768">
        <v>0.2</v>
      </c>
      <c r="G131" s="767"/>
      <c r="H131" s="766"/>
      <c r="I131" s="765"/>
      <c r="J131" s="771">
        <f>L116*F131%</f>
        <v>0.06</v>
      </c>
      <c r="K131" s="2218"/>
      <c r="L131" s="2217"/>
      <c r="M131" s="3648"/>
      <c r="N131" s="33"/>
      <c r="O131" s="33"/>
      <c r="P131" s="33"/>
    </row>
    <row r="132" spans="2:22">
      <c r="C132" s="2219" t="s">
        <v>797</v>
      </c>
      <c r="D132" s="769"/>
      <c r="E132" s="32"/>
      <c r="F132" s="768">
        <v>4</v>
      </c>
      <c r="G132" s="767"/>
      <c r="H132" s="766"/>
      <c r="I132" s="765"/>
      <c r="J132" s="764">
        <f>L116*F132%/12</f>
        <v>9.9999999999999992E-2</v>
      </c>
      <c r="K132" s="2218"/>
      <c r="L132" s="2217"/>
      <c r="M132" s="3648"/>
      <c r="N132" s="33"/>
      <c r="O132" s="33"/>
      <c r="P132" s="33"/>
    </row>
    <row r="133" spans="2:22" ht="13.5" thickBot="1">
      <c r="C133" s="2216" t="s">
        <v>796</v>
      </c>
      <c r="D133" s="759"/>
      <c r="E133" s="759"/>
      <c r="F133" s="758"/>
      <c r="G133" s="759"/>
      <c r="H133" s="759"/>
      <c r="I133" s="758"/>
      <c r="J133" s="757">
        <f>SUM(J131:J132)</f>
        <v>0.15999999999999998</v>
      </c>
      <c r="K133" s="2215">
        <f>J133*D116</f>
        <v>0.79999999999999982</v>
      </c>
      <c r="L133" s="2214"/>
      <c r="M133" s="3648"/>
      <c r="N133" s="33"/>
      <c r="O133" s="33"/>
      <c r="P133" s="33"/>
    </row>
    <row r="134" spans="2:22" ht="16.5" thickTop="1" thickBot="1">
      <c r="C134" s="2213" t="s">
        <v>794</v>
      </c>
      <c r="D134" s="2210"/>
      <c r="E134" s="2212"/>
      <c r="F134" s="2211"/>
      <c r="G134" s="2210"/>
      <c r="H134" s="2210"/>
      <c r="I134" s="2209"/>
      <c r="J134" s="2208"/>
      <c r="K134" s="2207"/>
      <c r="L134" s="2206">
        <f>K123+K129+K133</f>
        <v>2.2666666666666666</v>
      </c>
      <c r="M134" s="2200"/>
      <c r="N134" s="33"/>
      <c r="O134" s="33"/>
      <c r="P134" s="33"/>
    </row>
    <row r="135" spans="2:22" ht="8.1" customHeight="1" thickTop="1" thickBot="1">
      <c r="C135" s="742"/>
      <c r="D135" s="742"/>
      <c r="E135" s="742"/>
      <c r="F135" s="742"/>
      <c r="G135" s="742"/>
      <c r="H135" s="742"/>
      <c r="I135" s="742"/>
      <c r="J135" s="742"/>
      <c r="K135" s="731"/>
      <c r="L135" s="743"/>
      <c r="M135" s="506"/>
      <c r="N135" s="33"/>
      <c r="O135" s="33"/>
      <c r="P135" s="33"/>
    </row>
    <row r="136" spans="2:22" ht="13.5" thickBot="1">
      <c r="C136" s="2205" t="s">
        <v>791</v>
      </c>
      <c r="D136" s="2203"/>
      <c r="E136" s="2204"/>
      <c r="F136" s="2203"/>
      <c r="G136" s="2203"/>
      <c r="H136" s="2203"/>
      <c r="I136" s="2204"/>
      <c r="J136" s="2203"/>
      <c r="K136" s="2202"/>
      <c r="L136" s="2201">
        <f>L116+L134</f>
        <v>32.266666666666666</v>
      </c>
      <c r="M136" s="2200"/>
      <c r="N136" s="33"/>
      <c r="O136" s="33"/>
      <c r="P136" s="33"/>
    </row>
    <row r="137" spans="2:22" ht="13.5" hidden="1" customHeight="1" thickBot="1">
      <c r="I137" s="3647"/>
      <c r="J137" s="3647"/>
      <c r="K137" s="3647"/>
      <c r="L137" s="3647"/>
      <c r="M137" s="3647"/>
      <c r="N137" s="33"/>
      <c r="O137" s="33"/>
      <c r="P137" s="33"/>
    </row>
    <row r="138" spans="2:22" ht="20.25">
      <c r="C138" s="328" t="s">
        <v>790</v>
      </c>
      <c r="D138" s="701"/>
      <c r="E138" s="701"/>
      <c r="F138" s="701"/>
      <c r="I138" s="3647"/>
      <c r="J138" s="3647"/>
      <c r="K138" s="3647"/>
      <c r="L138" s="3647"/>
      <c r="M138" s="3647"/>
      <c r="N138" s="33"/>
      <c r="O138" s="33"/>
      <c r="P138" s="33"/>
    </row>
    <row r="139" spans="2:22" ht="13.5" thickBot="1">
      <c r="C139" s="383" t="s">
        <v>747</v>
      </c>
      <c r="D139" s="389" t="s">
        <v>789</v>
      </c>
      <c r="E139" s="701"/>
      <c r="F139" s="701"/>
      <c r="N139" s="33"/>
      <c r="O139" s="33"/>
      <c r="P139" s="33"/>
    </row>
    <row r="140" spans="2:22">
      <c r="C140" s="729" t="s">
        <v>787</v>
      </c>
      <c r="D140" s="728"/>
      <c r="E140" s="728"/>
      <c r="F140" s="688">
        <v>1</v>
      </c>
      <c r="G140" s="727" t="s">
        <v>612</v>
      </c>
      <c r="N140" s="33"/>
      <c r="O140" s="33"/>
      <c r="P140" s="33"/>
    </row>
    <row r="141" spans="2:22" ht="13.5" thickBot="1">
      <c r="C141" s="2199" t="s">
        <v>785</v>
      </c>
      <c r="D141" s="2198"/>
      <c r="E141" s="2198"/>
      <c r="F141" s="683">
        <v>1</v>
      </c>
      <c r="G141" s="2197" t="s">
        <v>612</v>
      </c>
      <c r="N141" s="33"/>
      <c r="O141" s="33"/>
      <c r="P141" s="33"/>
    </row>
    <row r="142" spans="2:22" ht="19.899999999999999" customHeight="1">
      <c r="N142" s="33"/>
      <c r="O142" s="33"/>
      <c r="P142" s="33"/>
    </row>
    <row r="143" spans="2:22" ht="25.5" customHeight="1">
      <c r="P143" s="33"/>
      <c r="Q143" s="33"/>
    </row>
    <row r="144" spans="2: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2:22">
      <c r="P161" s="33"/>
      <c r="Q161" s="33"/>
      <c r="R161" s="33"/>
      <c r="S161" s="33"/>
      <c r="T161" s="33"/>
      <c r="U161" s="33"/>
      <c r="V161" s="33"/>
    </row>
    <row r="162" spans="2:22">
      <c r="P162" s="33"/>
      <c r="Q162" s="33"/>
      <c r="R162" s="33"/>
      <c r="S162" s="33"/>
      <c r="T162" s="33"/>
      <c r="U162" s="33"/>
      <c r="V162" s="33"/>
    </row>
    <row r="163" spans="2:22">
      <c r="P163" s="33"/>
      <c r="Q163" s="33"/>
      <c r="R163" s="33"/>
      <c r="S163" s="33"/>
      <c r="T163" s="33"/>
      <c r="U163" s="33"/>
      <c r="V163" s="33"/>
    </row>
    <row r="164" spans="2:22">
      <c r="P164" s="33"/>
      <c r="Q164" s="33"/>
      <c r="R164" s="33"/>
      <c r="S164" s="33"/>
      <c r="T164" s="33"/>
      <c r="U164" s="33"/>
      <c r="V164" s="33"/>
    </row>
    <row r="165" spans="2:22">
      <c r="N165" s="33"/>
      <c r="O165" s="33"/>
      <c r="P165" s="33"/>
      <c r="Q165" s="33"/>
      <c r="R165" s="33"/>
      <c r="S165" s="33"/>
      <c r="T165" s="33"/>
      <c r="U165" s="33"/>
      <c r="V165" s="33"/>
    </row>
    <row r="166" spans="2:22">
      <c r="N166" s="33"/>
      <c r="O166" s="33"/>
      <c r="P166" s="33"/>
      <c r="Q166" s="33"/>
      <c r="R166" s="33"/>
      <c r="S166" s="33"/>
      <c r="T166" s="33"/>
      <c r="U166" s="33"/>
      <c r="V166" s="33"/>
    </row>
    <row r="167" spans="2:22">
      <c r="N167" s="33"/>
      <c r="O167" s="33"/>
      <c r="P167" s="33"/>
      <c r="Q167" s="33"/>
      <c r="R167" s="33"/>
      <c r="S167" s="33"/>
      <c r="T167" s="33"/>
      <c r="U167" s="33"/>
      <c r="V167" s="33"/>
    </row>
    <row r="168" spans="2:22">
      <c r="N168" s="33"/>
      <c r="O168" s="33"/>
      <c r="P168" s="33"/>
      <c r="Q168" s="33"/>
      <c r="R168" s="33"/>
      <c r="S168" s="33"/>
      <c r="T168" s="33"/>
      <c r="U168" s="33"/>
      <c r="V168" s="33"/>
    </row>
    <row r="169" spans="2:22">
      <c r="N169" s="33"/>
      <c r="O169" s="33"/>
      <c r="P169" s="33"/>
      <c r="Q169" s="33"/>
      <c r="R169" s="33"/>
      <c r="S169" s="33"/>
      <c r="T169" s="33"/>
      <c r="U169" s="33"/>
      <c r="V169" s="33"/>
    </row>
    <row r="170" spans="2:22">
      <c r="N170" s="33"/>
      <c r="O170" s="33"/>
      <c r="P170" s="33"/>
      <c r="Q170" s="33"/>
      <c r="R170" s="33"/>
      <c r="S170" s="33"/>
      <c r="T170" s="33"/>
      <c r="U170" s="33"/>
      <c r="V170" s="33"/>
    </row>
    <row r="171" spans="2:22">
      <c r="N171" s="33"/>
      <c r="O171" s="33"/>
      <c r="P171" s="33"/>
      <c r="Q171" s="33"/>
      <c r="R171" s="33"/>
      <c r="S171" s="33"/>
      <c r="T171" s="33"/>
      <c r="U171" s="33"/>
      <c r="V171" s="33"/>
    </row>
    <row r="172" spans="2:22">
      <c r="N172" s="33"/>
      <c r="O172" s="33"/>
      <c r="P172" s="33"/>
      <c r="Q172" s="33"/>
      <c r="R172" s="33"/>
      <c r="S172" s="33"/>
      <c r="T172" s="33"/>
      <c r="U172" s="33"/>
      <c r="V172" s="33"/>
    </row>
    <row r="173" spans="2:22">
      <c r="N173" s="33"/>
      <c r="O173" s="33"/>
      <c r="P173" s="33"/>
      <c r="Q173" s="33"/>
      <c r="R173" s="33"/>
      <c r="S173" s="33"/>
      <c r="T173" s="33"/>
      <c r="U173" s="33"/>
      <c r="V173" s="33"/>
    </row>
    <row r="174" spans="2:22">
      <c r="N174" s="33"/>
      <c r="O174" s="33"/>
      <c r="P174" s="33"/>
      <c r="Q174" s="33"/>
      <c r="R174" s="33"/>
      <c r="S174" s="33"/>
      <c r="T174" s="33"/>
      <c r="U174" s="33"/>
      <c r="V174" s="33"/>
    </row>
    <row r="175" spans="2:22">
      <c r="N175" s="33"/>
      <c r="O175" s="33"/>
      <c r="P175" s="33"/>
      <c r="Q175" s="33"/>
      <c r="R175" s="33"/>
      <c r="S175" s="33"/>
      <c r="T175" s="33"/>
      <c r="U175" s="33"/>
      <c r="V175" s="33"/>
    </row>
    <row r="176" spans="2:22" ht="7.15" customHeight="1">
      <c r="B176" s="49"/>
      <c r="N176" s="33"/>
      <c r="O176" s="33"/>
      <c r="P176" s="33"/>
      <c r="Q176" s="33"/>
      <c r="R176" s="33"/>
      <c r="S176" s="33"/>
      <c r="T176" s="33"/>
      <c r="U176" s="33"/>
      <c r="V176" s="33"/>
    </row>
    <row r="177" spans="10:22">
      <c r="N177" s="33"/>
      <c r="O177" s="33"/>
      <c r="P177" s="33"/>
      <c r="Q177" s="33"/>
      <c r="R177" s="33"/>
      <c r="S177" s="33"/>
      <c r="T177" s="33"/>
      <c r="U177" s="33"/>
      <c r="V177" s="33"/>
    </row>
    <row r="178" spans="10:22" ht="7.15" customHeight="1">
      <c r="N178" s="33"/>
      <c r="O178" s="33"/>
      <c r="P178" s="33"/>
      <c r="Q178" s="33"/>
      <c r="R178" s="33"/>
      <c r="S178" s="33"/>
      <c r="T178" s="33"/>
      <c r="U178" s="33"/>
      <c r="V178" s="33"/>
    </row>
    <row r="179" spans="10:22">
      <c r="O179" s="33"/>
      <c r="P179" s="33"/>
      <c r="Q179" s="33"/>
      <c r="R179" s="33"/>
      <c r="S179" s="33"/>
      <c r="T179" s="33"/>
      <c r="U179" s="33"/>
      <c r="V179" s="33"/>
    </row>
    <row r="180" spans="10:22">
      <c r="O180" s="33"/>
      <c r="P180" s="33"/>
      <c r="Q180" s="33"/>
      <c r="R180" s="33"/>
      <c r="S180" s="33"/>
      <c r="T180" s="33"/>
      <c r="U180" s="33"/>
      <c r="V180" s="33"/>
    </row>
    <row r="181" spans="10:22">
      <c r="O181" s="33"/>
      <c r="P181" s="33"/>
      <c r="Q181" s="33"/>
      <c r="R181" s="33"/>
      <c r="S181" s="33"/>
      <c r="T181" s="33"/>
      <c r="U181" s="33"/>
      <c r="V181" s="33"/>
    </row>
    <row r="182" spans="10:22">
      <c r="J182" s="33"/>
      <c r="O182" s="33"/>
      <c r="P182" s="33"/>
      <c r="Q182" s="33"/>
      <c r="R182" s="33"/>
      <c r="S182" s="33"/>
      <c r="T182" s="33"/>
      <c r="U182" s="33"/>
      <c r="V182" s="33"/>
    </row>
    <row r="183" spans="10:22">
      <c r="O183" s="33"/>
      <c r="P183" s="33"/>
      <c r="Q183" s="33"/>
      <c r="R183" s="33"/>
      <c r="S183" s="33"/>
      <c r="T183" s="33"/>
      <c r="U183" s="33"/>
      <c r="V183" s="33"/>
    </row>
    <row r="184" spans="10:22" ht="7.15" customHeight="1">
      <c r="K184" s="33"/>
      <c r="L184" s="33"/>
      <c r="M184" s="33"/>
      <c r="O184" s="33"/>
      <c r="P184" s="33"/>
      <c r="Q184" s="33"/>
      <c r="R184" s="33"/>
      <c r="S184" s="33"/>
      <c r="T184" s="33"/>
      <c r="U184" s="33"/>
      <c r="V184" s="33"/>
    </row>
    <row r="185" spans="10:22">
      <c r="K185" s="33"/>
      <c r="L185" s="33"/>
      <c r="M185" s="33"/>
      <c r="O185" s="33"/>
      <c r="P185" s="33"/>
      <c r="Q185" s="33"/>
      <c r="R185" s="33"/>
      <c r="S185" s="33"/>
      <c r="T185" s="33"/>
      <c r="U185" s="33"/>
      <c r="V185" s="33"/>
    </row>
    <row r="186" spans="10:22">
      <c r="K186" s="33"/>
      <c r="L186" s="33"/>
      <c r="M186" s="33"/>
      <c r="O186" s="33"/>
      <c r="P186" s="33"/>
      <c r="Q186" s="33"/>
      <c r="R186" s="33"/>
      <c r="S186" s="33"/>
      <c r="T186" s="33"/>
      <c r="U186" s="33"/>
      <c r="V186" s="33"/>
    </row>
    <row r="187" spans="10:22" ht="7.15" customHeight="1">
      <c r="K187" s="33"/>
      <c r="L187" s="33"/>
      <c r="M187" s="33"/>
      <c r="O187" s="33"/>
      <c r="P187" s="33"/>
      <c r="Q187" s="33"/>
      <c r="R187" s="33"/>
      <c r="S187" s="33"/>
      <c r="T187" s="33"/>
      <c r="U187" s="33"/>
      <c r="V187" s="33"/>
    </row>
    <row r="188" spans="10:22">
      <c r="K188" s="33"/>
      <c r="L188" s="33"/>
      <c r="M188" s="33"/>
      <c r="O188" s="33"/>
      <c r="P188" s="33"/>
      <c r="Q188" s="33"/>
      <c r="R188" s="33"/>
      <c r="S188" s="33"/>
      <c r="T188" s="33"/>
      <c r="U188" s="33"/>
      <c r="V188" s="33"/>
    </row>
    <row r="189" spans="10:22" ht="7.15" customHeight="1">
      <c r="K189" s="33"/>
      <c r="L189" s="33"/>
      <c r="M189" s="33"/>
      <c r="O189" s="33"/>
      <c r="P189" s="33"/>
      <c r="Q189" s="33"/>
      <c r="R189" s="33"/>
      <c r="S189" s="33"/>
      <c r="T189" s="33"/>
      <c r="U189" s="33"/>
      <c r="V189" s="33"/>
    </row>
    <row r="190" spans="10:22">
      <c r="K190" s="33"/>
      <c r="L190" s="33"/>
      <c r="M190" s="33"/>
      <c r="O190" s="33"/>
      <c r="P190" s="33"/>
      <c r="Q190" s="33"/>
      <c r="R190" s="33"/>
      <c r="S190" s="33"/>
      <c r="T190" s="33"/>
      <c r="U190" s="33"/>
      <c r="V190" s="33"/>
    </row>
    <row r="191" spans="10:22" ht="18" customHeight="1">
      <c r="K191" s="33"/>
      <c r="L191" s="33"/>
      <c r="M191" s="33"/>
      <c r="O191" s="33"/>
      <c r="P191" s="33"/>
      <c r="Q191" s="33"/>
      <c r="R191" s="33"/>
      <c r="S191" s="33"/>
      <c r="T191" s="33"/>
      <c r="U191" s="33"/>
      <c r="V191" s="33"/>
    </row>
    <row r="192" spans="10:22" ht="19.899999999999999" customHeight="1">
      <c r="K192" s="33"/>
      <c r="L192" s="33"/>
      <c r="M192" s="33"/>
      <c r="N192" s="33"/>
      <c r="P192" s="33"/>
      <c r="Q192" s="33"/>
      <c r="R192" s="33"/>
      <c r="S192" s="33"/>
      <c r="T192" s="33"/>
      <c r="U192" s="33"/>
      <c r="V192" s="33"/>
    </row>
    <row r="193" spans="11:13" ht="19.899999999999999" hidden="1" customHeight="1">
      <c r="K193" s="33"/>
      <c r="L193" s="33"/>
      <c r="M193" s="33"/>
    </row>
    <row r="194" spans="11:13" hidden="1">
      <c r="K194" s="33"/>
      <c r="L194" s="33"/>
      <c r="M194" s="33"/>
    </row>
    <row r="195" spans="11:13" hidden="1">
      <c r="K195" s="33"/>
      <c r="L195" s="33"/>
      <c r="M195" s="33"/>
    </row>
    <row r="196" spans="11:13" ht="19.899999999999999" hidden="1" customHeight="1">
      <c r="K196" s="33"/>
      <c r="L196" s="33"/>
      <c r="M196" s="33"/>
    </row>
    <row r="197" spans="11:13" ht="19.899999999999999" hidden="1" customHeight="1">
      <c r="K197" s="33"/>
      <c r="L197" s="33"/>
      <c r="M197" s="33"/>
    </row>
    <row r="198" spans="11:13" hidden="1"/>
    <row r="199" spans="11:13" hidden="1"/>
    <row r="200" spans="11:13" hidden="1"/>
    <row r="201" spans="11:13" ht="19.899999999999999" customHeight="1"/>
    <row r="210" spans="3:13">
      <c r="C210" s="33"/>
      <c r="D210" s="33"/>
      <c r="E210" s="33"/>
      <c r="F210" s="33"/>
      <c r="G210" s="33"/>
      <c r="H210" s="33"/>
      <c r="I210" s="33"/>
    </row>
    <row r="211" spans="3:13">
      <c r="C211" s="33"/>
      <c r="D211" s="33"/>
      <c r="E211" s="33"/>
      <c r="F211" s="33"/>
      <c r="G211" s="33"/>
      <c r="H211" s="33"/>
      <c r="I211" s="33"/>
      <c r="J211" s="33"/>
      <c r="K211" s="33"/>
      <c r="L211" s="33"/>
      <c r="M211" s="33"/>
    </row>
    <row r="212" spans="3:13" ht="15">
      <c r="C212" s="702" t="s">
        <v>748</v>
      </c>
      <c r="D212" s="701"/>
      <c r="E212" s="701"/>
      <c r="F212" s="701"/>
    </row>
    <row r="213" spans="3:13" ht="13.5" thickBot="1">
      <c r="C213" s="448" t="s">
        <v>747</v>
      </c>
      <c r="D213" s="389" t="s">
        <v>746</v>
      </c>
      <c r="E213" s="701"/>
      <c r="F213" s="701"/>
    </row>
    <row r="214" spans="3:13" ht="13.5" thickBot="1">
      <c r="C214" s="700" t="s">
        <v>745</v>
      </c>
      <c r="D214" s="699"/>
      <c r="E214" s="698">
        <v>2.5</v>
      </c>
      <c r="F214" s="697" t="s">
        <v>744</v>
      </c>
    </row>
    <row r="215" spans="3:13">
      <c r="C215" s="696"/>
      <c r="D215" s="695"/>
      <c r="E215" s="695"/>
    </row>
    <row r="216" spans="3:13" ht="15.75">
      <c r="C216" s="694" t="s">
        <v>743</v>
      </c>
    </row>
    <row r="217" spans="3:13" ht="13.5" thickBot="1">
      <c r="C217" s="448" t="s">
        <v>742</v>
      </c>
      <c r="D217" s="693"/>
    </row>
    <row r="218" spans="3:13">
      <c r="C218" s="692" t="s">
        <v>741</v>
      </c>
      <c r="D218" s="691"/>
      <c r="E218" s="690"/>
      <c r="F218" s="688"/>
      <c r="G218" s="689" t="s">
        <v>740</v>
      </c>
      <c r="H218" s="688">
        <v>1.1000000000000001</v>
      </c>
      <c r="I218" s="687" t="s">
        <v>739</v>
      </c>
      <c r="J218" s="679"/>
      <c r="K218" s="679"/>
    </row>
    <row r="219" spans="3:13" ht="13.5" thickBot="1">
      <c r="C219" s="686" t="s">
        <v>738</v>
      </c>
      <c r="D219" s="685"/>
      <c r="E219" s="684"/>
      <c r="F219" s="683"/>
      <c r="G219" s="682" t="s">
        <v>579</v>
      </c>
      <c r="H219" s="681"/>
      <c r="I219" s="680"/>
      <c r="J219" s="679"/>
      <c r="K219" s="679"/>
    </row>
    <row r="221" spans="3:13">
      <c r="C221" s="49"/>
    </row>
  </sheetData>
  <sheetProtection sheet="1" selectLockedCells="1"/>
  <mergeCells count="71">
    <mergeCell ref="C60:E60"/>
    <mergeCell ref="C58:M58"/>
    <mergeCell ref="G35:H35"/>
    <mergeCell ref="L60:M60"/>
    <mergeCell ref="C59:M59"/>
    <mergeCell ref="I60:K60"/>
    <mergeCell ref="F60:G60"/>
    <mergeCell ref="G26:H26"/>
    <mergeCell ref="H86:I86"/>
    <mergeCell ref="F72:G72"/>
    <mergeCell ref="F73:G73"/>
    <mergeCell ref="F67:G67"/>
    <mergeCell ref="F68:G68"/>
    <mergeCell ref="F69:G69"/>
    <mergeCell ref="F70:G70"/>
    <mergeCell ref="F71:G71"/>
    <mergeCell ref="F62:G62"/>
    <mergeCell ref="F63:G63"/>
    <mergeCell ref="F64:G64"/>
    <mergeCell ref="F65:G65"/>
    <mergeCell ref="F66:G66"/>
    <mergeCell ref="G14:H14"/>
    <mergeCell ref="G22:H22"/>
    <mergeCell ref="G25:H25"/>
    <mergeCell ref="G23:H23"/>
    <mergeCell ref="G24:H24"/>
    <mergeCell ref="H106:I106"/>
    <mergeCell ref="J106:K106"/>
    <mergeCell ref="J110:K110"/>
    <mergeCell ref="J107:K107"/>
    <mergeCell ref="H108:I108"/>
    <mergeCell ref="H110:I110"/>
    <mergeCell ref="J108:K108"/>
    <mergeCell ref="H107:I107"/>
    <mergeCell ref="J104:K104"/>
    <mergeCell ref="H102:I102"/>
    <mergeCell ref="H96:I96"/>
    <mergeCell ref="O3:O5"/>
    <mergeCell ref="H104:I104"/>
    <mergeCell ref="H100:I100"/>
    <mergeCell ref="J102:K102"/>
    <mergeCell ref="J95:K95"/>
    <mergeCell ref="H95:I95"/>
    <mergeCell ref="J96:K96"/>
    <mergeCell ref="G9:H9"/>
    <mergeCell ref="G10:H10"/>
    <mergeCell ref="G11:H11"/>
    <mergeCell ref="G12:H12"/>
    <mergeCell ref="G13:H13"/>
    <mergeCell ref="G15:H15"/>
    <mergeCell ref="J100:K100"/>
    <mergeCell ref="J92:K92"/>
    <mergeCell ref="J94:K94"/>
    <mergeCell ref="J90:K90"/>
    <mergeCell ref="J93:K93"/>
    <mergeCell ref="H89:I89"/>
    <mergeCell ref="H87:I87"/>
    <mergeCell ref="J87:K87"/>
    <mergeCell ref="G16:H16"/>
    <mergeCell ref="H94:I94"/>
    <mergeCell ref="H93:I93"/>
    <mergeCell ref="H92:I92"/>
    <mergeCell ref="H91:I91"/>
    <mergeCell ref="H90:I90"/>
    <mergeCell ref="J91:K91"/>
    <mergeCell ref="J86:K86"/>
    <mergeCell ref="G19:H19"/>
    <mergeCell ref="G20:H20"/>
    <mergeCell ref="G21:H21"/>
    <mergeCell ref="G17:H17"/>
    <mergeCell ref="G18:H18"/>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Gmünd&amp;R&amp;11&amp;F</oddFooter>
  </headerFooter>
  <rowBreaks count="2" manualBreakCount="2">
    <brk id="57" min="2" max="14" man="1"/>
    <brk id="141" min="2" max="14"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00B0F0"/>
    <pageSetUpPr fitToPage="1"/>
  </sheetPr>
  <dimension ref="B1:AL255"/>
  <sheetViews>
    <sheetView showZeros="0" zoomScaleNormal="100" workbookViewId="0"/>
  </sheetViews>
  <sheetFormatPr baseColWidth="10" defaultColWidth="10.5" defaultRowHeight="12.75"/>
  <cols>
    <col min="1" max="1" width="1.5" style="31" customWidth="1"/>
    <col min="2" max="2" width="2.375" style="31" customWidth="1"/>
    <col min="3" max="3" width="10.5" style="31" customWidth="1"/>
    <col min="4" max="4" width="8.75" style="31" customWidth="1"/>
    <col min="5" max="5" width="8" style="31" customWidth="1"/>
    <col min="6" max="6" width="7.75" style="31" customWidth="1"/>
    <col min="7" max="7" width="8.125" style="31" customWidth="1"/>
    <col min="8" max="8" width="5.75" style="31" customWidth="1"/>
    <col min="9" max="9" width="6.625" style="31" customWidth="1"/>
    <col min="10" max="10" width="7.75" style="31" customWidth="1"/>
    <col min="11" max="11" width="11.375" style="31" customWidth="1"/>
    <col min="12" max="13" width="6.625" style="31" customWidth="1"/>
    <col min="14" max="14" width="6.875" style="31" customWidth="1"/>
    <col min="15" max="15" width="10.5" style="31" customWidth="1"/>
    <col min="16" max="16" width="15.25" style="31" customWidth="1"/>
    <col min="17" max="23" width="10.5" style="31" customWidth="1"/>
    <col min="24" max="24" width="6" style="31" customWidth="1"/>
    <col min="25" max="16384" width="10.5" style="31"/>
  </cols>
  <sheetData>
    <row r="1" spans="2:15" ht="8.65" customHeight="1"/>
    <row r="2" spans="2:15" ht="20.25">
      <c r="C2" s="1063" t="s">
        <v>1042</v>
      </c>
    </row>
    <row r="3" spans="2:15" ht="9" customHeight="1">
      <c r="B3" s="49"/>
      <c r="C3" s="696"/>
      <c r="D3" s="695"/>
      <c r="E3" s="695"/>
    </row>
    <row r="4" spans="2:15" ht="15" customHeight="1">
      <c r="C4" s="1062" t="s">
        <v>1041</v>
      </c>
      <c r="D4" s="695"/>
      <c r="E4" s="695"/>
    </row>
    <row r="5" spans="2:15" ht="15" customHeight="1">
      <c r="C5" s="1062" t="s">
        <v>1040</v>
      </c>
      <c r="D5" s="695"/>
      <c r="E5" s="695"/>
    </row>
    <row r="6" spans="2:15" ht="9" customHeight="1">
      <c r="C6" s="696"/>
      <c r="D6" s="695"/>
      <c r="E6" s="695"/>
    </row>
    <row r="7" spans="2:15" ht="12.95" customHeight="1">
      <c r="C7" s="1061" t="s">
        <v>1039</v>
      </c>
      <c r="D7" s="695"/>
      <c r="E7" s="695"/>
    </row>
    <row r="8" spans="2:15" ht="13.7" customHeight="1">
      <c r="C8" s="1060" t="s">
        <v>1038</v>
      </c>
      <c r="D8" s="315"/>
      <c r="E8" s="1059"/>
      <c r="F8" s="1058"/>
      <c r="G8" s="1057"/>
      <c r="H8" s="4545" t="s">
        <v>813</v>
      </c>
      <c r="I8" s="4546"/>
      <c r="J8" s="272"/>
      <c r="K8" s="272"/>
      <c r="L8" s="272"/>
      <c r="M8" s="272"/>
      <c r="N8" s="272"/>
      <c r="O8" s="721"/>
    </row>
    <row r="9" spans="2:15" ht="13.7" customHeight="1">
      <c r="C9" s="568" t="s">
        <v>1037</v>
      </c>
      <c r="D9" s="38"/>
      <c r="E9" s="38"/>
      <c r="F9" s="38"/>
      <c r="G9" s="4553" t="s">
        <v>1036</v>
      </c>
      <c r="H9" s="4554"/>
      <c r="I9" s="4555"/>
      <c r="J9" s="32"/>
      <c r="K9" s="32"/>
      <c r="L9" s="32"/>
      <c r="M9" s="32"/>
      <c r="N9" s="32"/>
      <c r="O9" s="46"/>
    </row>
    <row r="10" spans="2:15" ht="13.7" customHeight="1">
      <c r="C10" s="568" t="s">
        <v>1035</v>
      </c>
      <c r="D10" s="38"/>
      <c r="E10" s="38"/>
      <c r="F10" s="38"/>
      <c r="G10" s="4525" t="s">
        <v>1034</v>
      </c>
      <c r="H10" s="4526"/>
      <c r="I10" s="4527"/>
      <c r="J10" s="32"/>
      <c r="K10" s="32"/>
      <c r="L10" s="32"/>
      <c r="M10" s="32"/>
      <c r="N10" s="32"/>
      <c r="O10" s="46"/>
    </row>
    <row r="11" spans="2:15" ht="13.7" customHeight="1">
      <c r="C11" s="568" t="s">
        <v>1033</v>
      </c>
      <c r="D11" s="38"/>
      <c r="E11" s="38"/>
      <c r="F11" s="38"/>
      <c r="G11" s="4556"/>
      <c r="H11" s="4557"/>
      <c r="I11" s="4558"/>
      <c r="J11" s="32"/>
      <c r="K11" s="32"/>
      <c r="L11" s="32"/>
      <c r="M11" s="32"/>
      <c r="N11" s="32"/>
      <c r="O11" s="46"/>
    </row>
    <row r="12" spans="2:15" ht="13.7" customHeight="1">
      <c r="C12" s="568" t="s">
        <v>1032</v>
      </c>
      <c r="D12" s="38"/>
      <c r="E12" s="38"/>
      <c r="F12" s="38"/>
      <c r="G12" s="4556"/>
      <c r="H12" s="4557"/>
      <c r="I12" s="4558"/>
      <c r="J12" s="32"/>
      <c r="K12" s="32"/>
      <c r="L12" s="32"/>
      <c r="M12" s="32"/>
      <c r="N12" s="32"/>
      <c r="O12" s="46"/>
    </row>
    <row r="13" spans="2:15" ht="13.7" customHeight="1">
      <c r="C13" s="568" t="s">
        <v>1031</v>
      </c>
      <c r="D13" s="38"/>
      <c r="E13" s="38"/>
      <c r="F13" s="38"/>
      <c r="G13" s="4525" t="s">
        <v>1030</v>
      </c>
      <c r="H13" s="4526"/>
      <c r="I13" s="4527"/>
      <c r="J13" s="32"/>
      <c r="K13" s="32"/>
      <c r="L13" s="32"/>
      <c r="M13" s="32"/>
      <c r="N13" s="32"/>
      <c r="O13" s="46"/>
    </row>
    <row r="14" spans="2:15" ht="13.7" customHeight="1">
      <c r="C14" s="568" t="s">
        <v>1029</v>
      </c>
      <c r="D14" s="38"/>
      <c r="E14" s="38"/>
      <c r="F14" s="38"/>
      <c r="G14" s="4556"/>
      <c r="H14" s="4557"/>
      <c r="I14" s="4558"/>
      <c r="J14" s="32"/>
      <c r="K14" s="32"/>
      <c r="L14" s="32"/>
      <c r="M14" s="32"/>
      <c r="N14" s="32"/>
      <c r="O14" s="46"/>
    </row>
    <row r="15" spans="2:15" ht="13.7" customHeight="1">
      <c r="C15" s="568" t="s">
        <v>1028</v>
      </c>
      <c r="D15" s="38"/>
      <c r="E15" s="38"/>
      <c r="F15" s="38"/>
      <c r="G15" s="4525" t="s">
        <v>1027</v>
      </c>
      <c r="H15" s="4526"/>
      <c r="I15" s="4527"/>
      <c r="J15" s="32"/>
      <c r="K15" s="32"/>
      <c r="L15" s="32"/>
      <c r="M15" s="32"/>
      <c r="N15" s="32"/>
      <c r="O15" s="46"/>
    </row>
    <row r="16" spans="2:15" ht="13.7" customHeight="1">
      <c r="C16" s="568" t="s">
        <v>1026</v>
      </c>
      <c r="D16" s="38"/>
      <c r="E16" s="38"/>
      <c r="F16" s="38"/>
      <c r="G16" s="4525" t="s">
        <v>1025</v>
      </c>
      <c r="H16" s="4526"/>
      <c r="I16" s="4527"/>
      <c r="J16" s="32"/>
      <c r="K16" s="32"/>
      <c r="L16" s="32"/>
      <c r="M16" s="32"/>
      <c r="N16" s="32"/>
      <c r="O16" s="46"/>
    </row>
    <row r="17" spans="3:22" ht="13.7" customHeight="1">
      <c r="C17" s="568" t="s">
        <v>1024</v>
      </c>
      <c r="D17" s="38"/>
      <c r="E17" s="38"/>
      <c r="F17" s="38"/>
      <c r="G17" s="4525" t="s">
        <v>1023</v>
      </c>
      <c r="H17" s="4526"/>
      <c r="I17" s="4527"/>
      <c r="J17" s="32"/>
      <c r="K17" s="32"/>
      <c r="L17" s="32"/>
      <c r="M17" s="32"/>
      <c r="N17" s="32"/>
      <c r="O17" s="46"/>
    </row>
    <row r="18" spans="3:22" ht="13.7" customHeight="1">
      <c r="C18" s="568" t="s">
        <v>1022</v>
      </c>
      <c r="D18" s="38"/>
      <c r="E18" s="38"/>
      <c r="F18" s="38"/>
      <c r="G18" s="4525" t="s">
        <v>1021</v>
      </c>
      <c r="H18" s="4526"/>
      <c r="I18" s="4527"/>
      <c r="J18" s="32"/>
      <c r="K18" s="32"/>
      <c r="L18" s="32"/>
      <c r="M18" s="32"/>
      <c r="N18" s="32"/>
      <c r="O18" s="46"/>
    </row>
    <row r="19" spans="3:22" ht="13.7" customHeight="1">
      <c r="C19" s="568" t="s">
        <v>1020</v>
      </c>
      <c r="D19" s="38"/>
      <c r="E19" s="38"/>
      <c r="F19" s="38"/>
      <c r="G19" s="4535" t="s">
        <v>1019</v>
      </c>
      <c r="H19" s="4536"/>
      <c r="I19" s="4537"/>
      <c r="J19" s="32"/>
      <c r="K19" s="32"/>
      <c r="L19" s="32"/>
      <c r="M19" s="32"/>
      <c r="N19" s="32"/>
      <c r="O19" s="46"/>
    </row>
    <row r="20" spans="3:22" ht="13.7" customHeight="1">
      <c r="C20" s="711" t="s">
        <v>1018</v>
      </c>
      <c r="D20" s="1056"/>
      <c r="E20" s="1056"/>
      <c r="F20" s="1056"/>
      <c r="G20" s="4528" t="s">
        <v>1017</v>
      </c>
      <c r="H20" s="4529"/>
      <c r="I20" s="4530"/>
      <c r="J20" s="32"/>
      <c r="K20" s="32"/>
      <c r="L20" s="32"/>
      <c r="M20" s="32"/>
      <c r="N20" s="32"/>
      <c r="O20" s="46"/>
    </row>
    <row r="21" spans="3:22" ht="13.7" customHeight="1">
      <c r="C21" s="765"/>
      <c r="D21" s="32"/>
      <c r="E21" s="32"/>
      <c r="F21" s="32"/>
      <c r="G21" s="32"/>
      <c r="H21" s="32"/>
      <c r="I21" s="32"/>
      <c r="J21" s="32"/>
      <c r="K21" s="32"/>
      <c r="L21" s="32"/>
      <c r="M21" s="32"/>
      <c r="N21" s="32"/>
      <c r="O21" s="46"/>
    </row>
    <row r="22" spans="3:22" ht="13.7" customHeight="1">
      <c r="C22" s="1055" t="s">
        <v>1016</v>
      </c>
      <c r="D22" s="272"/>
      <c r="E22" s="272"/>
      <c r="F22" s="272"/>
      <c r="G22" s="358"/>
      <c r="H22" s="272"/>
      <c r="I22" s="1054" t="s">
        <v>228</v>
      </c>
      <c r="J22" s="32"/>
      <c r="K22" s="32"/>
      <c r="L22" s="32"/>
      <c r="M22" s="32"/>
      <c r="N22" s="32"/>
      <c r="O22" s="46"/>
    </row>
    <row r="23" spans="3:22" ht="13.7" customHeight="1">
      <c r="C23" s="1053" t="s">
        <v>736</v>
      </c>
      <c r="D23" s="272"/>
      <c r="E23" s="272"/>
      <c r="F23" s="272"/>
      <c r="G23" s="358"/>
      <c r="H23" s="272"/>
      <c r="I23" s="1052" t="s">
        <v>1015</v>
      </c>
      <c r="J23" s="32"/>
      <c r="K23" s="32"/>
      <c r="L23" s="32"/>
      <c r="M23" s="32"/>
      <c r="N23" s="32"/>
      <c r="O23" s="46"/>
      <c r="V23" s="33"/>
    </row>
    <row r="24" spans="3:22" ht="13.7" customHeight="1">
      <c r="C24" s="765" t="s">
        <v>52</v>
      </c>
      <c r="D24" s="32"/>
      <c r="E24" s="32"/>
      <c r="F24" s="32"/>
      <c r="G24" s="765"/>
      <c r="H24" s="32"/>
      <c r="I24" s="1051" t="s">
        <v>1014</v>
      </c>
      <c r="J24" s="631"/>
      <c r="K24" s="631"/>
      <c r="L24" s="631"/>
      <c r="M24" s="631"/>
      <c r="N24" s="32"/>
      <c r="O24" s="46"/>
    </row>
    <row r="25" spans="3:22" ht="13.7" customHeight="1">
      <c r="C25" s="765" t="s">
        <v>1013</v>
      </c>
      <c r="D25" s="32"/>
      <c r="E25" s="32"/>
      <c r="F25" s="32"/>
      <c r="G25" s="765"/>
      <c r="H25" s="32"/>
      <c r="I25" s="1051" t="s">
        <v>1012</v>
      </c>
      <c r="J25" s="631"/>
      <c r="K25" s="631"/>
      <c r="L25" s="631"/>
      <c r="M25" s="631"/>
      <c r="N25" s="32"/>
      <c r="O25" s="46"/>
    </row>
    <row r="26" spans="3:22" ht="13.7" customHeight="1">
      <c r="C26" s="765" t="s">
        <v>50</v>
      </c>
      <c r="D26" s="32"/>
      <c r="E26" s="32"/>
      <c r="F26" s="32"/>
      <c r="G26" s="765"/>
      <c r="H26" s="32"/>
      <c r="I26" s="1050" t="s">
        <v>1011</v>
      </c>
      <c r="J26" s="631"/>
      <c r="K26" s="631"/>
      <c r="L26" s="631"/>
      <c r="M26" s="631"/>
      <c r="N26" s="32"/>
      <c r="O26" s="46"/>
      <c r="Q26" s="33"/>
    </row>
    <row r="27" spans="3:22" ht="13.7" customHeight="1">
      <c r="C27" s="1049" t="s">
        <v>1010</v>
      </c>
      <c r="D27" s="319"/>
      <c r="E27" s="319"/>
      <c r="F27" s="319"/>
      <c r="G27" s="1049"/>
      <c r="H27" s="319"/>
      <c r="I27" s="1048" t="s">
        <v>1009</v>
      </c>
      <c r="J27" s="631"/>
      <c r="K27" s="631"/>
      <c r="L27" s="631"/>
      <c r="M27" s="631"/>
      <c r="N27" s="32"/>
      <c r="O27" s="46" t="s">
        <v>1008</v>
      </c>
      <c r="Q27" s="33"/>
    </row>
    <row r="28" spans="3:22" ht="13.7" customHeight="1">
      <c r="C28" s="395" t="s">
        <v>1007</v>
      </c>
      <c r="D28" s="1047"/>
      <c r="E28" s="1047"/>
      <c r="F28" s="1047"/>
      <c r="G28" s="1047"/>
      <c r="H28" s="1047" t="s">
        <v>1006</v>
      </c>
      <c r="I28" s="1046"/>
      <c r="J28" s="631"/>
      <c r="K28" s="631"/>
      <c r="L28" s="631"/>
      <c r="M28" s="631"/>
      <c r="N28" s="32"/>
      <c r="O28" s="46"/>
      <c r="Q28" s="33"/>
    </row>
    <row r="29" spans="3:22" ht="13.7" customHeight="1">
      <c r="C29" s="765"/>
      <c r="D29" s="32"/>
      <c r="E29" s="32"/>
      <c r="F29" s="32"/>
      <c r="G29" s="32"/>
      <c r="H29" s="243"/>
      <c r="I29" s="631"/>
      <c r="J29" s="631"/>
      <c r="K29" s="631"/>
      <c r="L29" s="631"/>
      <c r="M29" s="631"/>
      <c r="N29" s="32"/>
      <c r="O29" s="46"/>
      <c r="Q29" s="33"/>
    </row>
    <row r="30" spans="3:22" ht="13.7" customHeight="1">
      <c r="C30" s="1045" t="s">
        <v>1005</v>
      </c>
      <c r="D30" s="272"/>
      <c r="E30" s="1044"/>
      <c r="F30" s="4531" t="s">
        <v>90</v>
      </c>
      <c r="G30" s="4531"/>
      <c r="H30" s="4531"/>
      <c r="I30" s="4532"/>
      <c r="J30" s="631"/>
      <c r="K30" s="631"/>
      <c r="L30" s="631"/>
      <c r="M30" s="631"/>
      <c r="N30" s="32"/>
      <c r="O30" s="46"/>
      <c r="Q30" s="33"/>
    </row>
    <row r="31" spans="3:22" ht="13.7" customHeight="1">
      <c r="C31" s="765"/>
      <c r="D31" s="32"/>
      <c r="E31" s="32"/>
      <c r="F31" s="32"/>
      <c r="G31" s="32"/>
      <c r="H31" s="32"/>
      <c r="I31" s="46"/>
      <c r="J31" s="32"/>
      <c r="K31" s="32"/>
      <c r="L31" s="32"/>
      <c r="M31" s="32"/>
      <c r="N31" s="32"/>
      <c r="O31" s="46"/>
      <c r="Q31" s="33"/>
    </row>
    <row r="32" spans="3:22" ht="13.7" customHeight="1">
      <c r="C32" s="1043" t="s">
        <v>1004</v>
      </c>
      <c r="D32" s="32"/>
      <c r="E32" s="1042" t="s">
        <v>1003</v>
      </c>
      <c r="F32" s="1041" t="s">
        <v>909</v>
      </c>
      <c r="G32" s="32"/>
      <c r="H32" s="330"/>
      <c r="I32" s="877"/>
      <c r="J32" s="32"/>
      <c r="K32" s="32"/>
      <c r="L32" s="32"/>
      <c r="M32" s="32"/>
      <c r="N32" s="32"/>
      <c r="O32" s="46"/>
      <c r="Q32" s="33"/>
    </row>
    <row r="33" spans="2:18" ht="13.7" customHeight="1">
      <c r="C33" s="496" t="s">
        <v>1002</v>
      </c>
      <c r="D33" s="32"/>
      <c r="E33" s="940">
        <v>30</v>
      </c>
      <c r="F33" s="232" t="s">
        <v>113</v>
      </c>
      <c r="G33" s="32"/>
      <c r="H33" s="330"/>
      <c r="I33" s="877"/>
      <c r="J33" s="32"/>
      <c r="K33" s="32"/>
      <c r="L33" s="32"/>
      <c r="M33" s="32"/>
      <c r="N33" s="32"/>
      <c r="O33" s="46"/>
      <c r="Q33" s="33"/>
    </row>
    <row r="34" spans="2:18" ht="13.7" customHeight="1">
      <c r="C34" s="496"/>
      <c r="D34" s="32"/>
      <c r="E34" s="330"/>
      <c r="F34" s="330"/>
      <c r="G34" s="330"/>
      <c r="H34" s="330"/>
      <c r="I34" s="877"/>
      <c r="J34" s="32"/>
      <c r="K34" s="32"/>
      <c r="L34" s="32"/>
      <c r="M34" s="32"/>
      <c r="N34" s="32"/>
      <c r="O34" s="46"/>
    </row>
    <row r="35" spans="2:18" ht="13.7" customHeight="1">
      <c r="C35" s="1040">
        <f>E33%</f>
        <v>0.3</v>
      </c>
      <c r="D35" s="1039">
        <f>E32*E33%/100</f>
        <v>0.39</v>
      </c>
      <c r="E35" s="330" t="s">
        <v>1001</v>
      </c>
      <c r="F35" s="724">
        <f>F50</f>
        <v>69</v>
      </c>
      <c r="G35" s="330" t="s">
        <v>997</v>
      </c>
      <c r="H35" s="725">
        <f>D35*F35</f>
        <v>26.91</v>
      </c>
      <c r="I35" s="877" t="s">
        <v>171</v>
      </c>
      <c r="J35" s="32"/>
      <c r="K35" s="32"/>
      <c r="L35" s="32"/>
      <c r="M35" s="32"/>
      <c r="N35" s="32"/>
      <c r="O35" s="46"/>
    </row>
    <row r="36" spans="2:18" ht="13.7" customHeight="1">
      <c r="C36" s="1040">
        <f>1-C35</f>
        <v>0.7</v>
      </c>
      <c r="D36" s="1039">
        <f>E32*C36%</f>
        <v>0.90999999999999992</v>
      </c>
      <c r="E36" s="330" t="s">
        <v>1000</v>
      </c>
      <c r="F36" s="724">
        <f>'SDK1'!O20</f>
        <v>19.466666666666665</v>
      </c>
      <c r="G36" s="330" t="s">
        <v>997</v>
      </c>
      <c r="H36" s="725">
        <f>D36*F36</f>
        <v>17.714666666666663</v>
      </c>
      <c r="I36" s="877" t="s">
        <v>171</v>
      </c>
      <c r="J36" s="32"/>
      <c r="K36" s="32"/>
      <c r="L36" s="32"/>
      <c r="M36" s="32"/>
      <c r="N36" s="32"/>
      <c r="O36" s="46"/>
    </row>
    <row r="37" spans="2:18" ht="13.7" customHeight="1">
      <c r="B37" s="49"/>
      <c r="C37" s="242"/>
      <c r="D37" s="330" t="s">
        <v>999</v>
      </c>
      <c r="E37" s="330"/>
      <c r="F37" s="724">
        <v>15</v>
      </c>
      <c r="G37" s="330" t="s">
        <v>997</v>
      </c>
      <c r="H37" s="725">
        <f>D36*F37</f>
        <v>13.649999999999999</v>
      </c>
      <c r="I37" s="877" t="s">
        <v>171</v>
      </c>
      <c r="J37" s="32"/>
      <c r="K37" s="32"/>
      <c r="L37" s="32"/>
      <c r="M37" s="32"/>
      <c r="N37" s="32"/>
      <c r="O37" s="46"/>
    </row>
    <row r="38" spans="2:18" ht="13.7" customHeight="1">
      <c r="C38" s="242"/>
      <c r="D38" s="330" t="s">
        <v>998</v>
      </c>
      <c r="E38" s="330"/>
      <c r="F38" s="724">
        <v>6</v>
      </c>
      <c r="G38" s="330" t="s">
        <v>997</v>
      </c>
      <c r="H38" s="725">
        <f>D36*F38</f>
        <v>5.4599999999999991</v>
      </c>
      <c r="I38" s="877" t="s">
        <v>171</v>
      </c>
      <c r="J38" s="32"/>
      <c r="K38" s="32"/>
      <c r="L38" s="32"/>
      <c r="M38" s="32"/>
      <c r="N38" s="32"/>
      <c r="O38" s="46"/>
    </row>
    <row r="39" spans="2:18" ht="13.7" customHeight="1">
      <c r="C39" s="711" t="s">
        <v>996</v>
      </c>
      <c r="D39" s="710"/>
      <c r="E39" s="710"/>
      <c r="F39" s="710"/>
      <c r="G39" s="710"/>
      <c r="H39" s="1038">
        <f>SUM(H35:H38)</f>
        <v>63.734666666666662</v>
      </c>
      <c r="I39" s="719" t="s">
        <v>171</v>
      </c>
      <c r="J39" s="319"/>
      <c r="K39" s="319"/>
      <c r="L39" s="319"/>
      <c r="M39" s="319"/>
      <c r="N39" s="319"/>
      <c r="O39" s="709"/>
    </row>
    <row r="40" spans="2:18" ht="14.25">
      <c r="H40" s="231"/>
      <c r="Q40" s="33"/>
    </row>
    <row r="41" spans="2:18" ht="13.7" customHeight="1">
      <c r="C41" s="935" t="s">
        <v>995</v>
      </c>
      <c r="D41" s="272"/>
      <c r="E41" s="272"/>
      <c r="F41" s="272"/>
      <c r="G41" s="272"/>
      <c r="H41" s="722" t="s">
        <v>994</v>
      </c>
      <c r="I41" s="953"/>
      <c r="J41" s="953"/>
      <c r="K41" s="953"/>
      <c r="L41" s="953"/>
      <c r="M41" s="953"/>
      <c r="N41" s="953"/>
      <c r="O41" s="1037"/>
    </row>
    <row r="42" spans="2:18" ht="13.7" customHeight="1">
      <c r="C42" s="399" t="s">
        <v>2148</v>
      </c>
      <c r="D42" s="838"/>
      <c r="E42" s="32"/>
      <c r="F42" s="32"/>
      <c r="G42" s="32"/>
      <c r="H42" s="1036" t="s">
        <v>993</v>
      </c>
      <c r="I42" s="1035"/>
      <c r="J42" s="1034"/>
      <c r="K42" s="1034"/>
      <c r="L42" s="1034"/>
      <c r="M42" s="1034"/>
      <c r="N42" s="1034"/>
      <c r="O42" s="1033"/>
      <c r="R42" s="33"/>
    </row>
    <row r="43" spans="2:18" ht="13.7" customHeight="1">
      <c r="C43" s="4515" t="s">
        <v>992</v>
      </c>
      <c r="D43" s="4516"/>
      <c r="E43" s="846"/>
      <c r="F43" s="4523" t="s">
        <v>991</v>
      </c>
      <c r="G43" s="4524"/>
      <c r="H43" s="715" t="s">
        <v>990</v>
      </c>
      <c r="I43" s="376"/>
      <c r="J43" s="376"/>
      <c r="K43" s="376"/>
      <c r="L43" s="376"/>
      <c r="M43" s="1032" t="s">
        <v>989</v>
      </c>
      <c r="N43" s="1031" t="s">
        <v>988</v>
      </c>
      <c r="O43" s="1030" t="s">
        <v>987</v>
      </c>
      <c r="R43" s="33"/>
    </row>
    <row r="44" spans="2:18" ht="13.7" customHeight="1">
      <c r="C44" s="898"/>
      <c r="D44" s="330"/>
      <c r="E44" s="330"/>
      <c r="F44" s="4517" t="s">
        <v>986</v>
      </c>
      <c r="G44" s="4518"/>
      <c r="H44" s="765"/>
      <c r="I44" s="32"/>
      <c r="J44" s="32"/>
      <c r="K44" s="32"/>
      <c r="L44" s="32"/>
      <c r="M44" s="1029" t="s">
        <v>909</v>
      </c>
      <c r="N44" s="1029" t="s">
        <v>985</v>
      </c>
      <c r="O44" s="1028" t="s">
        <v>984</v>
      </c>
      <c r="R44" s="33"/>
    </row>
    <row r="45" spans="2:18" ht="13.7" customHeight="1">
      <c r="C45" s="1027" t="s">
        <v>269</v>
      </c>
      <c r="D45" s="846"/>
      <c r="E45" s="881" t="s">
        <v>983</v>
      </c>
      <c r="F45" s="4037">
        <v>79</v>
      </c>
      <c r="G45" s="1026"/>
      <c r="H45" s="934" t="s">
        <v>982</v>
      </c>
      <c r="I45" s="846"/>
      <c r="J45" s="846" t="s">
        <v>52</v>
      </c>
      <c r="K45" s="846"/>
      <c r="L45" s="846"/>
      <c r="M45" s="1025" t="s">
        <v>981</v>
      </c>
      <c r="N45" s="1024" t="s">
        <v>932</v>
      </c>
      <c r="O45" s="1023">
        <v>160</v>
      </c>
      <c r="R45" s="33"/>
    </row>
    <row r="46" spans="2:18" ht="13.7" customHeight="1">
      <c r="C46" s="496" t="s">
        <v>269</v>
      </c>
      <c r="D46" s="330"/>
      <c r="E46" s="860" t="s">
        <v>965</v>
      </c>
      <c r="F46" s="4037">
        <v>85</v>
      </c>
      <c r="G46" s="1004"/>
      <c r="H46" s="496"/>
      <c r="I46" s="330"/>
      <c r="J46" s="330" t="s">
        <v>980</v>
      </c>
      <c r="K46" s="330"/>
      <c r="L46" s="330"/>
      <c r="M46" s="1020" t="s">
        <v>979</v>
      </c>
      <c r="N46" s="1011" t="s">
        <v>935</v>
      </c>
      <c r="O46" s="1010">
        <v>144</v>
      </c>
      <c r="R46" s="33"/>
    </row>
    <row r="47" spans="2:18" ht="13.7" customHeight="1">
      <c r="C47" s="496" t="s">
        <v>269</v>
      </c>
      <c r="D47" s="330"/>
      <c r="E47" s="860" t="s">
        <v>978</v>
      </c>
      <c r="F47" s="4037">
        <v>88</v>
      </c>
      <c r="G47" s="1004"/>
      <c r="H47" s="496"/>
      <c r="I47" s="330"/>
      <c r="J47" s="330" t="s">
        <v>977</v>
      </c>
      <c r="K47" s="330"/>
      <c r="L47" s="330"/>
      <c r="M47" s="1020" t="s">
        <v>943</v>
      </c>
      <c r="N47" s="1011" t="s">
        <v>932</v>
      </c>
      <c r="O47" s="1010">
        <v>160</v>
      </c>
      <c r="R47" s="33"/>
    </row>
    <row r="48" spans="2:18" ht="13.7" customHeight="1">
      <c r="C48" s="496" t="s">
        <v>269</v>
      </c>
      <c r="D48" s="330"/>
      <c r="E48" s="860" t="s">
        <v>976</v>
      </c>
      <c r="F48" s="4037">
        <v>90</v>
      </c>
      <c r="G48" s="1004"/>
      <c r="H48" s="496"/>
      <c r="I48" s="330"/>
      <c r="J48" s="330" t="s">
        <v>975</v>
      </c>
      <c r="K48" s="330"/>
      <c r="L48" s="330"/>
      <c r="M48" s="1020">
        <v>70</v>
      </c>
      <c r="N48" s="1011" t="s">
        <v>930</v>
      </c>
      <c r="O48" s="1010">
        <v>240</v>
      </c>
      <c r="R48" s="33"/>
    </row>
    <row r="49" spans="3:20" ht="13.7" customHeight="1">
      <c r="C49" s="496" t="s">
        <v>90</v>
      </c>
      <c r="D49" s="330"/>
      <c r="E49" s="860" t="s">
        <v>974</v>
      </c>
      <c r="F49" s="4037">
        <v>75</v>
      </c>
      <c r="G49" s="1004"/>
      <c r="H49" s="496"/>
      <c r="I49" s="330"/>
      <c r="J49" s="330" t="s">
        <v>50</v>
      </c>
      <c r="K49" s="330"/>
      <c r="L49" s="330"/>
      <c r="M49" s="1020" t="s">
        <v>973</v>
      </c>
      <c r="N49" s="1011" t="s">
        <v>932</v>
      </c>
      <c r="O49" s="1010" t="s">
        <v>2136</v>
      </c>
      <c r="R49" s="33"/>
    </row>
    <row r="50" spans="3:20" ht="13.7" customHeight="1">
      <c r="C50" s="496" t="s">
        <v>90</v>
      </c>
      <c r="D50" s="330"/>
      <c r="E50" s="860" t="s">
        <v>951</v>
      </c>
      <c r="F50" s="4037">
        <v>69</v>
      </c>
      <c r="G50" s="1004"/>
      <c r="H50" s="496"/>
      <c r="I50" s="330"/>
      <c r="J50" s="330" t="s">
        <v>972</v>
      </c>
      <c r="K50" s="330"/>
      <c r="L50" s="330"/>
      <c r="M50" s="1020">
        <v>150</v>
      </c>
      <c r="N50" s="1019" t="s">
        <v>935</v>
      </c>
      <c r="O50" s="1010">
        <v>263</v>
      </c>
      <c r="R50" s="33"/>
    </row>
    <row r="51" spans="3:20" ht="13.7" customHeight="1">
      <c r="C51" s="496" t="s">
        <v>88</v>
      </c>
      <c r="D51" s="330"/>
      <c r="E51" s="860"/>
      <c r="F51" s="4037">
        <v>84</v>
      </c>
      <c r="G51" s="1004"/>
      <c r="H51" s="1018" t="s">
        <v>971</v>
      </c>
      <c r="I51" s="1017"/>
      <c r="J51" s="1017" t="s">
        <v>970</v>
      </c>
      <c r="K51" s="1017"/>
      <c r="L51" s="1017"/>
      <c r="M51" s="1022" t="s">
        <v>968</v>
      </c>
      <c r="N51" s="1015" t="s">
        <v>935</v>
      </c>
      <c r="O51" s="1014" t="s">
        <v>2137</v>
      </c>
    </row>
    <row r="52" spans="3:20" ht="13.7" customHeight="1">
      <c r="C52" s="496" t="s">
        <v>86</v>
      </c>
      <c r="D52" s="330"/>
      <c r="E52" s="860" t="s">
        <v>963</v>
      </c>
      <c r="F52" s="4037">
        <v>83</v>
      </c>
      <c r="G52" s="1004"/>
      <c r="H52" s="496"/>
      <c r="I52" s="330"/>
      <c r="J52" s="330" t="s">
        <v>969</v>
      </c>
      <c r="K52" s="330"/>
      <c r="L52" s="330"/>
      <c r="M52" s="1020" t="s">
        <v>968</v>
      </c>
      <c r="N52" s="1019" t="s">
        <v>930</v>
      </c>
      <c r="O52" s="1010" t="s">
        <v>2138</v>
      </c>
    </row>
    <row r="53" spans="3:20" ht="13.7" customHeight="1">
      <c r="C53" s="496" t="s">
        <v>84</v>
      </c>
      <c r="D53" s="330"/>
      <c r="E53" s="860"/>
      <c r="F53" s="4037">
        <v>119</v>
      </c>
      <c r="G53" s="1004"/>
      <c r="H53" s="1018" t="s">
        <v>967</v>
      </c>
      <c r="I53" s="1017"/>
      <c r="J53" s="1017" t="s">
        <v>966</v>
      </c>
      <c r="K53" s="1017"/>
      <c r="L53" s="1017"/>
      <c r="M53" s="1022">
        <v>20</v>
      </c>
      <c r="N53" s="1015" t="s">
        <v>935</v>
      </c>
      <c r="O53" s="1014">
        <v>105</v>
      </c>
    </row>
    <row r="54" spans="3:20" ht="13.7" customHeight="1">
      <c r="C54" s="496" t="s">
        <v>81</v>
      </c>
      <c r="D54" s="330"/>
      <c r="E54" s="860" t="s">
        <v>965</v>
      </c>
      <c r="F54" s="4037">
        <v>90</v>
      </c>
      <c r="G54" s="1004"/>
      <c r="H54" s="496"/>
      <c r="I54" s="330"/>
      <c r="J54" s="330" t="s">
        <v>964</v>
      </c>
      <c r="K54" s="330"/>
      <c r="L54" s="330"/>
      <c r="M54" s="1020">
        <v>35</v>
      </c>
      <c r="N54" s="1011" t="s">
        <v>935</v>
      </c>
      <c r="O54" s="1010">
        <v>157.5</v>
      </c>
    </row>
    <row r="55" spans="3:20" ht="13.7" customHeight="1">
      <c r="C55" s="496" t="s">
        <v>267</v>
      </c>
      <c r="D55" s="330"/>
      <c r="E55" s="860" t="s">
        <v>963</v>
      </c>
      <c r="F55" s="4037">
        <v>96</v>
      </c>
      <c r="G55" s="1004"/>
      <c r="H55" s="496"/>
      <c r="I55" s="330"/>
      <c r="J55" s="330" t="s">
        <v>962</v>
      </c>
      <c r="K55" s="330"/>
      <c r="L55" s="330"/>
      <c r="M55" s="1020">
        <v>30</v>
      </c>
      <c r="N55" s="1019" t="s">
        <v>930</v>
      </c>
      <c r="O55" s="1010">
        <v>96</v>
      </c>
    </row>
    <row r="56" spans="3:20" ht="13.7" customHeight="1">
      <c r="C56" s="496" t="s">
        <v>77</v>
      </c>
      <c r="D56" s="330"/>
      <c r="E56" s="860"/>
      <c r="F56" s="4037">
        <v>95</v>
      </c>
      <c r="G56" s="1004"/>
      <c r="H56" s="1018" t="s">
        <v>961</v>
      </c>
      <c r="I56" s="1017"/>
      <c r="J56" s="1017" t="s">
        <v>64</v>
      </c>
      <c r="K56" s="1017"/>
      <c r="L56" s="1017"/>
      <c r="M56" s="1022" t="s">
        <v>960</v>
      </c>
      <c r="N56" s="1015" t="s">
        <v>935</v>
      </c>
      <c r="O56" s="1014">
        <v>600</v>
      </c>
    </row>
    <row r="57" spans="3:20" ht="13.7" customHeight="1">
      <c r="C57" s="496" t="s">
        <v>75</v>
      </c>
      <c r="D57" s="330"/>
      <c r="E57" s="860"/>
      <c r="F57" s="4037">
        <v>84</v>
      </c>
      <c r="G57" s="1004"/>
      <c r="H57" s="496"/>
      <c r="I57" s="330"/>
      <c r="J57" s="330" t="s">
        <v>62</v>
      </c>
      <c r="K57" s="330"/>
      <c r="L57" s="330"/>
      <c r="M57" s="1020" t="s">
        <v>960</v>
      </c>
      <c r="N57" s="1011" t="s">
        <v>935</v>
      </c>
      <c r="O57" s="1010">
        <v>580</v>
      </c>
    </row>
    <row r="58" spans="3:20" ht="13.7" customHeight="1">
      <c r="C58" s="496" t="s">
        <v>73</v>
      </c>
      <c r="D58" s="330"/>
      <c r="E58" s="860"/>
      <c r="F58" s="4037">
        <v>131</v>
      </c>
      <c r="G58" s="1004"/>
      <c r="H58" s="496"/>
      <c r="I58" s="330"/>
      <c r="J58" s="330" t="s">
        <v>959</v>
      </c>
      <c r="K58" s="330"/>
      <c r="L58" s="330"/>
      <c r="M58" s="1020" t="s">
        <v>958</v>
      </c>
      <c r="N58" s="1011" t="s">
        <v>957</v>
      </c>
      <c r="O58" s="1010" t="s">
        <v>2139</v>
      </c>
    </row>
    <row r="59" spans="3:20" ht="13.7" customHeight="1">
      <c r="C59" s="496" t="s">
        <v>70</v>
      </c>
      <c r="D59" s="330"/>
      <c r="E59" s="860" t="s">
        <v>956</v>
      </c>
      <c r="F59" s="4037">
        <v>135</v>
      </c>
      <c r="G59" s="1004"/>
      <c r="H59" s="496"/>
      <c r="I59" s="330"/>
      <c r="J59" s="330" t="s">
        <v>955</v>
      </c>
      <c r="K59" s="330"/>
      <c r="L59" s="330"/>
      <c r="M59" s="1020" t="s">
        <v>954</v>
      </c>
      <c r="N59" s="1011" t="s">
        <v>932</v>
      </c>
      <c r="O59" s="1010"/>
    </row>
    <row r="60" spans="3:20" ht="13.7" customHeight="1">
      <c r="C60" s="496" t="s">
        <v>67</v>
      </c>
      <c r="D60" s="330"/>
      <c r="E60" s="860" t="s">
        <v>953</v>
      </c>
      <c r="F60" s="4037">
        <v>125</v>
      </c>
      <c r="G60" s="1004"/>
      <c r="H60" s="496"/>
      <c r="I60" s="330"/>
      <c r="J60" s="330" t="s">
        <v>952</v>
      </c>
      <c r="K60" s="330"/>
      <c r="L60" s="330"/>
      <c r="M60" s="1020" t="s">
        <v>946</v>
      </c>
      <c r="N60" s="1011" t="s">
        <v>935</v>
      </c>
      <c r="O60" s="1010" t="s">
        <v>2140</v>
      </c>
    </row>
    <row r="61" spans="3:20" s="33" customFormat="1" ht="13.7" customHeight="1">
      <c r="C61" s="496" t="s">
        <v>64</v>
      </c>
      <c r="D61" s="330"/>
      <c r="E61" s="860" t="s">
        <v>951</v>
      </c>
      <c r="F61" s="4037">
        <v>300</v>
      </c>
      <c r="G61" s="1004"/>
      <c r="H61" s="496"/>
      <c r="I61" s="330"/>
      <c r="J61" s="330" t="s">
        <v>950</v>
      </c>
      <c r="K61" s="330"/>
      <c r="L61" s="330"/>
      <c r="M61" s="1020" t="s">
        <v>946</v>
      </c>
      <c r="N61" s="1011" t="s">
        <v>935</v>
      </c>
      <c r="O61" s="1010" t="s">
        <v>2141</v>
      </c>
      <c r="P61" s="31"/>
      <c r="Q61" s="31"/>
      <c r="R61" s="31"/>
      <c r="S61" s="31"/>
      <c r="T61" s="31"/>
    </row>
    <row r="62" spans="3:20" ht="13.7" customHeight="1">
      <c r="C62" s="496"/>
      <c r="D62" s="330"/>
      <c r="E62" s="860" t="s">
        <v>949</v>
      </c>
      <c r="F62" s="4037">
        <v>182</v>
      </c>
      <c r="G62" s="1004"/>
      <c r="H62" s="496"/>
      <c r="I62" s="330"/>
      <c r="J62" s="330" t="s">
        <v>948</v>
      </c>
      <c r="K62" s="330"/>
      <c r="L62" s="330"/>
      <c r="M62" s="1020" t="s">
        <v>946</v>
      </c>
      <c r="N62" s="1011" t="s">
        <v>935</v>
      </c>
      <c r="O62" s="1010" t="s">
        <v>2142</v>
      </c>
    </row>
    <row r="63" spans="3:20" ht="13.7" customHeight="1">
      <c r="C63" s="496" t="s">
        <v>62</v>
      </c>
      <c r="D63" s="330"/>
      <c r="E63" s="860"/>
      <c r="F63" s="4037">
        <v>290</v>
      </c>
      <c r="G63" s="1004"/>
      <c r="H63" s="496"/>
      <c r="I63" s="330"/>
      <c r="J63" s="330" t="s">
        <v>947</v>
      </c>
      <c r="K63" s="330"/>
      <c r="L63" s="330"/>
      <c r="M63" s="1020" t="s">
        <v>946</v>
      </c>
      <c r="N63" s="1019" t="s">
        <v>935</v>
      </c>
      <c r="O63" s="1010" t="s">
        <v>2143</v>
      </c>
    </row>
    <row r="64" spans="3:20" ht="13.7" customHeight="1">
      <c r="C64" s="496" t="s">
        <v>60</v>
      </c>
      <c r="D64" s="330"/>
      <c r="E64" s="860"/>
      <c r="F64" s="4037">
        <v>350</v>
      </c>
      <c r="G64" s="1004"/>
      <c r="H64" s="1018" t="s">
        <v>945</v>
      </c>
      <c r="I64" s="1017"/>
      <c r="J64" s="1017" t="s">
        <v>944</v>
      </c>
      <c r="K64" s="1017"/>
      <c r="L64" s="1017"/>
      <c r="M64" s="1022" t="s">
        <v>943</v>
      </c>
      <c r="N64" s="1015" t="s">
        <v>930</v>
      </c>
      <c r="O64" s="1014" t="s">
        <v>2144</v>
      </c>
    </row>
    <row r="65" spans="3:29" ht="13.7" customHeight="1">
      <c r="C65" s="496" t="s">
        <v>263</v>
      </c>
      <c r="D65" s="330"/>
      <c r="E65" s="860"/>
      <c r="F65" s="4037">
        <v>85</v>
      </c>
      <c r="G65" s="1021" t="s">
        <v>942</v>
      </c>
      <c r="H65" s="496"/>
      <c r="I65" s="330"/>
      <c r="J65" s="330" t="s">
        <v>941</v>
      </c>
      <c r="K65" s="330"/>
      <c r="L65" s="330"/>
      <c r="M65" s="1020" t="s">
        <v>940</v>
      </c>
      <c r="N65" s="1019" t="s">
        <v>927</v>
      </c>
      <c r="O65" s="1010">
        <v>157.5</v>
      </c>
    </row>
    <row r="66" spans="3:29" ht="13.7" customHeight="1">
      <c r="C66" s="496" t="s">
        <v>57</v>
      </c>
      <c r="D66" s="330"/>
      <c r="E66" s="860"/>
      <c r="F66" s="4037">
        <v>310</v>
      </c>
      <c r="G66" s="1004"/>
      <c r="H66" s="1018" t="s">
        <v>872</v>
      </c>
      <c r="I66" s="1017"/>
      <c r="J66" s="1017" t="s">
        <v>939</v>
      </c>
      <c r="K66" s="1017"/>
      <c r="L66" s="1017"/>
      <c r="M66" s="1016" t="s">
        <v>938</v>
      </c>
      <c r="N66" s="1015" t="s">
        <v>932</v>
      </c>
      <c r="O66" s="1014"/>
    </row>
    <row r="67" spans="3:29" ht="13.7" customHeight="1">
      <c r="C67" s="496" t="s">
        <v>54</v>
      </c>
      <c r="D67" s="330"/>
      <c r="E67" s="860"/>
      <c r="F67" s="4037">
        <v>96</v>
      </c>
      <c r="G67" s="1004"/>
      <c r="H67" s="496"/>
      <c r="I67" s="330"/>
      <c r="J67" s="330" t="s">
        <v>937</v>
      </c>
      <c r="K67" s="330"/>
      <c r="L67" s="330"/>
      <c r="M67" s="1012" t="s">
        <v>936</v>
      </c>
      <c r="N67" s="1011" t="s">
        <v>935</v>
      </c>
      <c r="O67" s="1013" t="s">
        <v>2145</v>
      </c>
    </row>
    <row r="68" spans="3:29" ht="13.7" customHeight="1">
      <c r="C68" s="496" t="s">
        <v>52</v>
      </c>
      <c r="D68" s="330"/>
      <c r="E68" s="860"/>
      <c r="F68" s="4037">
        <v>84</v>
      </c>
      <c r="G68" s="1004"/>
      <c r="H68" s="496"/>
      <c r="I68" s="330"/>
      <c r="J68" s="330" t="s">
        <v>934</v>
      </c>
      <c r="K68" s="330"/>
      <c r="L68" s="330"/>
      <c r="M68" s="1012" t="s">
        <v>933</v>
      </c>
      <c r="N68" s="1011" t="s">
        <v>932</v>
      </c>
      <c r="O68" s="1010" t="s">
        <v>2146</v>
      </c>
    </row>
    <row r="69" spans="3:29" ht="13.7" customHeight="1">
      <c r="C69" s="496" t="s">
        <v>50</v>
      </c>
      <c r="D69" s="330"/>
      <c r="E69" s="860" t="s">
        <v>931</v>
      </c>
      <c r="F69" s="4039">
        <v>202</v>
      </c>
      <c r="G69" s="1004"/>
      <c r="H69" s="496"/>
      <c r="I69" s="330"/>
      <c r="J69" s="330"/>
      <c r="K69" s="330"/>
      <c r="L69" s="330"/>
      <c r="M69" s="1012"/>
      <c r="N69" s="1011"/>
      <c r="O69" s="1010"/>
    </row>
    <row r="70" spans="3:29" ht="13.7" customHeight="1">
      <c r="C70" s="496" t="s">
        <v>45</v>
      </c>
      <c r="D70" s="330"/>
      <c r="E70" s="860"/>
      <c r="F70" s="4038">
        <v>250</v>
      </c>
      <c r="G70" s="1004"/>
      <c r="H70" s="496"/>
      <c r="I70" s="330"/>
      <c r="J70" s="330"/>
      <c r="K70" s="330"/>
      <c r="L70" s="330"/>
      <c r="M70" s="1012"/>
      <c r="N70" s="1011"/>
      <c r="O70" s="1010"/>
    </row>
    <row r="71" spans="3:29" ht="13.7" customHeight="1">
      <c r="C71" s="496" t="s">
        <v>929</v>
      </c>
      <c r="D71" s="330"/>
      <c r="E71" s="860"/>
      <c r="F71" s="4038">
        <v>177</v>
      </c>
      <c r="G71" s="1004"/>
      <c r="H71" s="457"/>
      <c r="I71" s="492"/>
      <c r="J71" s="492" t="s">
        <v>90</v>
      </c>
      <c r="K71" s="492"/>
      <c r="L71" s="492"/>
      <c r="M71" s="1009" t="s">
        <v>928</v>
      </c>
      <c r="N71" s="1008" t="s">
        <v>927</v>
      </c>
      <c r="O71" s="1007" t="s">
        <v>2147</v>
      </c>
    </row>
    <row r="72" spans="3:29" ht="13.7" customHeight="1">
      <c r="C72" s="496" t="s">
        <v>926</v>
      </c>
      <c r="D72" s="330"/>
      <c r="E72" s="860"/>
      <c r="F72" s="4038">
        <v>185</v>
      </c>
      <c r="G72" s="1004"/>
      <c r="H72" s="387" t="s">
        <v>925</v>
      </c>
      <c r="I72" s="32"/>
      <c r="J72" s="32"/>
      <c r="K72" s="32"/>
      <c r="L72" s="32"/>
      <c r="M72" s="32"/>
      <c r="N72" s="32"/>
      <c r="O72" s="46"/>
    </row>
    <row r="73" spans="3:29" ht="13.7" customHeight="1">
      <c r="C73" s="1006"/>
      <c r="D73" s="330"/>
      <c r="E73" s="860"/>
      <c r="F73" s="1005"/>
      <c r="G73" s="1004"/>
      <c r="H73" s="387" t="s">
        <v>924</v>
      </c>
      <c r="I73" s="32"/>
      <c r="J73" s="32"/>
      <c r="K73" s="32"/>
      <c r="L73" s="32"/>
      <c r="M73" s="32"/>
      <c r="N73" s="32"/>
      <c r="O73" s="46"/>
    </row>
    <row r="74" spans="3:29" ht="13.7" customHeight="1">
      <c r="C74" s="1006"/>
      <c r="D74" s="330"/>
      <c r="E74" s="860"/>
      <c r="F74" s="1005"/>
      <c r="G74" s="1004"/>
      <c r="H74" s="387"/>
      <c r="I74" s="32"/>
      <c r="J74" s="32"/>
      <c r="K74" s="32"/>
      <c r="L74" s="32"/>
      <c r="M74" s="32"/>
      <c r="N74" s="32"/>
      <c r="O74" s="46"/>
    </row>
    <row r="75" spans="3:29" ht="13.7" customHeight="1">
      <c r="C75" s="883" t="s">
        <v>923</v>
      </c>
      <c r="D75" s="492"/>
      <c r="E75" s="1003"/>
      <c r="F75" s="1002">
        <v>570</v>
      </c>
      <c r="G75" s="1001"/>
      <c r="H75" s="290"/>
      <c r="I75" s="319"/>
      <c r="J75" s="319"/>
      <c r="K75" s="319"/>
      <c r="L75" s="319"/>
      <c r="M75" s="319"/>
      <c r="N75" s="319"/>
      <c r="O75" s="709"/>
    </row>
    <row r="76" spans="3:29" ht="13.7" customHeight="1"/>
    <row r="77" spans="3:29" ht="13.7" customHeight="1">
      <c r="C77" s="1000" t="s">
        <v>225</v>
      </c>
      <c r="D77" s="999"/>
      <c r="E77" s="272"/>
      <c r="F77" s="999"/>
      <c r="G77" s="999"/>
      <c r="H77" s="999"/>
      <c r="I77" s="999"/>
      <c r="J77" s="999"/>
      <c r="K77" s="272"/>
      <c r="L77" s="272"/>
      <c r="M77" s="272"/>
      <c r="N77" s="272"/>
      <c r="O77" s="721"/>
    </row>
    <row r="78" spans="3:29" ht="13.7" customHeight="1">
      <c r="C78" s="399" t="s">
        <v>747</v>
      </c>
      <c r="D78" s="370" t="s">
        <v>922</v>
      </c>
      <c r="E78" s="32"/>
      <c r="F78" s="996"/>
      <c r="G78" s="996"/>
      <c r="H78" s="996"/>
      <c r="I78" s="996"/>
      <c r="J78" s="996"/>
      <c r="K78" s="32"/>
      <c r="L78" s="32"/>
      <c r="M78" s="32"/>
      <c r="N78" s="32"/>
      <c r="O78" s="46"/>
      <c r="V78" s="448"/>
      <c r="W78" s="389"/>
      <c r="Y78" s="998"/>
      <c r="Z78" s="998"/>
      <c r="AA78" s="998"/>
      <c r="AB78" s="998"/>
      <c r="AC78" s="998"/>
    </row>
    <row r="79" spans="3:29" ht="13.7" customHeight="1">
      <c r="C79" s="451"/>
      <c r="D79" s="370" t="s">
        <v>921</v>
      </c>
      <c r="E79" s="32"/>
      <c r="F79" s="996"/>
      <c r="G79" s="996"/>
      <c r="H79" s="996"/>
      <c r="I79" s="996"/>
      <c r="J79" s="996"/>
      <c r="K79" s="32"/>
      <c r="L79" s="32"/>
      <c r="M79" s="32"/>
      <c r="N79" s="32"/>
      <c r="O79" s="46"/>
    </row>
    <row r="80" spans="3:29" ht="4.9000000000000004" customHeight="1">
      <c r="C80" s="451"/>
      <c r="D80" s="370"/>
      <c r="E80" s="32"/>
      <c r="F80" s="996"/>
      <c r="G80" s="996"/>
      <c r="H80" s="996"/>
      <c r="I80" s="996"/>
      <c r="J80" s="996"/>
      <c r="K80" s="32"/>
      <c r="L80" s="32"/>
      <c r="M80" s="32"/>
      <c r="N80" s="32"/>
      <c r="O80" s="46"/>
    </row>
    <row r="81" spans="3:15" ht="13.7" customHeight="1">
      <c r="C81" s="399" t="s">
        <v>920</v>
      </c>
      <c r="D81" s="997" t="s">
        <v>919</v>
      </c>
      <c r="E81" s="32"/>
      <c r="F81" s="996"/>
      <c r="G81" s="996"/>
      <c r="H81" s="996"/>
      <c r="I81" s="996"/>
      <c r="J81" s="996"/>
      <c r="K81" s="32"/>
      <c r="L81" s="32"/>
      <c r="M81" s="32"/>
      <c r="N81" s="32"/>
      <c r="O81" s="46"/>
    </row>
    <row r="82" spans="3:15" ht="13.7" customHeight="1">
      <c r="C82" s="995"/>
      <c r="D82" s="994"/>
      <c r="E82" s="994"/>
      <c r="F82" s="993"/>
      <c r="G82" s="965"/>
      <c r="H82" s="992"/>
      <c r="I82" s="4533" t="s">
        <v>918</v>
      </c>
      <c r="J82" s="992"/>
      <c r="K82" s="32"/>
      <c r="L82" s="32"/>
      <c r="M82" s="32"/>
      <c r="N82" s="32"/>
      <c r="O82" s="46"/>
    </row>
    <row r="83" spans="3:15" ht="13.7" customHeight="1">
      <c r="C83" s="963" t="s">
        <v>917</v>
      </c>
      <c r="D83" s="988"/>
      <c r="E83" s="988"/>
      <c r="F83" s="991" t="s">
        <v>176</v>
      </c>
      <c r="G83" s="4559" t="s">
        <v>916</v>
      </c>
      <c r="H83" s="4560"/>
      <c r="I83" s="4534"/>
      <c r="J83" s="990" t="s">
        <v>915</v>
      </c>
      <c r="K83" s="32"/>
      <c r="L83" s="32"/>
      <c r="M83" s="32"/>
      <c r="N83" s="32"/>
      <c r="O83" s="46"/>
    </row>
    <row r="84" spans="3:15" ht="13.7" customHeight="1">
      <c r="C84" s="989"/>
      <c r="D84" s="988" t="s">
        <v>914</v>
      </c>
      <c r="E84" s="987"/>
      <c r="F84" s="985" t="s">
        <v>172</v>
      </c>
      <c r="G84" s="986" t="s">
        <v>113</v>
      </c>
      <c r="H84" s="984" t="s">
        <v>172</v>
      </c>
      <c r="I84" s="985" t="s">
        <v>228</v>
      </c>
      <c r="J84" s="984" t="s">
        <v>612</v>
      </c>
      <c r="K84" s="32"/>
      <c r="L84" s="32"/>
      <c r="M84" s="32"/>
      <c r="N84" s="32"/>
      <c r="O84" s="46"/>
    </row>
    <row r="85" spans="3:15" ht="13.7" customHeight="1">
      <c r="C85" s="983" t="s">
        <v>913</v>
      </c>
      <c r="D85" s="4513" t="s">
        <v>912</v>
      </c>
      <c r="E85" s="4514"/>
      <c r="F85" s="982">
        <v>75</v>
      </c>
      <c r="G85" s="981">
        <v>15</v>
      </c>
      <c r="H85" s="980">
        <f>F85*G85%</f>
        <v>11.25</v>
      </c>
      <c r="I85" s="979">
        <v>17</v>
      </c>
      <c r="J85" s="964">
        <f>H85*I85</f>
        <v>191.25</v>
      </c>
      <c r="K85" s="32"/>
      <c r="L85" s="32"/>
      <c r="M85" s="32"/>
      <c r="N85" s="32"/>
      <c r="O85" s="46"/>
    </row>
    <row r="86" spans="3:15" ht="13.7" customHeight="1">
      <c r="C86" s="983" t="s">
        <v>911</v>
      </c>
      <c r="D86" s="4519" t="s">
        <v>86</v>
      </c>
      <c r="E86" s="4520"/>
      <c r="F86" s="982">
        <v>70</v>
      </c>
      <c r="G86" s="981">
        <v>10</v>
      </c>
      <c r="H86" s="980">
        <f>F86*G86%</f>
        <v>7</v>
      </c>
      <c r="I86" s="979">
        <v>13.9</v>
      </c>
      <c r="J86" s="964">
        <f>H86*I86</f>
        <v>97.3</v>
      </c>
      <c r="K86" s="32"/>
      <c r="L86" s="32"/>
      <c r="M86" s="32"/>
      <c r="N86" s="32"/>
      <c r="O86" s="46"/>
    </row>
    <row r="87" spans="3:15" ht="13.7" customHeight="1">
      <c r="C87" s="978" t="s">
        <v>910</v>
      </c>
      <c r="D87" s="4521"/>
      <c r="E87" s="4522"/>
      <c r="F87" s="977"/>
      <c r="G87" s="976"/>
      <c r="H87" s="975">
        <f>F87*G87%</f>
        <v>0</v>
      </c>
      <c r="I87" s="967"/>
      <c r="J87" s="966">
        <f>H87*I87</f>
        <v>0</v>
      </c>
      <c r="K87" s="32"/>
      <c r="L87" s="32"/>
      <c r="M87" s="32"/>
      <c r="N87" s="32"/>
      <c r="O87" s="46"/>
    </row>
    <row r="88" spans="3:15" ht="13.7" customHeight="1">
      <c r="C88" s="962"/>
      <c r="D88" s="961"/>
      <c r="E88" s="330"/>
      <c r="F88" s="961"/>
      <c r="G88" s="965"/>
      <c r="H88" s="961"/>
      <c r="I88" s="960"/>
      <c r="J88" s="964"/>
      <c r="K88" s="32"/>
      <c r="L88" s="32"/>
      <c r="M88" s="32"/>
      <c r="N88" s="32"/>
      <c r="O88" s="46"/>
    </row>
    <row r="89" spans="3:15" ht="13.7" customHeight="1">
      <c r="C89" s="962"/>
      <c r="D89" s="961"/>
      <c r="E89" s="330"/>
      <c r="F89" s="961"/>
      <c r="G89" s="962"/>
      <c r="H89" s="974" t="s">
        <v>909</v>
      </c>
      <c r="I89" s="973" t="s">
        <v>908</v>
      </c>
      <c r="J89" s="972" t="s">
        <v>612</v>
      </c>
      <c r="K89" s="32"/>
      <c r="L89" s="32"/>
      <c r="M89" s="32"/>
      <c r="N89" s="32"/>
      <c r="O89" s="46"/>
    </row>
    <row r="90" spans="3:15" ht="13.7" customHeight="1">
      <c r="C90" s="971" t="s">
        <v>907</v>
      </c>
      <c r="D90" s="970"/>
      <c r="E90" s="970"/>
      <c r="F90" s="970"/>
      <c r="G90" s="969" t="s">
        <v>906</v>
      </c>
      <c r="H90" s="968">
        <v>25</v>
      </c>
      <c r="I90" s="967">
        <v>1</v>
      </c>
      <c r="J90" s="966">
        <f>H90*I90</f>
        <v>25</v>
      </c>
      <c r="K90" s="32"/>
      <c r="L90" s="32"/>
      <c r="M90" s="32"/>
      <c r="N90" s="32"/>
      <c r="O90" s="46"/>
    </row>
    <row r="91" spans="3:15" ht="13.7" customHeight="1">
      <c r="C91" s="962"/>
      <c r="D91" s="961"/>
      <c r="E91" s="961"/>
      <c r="F91" s="961"/>
      <c r="G91" s="965"/>
      <c r="H91" s="961"/>
      <c r="I91" s="960"/>
      <c r="J91" s="964"/>
      <c r="K91" s="32"/>
      <c r="L91" s="32"/>
      <c r="M91" s="32"/>
      <c r="N91" s="32"/>
      <c r="O91" s="46"/>
    </row>
    <row r="92" spans="3:15" ht="13.7" customHeight="1">
      <c r="C92" s="963" t="s">
        <v>905</v>
      </c>
      <c r="D92" s="961"/>
      <c r="E92" s="961"/>
      <c r="F92" s="961"/>
      <c r="G92" s="962" t="s">
        <v>904</v>
      </c>
      <c r="H92" s="961"/>
      <c r="I92" s="960"/>
      <c r="J92" s="959"/>
      <c r="K92" s="32"/>
      <c r="L92" s="32"/>
      <c r="M92" s="32"/>
      <c r="N92" s="32"/>
      <c r="O92" s="46"/>
    </row>
    <row r="93" spans="3:15" ht="13.7" customHeight="1">
      <c r="C93" s="962"/>
      <c r="D93" s="961"/>
      <c r="E93" s="961"/>
      <c r="F93" s="961"/>
      <c r="G93" s="962"/>
      <c r="H93" s="961"/>
      <c r="I93" s="960"/>
      <c r="J93" s="964"/>
      <c r="K93" s="32"/>
      <c r="L93" s="32"/>
      <c r="M93" s="32"/>
      <c r="N93" s="32"/>
      <c r="O93" s="46"/>
    </row>
    <row r="94" spans="3:15" ht="13.7" customHeight="1">
      <c r="C94" s="963" t="s">
        <v>903</v>
      </c>
      <c r="D94" s="961"/>
      <c r="E94" s="961"/>
      <c r="F94" s="961"/>
      <c r="G94" s="962" t="s">
        <v>902</v>
      </c>
      <c r="H94" s="961"/>
      <c r="I94" s="960"/>
      <c r="J94" s="959"/>
      <c r="K94" s="32"/>
      <c r="L94" s="32"/>
      <c r="M94" s="32"/>
      <c r="N94" s="32"/>
      <c r="O94" s="46"/>
    </row>
    <row r="95" spans="3:15" ht="13.7" customHeight="1">
      <c r="C95" s="958" t="s">
        <v>901</v>
      </c>
      <c r="D95" s="957"/>
      <c r="E95" s="957"/>
      <c r="F95" s="957"/>
      <c r="G95" s="957"/>
      <c r="H95" s="957"/>
      <c r="I95" s="957"/>
      <c r="J95" s="956">
        <f>SUM(J85:J94)</f>
        <v>313.55</v>
      </c>
      <c r="K95" s="319"/>
      <c r="L95" s="319"/>
      <c r="M95" s="319"/>
      <c r="N95" s="319"/>
      <c r="O95" s="709"/>
    </row>
    <row r="96" spans="3:15" ht="13.7" customHeight="1">
      <c r="C96" s="955"/>
      <c r="D96" s="955"/>
      <c r="E96" s="955"/>
      <c r="F96" s="955"/>
      <c r="G96" s="955"/>
      <c r="H96" s="955"/>
      <c r="I96" s="955"/>
      <c r="J96" s="954"/>
    </row>
    <row r="97" spans="2:15" ht="13.7" customHeight="1">
      <c r="C97" s="722" t="s">
        <v>900</v>
      </c>
      <c r="D97" s="953"/>
      <c r="E97" s="953"/>
      <c r="F97" s="953"/>
      <c r="G97" s="953"/>
      <c r="H97" s="953"/>
      <c r="I97" s="953"/>
      <c r="J97" s="953"/>
      <c r="K97" s="272"/>
      <c r="L97" s="272"/>
      <c r="M97" s="272"/>
      <c r="N97" s="272"/>
      <c r="O97" s="721"/>
    </row>
    <row r="98" spans="2:15" ht="13.7" customHeight="1">
      <c r="C98" s="952" t="s">
        <v>2093</v>
      </c>
      <c r="D98" s="838"/>
      <c r="E98" s="731"/>
      <c r="F98" s="731"/>
      <c r="G98" s="731"/>
      <c r="H98" s="731"/>
      <c r="I98" s="731"/>
      <c r="J98" s="731"/>
      <c r="K98" s="32"/>
      <c r="L98" s="32"/>
      <c r="M98" s="32"/>
      <c r="N98" s="32"/>
      <c r="O98" s="46"/>
    </row>
    <row r="99" spans="2:15" ht="13.7" customHeight="1">
      <c r="B99" s="936">
        <f>ROWS($B$99:$B99)</f>
        <v>1</v>
      </c>
      <c r="C99" s="951" t="s">
        <v>898</v>
      </c>
      <c r="D99" s="948"/>
      <c r="E99" s="4547"/>
      <c r="F99" s="4548"/>
      <c r="G99" s="4547" t="s">
        <v>897</v>
      </c>
      <c r="H99" s="4549"/>
      <c r="I99" s="950"/>
      <c r="J99" s="949" t="s">
        <v>898</v>
      </c>
      <c r="K99" s="948"/>
      <c r="L99" s="4547"/>
      <c r="M99" s="4548"/>
      <c r="N99" s="4549" t="s">
        <v>897</v>
      </c>
      <c r="O99" s="4548"/>
    </row>
    <row r="100" spans="2:15" ht="13.7" customHeight="1">
      <c r="B100" s="936">
        <f>ROWS($B$99:$B100)</f>
        <v>2</v>
      </c>
      <c r="C100" s="947"/>
      <c r="D100" s="944"/>
      <c r="E100" s="4550" t="s">
        <v>896</v>
      </c>
      <c r="F100" s="4551"/>
      <c r="G100" s="4551"/>
      <c r="H100" s="4551"/>
      <c r="I100" s="946"/>
      <c r="J100" s="945"/>
      <c r="K100" s="944"/>
      <c r="L100" s="4550" t="s">
        <v>896</v>
      </c>
      <c r="M100" s="4551"/>
      <c r="N100" s="4551"/>
      <c r="O100" s="4552"/>
    </row>
    <row r="101" spans="2:15" s="3982" customFormat="1" ht="13.7" customHeight="1">
      <c r="B101" s="936"/>
      <c r="C101" s="3983"/>
      <c r="D101" s="3984"/>
      <c r="E101" s="3990">
        <v>2019</v>
      </c>
      <c r="F101" s="3990">
        <v>2021</v>
      </c>
      <c r="G101" s="3990">
        <v>2022</v>
      </c>
      <c r="H101" s="3986"/>
      <c r="I101" s="946"/>
      <c r="J101" s="3985"/>
      <c r="K101" s="3984"/>
      <c r="L101" s="3990">
        <v>2019</v>
      </c>
      <c r="M101" s="3990">
        <v>2021</v>
      </c>
      <c r="N101" s="3990">
        <v>2022</v>
      </c>
      <c r="O101" s="3986"/>
    </row>
    <row r="102" spans="2:15" ht="13.7" customHeight="1">
      <c r="B102" s="936">
        <f>ROWS($B$99:$B102)</f>
        <v>4</v>
      </c>
      <c r="C102" s="943" t="s">
        <v>895</v>
      </c>
      <c r="D102" s="942"/>
      <c r="E102" s="3987">
        <v>17</v>
      </c>
      <c r="F102" s="3987">
        <v>16.5</v>
      </c>
      <c r="G102" s="3987">
        <v>16</v>
      </c>
      <c r="H102" s="3987"/>
      <c r="I102" s="941">
        <f>ROWS($B$99:$B102)</f>
        <v>4</v>
      </c>
      <c r="J102" s="330" t="s">
        <v>894</v>
      </c>
      <c r="K102" s="46"/>
      <c r="L102" s="3988">
        <v>34</v>
      </c>
      <c r="M102" s="3988">
        <v>33</v>
      </c>
      <c r="N102" s="3988">
        <v>32</v>
      </c>
      <c r="O102" s="3988"/>
    </row>
    <row r="103" spans="2:15" ht="13.7" customHeight="1">
      <c r="B103" s="936">
        <f>ROWS($B$99:$B103)</f>
        <v>5</v>
      </c>
      <c r="C103" s="943" t="s">
        <v>893</v>
      </c>
      <c r="D103" s="942"/>
      <c r="E103" s="3987">
        <v>18</v>
      </c>
      <c r="F103" s="3987">
        <v>17</v>
      </c>
      <c r="G103" s="3987">
        <v>16</v>
      </c>
      <c r="H103" s="3987"/>
      <c r="I103" s="941">
        <f>ROWS($B$99:$B103)</f>
        <v>5</v>
      </c>
      <c r="J103" s="330" t="s">
        <v>892</v>
      </c>
      <c r="K103" s="46"/>
      <c r="L103" s="3988">
        <v>12.6</v>
      </c>
      <c r="M103" s="3988">
        <v>13</v>
      </c>
      <c r="N103" s="3988">
        <v>14</v>
      </c>
      <c r="O103" s="3988"/>
    </row>
    <row r="104" spans="2:15" ht="13.7" customHeight="1">
      <c r="B104" s="936">
        <f>ROWS($B$99:$B104)</f>
        <v>6</v>
      </c>
      <c r="C104" s="943" t="s">
        <v>891</v>
      </c>
      <c r="D104" s="942"/>
      <c r="E104" s="3987">
        <v>17</v>
      </c>
      <c r="F104" s="3987">
        <v>16</v>
      </c>
      <c r="G104" s="3987">
        <v>15</v>
      </c>
      <c r="H104" s="3987"/>
      <c r="I104" s="941">
        <f>ROWS($B$99:$B104)</f>
        <v>6</v>
      </c>
      <c r="J104" s="330" t="s">
        <v>890</v>
      </c>
      <c r="K104" s="46"/>
      <c r="L104" s="3988">
        <v>12.6</v>
      </c>
      <c r="M104" s="3988">
        <v>13</v>
      </c>
      <c r="N104" s="3988">
        <v>14</v>
      </c>
      <c r="O104" s="3988"/>
    </row>
    <row r="105" spans="2:15" ht="13.7" customHeight="1">
      <c r="B105" s="936">
        <f>ROWS($B$99:$B105)</f>
        <v>7</v>
      </c>
      <c r="C105" s="943" t="s">
        <v>889</v>
      </c>
      <c r="D105" s="942"/>
      <c r="E105" s="3987">
        <v>17</v>
      </c>
      <c r="F105" s="3987">
        <v>16</v>
      </c>
      <c r="G105" s="3987">
        <v>15</v>
      </c>
      <c r="H105" s="3987"/>
      <c r="I105" s="941">
        <f>ROWS($B$99:$B105)</f>
        <v>7</v>
      </c>
      <c r="J105" s="330" t="s">
        <v>888</v>
      </c>
      <c r="K105" s="46"/>
      <c r="L105" s="3988">
        <v>12.6</v>
      </c>
      <c r="M105" s="3988">
        <v>13</v>
      </c>
      <c r="N105" s="3988">
        <v>14</v>
      </c>
      <c r="O105" s="3988"/>
    </row>
    <row r="106" spans="2:15" ht="13.7" customHeight="1">
      <c r="B106" s="936">
        <f>ROWS($B$99:$B106)</f>
        <v>8</v>
      </c>
      <c r="C106" s="496" t="s">
        <v>887</v>
      </c>
      <c r="D106" s="46"/>
      <c r="E106" s="3988">
        <v>48</v>
      </c>
      <c r="F106" s="3988">
        <v>45.5</v>
      </c>
      <c r="G106" s="3988">
        <v>43</v>
      </c>
      <c r="H106" s="3988"/>
      <c r="I106" s="941">
        <f>ROWS($B$99:$B106)</f>
        <v>8</v>
      </c>
      <c r="J106" s="330" t="s">
        <v>886</v>
      </c>
      <c r="K106" s="46"/>
      <c r="L106" s="3988">
        <v>12.6</v>
      </c>
      <c r="M106" s="3988">
        <v>14.5</v>
      </c>
      <c r="N106" s="3988">
        <v>17</v>
      </c>
      <c r="O106" s="3988"/>
    </row>
    <row r="107" spans="2:15" ht="13.7" customHeight="1">
      <c r="B107" s="936">
        <f>ROWS($B$99:$B107)</f>
        <v>9</v>
      </c>
      <c r="C107" s="496" t="s">
        <v>885</v>
      </c>
      <c r="D107" s="46"/>
      <c r="E107" s="3988">
        <v>48</v>
      </c>
      <c r="F107" s="3988">
        <v>45</v>
      </c>
      <c r="G107" s="3988">
        <v>42</v>
      </c>
      <c r="H107" s="3988"/>
      <c r="I107" s="941">
        <f>ROWS($B$99:$B107)</f>
        <v>9</v>
      </c>
      <c r="J107" s="330" t="s">
        <v>884</v>
      </c>
      <c r="K107" s="46"/>
      <c r="L107" s="3988">
        <v>12.6</v>
      </c>
      <c r="M107" s="3988">
        <v>12.6</v>
      </c>
      <c r="N107" s="3988">
        <v>12.6</v>
      </c>
      <c r="O107" s="3988"/>
    </row>
    <row r="108" spans="2:15" ht="13.7" customHeight="1">
      <c r="B108" s="936">
        <f>ROWS($B$99:$B108)</f>
        <v>10</v>
      </c>
      <c r="C108" s="496" t="s">
        <v>883</v>
      </c>
      <c r="D108" s="46"/>
      <c r="E108" s="3988">
        <v>48</v>
      </c>
      <c r="F108" s="3988">
        <v>45</v>
      </c>
      <c r="G108" s="3988">
        <v>42</v>
      </c>
      <c r="H108" s="3988"/>
      <c r="I108" s="941">
        <f>ROWS($B$99:$B108)</f>
        <v>10</v>
      </c>
      <c r="J108" s="330" t="s">
        <v>882</v>
      </c>
      <c r="K108" s="46"/>
      <c r="L108" s="3988">
        <v>38</v>
      </c>
      <c r="M108" s="3988">
        <v>35</v>
      </c>
      <c r="N108" s="3988">
        <v>32</v>
      </c>
      <c r="O108" s="3988"/>
    </row>
    <row r="109" spans="2:15" ht="13.7" customHeight="1">
      <c r="B109" s="936">
        <f>ROWS($B$99:$B109)</f>
        <v>11</v>
      </c>
      <c r="C109" s="496" t="s">
        <v>881</v>
      </c>
      <c r="D109" s="46"/>
      <c r="E109" s="3988">
        <v>39</v>
      </c>
      <c r="F109" s="3988">
        <v>34.5</v>
      </c>
      <c r="G109" s="3988">
        <v>30</v>
      </c>
      <c r="H109" s="3988"/>
      <c r="I109" s="941">
        <f>ROWS($B$99:$B109)</f>
        <v>11</v>
      </c>
      <c r="J109" s="330" t="s">
        <v>880</v>
      </c>
      <c r="K109" s="46"/>
      <c r="L109" s="3988">
        <v>10</v>
      </c>
      <c r="M109" s="3988">
        <v>10</v>
      </c>
      <c r="N109" s="3988">
        <v>10</v>
      </c>
      <c r="O109" s="3988"/>
    </row>
    <row r="110" spans="2:15" ht="13.7" customHeight="1">
      <c r="B110" s="936">
        <f>ROWS($B$99:$B110)</f>
        <v>12</v>
      </c>
      <c r="C110" s="496" t="s">
        <v>879</v>
      </c>
      <c r="D110" s="46"/>
      <c r="E110" s="3988">
        <v>39</v>
      </c>
      <c r="F110" s="3988">
        <v>36</v>
      </c>
      <c r="G110" s="3988">
        <v>32</v>
      </c>
      <c r="H110" s="3988"/>
      <c r="I110" s="941">
        <f>ROWS($B$99:$B110)</f>
        <v>12</v>
      </c>
      <c r="J110" s="330" t="s">
        <v>878</v>
      </c>
      <c r="K110" s="46"/>
      <c r="L110" s="3988">
        <v>35</v>
      </c>
      <c r="M110" s="3988">
        <v>33.5</v>
      </c>
      <c r="N110" s="3988">
        <v>32</v>
      </c>
      <c r="O110" s="3988"/>
    </row>
    <row r="111" spans="2:15" ht="13.7" customHeight="1">
      <c r="B111" s="936">
        <f>ROWS($B$99:$B111)</f>
        <v>13</v>
      </c>
      <c r="C111" s="496" t="s">
        <v>877</v>
      </c>
      <c r="D111" s="46"/>
      <c r="E111" s="3988">
        <v>39</v>
      </c>
      <c r="F111" s="3988">
        <v>35</v>
      </c>
      <c r="G111" s="3988">
        <v>31</v>
      </c>
      <c r="H111" s="3988"/>
      <c r="I111" s="941">
        <f>ROWS($B$99:$B111)</f>
        <v>13</v>
      </c>
      <c r="J111" s="330" t="s">
        <v>876</v>
      </c>
      <c r="K111" s="46"/>
      <c r="L111" s="3988">
        <v>18</v>
      </c>
      <c r="M111" s="3988">
        <v>18</v>
      </c>
      <c r="N111" s="3988">
        <v>18</v>
      </c>
      <c r="O111" s="3988"/>
    </row>
    <row r="112" spans="2:15" ht="13.7" customHeight="1">
      <c r="B112" s="936">
        <f>ROWS($B$99:$B112)</f>
        <v>14</v>
      </c>
      <c r="C112" s="496" t="s">
        <v>875</v>
      </c>
      <c r="D112" s="46"/>
      <c r="E112" s="3988">
        <v>25</v>
      </c>
      <c r="F112" s="3988">
        <v>25</v>
      </c>
      <c r="G112" s="3988">
        <v>25</v>
      </c>
      <c r="H112" s="3988"/>
      <c r="I112" s="941">
        <f>ROWS($B$99:$B112)</f>
        <v>14</v>
      </c>
      <c r="J112" s="330" t="s">
        <v>874</v>
      </c>
      <c r="K112" s="46"/>
      <c r="L112" s="3988">
        <v>18</v>
      </c>
      <c r="M112" s="3988">
        <v>18</v>
      </c>
      <c r="N112" s="3988">
        <v>18</v>
      </c>
      <c r="O112" s="3988"/>
    </row>
    <row r="113" spans="2:21" ht="13.7" customHeight="1">
      <c r="B113" s="936">
        <f>ROWS($B$99:$B113)</f>
        <v>15</v>
      </c>
      <c r="C113" s="496" t="s">
        <v>873</v>
      </c>
      <c r="D113" s="46"/>
      <c r="E113" s="3988">
        <v>18.5</v>
      </c>
      <c r="F113" s="3988">
        <v>16.5</v>
      </c>
      <c r="G113" s="3988">
        <v>15</v>
      </c>
      <c r="H113" s="3988"/>
      <c r="I113" s="941">
        <f>ROWS($B$99:$B113)</f>
        <v>15</v>
      </c>
      <c r="J113" s="3995" t="s">
        <v>2090</v>
      </c>
      <c r="K113" s="3996"/>
      <c r="L113" s="3997"/>
      <c r="M113" s="3997"/>
      <c r="N113" s="3997">
        <v>11</v>
      </c>
      <c r="O113" s="3997"/>
    </row>
    <row r="114" spans="2:21" ht="13.7" customHeight="1">
      <c r="B114" s="936">
        <f>ROWS($B$99:$B114)</f>
        <v>16</v>
      </c>
      <c r="C114" s="457" t="s">
        <v>871</v>
      </c>
      <c r="D114" s="709"/>
      <c r="E114" s="3988">
        <v>12</v>
      </c>
      <c r="F114" s="3988">
        <v>12</v>
      </c>
      <c r="G114" s="3988">
        <v>12</v>
      </c>
      <c r="H114" s="3988"/>
      <c r="I114" s="939">
        <f>ROWS($B$99:$B117)</f>
        <v>19</v>
      </c>
      <c r="J114" s="938" t="s">
        <v>159</v>
      </c>
      <c r="K114" s="937"/>
      <c r="L114" s="3989"/>
      <c r="M114" s="3989"/>
      <c r="N114" s="3989"/>
      <c r="O114" s="3989"/>
    </row>
    <row r="115" spans="2:21" ht="13.7" customHeight="1">
      <c r="C115" s="290"/>
      <c r="D115" s="319"/>
      <c r="E115" s="319"/>
      <c r="F115" s="319"/>
      <c r="G115" s="319"/>
      <c r="H115" s="319"/>
      <c r="I115" s="319"/>
      <c r="J115" s="492" t="s">
        <v>870</v>
      </c>
      <c r="K115" s="319"/>
      <c r="L115" s="319"/>
      <c r="M115" s="319"/>
      <c r="N115" s="319"/>
      <c r="O115" s="709"/>
    </row>
    <row r="116" spans="2:21" ht="13.7" customHeight="1">
      <c r="B116" s="936"/>
      <c r="C116" s="32"/>
      <c r="D116" s="32"/>
      <c r="E116" s="32"/>
      <c r="F116" s="32"/>
      <c r="G116" s="32"/>
      <c r="H116" s="32"/>
      <c r="I116" s="32"/>
      <c r="J116" s="330"/>
      <c r="K116" s="32"/>
      <c r="L116" s="32"/>
      <c r="M116" s="32"/>
      <c r="N116" s="32"/>
      <c r="O116" s="32"/>
    </row>
    <row r="117" spans="2:21" ht="13.7" hidden="1" customHeight="1">
      <c r="B117" s="936">
        <f>ROWS($B$99:$B117)</f>
        <v>19</v>
      </c>
      <c r="C117" s="935" t="s">
        <v>869</v>
      </c>
      <c r="D117" s="272"/>
      <c r="E117" s="272"/>
      <c r="F117" s="272"/>
      <c r="G117" s="272"/>
      <c r="H117" s="272"/>
      <c r="I117" s="272"/>
      <c r="J117" s="272"/>
      <c r="K117" s="272"/>
      <c r="L117" s="272"/>
      <c r="M117" s="272"/>
      <c r="N117" s="272"/>
      <c r="O117" s="721"/>
    </row>
    <row r="118" spans="2:21" ht="13.7" hidden="1" customHeight="1">
      <c r="C118" s="387" t="s">
        <v>868</v>
      </c>
      <c r="D118" s="32"/>
      <c r="E118" s="32"/>
      <c r="F118" s="32"/>
      <c r="G118" s="32"/>
      <c r="H118" s="32"/>
      <c r="I118" s="32"/>
      <c r="J118" s="32"/>
      <c r="K118" s="32"/>
      <c r="L118" s="32"/>
      <c r="M118" s="32"/>
      <c r="N118" s="32"/>
      <c r="O118" s="46"/>
      <c r="P118" s="35" t="s">
        <v>867</v>
      </c>
    </row>
    <row r="119" spans="2:21" ht="13.7" hidden="1" customHeight="1">
      <c r="C119" s="934" t="s">
        <v>866</v>
      </c>
      <c r="D119" s="880"/>
      <c r="E119" s="903" t="s">
        <v>114</v>
      </c>
      <c r="F119" s="845">
        <v>20</v>
      </c>
      <c r="G119" s="845">
        <v>30</v>
      </c>
      <c r="H119" s="4538">
        <v>50</v>
      </c>
      <c r="I119" s="4539"/>
      <c r="J119" s="934">
        <v>100</v>
      </c>
      <c r="K119" s="878"/>
      <c r="L119" s="32"/>
      <c r="M119" s="32"/>
      <c r="N119" s="32"/>
      <c r="O119" s="46"/>
      <c r="P119" s="15" t="s">
        <v>761</v>
      </c>
      <c r="U119" s="931"/>
    </row>
    <row r="120" spans="2:21" ht="13.7" hidden="1" customHeight="1">
      <c r="C120" s="457" t="s">
        <v>865</v>
      </c>
      <c r="D120" s="933"/>
      <c r="E120" s="826" t="s">
        <v>864</v>
      </c>
      <c r="F120" s="932">
        <v>120</v>
      </c>
      <c r="G120" s="932">
        <v>180</v>
      </c>
      <c r="H120" s="4540">
        <v>300</v>
      </c>
      <c r="I120" s="4541"/>
      <c r="J120" s="457">
        <v>600</v>
      </c>
      <c r="K120" s="871"/>
      <c r="L120" s="32"/>
      <c r="M120" s="32"/>
      <c r="N120" s="32"/>
      <c r="O120" s="46"/>
      <c r="P120" s="15" t="s">
        <v>760</v>
      </c>
      <c r="U120" s="931"/>
    </row>
    <row r="121" spans="2:21" ht="13.7" hidden="1" customHeight="1">
      <c r="C121" s="250"/>
      <c r="D121" s="32"/>
      <c r="E121" s="32"/>
      <c r="F121" s="32"/>
      <c r="G121" s="32"/>
      <c r="H121" s="224"/>
      <c r="I121" s="224"/>
      <c r="J121" s="224"/>
      <c r="K121" s="224"/>
      <c r="L121" s="32"/>
      <c r="M121" s="32"/>
      <c r="N121" s="32"/>
      <c r="O121" s="46"/>
      <c r="U121" s="931"/>
    </row>
    <row r="122" spans="2:21" ht="13.7" hidden="1" customHeight="1">
      <c r="C122" s="760"/>
      <c r="D122" s="846"/>
      <c r="E122" s="930"/>
      <c r="F122" s="846"/>
      <c r="G122" s="846"/>
      <c r="H122" s="881"/>
      <c r="I122" s="881"/>
      <c r="J122" s="881"/>
      <c r="K122" s="880"/>
      <c r="L122" s="32"/>
      <c r="M122" s="32"/>
      <c r="N122" s="32"/>
      <c r="O122" s="46"/>
      <c r="P122" s="15" t="s">
        <v>756</v>
      </c>
    </row>
    <row r="123" spans="2:21" ht="13.7" hidden="1" customHeight="1">
      <c r="C123" s="496" t="s">
        <v>863</v>
      </c>
      <c r="D123" s="929">
        <v>0.75</v>
      </c>
      <c r="E123" s="458" t="s">
        <v>862</v>
      </c>
      <c r="F123" s="913">
        <f>F120/$D$123</f>
        <v>160</v>
      </c>
      <c r="G123" s="913">
        <f>G120/$D$123</f>
        <v>240</v>
      </c>
      <c r="H123" s="928">
        <f>H120/$D$123</f>
        <v>400</v>
      </c>
      <c r="I123" s="927"/>
      <c r="J123" s="926">
        <f>J120/$D$123</f>
        <v>800</v>
      </c>
      <c r="K123" s="925"/>
      <c r="L123" s="32"/>
      <c r="M123" s="32"/>
      <c r="N123" s="32"/>
      <c r="O123" s="46"/>
      <c r="Q123" s="31">
        <v>2011</v>
      </c>
      <c r="R123" s="31">
        <v>2012</v>
      </c>
      <c r="S123" s="31">
        <v>2013</v>
      </c>
      <c r="T123" s="31">
        <v>2014</v>
      </c>
    </row>
    <row r="124" spans="2:21" ht="13.7" hidden="1" customHeight="1">
      <c r="C124" s="496" t="s">
        <v>861</v>
      </c>
      <c r="D124" s="877"/>
      <c r="E124" s="458" t="s">
        <v>612</v>
      </c>
      <c r="F124" s="924">
        <v>180</v>
      </c>
      <c r="G124" s="924">
        <v>170</v>
      </c>
      <c r="H124" s="923">
        <v>130</v>
      </c>
      <c r="I124" s="922"/>
      <c r="J124" s="921">
        <v>110</v>
      </c>
      <c r="K124" s="920"/>
      <c r="L124" s="32"/>
      <c r="M124" s="32"/>
      <c r="N124" s="32"/>
      <c r="O124" s="46"/>
    </row>
    <row r="125" spans="2:21" ht="13.7" hidden="1" customHeight="1">
      <c r="C125" s="791" t="s">
        <v>860</v>
      </c>
      <c r="D125" s="498"/>
      <c r="E125" s="858" t="s">
        <v>612</v>
      </c>
      <c r="F125" s="919">
        <f>F123*F124</f>
        <v>28800</v>
      </c>
      <c r="G125" s="919">
        <f>G123*G124</f>
        <v>40800</v>
      </c>
      <c r="H125" s="918">
        <f>H123*H124</f>
        <v>52000</v>
      </c>
      <c r="I125" s="917"/>
      <c r="J125" s="916">
        <f>J123*J124</f>
        <v>88000</v>
      </c>
      <c r="K125" s="915"/>
      <c r="L125" s="32"/>
      <c r="M125" s="32"/>
      <c r="N125" s="32"/>
      <c r="O125" s="46"/>
      <c r="Q125" s="31">
        <v>103.2</v>
      </c>
      <c r="R125" s="31">
        <v>105.8</v>
      </c>
      <c r="S125" s="31">
        <v>107.5</v>
      </c>
      <c r="T125" s="31">
        <v>109.5</v>
      </c>
    </row>
    <row r="126" spans="2:21" ht="13.7" hidden="1" customHeight="1">
      <c r="C126" s="496" t="s">
        <v>859</v>
      </c>
      <c r="D126" s="914">
        <v>0.04</v>
      </c>
      <c r="E126" s="458" t="s">
        <v>612</v>
      </c>
      <c r="F126" s="913">
        <f>F125*$D$126</f>
        <v>1152</v>
      </c>
      <c r="G126" s="913">
        <f>G125*$D$126</f>
        <v>1632</v>
      </c>
      <c r="H126" s="912">
        <f>H125*$D$126</f>
        <v>2080</v>
      </c>
      <c r="I126" s="911"/>
      <c r="J126" s="796">
        <f>J125*$D$126</f>
        <v>3520</v>
      </c>
      <c r="K126" s="910"/>
      <c r="L126" s="32"/>
      <c r="M126" s="32"/>
      <c r="N126" s="32"/>
      <c r="O126" s="46"/>
    </row>
    <row r="127" spans="2:21" ht="13.7" hidden="1" customHeight="1">
      <c r="C127" s="457" t="s">
        <v>858</v>
      </c>
      <c r="D127" s="909">
        <f>'SDK1'!O61/100</f>
        <v>2.5000000000000001E-2</v>
      </c>
      <c r="E127" s="826" t="s">
        <v>612</v>
      </c>
      <c r="F127" s="908">
        <f>F125*$D$127</f>
        <v>720</v>
      </c>
      <c r="G127" s="908">
        <f>G125*$D$127</f>
        <v>1020</v>
      </c>
      <c r="H127" s="907">
        <f>H125*$D$127</f>
        <v>1300</v>
      </c>
      <c r="I127" s="906"/>
      <c r="J127" s="793">
        <f>J125*$D$127</f>
        <v>2200</v>
      </c>
      <c r="K127" s="905"/>
      <c r="L127" s="32"/>
      <c r="M127" s="32"/>
      <c r="N127" s="32"/>
      <c r="O127" s="46"/>
      <c r="P127" s="31" t="s">
        <v>756</v>
      </c>
    </row>
    <row r="128" spans="2:21" ht="13.7" hidden="1" customHeight="1">
      <c r="C128" s="715" t="s">
        <v>857</v>
      </c>
      <c r="D128" s="904"/>
      <c r="E128" s="903" t="s">
        <v>612</v>
      </c>
      <c r="F128" s="902">
        <f>SUM(F126:F127)</f>
        <v>1872</v>
      </c>
      <c r="G128" s="902">
        <f>SUM(G126:G127)</f>
        <v>2652</v>
      </c>
      <c r="H128" s="901">
        <f>SUM(H126:H127)</f>
        <v>3380</v>
      </c>
      <c r="I128" s="900"/>
      <c r="J128" s="758">
        <f>SUM(J126:J127)</f>
        <v>5720</v>
      </c>
      <c r="K128" s="899"/>
      <c r="L128" s="32"/>
      <c r="M128" s="32"/>
      <c r="N128" s="32"/>
      <c r="O128" s="46"/>
      <c r="P128" s="31" t="s">
        <v>755</v>
      </c>
    </row>
    <row r="129" spans="3:16" ht="13.7" hidden="1" customHeight="1">
      <c r="C129" s="898"/>
      <c r="D129" s="871"/>
      <c r="E129" s="826" t="s">
        <v>811</v>
      </c>
      <c r="F129" s="897">
        <f>F128/F120</f>
        <v>15.6</v>
      </c>
      <c r="G129" s="897">
        <f>G128/G120</f>
        <v>14.733333333333333</v>
      </c>
      <c r="H129" s="896">
        <f>H128/H120</f>
        <v>11.266666666666667</v>
      </c>
      <c r="I129" s="895"/>
      <c r="J129" s="894">
        <f>J128/J120</f>
        <v>9.5333333333333332</v>
      </c>
      <c r="K129" s="893"/>
      <c r="L129" s="32"/>
      <c r="M129" s="32"/>
      <c r="N129" s="32"/>
      <c r="O129" s="46"/>
      <c r="P129" s="31" t="s">
        <v>856</v>
      </c>
    </row>
    <row r="130" spans="3:16" ht="13.7" hidden="1" customHeight="1">
      <c r="C130" s="250"/>
      <c r="D130" s="32"/>
      <c r="E130" s="32"/>
      <c r="F130" s="32"/>
      <c r="G130" s="32"/>
      <c r="H130" s="32"/>
      <c r="I130" s="32"/>
      <c r="J130" s="32"/>
      <c r="K130" s="32"/>
      <c r="L130" s="32"/>
      <c r="M130" s="32"/>
      <c r="N130" s="32"/>
      <c r="O130" s="46"/>
    </row>
    <row r="131" spans="3:16" ht="13.7" hidden="1" customHeight="1">
      <c r="C131" s="715" t="s">
        <v>815</v>
      </c>
      <c r="D131" s="272"/>
      <c r="E131" s="272"/>
      <c r="F131" s="272"/>
      <c r="G131" s="272"/>
      <c r="H131" s="272"/>
      <c r="I131" s="272"/>
      <c r="J131" s="272"/>
      <c r="K131" s="721"/>
      <c r="L131" s="32"/>
      <c r="M131" s="32"/>
      <c r="N131" s="32"/>
      <c r="O131" s="46"/>
    </row>
    <row r="132" spans="3:16" ht="13.7" hidden="1" customHeight="1">
      <c r="C132" s="892" t="s">
        <v>855</v>
      </c>
      <c r="D132" s="330"/>
      <c r="E132" s="330"/>
      <c r="F132" s="330"/>
      <c r="G132" s="330"/>
      <c r="H132" s="330"/>
      <c r="I132" s="330"/>
      <c r="J132" s="330"/>
      <c r="K132" s="877"/>
      <c r="L132" s="32"/>
      <c r="M132" s="32"/>
      <c r="N132" s="32"/>
      <c r="O132" s="46"/>
    </row>
    <row r="133" spans="3:16" ht="13.7" hidden="1" customHeight="1">
      <c r="C133" s="457"/>
      <c r="D133" s="871"/>
      <c r="E133" s="826" t="s">
        <v>811</v>
      </c>
      <c r="F133" s="891">
        <v>0.15</v>
      </c>
      <c r="G133" s="891">
        <v>0.15</v>
      </c>
      <c r="H133" s="890">
        <v>0.15</v>
      </c>
      <c r="I133" s="889"/>
      <c r="J133" s="888">
        <v>0.15</v>
      </c>
      <c r="K133" s="887"/>
      <c r="L133" s="32"/>
      <c r="M133" s="32"/>
      <c r="N133" s="32"/>
      <c r="O133" s="46"/>
    </row>
    <row r="134" spans="3:16" ht="13.7" hidden="1" customHeight="1">
      <c r="C134" s="760" t="s">
        <v>854</v>
      </c>
      <c r="D134" s="846"/>
      <c r="E134" s="846"/>
      <c r="F134" s="846"/>
      <c r="G134" s="846"/>
      <c r="H134" s="881"/>
      <c r="I134" s="881"/>
      <c r="J134" s="881"/>
      <c r="K134" s="880"/>
      <c r="L134" s="32"/>
      <c r="M134" s="32"/>
      <c r="N134" s="32"/>
      <c r="O134" s="46"/>
    </row>
    <row r="135" spans="3:16" ht="13.7" hidden="1" customHeight="1">
      <c r="C135" s="457" t="s">
        <v>853</v>
      </c>
      <c r="D135" s="871"/>
      <c r="E135" s="826" t="s">
        <v>811</v>
      </c>
      <c r="F135" s="886">
        <v>0.05</v>
      </c>
      <c r="G135" s="886">
        <v>0.05</v>
      </c>
      <c r="H135" s="885">
        <v>0.05</v>
      </c>
      <c r="I135" s="884"/>
      <c r="J135" s="883">
        <v>0.05</v>
      </c>
      <c r="K135" s="882"/>
      <c r="L135" s="32"/>
      <c r="M135" s="32"/>
      <c r="N135" s="32"/>
      <c r="O135" s="46"/>
    </row>
    <row r="136" spans="3:16" ht="13.7" hidden="1" customHeight="1">
      <c r="C136" s="760" t="s">
        <v>852</v>
      </c>
      <c r="D136" s="846"/>
      <c r="E136" s="846"/>
      <c r="F136" s="846"/>
      <c r="G136" s="846"/>
      <c r="H136" s="881"/>
      <c r="I136" s="881"/>
      <c r="J136" s="881"/>
      <c r="K136" s="880"/>
      <c r="L136" s="32"/>
      <c r="M136" s="32"/>
      <c r="N136" s="32"/>
      <c r="O136" s="46"/>
    </row>
    <row r="137" spans="3:16" ht="13.7" hidden="1" customHeight="1">
      <c r="C137" s="457" t="s">
        <v>851</v>
      </c>
      <c r="D137" s="879">
        <v>250</v>
      </c>
      <c r="E137" s="826" t="s">
        <v>811</v>
      </c>
      <c r="F137" s="870">
        <f>$D$137/F120</f>
        <v>2.0833333333333335</v>
      </c>
      <c r="G137" s="870">
        <f>$D$137/G120</f>
        <v>1.3888888888888888</v>
      </c>
      <c r="H137" s="869">
        <f>$D$137/H120</f>
        <v>0.83333333333333337</v>
      </c>
      <c r="I137" s="868"/>
      <c r="J137" s="867">
        <f>$D$137/J120</f>
        <v>0.41666666666666669</v>
      </c>
      <c r="K137" s="866"/>
      <c r="L137" s="32"/>
      <c r="M137" s="32"/>
      <c r="N137" s="32"/>
      <c r="O137" s="46"/>
    </row>
    <row r="138" spans="3:16" ht="13.7" hidden="1" customHeight="1">
      <c r="C138" s="760" t="s">
        <v>850</v>
      </c>
      <c r="D138" s="846"/>
      <c r="E138" s="846"/>
      <c r="F138" s="846"/>
      <c r="G138" s="846"/>
      <c r="H138" s="846"/>
      <c r="I138" s="846"/>
      <c r="J138" s="846"/>
      <c r="K138" s="878"/>
      <c r="L138" s="32"/>
      <c r="M138" s="32"/>
      <c r="N138" s="32"/>
      <c r="O138" s="46"/>
    </row>
    <row r="139" spans="3:16" ht="13.7" hidden="1" customHeight="1">
      <c r="C139" s="496" t="s">
        <v>849</v>
      </c>
      <c r="D139" s="877"/>
      <c r="E139" s="458" t="s">
        <v>848</v>
      </c>
      <c r="F139" s="876">
        <v>500</v>
      </c>
      <c r="G139" s="876">
        <v>700</v>
      </c>
      <c r="H139" s="875">
        <v>1000</v>
      </c>
      <c r="I139" s="874"/>
      <c r="J139" s="873">
        <v>1000</v>
      </c>
      <c r="K139" s="872"/>
      <c r="L139" s="32"/>
      <c r="M139" s="32"/>
      <c r="N139" s="32"/>
      <c r="O139" s="46"/>
    </row>
    <row r="140" spans="3:16" ht="13.7" hidden="1" customHeight="1">
      <c r="C140" s="457"/>
      <c r="D140" s="871"/>
      <c r="E140" s="826" t="s">
        <v>811</v>
      </c>
      <c r="F140" s="870">
        <f>F139/F120</f>
        <v>4.166666666666667</v>
      </c>
      <c r="G140" s="870">
        <f>G139/G120</f>
        <v>3.8888888888888888</v>
      </c>
      <c r="H140" s="869">
        <f>H139/H120</f>
        <v>3.3333333333333335</v>
      </c>
      <c r="I140" s="868"/>
      <c r="J140" s="867">
        <f>J139/J120</f>
        <v>1.6666666666666667</v>
      </c>
      <c r="K140" s="866"/>
      <c r="L140" s="32"/>
      <c r="M140" s="32"/>
      <c r="N140" s="32"/>
      <c r="O140" s="46"/>
    </row>
    <row r="141" spans="3:16" ht="13.7" hidden="1" customHeight="1">
      <c r="C141" s="791" t="s">
        <v>847</v>
      </c>
      <c r="D141" s="498"/>
      <c r="E141" s="858" t="s">
        <v>811</v>
      </c>
      <c r="F141" s="865">
        <f>SUM(F133,F135,F137,F140)</f>
        <v>6.4500000000000011</v>
      </c>
      <c r="G141" s="865">
        <f>SUM(G133,G135,G137,G140)</f>
        <v>5.4777777777777779</v>
      </c>
      <c r="H141" s="864">
        <f>SUM(H133,H135,H137,H140)</f>
        <v>4.3666666666666671</v>
      </c>
      <c r="I141" s="863"/>
      <c r="J141" s="862">
        <f>SUM(J133,J135,J137,J140)</f>
        <v>2.2833333333333332</v>
      </c>
      <c r="K141" s="861"/>
      <c r="L141" s="32"/>
      <c r="M141" s="32"/>
      <c r="N141" s="32"/>
      <c r="O141" s="46"/>
    </row>
    <row r="142" spans="3:16" ht="13.7" hidden="1" customHeight="1">
      <c r="C142" s="496"/>
      <c r="D142" s="330"/>
      <c r="E142" s="330"/>
      <c r="F142" s="330"/>
      <c r="G142" s="330"/>
      <c r="H142" s="860"/>
      <c r="I142" s="860"/>
      <c r="J142" s="860"/>
      <c r="K142" s="860"/>
      <c r="L142" s="32"/>
      <c r="M142" s="32"/>
      <c r="N142" s="32"/>
      <c r="O142" s="46"/>
    </row>
    <row r="143" spans="3:16" ht="13.7" hidden="1" customHeight="1">
      <c r="C143" s="750" t="s">
        <v>846</v>
      </c>
      <c r="D143" s="859"/>
      <c r="E143" s="858" t="s">
        <v>811</v>
      </c>
      <c r="F143" s="857">
        <f>F129+F141</f>
        <v>22.05</v>
      </c>
      <c r="G143" s="857">
        <f>G129+G141</f>
        <v>20.211111111111109</v>
      </c>
      <c r="H143" s="856">
        <f>H129+H141</f>
        <v>15.633333333333335</v>
      </c>
      <c r="I143" s="855"/>
      <c r="J143" s="854">
        <f>J129+J141</f>
        <v>11.816666666666666</v>
      </c>
      <c r="K143" s="853"/>
      <c r="L143" s="319"/>
      <c r="M143" s="319"/>
      <c r="N143" s="319"/>
      <c r="O143" s="709"/>
    </row>
    <row r="144" spans="3:16" ht="13.7" hidden="1" customHeight="1">
      <c r="C144" s="250"/>
      <c r="D144" s="497"/>
      <c r="E144" s="799"/>
      <c r="F144" s="851"/>
      <c r="G144" s="851"/>
      <c r="H144" s="852"/>
      <c r="I144" s="852"/>
      <c r="J144" s="851"/>
      <c r="K144" s="851"/>
      <c r="L144" s="32"/>
      <c r="M144" s="32"/>
      <c r="N144" s="32"/>
      <c r="O144" s="46"/>
    </row>
    <row r="145" spans="3:26" ht="13.7" hidden="1" customHeight="1">
      <c r="C145" s="850" t="s">
        <v>845</v>
      </c>
      <c r="D145" s="731"/>
      <c r="E145" s="32"/>
      <c r="F145" s="32"/>
      <c r="G145" s="32"/>
      <c r="H145" s="32"/>
      <c r="I145" s="32"/>
      <c r="J145" s="32"/>
      <c r="K145" s="32"/>
      <c r="L145" s="32"/>
      <c r="M145" s="32"/>
      <c r="N145" s="32"/>
      <c r="O145" s="46"/>
    </row>
    <row r="146" spans="3:26" ht="13.7" hidden="1" customHeight="1">
      <c r="C146" s="849"/>
      <c r="D146" s="32"/>
      <c r="E146" s="330"/>
      <c r="F146" s="330"/>
      <c r="G146" s="330"/>
      <c r="H146" s="330"/>
      <c r="I146" s="330"/>
      <c r="J146" s="330"/>
      <c r="K146" s="848"/>
      <c r="L146" s="330"/>
      <c r="M146" s="330"/>
      <c r="N146" s="330"/>
      <c r="O146" s="46"/>
    </row>
    <row r="147" spans="3:26" ht="13.7" hidden="1" customHeight="1">
      <c r="C147" s="839"/>
      <c r="D147" s="838"/>
      <c r="E147" s="330"/>
      <c r="F147" s="330"/>
      <c r="G147" s="330"/>
      <c r="H147" s="330"/>
      <c r="I147" s="330"/>
      <c r="J147" s="330"/>
      <c r="K147" s="848"/>
      <c r="L147" s="330"/>
      <c r="M147" s="330"/>
      <c r="N147" s="330"/>
      <c r="O147" s="46"/>
    </row>
    <row r="148" spans="3:26" ht="13.7" hidden="1" customHeight="1">
      <c r="C148" s="500" t="s">
        <v>844</v>
      </c>
      <c r="D148" s="847">
        <v>600</v>
      </c>
      <c r="E148" s="499" t="s">
        <v>843</v>
      </c>
      <c r="F148" s="358"/>
      <c r="G148" s="846"/>
      <c r="H148" s="846"/>
      <c r="I148" s="358" t="s">
        <v>842</v>
      </c>
      <c r="J148" s="272"/>
      <c r="K148" s="272"/>
      <c r="L148" s="845" t="s">
        <v>841</v>
      </c>
      <c r="M148" s="330"/>
      <c r="N148" s="330"/>
      <c r="O148" s="46"/>
    </row>
    <row r="149" spans="3:26" ht="13.7" hidden="1" customHeight="1">
      <c r="C149" s="844" t="s">
        <v>840</v>
      </c>
      <c r="D149" s="843">
        <v>5</v>
      </c>
      <c r="E149" s="499" t="s">
        <v>839</v>
      </c>
      <c r="F149" s="457"/>
      <c r="G149" s="492"/>
      <c r="H149" s="492"/>
      <c r="I149" s="842" t="s">
        <v>838</v>
      </c>
      <c r="J149" s="319"/>
      <c r="K149" s="841">
        <v>1</v>
      </c>
      <c r="L149" s="840">
        <v>14</v>
      </c>
      <c r="M149" s="32"/>
      <c r="N149" s="330"/>
      <c r="O149" s="46"/>
    </row>
    <row r="150" spans="3:26" ht="13.7" hidden="1" customHeight="1">
      <c r="C150" s="839"/>
      <c r="D150" s="838"/>
      <c r="E150" s="330"/>
      <c r="F150" s="330"/>
      <c r="G150" s="330"/>
      <c r="H150" s="330"/>
      <c r="I150" s="32"/>
      <c r="J150" s="32"/>
      <c r="K150" s="32"/>
      <c r="L150" s="32"/>
      <c r="M150" s="32"/>
      <c r="N150" s="330"/>
      <c r="O150" s="46"/>
    </row>
    <row r="151" spans="3:26" ht="13.7" hidden="1" customHeight="1">
      <c r="C151" s="837" t="s">
        <v>837</v>
      </c>
      <c r="D151" s="836" t="s">
        <v>836</v>
      </c>
      <c r="E151" s="393" t="s">
        <v>620</v>
      </c>
      <c r="F151" s="836" t="s">
        <v>835</v>
      </c>
      <c r="G151" s="835" t="s">
        <v>806</v>
      </c>
      <c r="H151" s="469" t="s">
        <v>834</v>
      </c>
      <c r="I151" s="834"/>
      <c r="J151" s="833"/>
      <c r="K151" s="832"/>
      <c r="L151" s="832"/>
      <c r="M151" s="330"/>
      <c r="N151" s="330"/>
      <c r="O151" s="46"/>
    </row>
    <row r="152" spans="3:26" ht="13.7" hidden="1" customHeight="1">
      <c r="C152" s="825"/>
      <c r="D152" s="831" t="s">
        <v>833</v>
      </c>
      <c r="E152" s="398" t="s">
        <v>614</v>
      </c>
      <c r="F152" s="831"/>
      <c r="G152" s="830">
        <f>'SDK1'!O61/100</f>
        <v>2.5000000000000001E-2</v>
      </c>
      <c r="H152" s="829">
        <v>2.5000000000000001E-3</v>
      </c>
      <c r="I152" s="467" t="s">
        <v>772</v>
      </c>
      <c r="J152" s="466" t="s">
        <v>771</v>
      </c>
      <c r="K152" s="828" t="s">
        <v>813</v>
      </c>
      <c r="L152" s="804"/>
      <c r="M152" s="803"/>
      <c r="N152" s="330"/>
      <c r="O152" s="46"/>
      <c r="P152" s="31" t="s">
        <v>832</v>
      </c>
    </row>
    <row r="153" spans="3:26" ht="13.7" hidden="1" customHeight="1">
      <c r="C153" s="825"/>
      <c r="D153" s="779" t="s">
        <v>612</v>
      </c>
      <c r="E153" s="827" t="s">
        <v>613</v>
      </c>
      <c r="F153" s="779" t="s">
        <v>612</v>
      </c>
      <c r="G153" s="778" t="s">
        <v>612</v>
      </c>
      <c r="H153" s="802" t="s">
        <v>612</v>
      </c>
      <c r="I153" s="776" t="s">
        <v>612</v>
      </c>
      <c r="J153" s="802" t="s">
        <v>612</v>
      </c>
      <c r="K153" s="826" t="s">
        <v>612</v>
      </c>
      <c r="L153" s="800"/>
      <c r="M153" s="799"/>
      <c r="N153" s="330"/>
      <c r="O153" s="46"/>
      <c r="T153" s="31" t="s">
        <v>831</v>
      </c>
      <c r="V153" s="31" t="s">
        <v>830</v>
      </c>
      <c r="X153" s="31" t="s">
        <v>829</v>
      </c>
      <c r="Z153" s="31" t="s">
        <v>828</v>
      </c>
    </row>
    <row r="154" spans="3:26" ht="13.7" hidden="1" customHeight="1">
      <c r="C154" s="825" t="s">
        <v>827</v>
      </c>
      <c r="D154" s="824">
        <v>30000</v>
      </c>
      <c r="E154" s="823">
        <v>10</v>
      </c>
      <c r="F154" s="822">
        <f>D154/E154</f>
        <v>3000</v>
      </c>
      <c r="G154" s="821">
        <f>D154*G152</f>
        <v>750</v>
      </c>
      <c r="H154" s="820">
        <f>D154*H152</f>
        <v>75</v>
      </c>
      <c r="I154" s="796">
        <f>SUM(F154:H154)</f>
        <v>3825</v>
      </c>
      <c r="J154" s="814"/>
      <c r="K154" s="763"/>
      <c r="L154" s="46"/>
      <c r="M154" s="32"/>
      <c r="N154" s="32"/>
      <c r="O154" s="46"/>
      <c r="P154" s="31" t="s">
        <v>826</v>
      </c>
      <c r="T154" s="31" t="s">
        <v>825</v>
      </c>
      <c r="V154" s="31" t="s">
        <v>824</v>
      </c>
      <c r="X154" s="31" t="s">
        <v>824</v>
      </c>
      <c r="Z154" s="31" t="s">
        <v>824</v>
      </c>
    </row>
    <row r="155" spans="3:26" ht="13.7" hidden="1" customHeight="1">
      <c r="C155" s="457" t="s">
        <v>823</v>
      </c>
      <c r="D155" s="819">
        <v>70000</v>
      </c>
      <c r="E155" s="818">
        <v>40</v>
      </c>
      <c r="F155" s="817">
        <f>D155/E155</f>
        <v>1750</v>
      </c>
      <c r="G155" s="816">
        <f>D155*G152</f>
        <v>1750</v>
      </c>
      <c r="H155" s="815">
        <f>D155*H152</f>
        <v>175</v>
      </c>
      <c r="I155" s="793">
        <f>SUM(F155:H155)</f>
        <v>3675</v>
      </c>
      <c r="J155" s="814"/>
      <c r="K155" s="763"/>
      <c r="L155" s="46"/>
      <c r="M155" s="32"/>
      <c r="N155" s="32"/>
      <c r="O155" s="46"/>
      <c r="T155" s="31" t="s">
        <v>822</v>
      </c>
      <c r="V155" s="31" t="s">
        <v>821</v>
      </c>
      <c r="X155" s="31" t="s">
        <v>820</v>
      </c>
      <c r="Z155" s="31" t="s">
        <v>820</v>
      </c>
    </row>
    <row r="156" spans="3:26" ht="13.7" hidden="1" customHeight="1">
      <c r="C156" s="760" t="s">
        <v>819</v>
      </c>
      <c r="D156" s="812">
        <f>SUM(D154:D155)</f>
        <v>100000</v>
      </c>
      <c r="E156" s="813"/>
      <c r="F156" s="812">
        <f>SUM(F154:F155)</f>
        <v>4750</v>
      </c>
      <c r="G156" s="811">
        <f>SUM(G154:G155)</f>
        <v>2500</v>
      </c>
      <c r="H156" s="810">
        <f>SUM(H154:H155)</f>
        <v>250</v>
      </c>
      <c r="I156" s="758">
        <f>SUM(F156:H156)</f>
        <v>7500</v>
      </c>
      <c r="J156" s="757">
        <f>IF(D148=0,0,I156/D148)</f>
        <v>12.5</v>
      </c>
      <c r="K156" s="756">
        <f>J156/10</f>
        <v>1.25</v>
      </c>
      <c r="L156" s="809"/>
      <c r="M156" s="808"/>
      <c r="N156" s="32"/>
      <c r="O156" s="46"/>
      <c r="V156" s="31" t="s">
        <v>818</v>
      </c>
      <c r="X156" s="31" t="s">
        <v>817</v>
      </c>
      <c r="Z156" s="31" t="s">
        <v>816</v>
      </c>
    </row>
    <row r="157" spans="3:26" ht="13.7" hidden="1" customHeight="1">
      <c r="C157" s="358"/>
      <c r="D157" s="272"/>
      <c r="E157" s="272"/>
      <c r="F157" s="358"/>
      <c r="G157" s="272"/>
      <c r="H157" s="272"/>
      <c r="I157" s="358"/>
      <c r="J157" s="807"/>
      <c r="K157" s="806"/>
      <c r="L157" s="46"/>
      <c r="M157" s="32"/>
      <c r="N157" s="32"/>
      <c r="O157" s="46"/>
    </row>
    <row r="158" spans="3:26" ht="13.7" hidden="1" customHeight="1">
      <c r="C158" s="785" t="s">
        <v>815</v>
      </c>
      <c r="D158" s="32"/>
      <c r="E158" s="32"/>
      <c r="F158" s="765"/>
      <c r="G158" s="466"/>
      <c r="H158" s="805" t="s">
        <v>814</v>
      </c>
      <c r="I158" s="467"/>
      <c r="J158" s="781" t="s">
        <v>771</v>
      </c>
      <c r="K158" s="780" t="s">
        <v>813</v>
      </c>
      <c r="L158" s="804"/>
      <c r="M158" s="803"/>
      <c r="N158" s="769"/>
      <c r="O158" s="786"/>
      <c r="P158" s="31" t="s">
        <v>812</v>
      </c>
      <c r="T158" s="745">
        <v>202765</v>
      </c>
      <c r="V158" s="745">
        <v>202765</v>
      </c>
      <c r="X158" s="745">
        <v>202765</v>
      </c>
      <c r="Z158" s="745">
        <v>202765</v>
      </c>
    </row>
    <row r="159" spans="3:26" ht="13.7" hidden="1" customHeight="1">
      <c r="C159" s="452" t="s">
        <v>353</v>
      </c>
      <c r="D159" s="319"/>
      <c r="E159" s="319"/>
      <c r="F159" s="776" t="s">
        <v>811</v>
      </c>
      <c r="G159" s="802"/>
      <c r="H159" s="801" t="s">
        <v>113</v>
      </c>
      <c r="I159" s="776"/>
      <c r="J159" s="775" t="s">
        <v>612</v>
      </c>
      <c r="K159" s="774" t="s">
        <v>612</v>
      </c>
      <c r="L159" s="800"/>
      <c r="M159" s="799"/>
      <c r="N159" s="769"/>
      <c r="O159" s="786"/>
      <c r="P159" s="708" t="s">
        <v>810</v>
      </c>
      <c r="T159" s="745">
        <v>19284</v>
      </c>
      <c r="V159" s="745">
        <v>19284</v>
      </c>
      <c r="X159" s="745">
        <v>19284</v>
      </c>
      <c r="Z159" s="745">
        <v>19284</v>
      </c>
    </row>
    <row r="160" spans="3:26" ht="13.7" hidden="1" customHeight="1">
      <c r="C160" s="770" t="s">
        <v>809</v>
      </c>
      <c r="D160" s="32"/>
      <c r="E160" s="32"/>
      <c r="F160" s="798">
        <v>3</v>
      </c>
      <c r="G160" s="797"/>
      <c r="H160" s="794">
        <v>100</v>
      </c>
      <c r="I160" s="796"/>
      <c r="J160" s="764">
        <f>F160*H160%</f>
        <v>3</v>
      </c>
      <c r="K160" s="763"/>
      <c r="L160" s="46"/>
      <c r="M160" s="32"/>
      <c r="N160" s="769"/>
      <c r="O160" s="786"/>
      <c r="Q160" s="31" t="s">
        <v>808</v>
      </c>
      <c r="T160" s="745">
        <v>12143</v>
      </c>
      <c r="V160" s="745">
        <v>12143</v>
      </c>
      <c r="X160" s="745">
        <v>12143</v>
      </c>
      <c r="Z160" s="745">
        <v>12143</v>
      </c>
    </row>
    <row r="161" spans="2:38" ht="13.7" hidden="1" customHeight="1">
      <c r="C161" s="795" t="s">
        <v>807</v>
      </c>
      <c r="D161" s="32"/>
      <c r="E161" s="32"/>
      <c r="F161" s="768"/>
      <c r="G161" s="32"/>
      <c r="H161" s="794"/>
      <c r="I161" s="793"/>
      <c r="J161" s="792">
        <f>F161*H161%</f>
        <v>0</v>
      </c>
      <c r="K161" s="763"/>
      <c r="L161" s="46"/>
      <c r="M161" s="32"/>
      <c r="N161" s="769"/>
      <c r="O161" s="786"/>
      <c r="Q161" s="31" t="s">
        <v>806</v>
      </c>
      <c r="T161" s="745">
        <v>6085</v>
      </c>
      <c r="V161" s="745">
        <v>6085</v>
      </c>
      <c r="X161" s="745">
        <v>6085</v>
      </c>
      <c r="Z161" s="745">
        <v>6085</v>
      </c>
    </row>
    <row r="162" spans="2:38" ht="13.7" hidden="1" customHeight="1">
      <c r="C162" s="791" t="s">
        <v>805</v>
      </c>
      <c r="D162" s="790"/>
      <c r="E162" s="790"/>
      <c r="F162" s="789"/>
      <c r="G162" s="790"/>
      <c r="H162" s="790"/>
      <c r="I162" s="789"/>
      <c r="J162" s="788">
        <f>SUM(J160:J161)</f>
        <v>3</v>
      </c>
      <c r="K162" s="787">
        <f>J162/10</f>
        <v>0.3</v>
      </c>
      <c r="L162" s="46"/>
      <c r="M162" s="32"/>
      <c r="N162" s="769"/>
      <c r="O162" s="786"/>
      <c r="Q162" s="31" t="s">
        <v>804</v>
      </c>
      <c r="T162" s="745">
        <v>1056</v>
      </c>
      <c r="V162" s="745">
        <v>1056</v>
      </c>
      <c r="X162" s="745">
        <v>1056</v>
      </c>
      <c r="Z162" s="745">
        <v>1056</v>
      </c>
    </row>
    <row r="163" spans="2:38" ht="13.7" hidden="1" customHeight="1">
      <c r="B163" s="32"/>
      <c r="C163" s="785" t="s">
        <v>803</v>
      </c>
      <c r="D163" s="32"/>
      <c r="E163" s="32"/>
      <c r="F163" s="784"/>
      <c r="G163" s="783"/>
      <c r="H163" s="782"/>
      <c r="I163" s="467"/>
      <c r="J163" s="781" t="s">
        <v>802</v>
      </c>
      <c r="K163" s="780"/>
      <c r="L163" s="46"/>
      <c r="M163" s="32"/>
      <c r="N163" s="773"/>
      <c r="O163" s="772"/>
      <c r="P163" s="708" t="s">
        <v>801</v>
      </c>
      <c r="T163" s="745">
        <v>8133</v>
      </c>
      <c r="V163" s="745">
        <v>8108</v>
      </c>
      <c r="X163" s="745">
        <v>15526</v>
      </c>
      <c r="Z163" s="745">
        <v>8294</v>
      </c>
    </row>
    <row r="164" spans="2:38" ht="13.7" hidden="1" customHeight="1">
      <c r="C164" s="457"/>
      <c r="D164" s="492"/>
      <c r="E164" s="492"/>
      <c r="F164" s="779" t="s">
        <v>113</v>
      </c>
      <c r="G164" s="778"/>
      <c r="H164" s="777"/>
      <c r="I164" s="776"/>
      <c r="J164" s="775" t="s">
        <v>228</v>
      </c>
      <c r="K164" s="774" t="s">
        <v>612</v>
      </c>
      <c r="L164" s="46"/>
      <c r="M164" s="32"/>
      <c r="N164" s="773"/>
      <c r="O164" s="772"/>
      <c r="Q164" s="31" t="s">
        <v>800</v>
      </c>
      <c r="T164" s="745">
        <v>4456</v>
      </c>
      <c r="V164" s="745">
        <v>4342</v>
      </c>
      <c r="X164" s="745">
        <v>10424</v>
      </c>
      <c r="Z164" s="745">
        <v>4624</v>
      </c>
    </row>
    <row r="165" spans="2:38" ht="13.7" hidden="1" customHeight="1">
      <c r="C165" s="770" t="s">
        <v>799</v>
      </c>
      <c r="D165" s="769"/>
      <c r="E165" s="32"/>
      <c r="F165" s="768">
        <v>0.2</v>
      </c>
      <c r="G165" s="767"/>
      <c r="H165" s="766"/>
      <c r="I165" s="765"/>
      <c r="J165" s="771">
        <f>L149*F165%</f>
        <v>2.8000000000000001E-2</v>
      </c>
      <c r="K165" s="763"/>
      <c r="L165" s="46"/>
      <c r="M165" s="32"/>
      <c r="N165" s="762"/>
      <c r="O165" s="761"/>
      <c r="Q165" s="31" t="s">
        <v>798</v>
      </c>
      <c r="T165" s="745">
        <v>245.1</v>
      </c>
      <c r="V165" s="745">
        <v>251.1</v>
      </c>
      <c r="X165" s="745">
        <v>340.1</v>
      </c>
      <c r="Z165" s="745">
        <v>244.7</v>
      </c>
    </row>
    <row r="166" spans="2:38" ht="13.7" hidden="1" customHeight="1">
      <c r="C166" s="770" t="s">
        <v>797</v>
      </c>
      <c r="D166" s="769"/>
      <c r="E166" s="32"/>
      <c r="F166" s="768">
        <v>1</v>
      </c>
      <c r="G166" s="767"/>
      <c r="H166" s="766"/>
      <c r="I166" s="765"/>
      <c r="J166" s="764">
        <f>L149*F166%/12</f>
        <v>1.1666666666666667E-2</v>
      </c>
      <c r="K166" s="763"/>
      <c r="L166" s="46"/>
      <c r="M166" s="32"/>
      <c r="N166" s="762"/>
      <c r="O166" s="761"/>
      <c r="Q166" s="31" t="s">
        <v>764</v>
      </c>
      <c r="T166" s="745">
        <v>3676</v>
      </c>
      <c r="V166" s="745">
        <v>3766</v>
      </c>
      <c r="X166" s="745">
        <v>5102</v>
      </c>
      <c r="Z166" s="745">
        <v>3670</v>
      </c>
    </row>
    <row r="167" spans="2:38" ht="13.7" hidden="1" customHeight="1">
      <c r="C167" s="760" t="s">
        <v>796</v>
      </c>
      <c r="D167" s="759"/>
      <c r="E167" s="759"/>
      <c r="F167" s="758"/>
      <c r="G167" s="759"/>
      <c r="H167" s="759"/>
      <c r="I167" s="758"/>
      <c r="J167" s="757">
        <f>SUM(J165:J166)</f>
        <v>3.966666666666667E-2</v>
      </c>
      <c r="K167" s="756">
        <f>J167*D149</f>
        <v>0.19833333333333336</v>
      </c>
      <c r="L167" s="46"/>
      <c r="M167" s="32"/>
      <c r="N167" s="755"/>
      <c r="O167" s="754"/>
      <c r="P167" s="708" t="s">
        <v>795</v>
      </c>
      <c r="T167" s="745">
        <v>27417</v>
      </c>
      <c r="V167" s="745">
        <v>27392</v>
      </c>
      <c r="X167" s="745">
        <v>34810</v>
      </c>
      <c r="Z167" s="745">
        <v>27578</v>
      </c>
    </row>
    <row r="168" spans="2:38" ht="13.7" hidden="1" customHeight="1">
      <c r="C168" s="752" t="s">
        <v>794</v>
      </c>
      <c r="D168" s="751"/>
      <c r="E168" s="753"/>
      <c r="F168" s="752"/>
      <c r="G168" s="751"/>
      <c r="H168" s="751"/>
      <c r="I168" s="750"/>
      <c r="J168" s="749"/>
      <c r="K168" s="736"/>
      <c r="L168" s="748">
        <f>K156+K162+K167</f>
        <v>1.7483333333333335</v>
      </c>
      <c r="M168" s="747"/>
      <c r="N168" s="731"/>
      <c r="O168" s="746"/>
      <c r="P168" s="31" t="s">
        <v>793</v>
      </c>
      <c r="T168" s="745">
        <v>2000</v>
      </c>
      <c r="V168" s="745">
        <v>1865</v>
      </c>
      <c r="X168" s="745">
        <v>1988</v>
      </c>
      <c r="Z168" s="745">
        <v>1980</v>
      </c>
    </row>
    <row r="169" spans="2:38" ht="13.7" hidden="1" customHeight="1">
      <c r="C169" s="744"/>
      <c r="D169" s="742"/>
      <c r="E169" s="742"/>
      <c r="F169" s="742"/>
      <c r="G169" s="742"/>
      <c r="H169" s="742"/>
      <c r="I169" s="742"/>
      <c r="J169" s="742"/>
      <c r="K169" s="731"/>
      <c r="L169" s="743"/>
      <c r="M169" s="330"/>
      <c r="N169" s="742"/>
      <c r="O169" s="741"/>
      <c r="P169" s="708" t="s">
        <v>792</v>
      </c>
      <c r="T169" s="740">
        <v>13.71</v>
      </c>
      <c r="V169" s="740">
        <v>14.69</v>
      </c>
      <c r="X169" s="740">
        <v>17.510000000000002</v>
      </c>
      <c r="Z169" s="740">
        <v>13.93</v>
      </c>
    </row>
    <row r="170" spans="2:38" ht="13.7" hidden="1" customHeight="1">
      <c r="C170" s="739" t="s">
        <v>791</v>
      </c>
      <c r="D170" s="737"/>
      <c r="E170" s="738"/>
      <c r="F170" s="737"/>
      <c r="G170" s="737"/>
      <c r="H170" s="737"/>
      <c r="I170" s="738"/>
      <c r="J170" s="737"/>
      <c r="K170" s="736"/>
      <c r="L170" s="735">
        <f>L149+L168</f>
        <v>15.748333333333333</v>
      </c>
      <c r="M170" s="734"/>
      <c r="N170" s="733"/>
      <c r="O170" s="732"/>
      <c r="P170" s="731"/>
      <c r="Q170" s="730"/>
    </row>
    <row r="171" spans="2:38" ht="13.7" hidden="1" customHeight="1"/>
    <row r="172" spans="2:38" ht="19.899999999999999" hidden="1" customHeight="1">
      <c r="C172" s="702" t="s">
        <v>790</v>
      </c>
      <c r="D172" s="701"/>
      <c r="E172" s="701"/>
      <c r="F172" s="701"/>
    </row>
    <row r="173" spans="2:38" hidden="1">
      <c r="C173" s="448" t="s">
        <v>747</v>
      </c>
      <c r="D173" s="389" t="s">
        <v>789</v>
      </c>
      <c r="E173" s="701"/>
      <c r="F173" s="701"/>
      <c r="Y173" s="31" t="s">
        <v>788</v>
      </c>
      <c r="AB173" s="31">
        <v>125</v>
      </c>
      <c r="AC173" s="31">
        <v>160</v>
      </c>
    </row>
    <row r="174" spans="2:38" hidden="1">
      <c r="C174" s="729" t="s">
        <v>787</v>
      </c>
      <c r="D174" s="728"/>
      <c r="E174" s="728"/>
      <c r="F174" s="688">
        <v>1</v>
      </c>
      <c r="G174" s="727" t="s">
        <v>612</v>
      </c>
      <c r="Y174" s="31" t="s">
        <v>786</v>
      </c>
      <c r="AB174" s="31">
        <v>180</v>
      </c>
      <c r="AC174" s="31">
        <v>230</v>
      </c>
    </row>
    <row r="175" spans="2:38" hidden="1">
      <c r="C175" s="726" t="s">
        <v>785</v>
      </c>
      <c r="D175" s="725"/>
      <c r="E175" s="725"/>
      <c r="F175" s="724">
        <v>1</v>
      </c>
      <c r="G175" s="723" t="s">
        <v>612</v>
      </c>
    </row>
    <row r="176" spans="2:38" ht="19.899999999999999" customHeight="1">
      <c r="C176" s="722" t="s">
        <v>784</v>
      </c>
      <c r="D176" s="272"/>
      <c r="E176" s="272"/>
      <c r="F176" s="272"/>
      <c r="G176" s="272"/>
      <c r="H176" s="272"/>
      <c r="I176" s="4542">
        <v>2000</v>
      </c>
      <c r="J176" s="4542"/>
      <c r="K176" s="272"/>
      <c r="L176" s="272"/>
      <c r="M176" s="272"/>
      <c r="N176" s="272"/>
      <c r="O176" s="721"/>
      <c r="Q176" s="708" t="s">
        <v>783</v>
      </c>
      <c r="W176" s="720">
        <v>2000</v>
      </c>
      <c r="AA176" s="4499" t="s">
        <v>761</v>
      </c>
      <c r="AB176" s="4498"/>
      <c r="AC176" s="4498"/>
      <c r="AD176" s="4498"/>
      <c r="AE176" s="4498"/>
      <c r="AG176" s="33"/>
      <c r="AH176" s="33"/>
      <c r="AI176" s="33"/>
      <c r="AJ176" s="33"/>
      <c r="AK176" s="33"/>
      <c r="AL176" s="33"/>
    </row>
    <row r="177" spans="3:38" ht="13.7" customHeight="1">
      <c r="C177" s="387" t="s">
        <v>782</v>
      </c>
      <c r="D177" s="32"/>
      <c r="E177" s="32"/>
      <c r="F177" s="32"/>
      <c r="G177" s="32"/>
      <c r="H177" s="32"/>
      <c r="I177" s="32"/>
      <c r="J177" s="32"/>
      <c r="K177" s="32"/>
      <c r="L177" s="32"/>
      <c r="M177" s="32"/>
      <c r="N177" s="32"/>
      <c r="O177" s="46"/>
      <c r="Q177" s="371" t="s">
        <v>781</v>
      </c>
      <c r="AA177" s="4499" t="s">
        <v>760</v>
      </c>
      <c r="AB177" s="4498"/>
      <c r="AC177" s="4498"/>
      <c r="AD177" s="4498"/>
      <c r="AE177" s="4498"/>
      <c r="AG177" s="33"/>
      <c r="AH177" s="33"/>
      <c r="AI177" s="33"/>
      <c r="AJ177" s="33"/>
      <c r="AK177" s="33"/>
      <c r="AL177" s="33"/>
    </row>
    <row r="178" spans="3:38" ht="13.7" customHeight="1">
      <c r="C178" s="711" t="s">
        <v>780</v>
      </c>
      <c r="D178" s="710"/>
      <c r="E178" s="710"/>
      <c r="F178" s="4543"/>
      <c r="G178" s="4544"/>
      <c r="H178" s="710" t="s">
        <v>779</v>
      </c>
      <c r="I178" s="719"/>
      <c r="J178" s="32"/>
      <c r="K178" s="32"/>
      <c r="L178" s="718"/>
      <c r="M178" s="32"/>
      <c r="N178" s="32"/>
      <c r="O178" s="46"/>
      <c r="Q178" s="708" t="s">
        <v>780</v>
      </c>
      <c r="R178" s="708"/>
      <c r="S178" s="708"/>
      <c r="T178" s="4492"/>
      <c r="U178" s="4492"/>
      <c r="V178" s="708" t="s">
        <v>779</v>
      </c>
      <c r="W178" s="708"/>
      <c r="AA178" s="4500" t="s">
        <v>756</v>
      </c>
      <c r="AB178" s="4498"/>
      <c r="AC178" s="4498"/>
      <c r="AD178" s="4498"/>
      <c r="AE178" s="4498"/>
      <c r="AG178" s="33"/>
      <c r="AH178" s="33"/>
      <c r="AI178" s="33"/>
      <c r="AJ178" s="33"/>
      <c r="AK178" s="33"/>
      <c r="AL178" s="33"/>
    </row>
    <row r="179" spans="3:38">
      <c r="C179" s="568" t="s">
        <v>778</v>
      </c>
      <c r="D179" s="32"/>
      <c r="E179" s="32"/>
      <c r="F179" s="4502">
        <v>10000</v>
      </c>
      <c r="G179" s="4494"/>
      <c r="H179" s="4507"/>
      <c r="I179" s="4508"/>
      <c r="J179" s="32"/>
      <c r="K179" s="32"/>
      <c r="L179" s="32"/>
      <c r="M179" s="32"/>
      <c r="N179" s="32"/>
      <c r="O179" s="46"/>
      <c r="Q179" s="35" t="s">
        <v>778</v>
      </c>
      <c r="T179" s="4491">
        <v>10000</v>
      </c>
      <c r="U179" s="4491"/>
      <c r="V179" s="4489"/>
      <c r="W179" s="4489"/>
      <c r="AA179" s="4497" t="s">
        <v>759</v>
      </c>
      <c r="AB179" s="4498"/>
      <c r="AC179" s="4498"/>
      <c r="AD179" s="4498"/>
      <c r="AE179" s="4498"/>
      <c r="AG179" s="33"/>
      <c r="AH179" s="33"/>
      <c r="AI179" s="33"/>
      <c r="AJ179" s="33"/>
      <c r="AK179" s="33"/>
      <c r="AL179" s="33"/>
    </row>
    <row r="180" spans="3:38" ht="12.95" customHeight="1">
      <c r="C180" s="568" t="s">
        <v>777</v>
      </c>
      <c r="D180" s="32"/>
      <c r="E180" s="32"/>
      <c r="F180" s="4502">
        <f>T180*AE184/100</f>
        <v>147411.726</v>
      </c>
      <c r="G180" s="4494"/>
      <c r="H180" s="4507">
        <v>40</v>
      </c>
      <c r="I180" s="4508"/>
      <c r="J180" s="32"/>
      <c r="K180" s="32"/>
      <c r="L180" s="32"/>
      <c r="M180" s="32"/>
      <c r="N180" s="32"/>
      <c r="O180" s="46"/>
      <c r="Q180" s="35" t="s">
        <v>777</v>
      </c>
      <c r="T180" s="4491">
        <v>134499.75</v>
      </c>
      <c r="U180" s="4491"/>
      <c r="V180" s="4489">
        <v>40</v>
      </c>
      <c r="W180" s="4489"/>
      <c r="AA180" s="4497" t="s">
        <v>758</v>
      </c>
      <c r="AB180" s="4498"/>
      <c r="AC180" s="4498"/>
      <c r="AD180" s="4498"/>
      <c r="AE180" s="4498"/>
      <c r="AG180" s="33"/>
      <c r="AH180" s="33"/>
      <c r="AI180" s="33"/>
      <c r="AJ180" s="33"/>
      <c r="AK180" s="33"/>
      <c r="AL180" s="33"/>
    </row>
    <row r="181" spans="3:38" ht="12.95" customHeight="1">
      <c r="C181" s="568" t="s">
        <v>776</v>
      </c>
      <c r="D181" s="32"/>
      <c r="E181" s="32"/>
      <c r="F181" s="4502">
        <f>T181*AE184/100</f>
        <v>62716.342240000005</v>
      </c>
      <c r="G181" s="4494"/>
      <c r="H181" s="4507">
        <v>20</v>
      </c>
      <c r="I181" s="4508"/>
      <c r="J181" s="32"/>
      <c r="K181" s="32"/>
      <c r="L181" s="32"/>
      <c r="M181" s="32"/>
      <c r="N181" s="32"/>
      <c r="O181" s="46"/>
      <c r="Q181" s="35" t="s">
        <v>776</v>
      </c>
      <c r="T181" s="4491">
        <v>57222.94</v>
      </c>
      <c r="U181" s="4491"/>
      <c r="V181" s="4489">
        <v>20</v>
      </c>
      <c r="W181" s="4489"/>
      <c r="AA181" s="4497" t="s">
        <v>757</v>
      </c>
      <c r="AB181" s="4498"/>
      <c r="AC181" s="4498"/>
      <c r="AD181" s="4498"/>
      <c r="AE181" s="4498"/>
      <c r="AG181" s="33"/>
      <c r="AH181" s="33"/>
      <c r="AI181" s="33"/>
      <c r="AJ181" s="33"/>
      <c r="AK181" s="33"/>
      <c r="AL181" s="33"/>
    </row>
    <row r="182" spans="3:38" ht="13.7" customHeight="1">
      <c r="C182" s="568" t="s">
        <v>775</v>
      </c>
      <c r="D182" s="32"/>
      <c r="E182" s="32"/>
      <c r="F182" s="4502">
        <f>T182*AE184/100</f>
        <v>77629.669040000008</v>
      </c>
      <c r="G182" s="4494"/>
      <c r="H182" s="4507">
        <v>20</v>
      </c>
      <c r="I182" s="4508"/>
      <c r="J182" s="32"/>
      <c r="K182" s="32"/>
      <c r="L182" s="32"/>
      <c r="M182" s="32"/>
      <c r="N182" s="32"/>
      <c r="O182" s="46"/>
      <c r="Q182" s="35" t="s">
        <v>775</v>
      </c>
      <c r="T182" s="4491">
        <v>70829.990000000005</v>
      </c>
      <c r="U182" s="4491"/>
      <c r="V182" s="4489">
        <v>20</v>
      </c>
      <c r="W182" s="4489"/>
      <c r="AA182" s="4495" t="s">
        <v>756</v>
      </c>
      <c r="AB182" s="4496">
        <v>2013</v>
      </c>
      <c r="AC182" s="717">
        <v>2014</v>
      </c>
      <c r="AD182" s="717">
        <v>2015</v>
      </c>
      <c r="AE182" s="717">
        <v>2016</v>
      </c>
      <c r="AG182" s="33"/>
      <c r="AH182" s="33"/>
      <c r="AI182" s="33"/>
      <c r="AJ182" s="33"/>
      <c r="AK182" s="33"/>
      <c r="AL182" s="33"/>
    </row>
    <row r="183" spans="3:38">
      <c r="C183" s="716" t="s">
        <v>774</v>
      </c>
      <c r="D183" s="37"/>
      <c r="E183" s="37"/>
      <c r="F183" s="4509">
        <f>SUM(F179:G182)</f>
        <v>297757.73728</v>
      </c>
      <c r="G183" s="4510"/>
      <c r="H183" s="4511"/>
      <c r="I183" s="4512"/>
      <c r="J183" s="32"/>
      <c r="K183" s="32"/>
      <c r="L183" s="32"/>
      <c r="M183" s="32"/>
      <c r="N183" s="32"/>
      <c r="O183" s="46"/>
      <c r="Q183" s="708" t="s">
        <v>774</v>
      </c>
      <c r="R183" s="708"/>
      <c r="S183" s="708"/>
      <c r="T183" s="4490">
        <v>272552.68</v>
      </c>
      <c r="U183" s="4490"/>
      <c r="V183" s="4492"/>
      <c r="W183" s="4492"/>
      <c r="AA183" s="706" t="s">
        <v>755</v>
      </c>
      <c r="AB183" s="400"/>
      <c r="AC183" s="400"/>
      <c r="AD183" s="400"/>
      <c r="AE183" s="400"/>
      <c r="AG183" s="33"/>
      <c r="AH183" s="33"/>
      <c r="AI183" s="33"/>
      <c r="AJ183" s="33"/>
      <c r="AK183" s="33"/>
      <c r="AL183" s="33"/>
    </row>
    <row r="184" spans="3:38">
      <c r="C184" s="715" t="s">
        <v>773</v>
      </c>
      <c r="D184" s="376"/>
      <c r="E184" s="376"/>
      <c r="F184" s="4503" t="s">
        <v>772</v>
      </c>
      <c r="G184" s="4504"/>
      <c r="H184" s="4505" t="s">
        <v>771</v>
      </c>
      <c r="I184" s="4504"/>
      <c r="J184" s="32"/>
      <c r="K184" s="32"/>
      <c r="L184" s="32"/>
      <c r="M184" s="32"/>
      <c r="N184" s="32"/>
      <c r="O184" s="46"/>
      <c r="Q184" s="708" t="s">
        <v>773</v>
      </c>
      <c r="R184" s="708"/>
      <c r="S184" s="708"/>
      <c r="T184" s="4492" t="s">
        <v>772</v>
      </c>
      <c r="U184" s="4492"/>
      <c r="V184" s="4492" t="s">
        <v>771</v>
      </c>
      <c r="W184" s="4492"/>
      <c r="AA184" s="705" t="s">
        <v>770</v>
      </c>
      <c r="AB184" s="704">
        <v>105.1</v>
      </c>
      <c r="AC184" s="704">
        <v>106.4</v>
      </c>
      <c r="AD184" s="704">
        <v>107.6</v>
      </c>
      <c r="AE184" s="704">
        <v>109.6</v>
      </c>
      <c r="AG184" s="33"/>
      <c r="AH184" s="33"/>
      <c r="AI184" s="33"/>
      <c r="AJ184" s="33"/>
      <c r="AK184" s="33"/>
      <c r="AL184" s="33"/>
    </row>
    <row r="185" spans="3:38">
      <c r="C185" s="568" t="s">
        <v>769</v>
      </c>
      <c r="D185" s="32"/>
      <c r="E185" s="32"/>
      <c r="F185" s="4502">
        <f>F180/H180+F181/H181+F182/H182</f>
        <v>10702.593714000001</v>
      </c>
      <c r="G185" s="4494"/>
      <c r="H185" s="4493">
        <f>F185/$I$176</f>
        <v>5.3512968570000004</v>
      </c>
      <c r="I185" s="4494"/>
      <c r="J185" s="32"/>
      <c r="K185" s="32"/>
      <c r="L185" s="32"/>
      <c r="M185" s="32"/>
      <c r="N185" s="32"/>
      <c r="O185" s="46"/>
      <c r="Q185" s="35" t="s">
        <v>769</v>
      </c>
      <c r="T185" s="4491">
        <f>T180/V180+T181/V181+T182/V182</f>
        <v>9765.1402500000004</v>
      </c>
      <c r="U185" s="4491"/>
      <c r="V185" s="4491">
        <v>4.88</v>
      </c>
      <c r="W185" s="4491"/>
      <c r="AA185" s="703" t="s">
        <v>752</v>
      </c>
      <c r="AB185" s="400"/>
      <c r="AC185" s="400"/>
      <c r="AD185" s="400"/>
      <c r="AE185" s="400"/>
      <c r="AG185" s="33"/>
      <c r="AH185" s="33"/>
      <c r="AI185" s="33"/>
      <c r="AJ185" s="33"/>
      <c r="AK185" s="33"/>
      <c r="AL185" s="33"/>
    </row>
    <row r="186" spans="3:38">
      <c r="C186" s="568" t="s">
        <v>768</v>
      </c>
      <c r="D186" s="714">
        <f>'SDK4'!F34</f>
        <v>2.5</v>
      </c>
      <c r="E186" s="38" t="s">
        <v>113</v>
      </c>
      <c r="F186" s="4502">
        <f>SUM(F180:G182)*D186%*0.5+F179*D186%</f>
        <v>3846.971716</v>
      </c>
      <c r="G186" s="4494"/>
      <c r="H186" s="4493">
        <f>F186/$I$176</f>
        <v>1.923485858</v>
      </c>
      <c r="I186" s="4494"/>
      <c r="J186" s="32"/>
      <c r="K186" s="32"/>
      <c r="L186" s="32"/>
      <c r="M186" s="32"/>
      <c r="N186" s="32"/>
      <c r="O186" s="46"/>
      <c r="Q186" s="35" t="s">
        <v>767</v>
      </c>
      <c r="R186" s="331">
        <v>0.05</v>
      </c>
      <c r="T186" s="4491">
        <f>SUM(T180:U182)*R186*0.5+T179*R186</f>
        <v>7063.817</v>
      </c>
      <c r="U186" s="4491"/>
      <c r="V186" s="4491">
        <v>3.53</v>
      </c>
      <c r="W186" s="4491"/>
      <c r="AA186" s="703" t="s">
        <v>751</v>
      </c>
      <c r="AB186" s="400"/>
      <c r="AC186" s="400"/>
      <c r="AD186" s="400"/>
      <c r="AE186" s="400"/>
      <c r="AG186" s="33"/>
      <c r="AH186" s="33"/>
      <c r="AI186" s="33"/>
      <c r="AJ186" s="33"/>
      <c r="AK186" s="33"/>
      <c r="AL186" s="33"/>
    </row>
    <row r="187" spans="3:38">
      <c r="C187" s="568" t="s">
        <v>766</v>
      </c>
      <c r="D187" s="32"/>
      <c r="E187" s="32"/>
      <c r="F187" s="4502">
        <f>AE200/100*T187</f>
        <v>1517.7653999999998</v>
      </c>
      <c r="G187" s="4494"/>
      <c r="H187" s="4493">
        <f>F187/$I$176</f>
        <v>0.75888269999999991</v>
      </c>
      <c r="I187" s="4494"/>
      <c r="J187" s="32"/>
      <c r="K187" s="32"/>
      <c r="L187" s="32"/>
      <c r="M187" s="32"/>
      <c r="N187" s="32"/>
      <c r="O187" s="46"/>
      <c r="Q187" s="35" t="s">
        <v>766</v>
      </c>
      <c r="T187" s="4491">
        <v>1382.3</v>
      </c>
      <c r="U187" s="4491"/>
      <c r="V187" s="4491">
        <v>0.69</v>
      </c>
      <c r="W187" s="4491"/>
      <c r="AA187" s="15" t="s">
        <v>750</v>
      </c>
      <c r="AB187" s="400"/>
      <c r="AC187" s="400"/>
      <c r="AD187" s="400"/>
      <c r="AE187" s="400"/>
      <c r="AG187" s="33"/>
      <c r="AH187" s="33"/>
      <c r="AI187" s="33"/>
      <c r="AJ187" s="33"/>
      <c r="AK187" s="33"/>
      <c r="AL187" s="33"/>
    </row>
    <row r="188" spans="3:38">
      <c r="C188" s="568" t="s">
        <v>765</v>
      </c>
      <c r="D188" s="32"/>
      <c r="E188" s="32"/>
      <c r="F188" s="4502">
        <f>AE201/100+T188</f>
        <v>7424.683</v>
      </c>
      <c r="G188" s="4494"/>
      <c r="H188" s="4493">
        <f>F188/$I$176</f>
        <v>3.7123415</v>
      </c>
      <c r="I188" s="4494"/>
      <c r="J188" s="32"/>
      <c r="K188" s="32"/>
      <c r="L188" s="32"/>
      <c r="M188" s="32"/>
      <c r="N188" s="32"/>
      <c r="O188" s="46"/>
      <c r="Q188" s="35" t="s">
        <v>765</v>
      </c>
      <c r="T188" s="4491">
        <v>7423.7</v>
      </c>
      <c r="U188" s="4491"/>
      <c r="V188" s="4491">
        <v>3.71</v>
      </c>
      <c r="W188" s="4491"/>
      <c r="AA188" s="703" t="s">
        <v>749</v>
      </c>
      <c r="AB188" s="400"/>
      <c r="AC188" s="400"/>
      <c r="AD188" s="400"/>
      <c r="AE188" s="400"/>
      <c r="AG188" s="33"/>
      <c r="AH188" s="33"/>
      <c r="AI188" s="33"/>
      <c r="AJ188" s="33"/>
      <c r="AK188" s="33"/>
      <c r="AL188" s="33"/>
    </row>
    <row r="189" spans="3:38">
      <c r="C189" s="568" t="s">
        <v>764</v>
      </c>
      <c r="D189" s="713">
        <v>245</v>
      </c>
      <c r="E189" s="712">
        <f>'SDK4'!P50</f>
        <v>16.833333333333332</v>
      </c>
      <c r="F189" s="4502">
        <f>D189*E189</f>
        <v>4124.1666666666661</v>
      </c>
      <c r="G189" s="4494"/>
      <c r="H189" s="4493">
        <f>F189/$I$176</f>
        <v>2.0620833333333328</v>
      </c>
      <c r="I189" s="4494"/>
      <c r="J189" s="32"/>
      <c r="K189" s="32"/>
      <c r="L189" s="32"/>
      <c r="M189" s="32"/>
      <c r="N189" s="32"/>
      <c r="O189" s="46"/>
      <c r="Q189" s="35" t="s">
        <v>763</v>
      </c>
      <c r="T189" s="4491">
        <v>4165</v>
      </c>
      <c r="U189" s="4491"/>
      <c r="V189" s="4491">
        <v>2.08</v>
      </c>
      <c r="W189" s="4491"/>
      <c r="AA189" s="703"/>
      <c r="AB189" s="400"/>
      <c r="AC189" s="400"/>
      <c r="AD189" s="400"/>
      <c r="AE189" s="400"/>
      <c r="AG189" s="33"/>
      <c r="AH189" s="33"/>
      <c r="AI189" s="33"/>
      <c r="AJ189" s="33"/>
      <c r="AK189" s="33"/>
      <c r="AL189" s="33"/>
    </row>
    <row r="190" spans="3:38">
      <c r="C190" s="711" t="s">
        <v>762</v>
      </c>
      <c r="D190" s="710"/>
      <c r="E190" s="710"/>
      <c r="F190" s="4486">
        <f>SUM(F185:G189)</f>
        <v>27616.180496666668</v>
      </c>
      <c r="G190" s="4487"/>
      <c r="H190" s="4488">
        <f>SUM(H185:I189)</f>
        <v>13.808090248333333</v>
      </c>
      <c r="I190" s="4487"/>
      <c r="J190" s="319"/>
      <c r="K190" s="319"/>
      <c r="L190" s="319"/>
      <c r="M190" s="319"/>
      <c r="N190" s="319"/>
      <c r="O190" s="709"/>
      <c r="Q190" s="708" t="s">
        <v>762</v>
      </c>
      <c r="R190" s="708"/>
      <c r="S190" s="708"/>
      <c r="T190" s="4490">
        <v>29799.96</v>
      </c>
      <c r="U190" s="4490"/>
      <c r="V190" s="4490">
        <v>14.9</v>
      </c>
      <c r="W190" s="4490"/>
      <c r="AA190" s="703"/>
      <c r="AB190" s="400"/>
      <c r="AC190" s="400"/>
      <c r="AD190" s="400"/>
      <c r="AE190" s="400"/>
      <c r="AG190" s="33"/>
      <c r="AH190" s="33"/>
      <c r="AI190" s="33"/>
      <c r="AJ190" s="33"/>
      <c r="AK190" s="33"/>
      <c r="AL190" s="33"/>
    </row>
    <row r="191" spans="3:38">
      <c r="AG191" s="33"/>
      <c r="AH191" s="33"/>
      <c r="AI191" s="33"/>
      <c r="AJ191" s="33"/>
      <c r="AK191" s="33"/>
      <c r="AL191" s="33"/>
    </row>
    <row r="192" spans="3:38">
      <c r="AA192" s="4499" t="s">
        <v>761</v>
      </c>
      <c r="AB192" s="4498"/>
      <c r="AC192" s="4498"/>
      <c r="AD192" s="4498"/>
      <c r="AE192" s="4498"/>
      <c r="AG192" s="33"/>
      <c r="AH192" s="33"/>
      <c r="AI192" s="33"/>
      <c r="AJ192" s="33"/>
      <c r="AK192" s="33"/>
      <c r="AL192" s="33"/>
    </row>
    <row r="193" spans="21:38">
      <c r="AA193" s="4499" t="s">
        <v>760</v>
      </c>
      <c r="AB193" s="4498"/>
      <c r="AC193" s="4498"/>
      <c r="AD193" s="4498"/>
      <c r="AE193" s="4498"/>
      <c r="AG193" s="33"/>
      <c r="AH193" s="33"/>
      <c r="AI193" s="33"/>
      <c r="AJ193" s="33"/>
      <c r="AK193" s="33"/>
      <c r="AL193" s="33"/>
    </row>
    <row r="194" spans="21:38">
      <c r="U194" s="707"/>
      <c r="AA194" s="4500" t="s">
        <v>756</v>
      </c>
      <c r="AB194" s="4498"/>
      <c r="AC194" s="4498"/>
      <c r="AD194" s="4498"/>
      <c r="AE194" s="4498"/>
      <c r="AG194" s="33"/>
      <c r="AH194" s="33"/>
      <c r="AI194" s="33"/>
      <c r="AJ194" s="33"/>
      <c r="AK194" s="33"/>
      <c r="AL194" s="33"/>
    </row>
    <row r="195" spans="21:38" ht="19.899999999999999" customHeight="1">
      <c r="U195" s="707"/>
      <c r="AA195" s="4497" t="s">
        <v>759</v>
      </c>
      <c r="AB195" s="4498"/>
      <c r="AC195" s="4498"/>
      <c r="AD195" s="4498"/>
      <c r="AE195" s="4498"/>
      <c r="AG195" s="33"/>
      <c r="AH195" s="33"/>
      <c r="AI195" s="33"/>
      <c r="AJ195" s="33"/>
      <c r="AK195" s="33"/>
      <c r="AL195" s="33"/>
    </row>
    <row r="196" spans="21:38">
      <c r="U196" s="707"/>
      <c r="AA196" s="4497" t="s">
        <v>758</v>
      </c>
      <c r="AB196" s="4498"/>
      <c r="AC196" s="4498"/>
      <c r="AD196" s="4498"/>
      <c r="AE196" s="4498"/>
      <c r="AG196" s="33"/>
      <c r="AH196" s="33"/>
      <c r="AI196" s="33"/>
      <c r="AJ196" s="33"/>
      <c r="AK196" s="33"/>
      <c r="AL196" s="33"/>
    </row>
    <row r="197" spans="21:38">
      <c r="AA197" s="4497" t="s">
        <v>757</v>
      </c>
      <c r="AB197" s="4498"/>
      <c r="AC197" s="4498"/>
      <c r="AD197" s="4498"/>
      <c r="AE197" s="4498"/>
      <c r="AG197" s="33"/>
      <c r="AH197" s="33"/>
      <c r="AI197" s="33"/>
      <c r="AJ197" s="33"/>
      <c r="AK197" s="33"/>
      <c r="AL197" s="33"/>
    </row>
    <row r="198" spans="21:38">
      <c r="AA198" s="4506" t="s">
        <v>756</v>
      </c>
      <c r="AB198" s="4501">
        <v>2013</v>
      </c>
      <c r="AC198" s="4501">
        <v>2014</v>
      </c>
      <c r="AD198" s="4501">
        <v>2015</v>
      </c>
      <c r="AE198" s="4501">
        <v>2016</v>
      </c>
      <c r="AG198" s="33"/>
      <c r="AH198" s="33"/>
      <c r="AI198" s="33"/>
      <c r="AJ198" s="33"/>
      <c r="AK198" s="33"/>
      <c r="AL198" s="33"/>
    </row>
    <row r="199" spans="21:38">
      <c r="AA199" s="706" t="s">
        <v>755</v>
      </c>
      <c r="AB199" s="400"/>
      <c r="AC199" s="400"/>
      <c r="AD199" s="400"/>
      <c r="AE199" s="400"/>
      <c r="AG199" s="33"/>
      <c r="AH199" s="33"/>
      <c r="AI199" s="33"/>
      <c r="AJ199" s="33"/>
      <c r="AK199" s="33"/>
      <c r="AL199" s="33"/>
    </row>
    <row r="200" spans="21:38">
      <c r="AA200" s="705" t="s">
        <v>754</v>
      </c>
      <c r="AB200" s="704">
        <v>122.3</v>
      </c>
      <c r="AC200" s="704">
        <v>116.3</v>
      </c>
      <c r="AD200" s="704">
        <v>113.7</v>
      </c>
      <c r="AE200" s="704">
        <v>109.8</v>
      </c>
      <c r="AG200" s="33"/>
      <c r="AH200" s="33"/>
      <c r="AI200" s="33"/>
      <c r="AJ200" s="33"/>
      <c r="AK200" s="33"/>
      <c r="AL200" s="33"/>
    </row>
    <row r="201" spans="21:38">
      <c r="AA201" s="705" t="s">
        <v>753</v>
      </c>
      <c r="AB201" s="704">
        <v>118.6</v>
      </c>
      <c r="AC201" s="704">
        <v>115.8</v>
      </c>
      <c r="AD201" s="704">
        <v>104.6</v>
      </c>
      <c r="AE201" s="704">
        <v>98.3</v>
      </c>
      <c r="AG201" s="33"/>
      <c r="AH201" s="33"/>
      <c r="AI201" s="33"/>
      <c r="AJ201" s="33"/>
      <c r="AK201" s="33"/>
      <c r="AL201" s="33"/>
    </row>
    <row r="202" spans="21:38">
      <c r="AA202" s="703" t="s">
        <v>752</v>
      </c>
      <c r="AB202" s="400"/>
      <c r="AC202" s="400"/>
      <c r="AD202" s="400"/>
      <c r="AE202" s="400"/>
      <c r="AG202" s="33"/>
      <c r="AH202" s="33"/>
      <c r="AI202" s="33"/>
      <c r="AJ202" s="33"/>
      <c r="AK202" s="33"/>
      <c r="AL202" s="33"/>
    </row>
    <row r="203" spans="21:38">
      <c r="AA203" s="703" t="s">
        <v>751</v>
      </c>
      <c r="AB203" s="400"/>
      <c r="AC203" s="400"/>
      <c r="AD203" s="400"/>
      <c r="AE203" s="400"/>
      <c r="AG203" s="33"/>
      <c r="AH203" s="33"/>
      <c r="AI203" s="33"/>
      <c r="AJ203" s="33"/>
      <c r="AK203" s="33"/>
      <c r="AL203" s="33"/>
    </row>
    <row r="204" spans="21:38">
      <c r="AA204" s="15" t="s">
        <v>750</v>
      </c>
      <c r="AB204" s="400"/>
      <c r="AC204" s="400"/>
      <c r="AD204" s="400"/>
      <c r="AE204" s="400"/>
    </row>
    <row r="205" spans="21:38">
      <c r="AA205" s="703" t="s">
        <v>749</v>
      </c>
      <c r="AB205" s="400"/>
      <c r="AC205" s="400"/>
      <c r="AD205" s="400"/>
      <c r="AE205" s="400"/>
    </row>
    <row r="210" spans="2:2">
      <c r="B210" s="49"/>
    </row>
    <row r="226" ht="19.899999999999999" customHeight="1"/>
    <row r="227" ht="19.899999999999999" customHeight="1"/>
    <row r="229" ht="12.95" customHeight="1"/>
    <row r="231" ht="7.15" customHeight="1"/>
    <row r="237" ht="7.15" customHeight="1"/>
    <row r="240" ht="7.15" customHeight="1"/>
    <row r="242" spans="3:11" ht="7.15" customHeight="1"/>
    <row r="244" spans="3:11" ht="18" customHeight="1"/>
    <row r="245" spans="3:11" ht="19.899999999999999" customHeight="1">
      <c r="C245" s="696"/>
      <c r="D245" s="695"/>
      <c r="E245" s="695"/>
    </row>
    <row r="246" spans="3:11" ht="19.899999999999999" hidden="1" customHeight="1">
      <c r="C246" s="702" t="s">
        <v>748</v>
      </c>
      <c r="D246" s="701"/>
      <c r="E246" s="701"/>
      <c r="F246" s="701"/>
    </row>
    <row r="247" spans="3:11" hidden="1">
      <c r="C247" s="448" t="s">
        <v>747</v>
      </c>
      <c r="D247" s="389" t="s">
        <v>746</v>
      </c>
      <c r="E247" s="701"/>
      <c r="F247" s="701"/>
    </row>
    <row r="248" spans="3:11" ht="13.5" hidden="1" thickBot="1">
      <c r="C248" s="700" t="s">
        <v>745</v>
      </c>
      <c r="D248" s="699"/>
      <c r="E248" s="698">
        <v>2.5</v>
      </c>
      <c r="F248" s="697" t="s">
        <v>744</v>
      </c>
    </row>
    <row r="249" spans="3:11" ht="19.899999999999999" hidden="1" customHeight="1">
      <c r="C249" s="696"/>
      <c r="D249" s="695"/>
      <c r="E249" s="695"/>
    </row>
    <row r="250" spans="3:11" ht="19.899999999999999" hidden="1" customHeight="1">
      <c r="C250" s="694" t="s">
        <v>743</v>
      </c>
    </row>
    <row r="251" spans="3:11" hidden="1">
      <c r="C251" s="448" t="s">
        <v>742</v>
      </c>
      <c r="D251" s="693"/>
    </row>
    <row r="252" spans="3:11" hidden="1">
      <c r="C252" s="692" t="s">
        <v>741</v>
      </c>
      <c r="D252" s="691"/>
      <c r="E252" s="690"/>
      <c r="F252" s="688"/>
      <c r="G252" s="689" t="s">
        <v>740</v>
      </c>
      <c r="H252" s="688">
        <v>1.1000000000000001</v>
      </c>
      <c r="I252" s="687" t="s">
        <v>739</v>
      </c>
      <c r="J252" s="679"/>
      <c r="K252" s="679"/>
    </row>
    <row r="253" spans="3:11" ht="13.5" hidden="1" thickBot="1">
      <c r="C253" s="686" t="s">
        <v>738</v>
      </c>
      <c r="D253" s="685"/>
      <c r="E253" s="684"/>
      <c r="F253" s="683"/>
      <c r="G253" s="682" t="s">
        <v>579</v>
      </c>
      <c r="H253" s="681"/>
      <c r="I253" s="680"/>
      <c r="J253" s="679"/>
      <c r="K253" s="679"/>
    </row>
    <row r="254" spans="3:11" ht="19.899999999999999" customHeight="1"/>
    <row r="255" spans="3:11">
      <c r="C255" s="79"/>
    </row>
  </sheetData>
  <sheetProtection sheet="1" objects="1" scenarios="1"/>
  <mergeCells count="100">
    <mergeCell ref="T178:U178"/>
    <mergeCell ref="V185:W185"/>
    <mergeCell ref="T186:U186"/>
    <mergeCell ref="V186:W186"/>
    <mergeCell ref="T187:U187"/>
    <mergeCell ref="V187:W187"/>
    <mergeCell ref="T179:U179"/>
    <mergeCell ref="V179:W179"/>
    <mergeCell ref="T180:U180"/>
    <mergeCell ref="V180:W180"/>
    <mergeCell ref="V184:W184"/>
    <mergeCell ref="H8:I8"/>
    <mergeCell ref="L99:M99"/>
    <mergeCell ref="N99:O99"/>
    <mergeCell ref="L100:O100"/>
    <mergeCell ref="G9:I9"/>
    <mergeCell ref="G10:I10"/>
    <mergeCell ref="G11:I11"/>
    <mergeCell ref="G12:I12"/>
    <mergeCell ref="G13:I13"/>
    <mergeCell ref="G14:I14"/>
    <mergeCell ref="G99:H99"/>
    <mergeCell ref="G83:H83"/>
    <mergeCell ref="G15:I15"/>
    <mergeCell ref="G16:I16"/>
    <mergeCell ref="E100:H100"/>
    <mergeCell ref="E99:F99"/>
    <mergeCell ref="H119:I119"/>
    <mergeCell ref="H120:I120"/>
    <mergeCell ref="I176:J176"/>
    <mergeCell ref="F178:G178"/>
    <mergeCell ref="F179:G179"/>
    <mergeCell ref="H179:I179"/>
    <mergeCell ref="G17:I17"/>
    <mergeCell ref="G18:I18"/>
    <mergeCell ref="G20:I20"/>
    <mergeCell ref="F30:I30"/>
    <mergeCell ref="I82:I83"/>
    <mergeCell ref="G19:I19"/>
    <mergeCell ref="D85:E85"/>
    <mergeCell ref="C43:D43"/>
    <mergeCell ref="F44:G44"/>
    <mergeCell ref="D86:E86"/>
    <mergeCell ref="D87:E87"/>
    <mergeCell ref="F43:G43"/>
    <mergeCell ref="F180:G180"/>
    <mergeCell ref="F181:G181"/>
    <mergeCell ref="H180:I180"/>
    <mergeCell ref="F186:G186"/>
    <mergeCell ref="F187:G187"/>
    <mergeCell ref="F182:G182"/>
    <mergeCell ref="F183:G183"/>
    <mergeCell ref="H182:I182"/>
    <mergeCell ref="H183:I183"/>
    <mergeCell ref="H181:I181"/>
    <mergeCell ref="AE198"/>
    <mergeCell ref="F189:G189"/>
    <mergeCell ref="F184:G184"/>
    <mergeCell ref="F185:G185"/>
    <mergeCell ref="H184:I184"/>
    <mergeCell ref="F188:G188"/>
    <mergeCell ref="AA198"/>
    <mergeCell ref="AB198"/>
    <mergeCell ref="AC198"/>
    <mergeCell ref="AD198"/>
    <mergeCell ref="H186:I186"/>
    <mergeCell ref="H187:I187"/>
    <mergeCell ref="H189:I189"/>
    <mergeCell ref="T188:U188"/>
    <mergeCell ref="V188:W188"/>
    <mergeCell ref="H188:I188"/>
    <mergeCell ref="AA176:AE176"/>
    <mergeCell ref="AA177:AE177"/>
    <mergeCell ref="AA178:AE178"/>
    <mergeCell ref="AA179:AE179"/>
    <mergeCell ref="AA180:AE180"/>
    <mergeCell ref="AA182"/>
    <mergeCell ref="AB182"/>
    <mergeCell ref="AA181:AE181"/>
    <mergeCell ref="AA197:AE197"/>
    <mergeCell ref="AA192:AE192"/>
    <mergeCell ref="AA193:AE193"/>
    <mergeCell ref="AA194:AE194"/>
    <mergeCell ref="AA195:AE195"/>
    <mergeCell ref="AA196:AE196"/>
    <mergeCell ref="F190:G190"/>
    <mergeCell ref="H190:I190"/>
    <mergeCell ref="V181:W181"/>
    <mergeCell ref="T183:U183"/>
    <mergeCell ref="T182:U182"/>
    <mergeCell ref="V182:W182"/>
    <mergeCell ref="T181:U181"/>
    <mergeCell ref="T190:U190"/>
    <mergeCell ref="V190:W190"/>
    <mergeCell ref="T185:U185"/>
    <mergeCell ref="T189:U189"/>
    <mergeCell ref="V189:W189"/>
    <mergeCell ref="V183:W183"/>
    <mergeCell ref="T184:U184"/>
    <mergeCell ref="H185:I185"/>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Gmünd&amp;C&amp;P+8&amp;R&amp;11&amp;F</oddFooter>
  </headerFooter>
  <rowBreaks count="2" manualBreakCount="2">
    <brk id="75" min="2" max="14" man="1"/>
    <brk id="190" min="2" max="14"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00B0F0"/>
    <pageSetUpPr fitToPage="1"/>
  </sheetPr>
  <dimension ref="A1:AF116"/>
  <sheetViews>
    <sheetView showZeros="0" zoomScaleNormal="100" workbookViewId="0"/>
  </sheetViews>
  <sheetFormatPr baseColWidth="10" defaultColWidth="10.25" defaultRowHeight="12.75"/>
  <cols>
    <col min="1" max="1" width="2.375" style="4" customWidth="1"/>
    <col min="2" max="2" width="38.625" style="4" bestFit="1" customWidth="1"/>
    <col min="3" max="3" width="7.125" style="4" hidden="1" customWidth="1"/>
    <col min="4" max="4" width="11.25" style="1065" bestFit="1" customWidth="1"/>
    <col min="5" max="5" width="8.75" style="4" customWidth="1"/>
    <col min="6" max="6" width="8.75" style="1066" customWidth="1"/>
    <col min="7" max="7" width="9.625" style="4" customWidth="1"/>
    <col min="8" max="8" width="9.625" style="1065" customWidth="1"/>
    <col min="9" max="9" width="9.625" style="19" customWidth="1"/>
    <col min="10" max="11" width="10.25" style="631"/>
    <col min="12" max="12" width="18.625" style="1064" customWidth="1"/>
    <col min="13" max="13" width="10.25" style="631" customWidth="1"/>
    <col min="14" max="15" width="10.25" style="631"/>
    <col min="16" max="16" width="12.25" style="631" customWidth="1"/>
    <col min="17" max="16384" width="10.25" style="631"/>
  </cols>
  <sheetData>
    <row r="1" spans="1:17" s="4" customFormat="1">
      <c r="A1" s="1139"/>
      <c r="D1" s="1065"/>
      <c r="F1" s="1066"/>
      <c r="H1" s="1065"/>
      <c r="I1" s="19"/>
      <c r="L1" s="1065"/>
    </row>
    <row r="2" spans="1:17" s="4" customFormat="1" ht="22.15" customHeight="1">
      <c r="A2" s="1091"/>
      <c r="B2" s="118" t="s">
        <v>1058</v>
      </c>
      <c r="C2" s="1138"/>
      <c r="D2" s="1096"/>
      <c r="E2" s="1095"/>
      <c r="F2" s="1097"/>
      <c r="G2" s="1095"/>
      <c r="H2" s="1096"/>
      <c r="I2" s="1133"/>
      <c r="L2" s="1065"/>
    </row>
    <row r="3" spans="1:17" s="4" customFormat="1" ht="26.45" customHeight="1">
      <c r="A3" s="1091"/>
      <c r="B3" s="4105" t="s">
        <v>2194</v>
      </c>
      <c r="D3" s="1137"/>
      <c r="E3" s="1135"/>
      <c r="F3" s="1136"/>
      <c r="G3" s="1135"/>
      <c r="H3" s="1134"/>
      <c r="I3" s="1133"/>
      <c r="J3" s="1086"/>
      <c r="K3" s="1086"/>
      <c r="L3" s="1087"/>
      <c r="M3" s="1086"/>
      <c r="N3" s="1086"/>
      <c r="O3" s="1086"/>
    </row>
    <row r="4" spans="1:17" s="4" customFormat="1" ht="19.899999999999999" customHeight="1">
      <c r="A4" s="1091"/>
      <c r="B4" s="4106" t="s">
        <v>2195</v>
      </c>
      <c r="C4" s="1095"/>
      <c r="D4" s="1096"/>
      <c r="E4" s="1095"/>
      <c r="F4" s="1097"/>
      <c r="G4" s="1095"/>
      <c r="H4" s="1096"/>
      <c r="I4" s="1095"/>
      <c r="J4" s="1086"/>
      <c r="K4" s="1086"/>
      <c r="L4" s="1087"/>
      <c r="M4" s="1086"/>
      <c r="N4" s="1086"/>
      <c r="O4" s="1086"/>
    </row>
    <row r="5" spans="1:17" s="4" customFormat="1" ht="15.6" customHeight="1">
      <c r="A5" s="1091"/>
      <c r="C5" s="1095"/>
      <c r="D5" s="1096"/>
      <c r="E5" s="1132"/>
      <c r="F5" s="1132"/>
      <c r="G5" s="1131"/>
      <c r="H5" s="1092"/>
      <c r="I5" s="1093"/>
      <c r="J5" s="1086"/>
      <c r="K5" s="1086"/>
      <c r="L5" s="1087"/>
      <c r="M5" s="1119"/>
      <c r="N5" s="1119"/>
      <c r="O5" s="1119"/>
      <c r="P5" s="8"/>
    </row>
    <row r="6" spans="1:17" s="4" customFormat="1" ht="19.899999999999999" customHeight="1">
      <c r="A6" s="1080"/>
      <c r="B6" s="1130"/>
      <c r="C6" s="1129"/>
      <c r="D6" s="1128" t="s">
        <v>1057</v>
      </c>
      <c r="E6" s="1127"/>
      <c r="F6" s="1127"/>
      <c r="G6" s="1126"/>
      <c r="H6" s="1128" t="s">
        <v>2048</v>
      </c>
      <c r="I6" s="1127"/>
      <c r="J6" s="1127"/>
      <c r="K6" s="1126"/>
      <c r="L6" s="4561" t="s">
        <v>1056</v>
      </c>
      <c r="M6" s="4563" t="s">
        <v>2196</v>
      </c>
      <c r="N6" s="4564"/>
      <c r="O6" s="4564"/>
      <c r="P6" s="4564"/>
      <c r="Q6" s="4561" t="s">
        <v>2197</v>
      </c>
    </row>
    <row r="7" spans="1:17" s="8" customFormat="1" ht="15.6" customHeight="1">
      <c r="A7" s="1125"/>
      <c r="B7" s="1124" t="s">
        <v>990</v>
      </c>
      <c r="C7" s="1123" t="s">
        <v>1055</v>
      </c>
      <c r="D7" s="1122" t="s">
        <v>246</v>
      </c>
      <c r="E7" s="1121" t="s">
        <v>1054</v>
      </c>
      <c r="F7" s="1121" t="s">
        <v>1053</v>
      </c>
      <c r="G7" s="1120" t="s">
        <v>240</v>
      </c>
      <c r="H7" s="1122" t="s">
        <v>246</v>
      </c>
      <c r="I7" s="1121" t="s">
        <v>1054</v>
      </c>
      <c r="J7" s="1121" t="s">
        <v>1053</v>
      </c>
      <c r="K7" s="1120" t="s">
        <v>240</v>
      </c>
      <c r="L7" s="4562"/>
      <c r="M7" s="1122" t="s">
        <v>246</v>
      </c>
      <c r="N7" s="1121" t="s">
        <v>1054</v>
      </c>
      <c r="O7" s="1121" t="s">
        <v>1053</v>
      </c>
      <c r="P7" s="1120" t="s">
        <v>240</v>
      </c>
      <c r="Q7" s="4562"/>
    </row>
    <row r="8" spans="1:17" s="1084" customFormat="1" ht="15.6" hidden="1" customHeight="1">
      <c r="A8" s="1080"/>
      <c r="C8" s="631"/>
      <c r="D8" s="1118" t="s">
        <v>1052</v>
      </c>
      <c r="E8" s="34" t="s">
        <v>1051</v>
      </c>
      <c r="F8" s="34" t="s">
        <v>1050</v>
      </c>
      <c r="G8" s="34" t="s">
        <v>1049</v>
      </c>
      <c r="H8" s="1118" t="s">
        <v>1048</v>
      </c>
      <c r="I8" s="34" t="s">
        <v>1047</v>
      </c>
      <c r="J8" s="34" t="s">
        <v>1046</v>
      </c>
      <c r="K8" s="34" t="s">
        <v>1045</v>
      </c>
      <c r="L8" s="1118"/>
    </row>
    <row r="9" spans="1:17" s="1072" customFormat="1" ht="15.6" customHeight="1">
      <c r="A9" s="1080">
        <v>1</v>
      </c>
      <c r="B9" s="1117"/>
      <c r="C9" s="1113"/>
      <c r="D9" s="1116"/>
      <c r="E9" s="1115"/>
      <c r="F9" s="1114"/>
      <c r="G9" s="1113"/>
      <c r="H9" s="1053"/>
      <c r="I9" s="1114"/>
      <c r="J9" s="1114"/>
      <c r="K9" s="1113"/>
      <c r="L9" s="950"/>
      <c r="P9" s="2046"/>
      <c r="Q9" s="2042"/>
    </row>
    <row r="10" spans="1:17" s="1072" customFormat="1" ht="15.6" customHeight="1">
      <c r="A10" s="1080">
        <f>A9+1</f>
        <v>2</v>
      </c>
      <c r="B10" s="1107" t="s">
        <v>98</v>
      </c>
      <c r="C10" s="1106" t="s">
        <v>97</v>
      </c>
      <c r="D10" s="1111">
        <v>1.81</v>
      </c>
      <c r="E10" s="1110">
        <v>0.8</v>
      </c>
      <c r="F10" s="1110">
        <v>0.6</v>
      </c>
      <c r="G10" s="1109">
        <v>0.2</v>
      </c>
      <c r="H10" s="1111">
        <f t="shared" ref="H10:K15" si="0">M10-D10</f>
        <v>0.39999999999999991</v>
      </c>
      <c r="I10" s="1110">
        <f t="shared" si="0"/>
        <v>0.24</v>
      </c>
      <c r="J10" s="1110">
        <f t="shared" si="0"/>
        <v>1.1200000000000001</v>
      </c>
      <c r="K10" s="1109">
        <f t="shared" si="0"/>
        <v>0.15999999999999998</v>
      </c>
      <c r="L10" s="1102">
        <v>80</v>
      </c>
      <c r="M10" s="1110">
        <v>2.21</v>
      </c>
      <c r="N10" s="1110">
        <v>1.04</v>
      </c>
      <c r="O10" s="1110">
        <v>1.72</v>
      </c>
      <c r="P10" s="1109">
        <v>0.36</v>
      </c>
      <c r="Q10" s="4107"/>
    </row>
    <row r="11" spans="1:17" s="1072" customFormat="1" ht="15.6" customHeight="1">
      <c r="A11" s="1080">
        <f t="shared" ref="A11:A44" si="1">A10+1</f>
        <v>3</v>
      </c>
      <c r="B11" s="1107" t="s">
        <v>96</v>
      </c>
      <c r="C11" s="1106" t="s">
        <v>95</v>
      </c>
      <c r="D11" s="1111">
        <v>2.11</v>
      </c>
      <c r="E11" s="1110">
        <v>0.8</v>
      </c>
      <c r="F11" s="1110">
        <v>0.6</v>
      </c>
      <c r="G11" s="1109">
        <v>0.2</v>
      </c>
      <c r="H11" s="1111">
        <f t="shared" si="0"/>
        <v>0.39999999999999991</v>
      </c>
      <c r="I11" s="1110">
        <f t="shared" si="0"/>
        <v>0.24</v>
      </c>
      <c r="J11" s="1110">
        <f t="shared" si="0"/>
        <v>1.1200000000000001</v>
      </c>
      <c r="K11" s="1109">
        <f t="shared" si="0"/>
        <v>0.15999999999999998</v>
      </c>
      <c r="L11" s="1102">
        <v>80</v>
      </c>
      <c r="M11" s="1110">
        <v>2.5099999999999998</v>
      </c>
      <c r="N11" s="1110">
        <v>1.04</v>
      </c>
      <c r="O11" s="1110">
        <v>1.72</v>
      </c>
      <c r="P11" s="1109">
        <v>0.36</v>
      </c>
      <c r="Q11" s="4107"/>
    </row>
    <row r="12" spans="1:17" s="1072" customFormat="1" ht="15" customHeight="1">
      <c r="A12" s="1080">
        <f t="shared" si="1"/>
        <v>4</v>
      </c>
      <c r="B12" s="1107" t="s">
        <v>211</v>
      </c>
      <c r="C12" s="1106" t="s">
        <v>93</v>
      </c>
      <c r="D12" s="1111">
        <v>2.11</v>
      </c>
      <c r="E12" s="1110">
        <v>0.8</v>
      </c>
      <c r="F12" s="1110">
        <v>0.6</v>
      </c>
      <c r="G12" s="1109">
        <v>0.2</v>
      </c>
      <c r="H12" s="1111">
        <f t="shared" si="0"/>
        <v>0.39999999999999991</v>
      </c>
      <c r="I12" s="1110">
        <f t="shared" si="0"/>
        <v>0.24</v>
      </c>
      <c r="J12" s="1110">
        <f t="shared" si="0"/>
        <v>1.1200000000000001</v>
      </c>
      <c r="K12" s="1109">
        <f t="shared" si="0"/>
        <v>0.15999999999999998</v>
      </c>
      <c r="L12" s="1102">
        <v>80</v>
      </c>
      <c r="M12" s="1110">
        <v>2.5099999999999998</v>
      </c>
      <c r="N12" s="1110">
        <v>1.04</v>
      </c>
      <c r="O12" s="1110">
        <v>1.72</v>
      </c>
      <c r="P12" s="1109">
        <v>0.36</v>
      </c>
      <c r="Q12" s="4107"/>
    </row>
    <row r="13" spans="1:17" s="1072" customFormat="1" ht="15.6" customHeight="1">
      <c r="A13" s="1080">
        <f t="shared" si="1"/>
        <v>5</v>
      </c>
      <c r="B13" s="1107" t="s">
        <v>209</v>
      </c>
      <c r="C13" s="1106" t="s">
        <v>91</v>
      </c>
      <c r="D13" s="1111">
        <v>2.41</v>
      </c>
      <c r="E13" s="1110">
        <v>0.8</v>
      </c>
      <c r="F13" s="1110">
        <v>0.6</v>
      </c>
      <c r="G13" s="1109">
        <v>0.2</v>
      </c>
      <c r="H13" s="1111">
        <f t="shared" si="0"/>
        <v>0.39999999999999991</v>
      </c>
      <c r="I13" s="1110">
        <f t="shared" si="0"/>
        <v>0.24</v>
      </c>
      <c r="J13" s="1110">
        <f t="shared" si="0"/>
        <v>1.1200000000000001</v>
      </c>
      <c r="K13" s="1109">
        <f t="shared" si="0"/>
        <v>0.15999999999999998</v>
      </c>
      <c r="L13" s="1102">
        <v>80</v>
      </c>
      <c r="M13" s="1110">
        <v>2.81</v>
      </c>
      <c r="N13" s="1110">
        <v>1.04</v>
      </c>
      <c r="O13" s="1110">
        <v>1.72</v>
      </c>
      <c r="P13" s="1109">
        <v>0.36</v>
      </c>
      <c r="Q13" s="4107"/>
    </row>
    <row r="14" spans="1:17" s="1072" customFormat="1" ht="15.6" customHeight="1">
      <c r="A14" s="1080">
        <f t="shared" si="1"/>
        <v>6</v>
      </c>
      <c r="B14" s="1107" t="s">
        <v>90</v>
      </c>
      <c r="C14" s="1106" t="s">
        <v>89</v>
      </c>
      <c r="D14" s="1111">
        <v>1.51</v>
      </c>
      <c r="E14" s="1110">
        <v>0.8</v>
      </c>
      <c r="F14" s="1110">
        <v>0.6</v>
      </c>
      <c r="G14" s="1109">
        <v>0.2</v>
      </c>
      <c r="H14" s="1111">
        <f t="shared" si="0"/>
        <v>0.44999999999999996</v>
      </c>
      <c r="I14" s="1110">
        <f t="shared" si="0"/>
        <v>0.27</v>
      </c>
      <c r="J14" s="1110">
        <f t="shared" si="0"/>
        <v>1.7999999999999998</v>
      </c>
      <c r="K14" s="1109">
        <f t="shared" si="0"/>
        <v>0.18</v>
      </c>
      <c r="L14" s="1102">
        <v>90</v>
      </c>
      <c r="M14" s="1110">
        <v>1.96</v>
      </c>
      <c r="N14" s="1110">
        <v>1.07</v>
      </c>
      <c r="O14" s="1110">
        <v>2.4</v>
      </c>
      <c r="P14" s="1109">
        <v>0.38</v>
      </c>
      <c r="Q14" s="4107"/>
    </row>
    <row r="15" spans="1:17" s="1072" customFormat="1" ht="15.6" customHeight="1">
      <c r="A15" s="1080">
        <f t="shared" si="1"/>
        <v>7</v>
      </c>
      <c r="B15" s="1107" t="s">
        <v>88</v>
      </c>
      <c r="C15" s="1106" t="s">
        <v>87</v>
      </c>
      <c r="D15" s="1111">
        <v>1.79</v>
      </c>
      <c r="E15" s="1110">
        <v>0.8</v>
      </c>
      <c r="F15" s="1112">
        <v>0.6</v>
      </c>
      <c r="G15" s="1109">
        <v>0.2</v>
      </c>
      <c r="H15" s="1111">
        <f t="shared" si="0"/>
        <v>0.45000000000000018</v>
      </c>
      <c r="I15" s="1110">
        <f t="shared" si="0"/>
        <v>0.27</v>
      </c>
      <c r="J15" s="1110">
        <f t="shared" si="0"/>
        <v>1.5299999999999998</v>
      </c>
      <c r="K15" s="1109">
        <f t="shared" si="0"/>
        <v>0.18</v>
      </c>
      <c r="L15" s="1102">
        <v>90</v>
      </c>
      <c r="M15" s="1110">
        <v>2.2400000000000002</v>
      </c>
      <c r="N15" s="1110">
        <v>1.07</v>
      </c>
      <c r="O15" s="1110">
        <v>2.13</v>
      </c>
      <c r="P15" s="1109">
        <v>0.38</v>
      </c>
      <c r="Q15" s="4107"/>
    </row>
    <row r="16" spans="1:17" s="1072" customFormat="1" ht="15.6" customHeight="1">
      <c r="A16" s="1080">
        <f t="shared" si="1"/>
        <v>8</v>
      </c>
      <c r="B16" s="1107" t="s">
        <v>86</v>
      </c>
      <c r="C16" s="1106" t="s">
        <v>85</v>
      </c>
      <c r="D16" s="1111">
        <v>1.79</v>
      </c>
      <c r="E16" s="1110">
        <v>0.8</v>
      </c>
      <c r="F16" s="1112">
        <v>0.6</v>
      </c>
      <c r="G16" s="1109">
        <v>0.2</v>
      </c>
      <c r="H16" s="1111">
        <f t="shared" ref="H16:H26" si="2">M16-D16</f>
        <v>0.35000000000000009</v>
      </c>
      <c r="I16" s="1110">
        <f t="shared" ref="I16:I26" si="3">N16-E16</f>
        <v>0.20999999999999996</v>
      </c>
      <c r="J16" s="1110">
        <f t="shared" ref="J16:J28" si="4">O16-F16</f>
        <v>1.19</v>
      </c>
      <c r="K16" s="1109">
        <f t="shared" ref="K16:K28" si="5">P16-G16</f>
        <v>7.0000000000000007E-2</v>
      </c>
      <c r="L16" s="1102">
        <v>70</v>
      </c>
      <c r="M16" s="1110">
        <v>2.14</v>
      </c>
      <c r="N16" s="1110">
        <v>1.01</v>
      </c>
      <c r="O16" s="1110">
        <v>1.79</v>
      </c>
      <c r="P16" s="1109">
        <v>0.27</v>
      </c>
      <c r="Q16" s="4107"/>
    </row>
    <row r="17" spans="1:17" s="1072" customFormat="1" ht="15.6" customHeight="1">
      <c r="A17" s="1080">
        <f t="shared" si="1"/>
        <v>9</v>
      </c>
      <c r="B17" s="1107" t="s">
        <v>84</v>
      </c>
      <c r="C17" s="1106" t="s">
        <v>83</v>
      </c>
      <c r="D17" s="1111">
        <v>1.6</v>
      </c>
      <c r="E17" s="1110">
        <v>0.8</v>
      </c>
      <c r="F17" s="1110">
        <v>0.8</v>
      </c>
      <c r="G17" s="1109">
        <v>0.2</v>
      </c>
      <c r="H17" s="1111">
        <f t="shared" si="2"/>
        <v>0.5</v>
      </c>
      <c r="I17" s="1110">
        <f t="shared" si="3"/>
        <v>0.30000000000000004</v>
      </c>
      <c r="J17" s="1110">
        <f t="shared" si="4"/>
        <v>1.7</v>
      </c>
      <c r="K17" s="1109">
        <f t="shared" si="5"/>
        <v>0.15999999999999998</v>
      </c>
      <c r="L17" s="1102">
        <v>90</v>
      </c>
      <c r="M17" s="1110">
        <v>2.1</v>
      </c>
      <c r="N17" s="1110">
        <v>1.1000000000000001</v>
      </c>
      <c r="O17" s="1110">
        <v>2.5</v>
      </c>
      <c r="P17" s="1109">
        <v>0.36</v>
      </c>
      <c r="Q17" s="4107"/>
    </row>
    <row r="18" spans="1:17" s="1072" customFormat="1" ht="15.6" customHeight="1">
      <c r="A18" s="1080">
        <f t="shared" si="1"/>
        <v>10</v>
      </c>
      <c r="B18" s="1107" t="s">
        <v>208</v>
      </c>
      <c r="C18" s="1106" t="s">
        <v>80</v>
      </c>
      <c r="D18" s="1111">
        <v>2.11</v>
      </c>
      <c r="E18" s="1110">
        <v>0.8</v>
      </c>
      <c r="F18" s="1110">
        <v>0.6</v>
      </c>
      <c r="G18" s="1109">
        <v>0.2</v>
      </c>
      <c r="H18" s="1111">
        <f t="shared" si="2"/>
        <v>0.39999999999999991</v>
      </c>
      <c r="I18" s="1110">
        <f t="shared" si="3"/>
        <v>0.24</v>
      </c>
      <c r="J18" s="1110">
        <f t="shared" si="4"/>
        <v>1.1200000000000001</v>
      </c>
      <c r="K18" s="1109">
        <f t="shared" si="5"/>
        <v>0.15999999999999998</v>
      </c>
      <c r="L18" s="1102">
        <v>80</v>
      </c>
      <c r="M18" s="1110">
        <v>2.5099999999999998</v>
      </c>
      <c r="N18" s="1110">
        <v>1.04</v>
      </c>
      <c r="O18" s="1110">
        <v>1.72</v>
      </c>
      <c r="P18" s="1109">
        <v>0.36</v>
      </c>
      <c r="Q18" s="4107"/>
    </row>
    <row r="19" spans="1:17" s="1072" customFormat="1" ht="15.6" customHeight="1">
      <c r="A19" s="1080">
        <f t="shared" si="1"/>
        <v>11</v>
      </c>
      <c r="B19" s="1107" t="s">
        <v>207</v>
      </c>
      <c r="C19" s="1106" t="s">
        <v>78</v>
      </c>
      <c r="D19" s="1111">
        <v>1.79</v>
      </c>
      <c r="E19" s="1110">
        <v>0.8</v>
      </c>
      <c r="F19" s="1110">
        <v>0.6</v>
      </c>
      <c r="G19" s="1109">
        <v>0.2</v>
      </c>
      <c r="H19" s="1111">
        <f t="shared" si="2"/>
        <v>0.39999999999999991</v>
      </c>
      <c r="I19" s="1110">
        <f t="shared" si="3"/>
        <v>0.24</v>
      </c>
      <c r="J19" s="1110">
        <f t="shared" si="4"/>
        <v>1.3599999999999999</v>
      </c>
      <c r="K19" s="1109">
        <f t="shared" si="5"/>
        <v>8.0000000000000016E-2</v>
      </c>
      <c r="L19" s="1102">
        <v>80</v>
      </c>
      <c r="M19" s="1110">
        <v>2.19</v>
      </c>
      <c r="N19" s="1110">
        <v>1.04</v>
      </c>
      <c r="O19" s="1110">
        <v>1.96</v>
      </c>
      <c r="P19" s="1109">
        <v>0.28000000000000003</v>
      </c>
      <c r="Q19" s="4107"/>
    </row>
    <row r="20" spans="1:17" s="1072" customFormat="1" ht="15.6" customHeight="1">
      <c r="A20" s="1080">
        <f t="shared" si="1"/>
        <v>12</v>
      </c>
      <c r="B20" s="1107" t="s">
        <v>77</v>
      </c>
      <c r="C20" s="1106" t="s">
        <v>76</v>
      </c>
      <c r="D20" s="1111">
        <v>1.38</v>
      </c>
      <c r="E20" s="1110">
        <v>0.8</v>
      </c>
      <c r="F20" s="1112">
        <v>0.6</v>
      </c>
      <c r="G20" s="1109">
        <v>0.2</v>
      </c>
      <c r="H20" s="1111">
        <f t="shared" si="2"/>
        <v>0.35000000000000009</v>
      </c>
      <c r="I20" s="1110">
        <f t="shared" si="3"/>
        <v>0.20999999999999996</v>
      </c>
      <c r="J20" s="1110">
        <f t="shared" si="4"/>
        <v>1.19</v>
      </c>
      <c r="K20" s="1109">
        <f t="shared" si="5"/>
        <v>7.0000000000000007E-2</v>
      </c>
      <c r="L20" s="1102">
        <v>70</v>
      </c>
      <c r="M20" s="1110">
        <v>1.73</v>
      </c>
      <c r="N20" s="1110">
        <v>1.01</v>
      </c>
      <c r="O20" s="1110">
        <v>1.79</v>
      </c>
      <c r="P20" s="1109">
        <v>0.27</v>
      </c>
      <c r="Q20" s="4107"/>
    </row>
    <row r="21" spans="1:17" s="1072" customFormat="1" ht="15.6" customHeight="1">
      <c r="A21" s="1080">
        <f t="shared" si="1"/>
        <v>13</v>
      </c>
      <c r="B21" s="1107" t="s">
        <v>206</v>
      </c>
      <c r="C21" s="1106" t="s">
        <v>74</v>
      </c>
      <c r="D21" s="1111">
        <v>1.51</v>
      </c>
      <c r="E21" s="1110">
        <v>0.8</v>
      </c>
      <c r="F21" s="1112">
        <v>0.6</v>
      </c>
      <c r="G21" s="1109">
        <v>0.2</v>
      </c>
      <c r="H21" s="1111">
        <f t="shared" si="2"/>
        <v>0.55000000000000004</v>
      </c>
      <c r="I21" s="1110">
        <f t="shared" si="3"/>
        <v>0.32999999999999985</v>
      </c>
      <c r="J21" s="1110">
        <f t="shared" si="4"/>
        <v>1.87</v>
      </c>
      <c r="K21" s="1109">
        <f t="shared" si="5"/>
        <v>0.21999999999999997</v>
      </c>
      <c r="L21" s="1102">
        <v>110</v>
      </c>
      <c r="M21" s="1110">
        <v>2.06</v>
      </c>
      <c r="N21" s="1110">
        <v>1.1299999999999999</v>
      </c>
      <c r="O21" s="1110">
        <v>2.4700000000000002</v>
      </c>
      <c r="P21" s="1109">
        <v>0.42</v>
      </c>
      <c r="Q21" s="4107"/>
    </row>
    <row r="22" spans="1:17" s="1072" customFormat="1" ht="15.6" customHeight="1">
      <c r="A22" s="1080">
        <f t="shared" si="1"/>
        <v>14</v>
      </c>
      <c r="B22" s="1107" t="s">
        <v>73</v>
      </c>
      <c r="C22" s="1106" t="s">
        <v>72</v>
      </c>
      <c r="D22" s="1111">
        <v>2.2599999999999998</v>
      </c>
      <c r="E22" s="1110">
        <v>0.8</v>
      </c>
      <c r="F22" s="1112">
        <v>0.6</v>
      </c>
      <c r="G22" s="1109">
        <v>0.2</v>
      </c>
      <c r="H22" s="1111">
        <f t="shared" si="2"/>
        <v>0.40000000000000036</v>
      </c>
      <c r="I22" s="1110">
        <f t="shared" si="3"/>
        <v>0.24</v>
      </c>
      <c r="J22" s="1110">
        <f t="shared" si="4"/>
        <v>1.3599999999999999</v>
      </c>
      <c r="K22" s="1109">
        <f t="shared" si="5"/>
        <v>0.15999999999999998</v>
      </c>
      <c r="L22" s="1102">
        <v>80</v>
      </c>
      <c r="M22" s="1110">
        <v>2.66</v>
      </c>
      <c r="N22" s="1110">
        <v>1.04</v>
      </c>
      <c r="O22" s="1110">
        <v>1.96</v>
      </c>
      <c r="P22" s="1109">
        <v>0.36</v>
      </c>
      <c r="Q22" s="1109"/>
    </row>
    <row r="23" spans="1:17" s="1072" customFormat="1" ht="15.6" customHeight="1">
      <c r="A23" s="1080">
        <f t="shared" si="1"/>
        <v>15</v>
      </c>
      <c r="B23" s="1107" t="s">
        <v>205</v>
      </c>
      <c r="C23" s="1106" t="s">
        <v>69</v>
      </c>
      <c r="D23" s="1111">
        <v>1.38</v>
      </c>
      <c r="E23" s="1110">
        <v>0.8</v>
      </c>
      <c r="F23" s="1110">
        <v>0.5</v>
      </c>
      <c r="G23" s="1109">
        <v>0.2</v>
      </c>
      <c r="H23" s="1111">
        <f t="shared" si="2"/>
        <v>0.89999999999999991</v>
      </c>
      <c r="I23" s="1110">
        <f t="shared" si="3"/>
        <v>0.19999999999999996</v>
      </c>
      <c r="J23" s="1110">
        <f t="shared" si="4"/>
        <v>2</v>
      </c>
      <c r="K23" s="1109">
        <f t="shared" si="5"/>
        <v>0.39999999999999997</v>
      </c>
      <c r="L23" s="1102">
        <v>100</v>
      </c>
      <c r="M23" s="1110">
        <v>2.2799999999999998</v>
      </c>
      <c r="N23" s="1110">
        <v>1</v>
      </c>
      <c r="O23" s="1110">
        <v>2.5</v>
      </c>
      <c r="P23" s="1109">
        <v>0.6</v>
      </c>
      <c r="Q23" s="1109"/>
    </row>
    <row r="24" spans="1:17" s="1072" customFormat="1" ht="15.6" customHeight="1">
      <c r="A24" s="1080">
        <f t="shared" si="1"/>
        <v>16</v>
      </c>
      <c r="B24" s="1107" t="s">
        <v>204</v>
      </c>
      <c r="C24" s="1106" t="s">
        <v>66</v>
      </c>
      <c r="D24" s="1111">
        <v>2.0699999999999998</v>
      </c>
      <c r="E24" s="1110">
        <v>0.75</v>
      </c>
      <c r="F24" s="1112">
        <v>0.48</v>
      </c>
      <c r="G24" s="1109">
        <v>0.26</v>
      </c>
      <c r="H24" s="1111">
        <f t="shared" si="2"/>
        <v>0.11000000000000032</v>
      </c>
      <c r="I24" s="1110">
        <f t="shared" si="3"/>
        <v>0.29000000000000004</v>
      </c>
      <c r="J24" s="1110">
        <f t="shared" si="4"/>
        <v>2.09</v>
      </c>
      <c r="K24" s="1109">
        <f t="shared" si="5"/>
        <v>0.29000000000000004</v>
      </c>
      <c r="L24" s="1102"/>
      <c r="M24" s="1110">
        <v>2.1800000000000002</v>
      </c>
      <c r="N24" s="1110">
        <v>1.04</v>
      </c>
      <c r="O24" s="1110">
        <v>2.57</v>
      </c>
      <c r="P24" s="1109">
        <v>0.55000000000000004</v>
      </c>
      <c r="Q24" s="1109"/>
    </row>
    <row r="25" spans="1:17" s="1072" customFormat="1" ht="15.6" customHeight="1">
      <c r="A25" s="1080">
        <f t="shared" si="1"/>
        <v>17</v>
      </c>
      <c r="B25" s="1107" t="s">
        <v>64</v>
      </c>
      <c r="C25" s="1106" t="s">
        <v>63</v>
      </c>
      <c r="D25" s="1111">
        <v>3.35</v>
      </c>
      <c r="E25" s="1110">
        <v>1.8</v>
      </c>
      <c r="F25" s="1110">
        <v>1</v>
      </c>
      <c r="G25" s="1109">
        <v>0.5</v>
      </c>
      <c r="H25" s="1111">
        <f t="shared" si="2"/>
        <v>1.19</v>
      </c>
      <c r="I25" s="1110">
        <f t="shared" si="3"/>
        <v>0.67999999999999994</v>
      </c>
      <c r="J25" s="1110">
        <f t="shared" si="4"/>
        <v>4.25</v>
      </c>
      <c r="K25" s="1109">
        <f t="shared" si="5"/>
        <v>0.7</v>
      </c>
      <c r="L25" s="1102">
        <v>170</v>
      </c>
      <c r="M25" s="1110">
        <v>4.54</v>
      </c>
      <c r="N25" s="1110">
        <v>2.48</v>
      </c>
      <c r="O25" s="1110">
        <v>5.25</v>
      </c>
      <c r="P25" s="1109">
        <v>1.2</v>
      </c>
      <c r="Q25" s="1109"/>
    </row>
    <row r="26" spans="1:17" s="1072" customFormat="1" ht="15.6" customHeight="1">
      <c r="A26" s="1080">
        <f t="shared" si="1"/>
        <v>18</v>
      </c>
      <c r="B26" s="1107" t="s">
        <v>203</v>
      </c>
      <c r="C26" s="1106" t="s">
        <v>61</v>
      </c>
      <c r="D26" s="1111">
        <v>3.35</v>
      </c>
      <c r="E26" s="1112">
        <v>1.8</v>
      </c>
      <c r="F26" s="1110">
        <v>1</v>
      </c>
      <c r="G26" s="1109">
        <v>0.5</v>
      </c>
      <c r="H26" s="1111">
        <f t="shared" si="2"/>
        <v>1.19</v>
      </c>
      <c r="I26" s="1110">
        <f t="shared" si="3"/>
        <v>0.67999999999999994</v>
      </c>
      <c r="J26" s="1110">
        <f t="shared" si="4"/>
        <v>4.25</v>
      </c>
      <c r="K26" s="1109">
        <f t="shared" si="5"/>
        <v>0.7</v>
      </c>
      <c r="L26" s="1102">
        <v>170</v>
      </c>
      <c r="M26" s="1110">
        <v>4.54</v>
      </c>
      <c r="N26" s="1110">
        <v>2.48</v>
      </c>
      <c r="O26" s="1110">
        <v>5.25</v>
      </c>
      <c r="P26" s="1109">
        <v>1.2</v>
      </c>
      <c r="Q26" s="1109"/>
    </row>
    <row r="27" spans="1:17" s="1072" customFormat="1" ht="15.6" customHeight="1">
      <c r="A27" s="1080">
        <f t="shared" si="1"/>
        <v>19</v>
      </c>
      <c r="B27" s="1107" t="s">
        <v>202</v>
      </c>
      <c r="C27" s="1106" t="s">
        <v>59</v>
      </c>
      <c r="D27" s="1111">
        <v>2.91</v>
      </c>
      <c r="E27" s="1110">
        <v>1.6</v>
      </c>
      <c r="F27" s="1110">
        <v>2.4</v>
      </c>
      <c r="G27" s="1109">
        <v>0.7</v>
      </c>
      <c r="H27" s="1108">
        <f>M27-D27</f>
        <v>2</v>
      </c>
      <c r="I27" s="1108">
        <f>N27-E27</f>
        <v>1.7999999999999998</v>
      </c>
      <c r="J27" s="1108">
        <f t="shared" si="4"/>
        <v>10</v>
      </c>
      <c r="K27" s="1108">
        <f t="shared" si="5"/>
        <v>0.5</v>
      </c>
      <c r="L27" s="1102">
        <v>200</v>
      </c>
      <c r="M27" s="1108">
        <v>4.91</v>
      </c>
      <c r="N27" s="1108">
        <v>3.4</v>
      </c>
      <c r="O27" s="1108">
        <v>12.4</v>
      </c>
      <c r="P27" s="4108">
        <v>1.2</v>
      </c>
      <c r="Q27" s="1109"/>
    </row>
    <row r="28" spans="1:17" s="1072" customFormat="1" ht="15.6" customHeight="1">
      <c r="A28" s="1080">
        <f t="shared" si="1"/>
        <v>20</v>
      </c>
      <c r="B28" s="1107" t="s">
        <v>201</v>
      </c>
      <c r="C28" s="1106" t="s">
        <v>58</v>
      </c>
      <c r="D28" s="1111">
        <f>4.4-Q28</f>
        <v>-0.89999999999999947</v>
      </c>
      <c r="E28" s="1110">
        <v>1.5</v>
      </c>
      <c r="F28" s="1110">
        <v>1.9359999999999999</v>
      </c>
      <c r="G28" s="1109">
        <v>0.3</v>
      </c>
      <c r="H28" s="1108">
        <f>M28-4.4</f>
        <v>1.5</v>
      </c>
      <c r="I28" s="1108">
        <f>N28-E28</f>
        <v>0.30000000000000004</v>
      </c>
      <c r="J28" s="1108">
        <f t="shared" si="4"/>
        <v>3.2839999999999998</v>
      </c>
      <c r="K28" s="1108">
        <f t="shared" si="5"/>
        <v>0.66999999999999993</v>
      </c>
      <c r="L28" s="1102">
        <v>100</v>
      </c>
      <c r="M28" s="1108">
        <v>5.9</v>
      </c>
      <c r="N28" s="1108">
        <v>1.8</v>
      </c>
      <c r="O28" s="1108">
        <v>5.22</v>
      </c>
      <c r="P28" s="4108">
        <v>0.97</v>
      </c>
      <c r="Q28" s="4108">
        <v>5.3</v>
      </c>
    </row>
    <row r="29" spans="1:17" s="1072" customFormat="1" ht="15.6" customHeight="1">
      <c r="A29" s="1080">
        <f t="shared" si="1"/>
        <v>21</v>
      </c>
      <c r="B29" s="1107" t="s">
        <v>200</v>
      </c>
      <c r="C29" s="1106" t="s">
        <v>56</v>
      </c>
      <c r="D29" s="1111">
        <v>3.5</v>
      </c>
      <c r="E29" s="1110">
        <v>1.2</v>
      </c>
      <c r="F29" s="1110">
        <v>1</v>
      </c>
      <c r="G29" s="1109">
        <v>0.8</v>
      </c>
      <c r="H29" s="1108">
        <f>M29-D29</f>
        <v>0.79999999999999982</v>
      </c>
      <c r="I29" s="1108">
        <f t="shared" ref="I29:K30" si="6">N29-E29</f>
        <v>0.30000000000000004</v>
      </c>
      <c r="J29" s="1108">
        <f t="shared" si="6"/>
        <v>2.1</v>
      </c>
      <c r="K29" s="1108">
        <f t="shared" si="6"/>
        <v>0.14999999999999991</v>
      </c>
      <c r="L29" s="1102">
        <v>150</v>
      </c>
      <c r="M29" s="1108">
        <v>4.3</v>
      </c>
      <c r="N29" s="1108">
        <v>1.5</v>
      </c>
      <c r="O29" s="1108">
        <v>3.1</v>
      </c>
      <c r="P29" s="4108">
        <v>0.95</v>
      </c>
      <c r="Q29" s="1109"/>
    </row>
    <row r="30" spans="1:17" s="1072" customFormat="1" ht="15.6" customHeight="1">
      <c r="A30" s="1080">
        <f t="shared" si="1"/>
        <v>22</v>
      </c>
      <c r="B30" s="1107" t="s">
        <v>199</v>
      </c>
      <c r="C30" s="1106" t="s">
        <v>53</v>
      </c>
      <c r="D30" s="1111">
        <f>3.6-Q30</f>
        <v>-0.80000000000000027</v>
      </c>
      <c r="E30" s="1110">
        <v>1.1000000000000001</v>
      </c>
      <c r="F30" s="1110">
        <v>1.4</v>
      </c>
      <c r="G30" s="1109">
        <v>0.2</v>
      </c>
      <c r="H30" s="1108">
        <f>M30-3.6</f>
        <v>1.4999999999999996</v>
      </c>
      <c r="I30" s="1108">
        <f t="shared" si="6"/>
        <v>0.29999999999999982</v>
      </c>
      <c r="J30" s="1108">
        <f>O30-F30</f>
        <v>2.6</v>
      </c>
      <c r="K30" s="1108">
        <f t="shared" si="6"/>
        <v>0.3</v>
      </c>
      <c r="L30" s="1102">
        <v>100</v>
      </c>
      <c r="M30" s="1108">
        <v>5.0999999999999996</v>
      </c>
      <c r="N30" s="1108">
        <v>1.4</v>
      </c>
      <c r="O30" s="1108">
        <v>4</v>
      </c>
      <c r="P30" s="4108">
        <v>0.5</v>
      </c>
      <c r="Q30" s="4108">
        <v>4.4000000000000004</v>
      </c>
    </row>
    <row r="31" spans="1:17" s="1072" customFormat="1" ht="15.6" customHeight="1">
      <c r="A31" s="1080">
        <f t="shared" si="1"/>
        <v>23</v>
      </c>
      <c r="B31" s="1107" t="s">
        <v>198</v>
      </c>
      <c r="C31" s="1106" t="s">
        <v>51</v>
      </c>
      <c r="D31" s="1111">
        <f>4.1-Q31</f>
        <v>-0.90000000000000036</v>
      </c>
      <c r="E31" s="1110">
        <v>1.2</v>
      </c>
      <c r="F31" s="1110">
        <v>1.4</v>
      </c>
      <c r="G31" s="1109">
        <v>0.2</v>
      </c>
      <c r="H31" s="1108">
        <f>M31-4.1</f>
        <v>1.5</v>
      </c>
      <c r="I31" s="1108">
        <v>0.3</v>
      </c>
      <c r="J31" s="1108">
        <v>1.7</v>
      </c>
      <c r="K31" s="1108">
        <v>0.15</v>
      </c>
      <c r="L31" s="1102">
        <v>100</v>
      </c>
      <c r="M31" s="1108">
        <v>5.6</v>
      </c>
      <c r="N31" s="1108">
        <v>1.5</v>
      </c>
      <c r="O31" s="1108">
        <v>4</v>
      </c>
      <c r="P31" s="4108">
        <v>0.5</v>
      </c>
      <c r="Q31" s="4108">
        <v>5</v>
      </c>
    </row>
    <row r="32" spans="1:17" s="1072" customFormat="1" ht="15.6" customHeight="1">
      <c r="A32" s="1080">
        <f t="shared" si="1"/>
        <v>24</v>
      </c>
      <c r="B32" s="1107" t="s">
        <v>197</v>
      </c>
      <c r="C32" s="1106" t="s">
        <v>49</v>
      </c>
      <c r="D32" s="1111">
        <f>4.48-Q32</f>
        <v>-0.51999999999999957</v>
      </c>
      <c r="E32" s="1110">
        <v>1.02</v>
      </c>
      <c r="F32" s="1110">
        <v>1.66</v>
      </c>
      <c r="G32" s="1109">
        <v>0.2</v>
      </c>
      <c r="H32" s="1108">
        <f>M32-4.48</f>
        <v>1.5</v>
      </c>
      <c r="I32" s="1108">
        <v>0.3</v>
      </c>
      <c r="J32" s="1108">
        <v>1.7</v>
      </c>
      <c r="K32" s="1108">
        <v>0.15</v>
      </c>
      <c r="L32" s="1102">
        <v>100</v>
      </c>
      <c r="M32" s="1108">
        <v>5.98</v>
      </c>
      <c r="N32" s="1108">
        <v>1.32</v>
      </c>
      <c r="O32" s="1108">
        <v>3.29</v>
      </c>
      <c r="P32" s="4108">
        <v>0.5</v>
      </c>
      <c r="Q32" s="4108">
        <v>5</v>
      </c>
    </row>
    <row r="33" spans="1:19" s="1072" customFormat="1" ht="15.6" customHeight="1">
      <c r="A33" s="1080">
        <f t="shared" si="1"/>
        <v>25</v>
      </c>
      <c r="B33" s="1107" t="s">
        <v>196</v>
      </c>
      <c r="C33" s="1106" t="s">
        <v>44</v>
      </c>
      <c r="D33" s="1111">
        <v>0.18</v>
      </c>
      <c r="E33" s="1110">
        <v>0.1</v>
      </c>
      <c r="F33" s="1110">
        <v>0.25</v>
      </c>
      <c r="G33" s="1109">
        <v>0.08</v>
      </c>
      <c r="H33" s="1108">
        <f>M33-D33</f>
        <v>0.26</v>
      </c>
      <c r="I33" s="1108">
        <f t="shared" ref="I33:K37" si="7">N33-E33</f>
        <v>7.9999999999999988E-2</v>
      </c>
      <c r="J33" s="1108">
        <f t="shared" si="7"/>
        <v>0.42000000000000004</v>
      </c>
      <c r="K33" s="1108">
        <f t="shared" si="7"/>
        <v>6.9999999999999993E-2</v>
      </c>
      <c r="L33" s="1102">
        <v>70</v>
      </c>
      <c r="M33" s="1108">
        <v>0.44</v>
      </c>
      <c r="N33" s="1108">
        <v>0.18</v>
      </c>
      <c r="O33" s="1108">
        <v>0.67</v>
      </c>
      <c r="P33" s="4108">
        <v>0.15</v>
      </c>
      <c r="Q33" s="1109"/>
    </row>
    <row r="34" spans="1:19" s="1072" customFormat="1" ht="15.6" customHeight="1">
      <c r="A34" s="1080">
        <f t="shared" si="1"/>
        <v>26</v>
      </c>
      <c r="B34" s="1107" t="s">
        <v>195</v>
      </c>
      <c r="C34" s="1106" t="s">
        <v>42</v>
      </c>
      <c r="D34" s="1111">
        <v>0.35</v>
      </c>
      <c r="E34" s="1110">
        <v>0.14000000000000001</v>
      </c>
      <c r="F34" s="1110">
        <v>0.6</v>
      </c>
      <c r="G34" s="1109">
        <v>0.04</v>
      </c>
      <c r="H34" s="1108">
        <f t="shared" ref="H34:H37" si="8">M34-D34</f>
        <v>0.20000000000000007</v>
      </c>
      <c r="I34" s="1108">
        <f>N34-E34</f>
        <v>9.9999999999999811E-3</v>
      </c>
      <c r="J34" s="1108">
        <v>0</v>
      </c>
      <c r="K34" s="1108">
        <v>0</v>
      </c>
      <c r="L34" s="1102">
        <v>20</v>
      </c>
      <c r="M34" s="1108">
        <v>0.55000000000000004</v>
      </c>
      <c r="N34" s="1108">
        <v>0.15</v>
      </c>
      <c r="O34" s="1108">
        <v>0.67200000000000004</v>
      </c>
      <c r="P34" s="4108">
        <v>0.06</v>
      </c>
      <c r="Q34" s="1109"/>
    </row>
    <row r="35" spans="1:19" s="1072" customFormat="1" ht="15.6" customHeight="1">
      <c r="A35" s="1080">
        <f t="shared" si="1"/>
        <v>27</v>
      </c>
      <c r="B35" s="1107" t="s">
        <v>194</v>
      </c>
      <c r="C35" s="1106" t="s">
        <v>40</v>
      </c>
      <c r="D35" s="1111">
        <v>0.35</v>
      </c>
      <c r="E35" s="1110">
        <v>0.14000000000000001</v>
      </c>
      <c r="F35" s="1110">
        <v>0.6</v>
      </c>
      <c r="G35" s="1109">
        <v>0.04</v>
      </c>
      <c r="H35" s="1108">
        <f t="shared" si="8"/>
        <v>0.20000000000000007</v>
      </c>
      <c r="I35" s="1108">
        <f t="shared" si="7"/>
        <v>9.9999999999999811E-3</v>
      </c>
      <c r="J35" s="1108">
        <v>0</v>
      </c>
      <c r="K35" s="1108">
        <v>0</v>
      </c>
      <c r="L35" s="1102">
        <v>20</v>
      </c>
      <c r="M35" s="1108">
        <v>0.55000000000000004</v>
      </c>
      <c r="N35" s="1108">
        <v>0.15</v>
      </c>
      <c r="O35" s="1108">
        <v>0.67200000000000004</v>
      </c>
      <c r="P35" s="4108">
        <v>0.06</v>
      </c>
      <c r="Q35" s="1109"/>
    </row>
    <row r="36" spans="1:19" s="1072" customFormat="1" ht="15.6" customHeight="1">
      <c r="A36" s="1080">
        <f t="shared" si="1"/>
        <v>28</v>
      </c>
      <c r="B36" s="1107" t="s">
        <v>193</v>
      </c>
      <c r="C36" s="1106" t="s">
        <v>38</v>
      </c>
      <c r="D36" s="1111">
        <v>0.35</v>
      </c>
      <c r="E36" s="1110">
        <v>0.14000000000000001</v>
      </c>
      <c r="F36" s="1110">
        <v>0.6</v>
      </c>
      <c r="G36" s="1109">
        <v>0.04</v>
      </c>
      <c r="H36" s="1108">
        <f t="shared" si="8"/>
        <v>0.20000000000000007</v>
      </c>
      <c r="I36" s="1108">
        <f t="shared" si="7"/>
        <v>9.9999999999999811E-3</v>
      </c>
      <c r="J36" s="1108">
        <v>0</v>
      </c>
      <c r="K36" s="1108">
        <v>0</v>
      </c>
      <c r="L36" s="1102">
        <v>20</v>
      </c>
      <c r="M36" s="1108">
        <v>0.55000000000000004</v>
      </c>
      <c r="N36" s="1108">
        <v>0.15</v>
      </c>
      <c r="O36" s="1108">
        <v>0.67200000000000004</v>
      </c>
      <c r="P36" s="4108">
        <v>0.06</v>
      </c>
      <c r="Q36" s="1109"/>
    </row>
    <row r="37" spans="1:19" s="1072" customFormat="1" ht="15.6" customHeight="1">
      <c r="A37" s="1080">
        <f t="shared" si="1"/>
        <v>29</v>
      </c>
      <c r="B37" s="1107" t="s">
        <v>37</v>
      </c>
      <c r="C37" s="1106" t="s">
        <v>36</v>
      </c>
      <c r="D37" s="1111">
        <v>0.35</v>
      </c>
      <c r="E37" s="1110">
        <v>0.14000000000000001</v>
      </c>
      <c r="F37" s="1110">
        <v>0.6</v>
      </c>
      <c r="G37" s="1109">
        <v>0.04</v>
      </c>
      <c r="H37" s="1108">
        <f t="shared" si="8"/>
        <v>0.20000000000000007</v>
      </c>
      <c r="I37" s="1108">
        <f t="shared" si="7"/>
        <v>9.9999999999999811E-3</v>
      </c>
      <c r="J37" s="1108">
        <v>0</v>
      </c>
      <c r="K37" s="1108"/>
      <c r="L37" s="1102">
        <v>20</v>
      </c>
      <c r="M37" s="1108">
        <v>0.55000000000000004</v>
      </c>
      <c r="N37" s="1108">
        <v>0.15</v>
      </c>
      <c r="O37" s="1108">
        <v>0.67200000000000004</v>
      </c>
      <c r="P37" s="4108">
        <v>0.06</v>
      </c>
      <c r="Q37" s="1109"/>
    </row>
    <row r="38" spans="1:19" s="1072" customFormat="1" ht="15.6" customHeight="1">
      <c r="A38" s="1080">
        <f t="shared" si="1"/>
        <v>30</v>
      </c>
      <c r="B38" s="1107" t="s">
        <v>23</v>
      </c>
      <c r="C38" s="1106" t="s">
        <v>1044</v>
      </c>
      <c r="D38" s="1105">
        <v>0</v>
      </c>
      <c r="E38" s="1104">
        <v>0</v>
      </c>
      <c r="F38" s="1104">
        <v>0</v>
      </c>
      <c r="G38" s="1103">
        <v>0</v>
      </c>
      <c r="H38" s="1105">
        <v>0</v>
      </c>
      <c r="I38" s="1104">
        <v>0</v>
      </c>
      <c r="J38" s="1104">
        <v>0</v>
      </c>
      <c r="K38" s="1103"/>
      <c r="L38" s="1102"/>
    </row>
    <row r="39" spans="1:19" s="1072" customFormat="1" ht="15.6" customHeight="1">
      <c r="A39" s="1080">
        <f t="shared" si="1"/>
        <v>31</v>
      </c>
      <c r="B39" s="1107" t="s">
        <v>192</v>
      </c>
      <c r="C39" s="1106" t="s">
        <v>28</v>
      </c>
      <c r="D39" s="1105">
        <v>0</v>
      </c>
      <c r="E39" s="1104">
        <v>0</v>
      </c>
      <c r="F39" s="1104">
        <v>0</v>
      </c>
      <c r="G39" s="1103">
        <v>0</v>
      </c>
      <c r="H39" s="1105">
        <v>0</v>
      </c>
      <c r="I39" s="1104">
        <v>0</v>
      </c>
      <c r="J39" s="1104">
        <v>0</v>
      </c>
      <c r="K39" s="1103">
        <v>0</v>
      </c>
      <c r="L39" s="1102"/>
    </row>
    <row r="40" spans="1:19" s="1072" customFormat="1" ht="15.6" customHeight="1">
      <c r="A40" s="1080">
        <f t="shared" si="1"/>
        <v>32</v>
      </c>
      <c r="B40" s="1107" t="s">
        <v>191</v>
      </c>
      <c r="C40" s="1106" t="s">
        <v>1043</v>
      </c>
      <c r="D40" s="1105">
        <v>0</v>
      </c>
      <c r="E40" s="1104">
        <v>0</v>
      </c>
      <c r="F40" s="1104">
        <v>0</v>
      </c>
      <c r="G40" s="1103">
        <v>0</v>
      </c>
      <c r="H40" s="1105">
        <v>0</v>
      </c>
      <c r="I40" s="1104">
        <v>0</v>
      </c>
      <c r="J40" s="1104">
        <v>0</v>
      </c>
      <c r="K40" s="1103">
        <v>0</v>
      </c>
      <c r="L40" s="1102"/>
    </row>
    <row r="41" spans="1:19" s="1072" customFormat="1" ht="15.6" customHeight="1">
      <c r="A41" s="1080">
        <f t="shared" si="1"/>
        <v>33</v>
      </c>
      <c r="B41" s="1107" t="s">
        <v>1345</v>
      </c>
      <c r="C41" s="1106" t="s">
        <v>1043</v>
      </c>
      <c r="D41" s="3656">
        <v>-2</v>
      </c>
      <c r="E41" s="1104">
        <v>0.75</v>
      </c>
      <c r="F41" s="1104">
        <v>3.08</v>
      </c>
      <c r="G41" s="1103">
        <v>0.41</v>
      </c>
      <c r="H41" s="1105">
        <v>0</v>
      </c>
      <c r="I41" s="1104">
        <v>0</v>
      </c>
      <c r="J41" s="1104">
        <v>0</v>
      </c>
      <c r="K41" s="1103">
        <v>0</v>
      </c>
      <c r="L41" s="1102"/>
      <c r="S41" s="1072">
        <f>230/115</f>
        <v>2</v>
      </c>
    </row>
    <row r="42" spans="1:19" s="1072" customFormat="1" ht="15.6" customHeight="1">
      <c r="A42" s="1080">
        <f t="shared" si="1"/>
        <v>34</v>
      </c>
      <c r="B42" s="1107" t="s">
        <v>1347</v>
      </c>
      <c r="C42" s="1106" t="s">
        <v>1043</v>
      </c>
      <c r="D42" s="3656">
        <v>-1.375</v>
      </c>
      <c r="E42" s="1104">
        <v>0.77</v>
      </c>
      <c r="F42" s="1104">
        <v>3.13</v>
      </c>
      <c r="G42" s="1103">
        <v>0.41</v>
      </c>
      <c r="H42" s="1105">
        <v>0</v>
      </c>
      <c r="I42" s="1104">
        <v>0</v>
      </c>
      <c r="J42" s="1104">
        <v>0</v>
      </c>
      <c r="K42" s="1103">
        <v>0</v>
      </c>
      <c r="L42" s="1102"/>
      <c r="S42" s="1072">
        <f>165/120</f>
        <v>1.375</v>
      </c>
    </row>
    <row r="43" spans="1:19" s="4" customFormat="1" ht="15">
      <c r="A43" s="1080">
        <f t="shared" si="1"/>
        <v>35</v>
      </c>
      <c r="B43" s="1107" t="s">
        <v>1348</v>
      </c>
      <c r="C43" s="1106" t="s">
        <v>1043</v>
      </c>
      <c r="D43" s="3656">
        <v>-2</v>
      </c>
      <c r="E43" s="1104">
        <v>0.75</v>
      </c>
      <c r="F43" s="1104">
        <v>3.08</v>
      </c>
      <c r="G43" s="1103">
        <v>0.41</v>
      </c>
      <c r="H43" s="1105">
        <v>0</v>
      </c>
      <c r="I43" s="1104">
        <v>0</v>
      </c>
      <c r="J43" s="1104">
        <v>0</v>
      </c>
      <c r="K43" s="1103">
        <v>0</v>
      </c>
      <c r="L43" s="1102"/>
      <c r="M43" s="1072"/>
      <c r="N43" s="1072"/>
      <c r="O43" s="1072"/>
      <c r="P43" s="1072"/>
      <c r="Q43" s="1072"/>
      <c r="R43" s="1072"/>
      <c r="S43" s="4">
        <f>230/115</f>
        <v>2</v>
      </c>
    </row>
    <row r="44" spans="1:19" s="4" customFormat="1" ht="15">
      <c r="A44" s="1080">
        <f t="shared" si="1"/>
        <v>36</v>
      </c>
      <c r="B44" s="1107" t="s">
        <v>1696</v>
      </c>
      <c r="C44" s="1106" t="s">
        <v>1043</v>
      </c>
      <c r="D44" s="3656">
        <v>-1.375</v>
      </c>
      <c r="E44" s="1104">
        <v>0.77</v>
      </c>
      <c r="F44" s="1104">
        <v>3.13</v>
      </c>
      <c r="G44" s="1103">
        <v>0.41</v>
      </c>
      <c r="H44" s="1105">
        <v>0</v>
      </c>
      <c r="I44" s="1104">
        <v>0</v>
      </c>
      <c r="J44" s="1104">
        <v>0</v>
      </c>
      <c r="K44" s="1103">
        <v>0</v>
      </c>
      <c r="L44" s="1102"/>
      <c r="M44" s="1072"/>
      <c r="N44" s="1072"/>
      <c r="O44" s="1072"/>
      <c r="P44" s="1072"/>
      <c r="Q44" s="1072"/>
      <c r="R44" s="1072"/>
      <c r="S44" s="4">
        <f>165/120</f>
        <v>1.375</v>
      </c>
    </row>
    <row r="45" spans="1:19" s="4" customFormat="1" ht="15.6" customHeight="1">
      <c r="A45" s="1080"/>
      <c r="B45" s="1094"/>
      <c r="D45" s="1065"/>
      <c r="E45" s="78"/>
      <c r="F45" s="9"/>
      <c r="G45" s="1091"/>
      <c r="H45" s="1101"/>
      <c r="I45" s="1100"/>
      <c r="J45" s="1086"/>
      <c r="K45" s="1086"/>
      <c r="L45" s="1087"/>
      <c r="M45" s="1072"/>
      <c r="N45" s="1072"/>
      <c r="O45" s="1072"/>
      <c r="P45" s="1072"/>
      <c r="Q45" s="1072"/>
      <c r="R45" s="1072"/>
    </row>
    <row r="46" spans="1:19" s="4" customFormat="1" ht="15.6" customHeight="1">
      <c r="A46" s="1080"/>
      <c r="B46" s="1090"/>
      <c r="C46" s="1082"/>
      <c r="D46" s="1065"/>
      <c r="E46" s="78"/>
      <c r="F46" s="9"/>
      <c r="G46" s="1098"/>
      <c r="H46" s="1099"/>
      <c r="I46" s="1098"/>
      <c r="J46" s="1086"/>
      <c r="K46" s="1086"/>
      <c r="L46" s="1087"/>
      <c r="M46" s="1072"/>
      <c r="N46" s="1072"/>
      <c r="O46" s="1072"/>
      <c r="P46" s="1072"/>
      <c r="Q46" s="1072"/>
      <c r="R46" s="1072"/>
    </row>
    <row r="47" spans="1:19" s="4" customFormat="1" ht="15.6" customHeight="1">
      <c r="A47" s="1080"/>
      <c r="B47" s="23"/>
      <c r="C47" s="78"/>
      <c r="D47" s="1068"/>
      <c r="E47" s="78"/>
      <c r="F47" s="22"/>
      <c r="G47" s="247"/>
      <c r="H47" s="1081"/>
      <c r="I47" s="247"/>
      <c r="J47" s="1086"/>
      <c r="K47" s="1086"/>
      <c r="L47" s="1087"/>
      <c r="M47" s="1072"/>
      <c r="N47" s="1072"/>
      <c r="O47" s="1072"/>
      <c r="P47" s="1072"/>
      <c r="Q47" s="1072"/>
      <c r="R47" s="1072"/>
    </row>
    <row r="48" spans="1:19" s="1084" customFormat="1" ht="15.6" customHeight="1">
      <c r="A48" s="1080"/>
      <c r="B48" s="1082"/>
      <c r="C48" s="78"/>
      <c r="D48" s="1068"/>
      <c r="E48" s="78"/>
      <c r="F48" s="9"/>
      <c r="G48" s="247"/>
      <c r="H48" s="1081"/>
      <c r="I48" s="247"/>
      <c r="L48" s="1085"/>
    </row>
    <row r="49" spans="1:15" s="1072" customFormat="1" ht="15.6" customHeight="1">
      <c r="A49" s="1080"/>
      <c r="B49" s="1082"/>
      <c r="C49" s="78"/>
      <c r="D49" s="1068"/>
      <c r="E49" s="78"/>
      <c r="F49" s="9"/>
      <c r="G49" s="247"/>
      <c r="H49" s="1081"/>
      <c r="I49" s="247"/>
      <c r="L49" s="1073"/>
    </row>
    <row r="50" spans="1:15" s="1072" customFormat="1" ht="15.6" customHeight="1">
      <c r="A50" s="1080"/>
      <c r="B50" s="78"/>
      <c r="C50" s="78"/>
      <c r="D50" s="1068"/>
      <c r="E50" s="78"/>
      <c r="F50" s="9"/>
      <c r="G50" s="247"/>
      <c r="H50" s="1081"/>
      <c r="I50" s="247"/>
      <c r="L50" s="1073"/>
    </row>
    <row r="51" spans="1:15" s="78" customFormat="1" ht="15.6" customHeight="1">
      <c r="A51" s="1080"/>
      <c r="B51" s="4"/>
      <c r="C51" s="1095"/>
      <c r="D51" s="1096"/>
      <c r="E51" s="1095"/>
      <c r="F51" s="1097"/>
      <c r="G51" s="1095"/>
      <c r="H51" s="1096"/>
      <c r="I51" s="1095"/>
      <c r="L51" s="1068"/>
    </row>
    <row r="52" spans="1:15" s="4" customFormat="1" ht="17.45" customHeight="1">
      <c r="A52" s="1080"/>
      <c r="B52" s="1094"/>
      <c r="D52" s="1065"/>
      <c r="F52" s="1066"/>
      <c r="G52" s="1093"/>
      <c r="H52" s="1092"/>
      <c r="I52" s="1091"/>
      <c r="J52" s="1086"/>
      <c r="K52" s="1086"/>
      <c r="L52" s="1087"/>
      <c r="M52" s="1086"/>
      <c r="N52" s="1086"/>
      <c r="O52" s="1086"/>
    </row>
    <row r="53" spans="1:15" s="4" customFormat="1" ht="19.899999999999999" customHeight="1">
      <c r="A53" s="1080"/>
      <c r="B53" s="1090"/>
      <c r="D53" s="1065"/>
      <c r="F53" s="1066"/>
      <c r="G53" s="1088"/>
      <c r="H53" s="1089"/>
      <c r="I53" s="1088"/>
      <c r="J53" s="1086"/>
      <c r="K53" s="1086"/>
      <c r="L53" s="1087"/>
      <c r="M53" s="1086"/>
      <c r="N53" s="1086"/>
      <c r="O53" s="1086"/>
    </row>
    <row r="54" spans="1:15" s="4" customFormat="1" ht="15.6" customHeight="1">
      <c r="A54" s="1080"/>
      <c r="B54" s="23"/>
      <c r="C54" s="78"/>
      <c r="D54" s="1068"/>
      <c r="E54" s="78"/>
      <c r="F54" s="22"/>
      <c r="G54" s="247"/>
      <c r="H54" s="1081"/>
      <c r="I54" s="247"/>
      <c r="J54" s="1086"/>
      <c r="K54" s="1086"/>
      <c r="L54" s="1087"/>
      <c r="M54" s="1086"/>
      <c r="N54" s="1086"/>
      <c r="O54" s="1086"/>
    </row>
    <row r="55" spans="1:15" s="1084" customFormat="1" ht="15.6" customHeight="1">
      <c r="A55" s="1080"/>
      <c r="B55" s="1082"/>
      <c r="C55" s="78"/>
      <c r="D55" s="1068"/>
      <c r="E55" s="78"/>
      <c r="F55" s="9"/>
      <c r="G55" s="247"/>
      <c r="H55" s="1081"/>
      <c r="I55" s="247"/>
      <c r="L55" s="1085"/>
    </row>
    <row r="56" spans="1:15" s="1072" customFormat="1" ht="15.6" customHeight="1">
      <c r="A56" s="1080"/>
      <c r="B56" s="1082"/>
      <c r="C56" s="1083"/>
      <c r="D56" s="1068"/>
      <c r="E56" s="78"/>
      <c r="F56" s="9"/>
      <c r="G56" s="247"/>
      <c r="H56" s="1081"/>
      <c r="I56" s="247"/>
      <c r="L56" s="1073"/>
    </row>
    <row r="57" spans="1:15" s="1072" customFormat="1" ht="15.6" hidden="1" customHeight="1">
      <c r="A57" s="1080"/>
      <c r="B57" s="1082"/>
      <c r="C57" s="78"/>
      <c r="D57" s="1068"/>
      <c r="E57" s="78"/>
      <c r="F57" s="9"/>
      <c r="G57" s="247"/>
      <c r="H57" s="1081"/>
      <c r="I57" s="247"/>
      <c r="L57" s="1073"/>
    </row>
    <row r="58" spans="1:15" s="1072" customFormat="1" ht="15.6" customHeight="1">
      <c r="A58" s="1080"/>
      <c r="B58" s="78"/>
      <c r="C58" s="78"/>
      <c r="D58" s="1079"/>
      <c r="E58" s="1078"/>
      <c r="F58" s="1077"/>
      <c r="G58" s="1075"/>
      <c r="H58" s="1076"/>
      <c r="I58" s="1075"/>
      <c r="L58" s="1073"/>
    </row>
    <row r="59" spans="1:15" s="1072" customFormat="1" ht="15.6" customHeight="1">
      <c r="C59" s="1074"/>
      <c r="D59" s="1073"/>
      <c r="H59" s="1073"/>
      <c r="L59" s="1073"/>
    </row>
    <row r="60" spans="1:15" ht="7.15" customHeight="1">
      <c r="A60" s="78"/>
      <c r="B60" s="78"/>
      <c r="C60" s="78"/>
      <c r="D60" s="1071"/>
      <c r="E60" s="1070"/>
      <c r="F60" s="9"/>
      <c r="G60" s="1070"/>
      <c r="H60" s="1069"/>
      <c r="I60" s="78"/>
    </row>
    <row r="61" spans="1:15" ht="16.149999999999999" customHeight="1">
      <c r="A61" s="631"/>
    </row>
    <row r="62" spans="1:15" ht="14.25">
      <c r="A62" s="78"/>
      <c r="B62" s="78"/>
      <c r="C62" s="78"/>
    </row>
    <row r="63" spans="1:15" ht="14.25">
      <c r="A63" s="78"/>
      <c r="B63" s="78"/>
      <c r="C63" s="78"/>
    </row>
    <row r="64" spans="1:15" ht="14.25">
      <c r="A64" s="78"/>
      <c r="B64" s="78"/>
      <c r="C64" s="78"/>
    </row>
    <row r="65" spans="1:32" ht="14.25">
      <c r="A65" s="78"/>
      <c r="B65" s="78"/>
      <c r="C65" s="78"/>
    </row>
    <row r="66" spans="1:32" ht="14.25">
      <c r="A66" s="78"/>
      <c r="B66" s="78"/>
      <c r="C66" s="78"/>
    </row>
    <row r="67" spans="1:32" ht="14.25">
      <c r="A67" s="78"/>
      <c r="B67" s="78"/>
      <c r="C67" s="78"/>
    </row>
    <row r="68" spans="1:32" ht="14.25">
      <c r="A68" s="78"/>
      <c r="B68" s="78"/>
      <c r="C68" s="78"/>
    </row>
    <row r="69" spans="1:32" ht="14.25">
      <c r="A69" s="78"/>
      <c r="B69" s="78"/>
      <c r="C69" s="78"/>
    </row>
    <row r="70" spans="1:32" ht="14.25">
      <c r="A70" s="78"/>
      <c r="B70" s="78"/>
      <c r="C70" s="78"/>
    </row>
    <row r="71" spans="1:32" ht="14.25">
      <c r="A71" s="78"/>
      <c r="B71" s="78"/>
      <c r="C71" s="78"/>
    </row>
    <row r="72" spans="1:32" ht="14.25">
      <c r="A72" s="78"/>
      <c r="B72" s="78"/>
      <c r="C72" s="78"/>
    </row>
    <row r="73" spans="1:32" ht="14.25">
      <c r="A73" s="78"/>
      <c r="B73" s="78"/>
      <c r="C73" s="78"/>
    </row>
    <row r="74" spans="1:32" ht="14.25">
      <c r="A74" s="78"/>
      <c r="B74" s="78"/>
      <c r="C74" s="78"/>
    </row>
    <row r="75" spans="1:32" s="4" customFormat="1" ht="14.25">
      <c r="A75" s="78"/>
      <c r="B75" s="78"/>
      <c r="C75" s="78"/>
      <c r="D75" s="1065"/>
      <c r="F75" s="1066"/>
      <c r="H75" s="1065"/>
      <c r="I75" s="19"/>
      <c r="J75" s="631"/>
      <c r="K75" s="631"/>
      <c r="L75" s="1064"/>
      <c r="M75" s="631"/>
      <c r="N75" s="631"/>
      <c r="O75" s="631"/>
      <c r="P75" s="631"/>
      <c r="Q75" s="631"/>
      <c r="R75" s="631"/>
      <c r="S75" s="631"/>
      <c r="T75" s="631"/>
      <c r="U75" s="631"/>
      <c r="V75" s="631"/>
      <c r="W75" s="631"/>
      <c r="X75" s="631"/>
      <c r="Y75" s="631"/>
      <c r="Z75" s="631"/>
      <c r="AA75" s="631"/>
      <c r="AB75" s="631"/>
      <c r="AC75" s="631"/>
      <c r="AD75" s="631"/>
      <c r="AE75" s="631"/>
      <c r="AF75" s="631"/>
    </row>
    <row r="76" spans="1:32" s="4" customFormat="1" ht="14.25">
      <c r="A76" s="78"/>
      <c r="B76" s="78"/>
      <c r="C76" s="78"/>
      <c r="D76" s="1065"/>
      <c r="F76" s="1066"/>
      <c r="H76" s="1065"/>
      <c r="I76" s="19"/>
      <c r="J76" s="631"/>
      <c r="K76" s="631"/>
      <c r="L76" s="1064"/>
      <c r="M76" s="631"/>
      <c r="N76" s="631"/>
      <c r="O76" s="631"/>
      <c r="P76" s="631"/>
      <c r="Q76" s="631"/>
      <c r="R76" s="631"/>
      <c r="S76" s="631"/>
      <c r="T76" s="631"/>
      <c r="U76" s="631"/>
      <c r="V76" s="631"/>
      <c r="W76" s="631"/>
      <c r="X76" s="631"/>
      <c r="Y76" s="631"/>
      <c r="Z76" s="631"/>
      <c r="AA76" s="631"/>
      <c r="AB76" s="631"/>
      <c r="AC76" s="631"/>
      <c r="AD76" s="631"/>
      <c r="AE76" s="631"/>
      <c r="AF76" s="631"/>
    </row>
    <row r="77" spans="1:32" s="4" customFormat="1" ht="14.25">
      <c r="A77" s="78"/>
      <c r="B77" s="78"/>
      <c r="C77" s="78"/>
      <c r="D77" s="1065"/>
      <c r="F77" s="1066"/>
      <c r="H77" s="1065"/>
      <c r="I77" s="19"/>
      <c r="J77" s="631"/>
      <c r="K77" s="631"/>
      <c r="L77" s="1064"/>
      <c r="M77" s="631"/>
      <c r="N77" s="631"/>
      <c r="O77" s="631"/>
      <c r="P77" s="631"/>
      <c r="Q77" s="631"/>
      <c r="R77" s="631"/>
      <c r="S77" s="631"/>
      <c r="T77" s="631"/>
      <c r="U77" s="631"/>
      <c r="V77" s="631"/>
      <c r="W77" s="631"/>
      <c r="X77" s="631"/>
      <c r="Y77" s="631"/>
      <c r="Z77" s="631"/>
      <c r="AA77" s="631"/>
      <c r="AB77" s="631"/>
      <c r="AC77" s="631"/>
      <c r="AD77" s="631"/>
      <c r="AE77" s="631"/>
      <c r="AF77" s="631"/>
    </row>
    <row r="78" spans="1:32" s="4" customFormat="1" ht="14.25">
      <c r="A78" s="78"/>
      <c r="B78" s="78"/>
      <c r="C78" s="78"/>
      <c r="D78" s="1065"/>
      <c r="F78" s="1066"/>
      <c r="H78" s="1065"/>
      <c r="I78" s="19"/>
      <c r="J78" s="631"/>
      <c r="K78" s="631"/>
      <c r="L78" s="1064"/>
      <c r="M78" s="631"/>
      <c r="N78" s="631"/>
      <c r="O78" s="631"/>
      <c r="P78" s="631"/>
      <c r="Q78" s="631"/>
      <c r="R78" s="631"/>
      <c r="S78" s="631"/>
      <c r="T78" s="631"/>
      <c r="U78" s="631"/>
      <c r="V78" s="631"/>
      <c r="W78" s="631"/>
      <c r="X78" s="631"/>
      <c r="Y78" s="631"/>
      <c r="Z78" s="631"/>
      <c r="AA78" s="631"/>
      <c r="AB78" s="631"/>
      <c r="AC78" s="631"/>
      <c r="AD78" s="631"/>
      <c r="AE78" s="631"/>
      <c r="AF78" s="631"/>
    </row>
    <row r="79" spans="1:32" s="4" customFormat="1" ht="14.25">
      <c r="A79" s="78"/>
      <c r="B79" s="78"/>
      <c r="C79" s="78"/>
      <c r="D79" s="1065"/>
      <c r="F79" s="1066"/>
      <c r="H79" s="1065"/>
      <c r="I79" s="19"/>
      <c r="J79" s="631"/>
      <c r="K79" s="631"/>
      <c r="L79" s="1064"/>
      <c r="M79" s="631"/>
      <c r="N79" s="631"/>
      <c r="O79" s="631"/>
      <c r="P79" s="631"/>
      <c r="Q79" s="631"/>
      <c r="R79" s="631"/>
      <c r="S79" s="631"/>
      <c r="T79" s="631"/>
      <c r="U79" s="631"/>
      <c r="V79" s="631"/>
      <c r="W79" s="631"/>
      <c r="X79" s="631"/>
      <c r="Y79" s="631"/>
      <c r="Z79" s="631"/>
      <c r="AA79" s="631"/>
      <c r="AB79" s="631"/>
      <c r="AC79" s="631"/>
      <c r="AD79" s="631"/>
      <c r="AE79" s="631"/>
      <c r="AF79" s="631"/>
    </row>
    <row r="80" spans="1:32" s="4" customFormat="1" ht="14.25">
      <c r="A80" s="78"/>
      <c r="B80" s="78"/>
      <c r="C80" s="78"/>
      <c r="D80" s="1065"/>
      <c r="F80" s="1066"/>
      <c r="H80" s="1065"/>
      <c r="I80" s="19"/>
      <c r="J80" s="631"/>
      <c r="K80" s="631"/>
      <c r="L80" s="1064"/>
      <c r="M80" s="631"/>
      <c r="N80" s="631"/>
      <c r="O80" s="631"/>
      <c r="P80" s="631"/>
      <c r="Q80" s="631"/>
      <c r="R80" s="631"/>
      <c r="S80" s="631"/>
      <c r="T80" s="631"/>
      <c r="U80" s="631"/>
      <c r="V80" s="631"/>
      <c r="W80" s="631"/>
      <c r="X80" s="631"/>
      <c r="Y80" s="631"/>
      <c r="Z80" s="631"/>
      <c r="AA80" s="631"/>
      <c r="AB80" s="631"/>
      <c r="AC80" s="631"/>
      <c r="AD80" s="631"/>
      <c r="AE80" s="631"/>
      <c r="AF80" s="631"/>
    </row>
    <row r="81" spans="1:32" s="4" customFormat="1" ht="14.25">
      <c r="A81" s="78"/>
      <c r="B81" s="78"/>
      <c r="C81" s="78"/>
      <c r="D81" s="1065"/>
      <c r="F81" s="1066"/>
      <c r="H81" s="1065"/>
      <c r="I81" s="19"/>
      <c r="J81" s="631"/>
      <c r="K81" s="631"/>
      <c r="L81" s="1064"/>
      <c r="M81" s="631"/>
      <c r="N81" s="631"/>
      <c r="O81" s="631"/>
      <c r="P81" s="631"/>
      <c r="Q81" s="631"/>
      <c r="R81" s="631"/>
      <c r="S81" s="631"/>
      <c r="T81" s="631"/>
      <c r="U81" s="631"/>
      <c r="V81" s="631"/>
      <c r="W81" s="631"/>
      <c r="X81" s="631"/>
      <c r="Y81" s="631"/>
      <c r="Z81" s="631"/>
      <c r="AA81" s="631"/>
      <c r="AB81" s="631"/>
      <c r="AC81" s="631"/>
      <c r="AD81" s="631"/>
      <c r="AE81" s="631"/>
      <c r="AF81" s="631"/>
    </row>
    <row r="82" spans="1:32" s="4" customFormat="1" ht="14.25">
      <c r="A82" s="78"/>
      <c r="B82" s="78"/>
      <c r="C82" s="78"/>
      <c r="D82" s="1065"/>
      <c r="F82" s="1066"/>
      <c r="H82" s="1065"/>
      <c r="I82" s="19"/>
      <c r="J82" s="631"/>
      <c r="K82" s="631"/>
      <c r="L82" s="1064"/>
      <c r="M82" s="631"/>
      <c r="N82" s="631"/>
      <c r="O82" s="631"/>
      <c r="P82" s="631"/>
      <c r="Q82" s="631"/>
      <c r="R82" s="631"/>
      <c r="S82" s="631"/>
      <c r="T82" s="631"/>
      <c r="U82" s="631"/>
      <c r="V82" s="631"/>
      <c r="W82" s="631"/>
      <c r="X82" s="631"/>
      <c r="Y82" s="631"/>
      <c r="Z82" s="631"/>
      <c r="AA82" s="631"/>
      <c r="AB82" s="631"/>
      <c r="AC82" s="631"/>
      <c r="AD82" s="631"/>
      <c r="AE82" s="631"/>
      <c r="AF82" s="631"/>
    </row>
    <row r="83" spans="1:32" s="4" customFormat="1" ht="14.25">
      <c r="A83" s="78"/>
      <c r="B83" s="78"/>
      <c r="C83" s="78"/>
      <c r="D83" s="1065"/>
      <c r="F83" s="1066"/>
      <c r="H83" s="1065"/>
      <c r="I83" s="19"/>
      <c r="J83" s="631"/>
      <c r="K83" s="631"/>
      <c r="L83" s="1064"/>
      <c r="M83" s="631"/>
      <c r="N83" s="631"/>
      <c r="O83" s="631"/>
      <c r="P83" s="631"/>
      <c r="Q83" s="631"/>
      <c r="R83" s="631"/>
      <c r="S83" s="631"/>
      <c r="T83" s="631"/>
      <c r="U83" s="631"/>
      <c r="V83" s="631"/>
      <c r="W83" s="631"/>
      <c r="X83" s="631"/>
      <c r="Y83" s="631"/>
      <c r="Z83" s="631"/>
      <c r="AA83" s="631"/>
      <c r="AB83" s="631"/>
      <c r="AC83" s="631"/>
      <c r="AD83" s="631"/>
      <c r="AE83" s="631"/>
      <c r="AF83" s="631"/>
    </row>
    <row r="84" spans="1:32" s="4" customFormat="1" ht="14.25">
      <c r="A84" s="78"/>
      <c r="B84" s="78"/>
      <c r="C84" s="78"/>
      <c r="D84" s="1065"/>
      <c r="F84" s="1066"/>
      <c r="H84" s="1065"/>
      <c r="I84" s="19"/>
      <c r="J84" s="631"/>
      <c r="K84" s="631"/>
      <c r="L84" s="1064"/>
      <c r="M84" s="631"/>
      <c r="N84" s="631"/>
      <c r="O84" s="631"/>
      <c r="P84" s="631"/>
      <c r="Q84" s="631"/>
      <c r="R84" s="631"/>
      <c r="S84" s="631"/>
      <c r="T84" s="631"/>
      <c r="U84" s="631"/>
      <c r="V84" s="631"/>
      <c r="W84" s="631"/>
      <c r="X84" s="631"/>
      <c r="Y84" s="631"/>
      <c r="Z84" s="631"/>
      <c r="AA84" s="631"/>
      <c r="AB84" s="631"/>
      <c r="AC84" s="631"/>
      <c r="AD84" s="631"/>
      <c r="AE84" s="631"/>
      <c r="AF84" s="631"/>
    </row>
    <row r="85" spans="1:32" s="4" customFormat="1" ht="14.25">
      <c r="A85" s="78"/>
      <c r="B85" s="78"/>
      <c r="C85" s="78"/>
      <c r="D85" s="1065"/>
      <c r="F85" s="1066"/>
      <c r="H85" s="1065"/>
      <c r="I85" s="19"/>
      <c r="J85" s="631"/>
      <c r="K85" s="631"/>
      <c r="L85" s="1064"/>
      <c r="M85" s="631"/>
      <c r="N85" s="631"/>
      <c r="O85" s="631"/>
      <c r="P85" s="631"/>
      <c r="Q85" s="631"/>
      <c r="R85" s="631"/>
      <c r="S85" s="631"/>
      <c r="T85" s="631"/>
      <c r="U85" s="631"/>
      <c r="V85" s="631"/>
      <c r="W85" s="631"/>
      <c r="X85" s="631"/>
      <c r="Y85" s="631"/>
      <c r="Z85" s="631"/>
      <c r="AA85" s="631"/>
      <c r="AB85" s="631"/>
      <c r="AC85" s="631"/>
      <c r="AD85" s="631"/>
      <c r="AE85" s="631"/>
      <c r="AF85" s="631"/>
    </row>
    <row r="86" spans="1:32" s="4" customFormat="1" ht="14.25">
      <c r="A86" s="78"/>
      <c r="B86" s="78"/>
      <c r="C86" s="78"/>
      <c r="D86" s="1065"/>
      <c r="F86" s="1066"/>
      <c r="H86" s="1065"/>
      <c r="I86" s="19"/>
      <c r="J86" s="631"/>
      <c r="K86" s="631"/>
      <c r="L86" s="1064"/>
      <c r="M86" s="631"/>
      <c r="N86" s="631"/>
      <c r="O86" s="631"/>
      <c r="P86" s="631"/>
      <c r="Q86" s="631"/>
      <c r="R86" s="631"/>
      <c r="S86" s="631"/>
      <c r="T86" s="631"/>
      <c r="U86" s="631"/>
      <c r="V86" s="631"/>
      <c r="W86" s="631"/>
      <c r="X86" s="631"/>
      <c r="Y86" s="631"/>
      <c r="Z86" s="631"/>
      <c r="AA86" s="631"/>
      <c r="AB86" s="631"/>
      <c r="AC86" s="631"/>
      <c r="AD86" s="631"/>
      <c r="AE86" s="631"/>
      <c r="AF86" s="631"/>
    </row>
    <row r="87" spans="1:32" s="4" customFormat="1" ht="14.25">
      <c r="A87" s="78"/>
      <c r="B87" s="78"/>
      <c r="C87" s="78"/>
      <c r="D87" s="1065"/>
      <c r="F87" s="1066"/>
      <c r="H87" s="1065"/>
      <c r="I87" s="19"/>
      <c r="J87" s="631"/>
      <c r="K87" s="631"/>
      <c r="L87" s="1064"/>
      <c r="M87" s="631"/>
      <c r="N87" s="631"/>
      <c r="O87" s="631"/>
      <c r="P87" s="631"/>
      <c r="Q87" s="631"/>
      <c r="R87" s="631"/>
      <c r="S87" s="631"/>
      <c r="T87" s="631"/>
      <c r="U87" s="631"/>
      <c r="V87" s="631"/>
      <c r="W87" s="631"/>
      <c r="X87" s="631"/>
      <c r="Y87" s="631"/>
      <c r="Z87" s="631"/>
      <c r="AA87" s="631"/>
      <c r="AB87" s="631"/>
      <c r="AC87" s="631"/>
      <c r="AD87" s="631"/>
      <c r="AE87" s="631"/>
      <c r="AF87" s="631"/>
    </row>
    <row r="88" spans="1:32" s="4" customFormat="1" ht="14.25">
      <c r="A88" s="78"/>
      <c r="B88" s="78"/>
      <c r="C88" s="78"/>
      <c r="D88" s="1065"/>
      <c r="F88" s="1066"/>
      <c r="H88" s="1065"/>
      <c r="I88" s="19"/>
      <c r="J88" s="631"/>
      <c r="K88" s="631"/>
      <c r="L88" s="1064"/>
      <c r="M88" s="631"/>
      <c r="N88" s="631"/>
      <c r="O88" s="631"/>
      <c r="P88" s="631"/>
      <c r="Q88" s="631"/>
      <c r="R88" s="631"/>
      <c r="S88" s="631"/>
      <c r="T88" s="631"/>
      <c r="U88" s="631"/>
      <c r="V88" s="631"/>
      <c r="W88" s="631"/>
      <c r="X88" s="631"/>
      <c r="Y88" s="631"/>
      <c r="Z88" s="631"/>
      <c r="AA88" s="631"/>
      <c r="AB88" s="631"/>
      <c r="AC88" s="631"/>
      <c r="AD88" s="631"/>
      <c r="AE88" s="631"/>
      <c r="AF88" s="631"/>
    </row>
    <row r="89" spans="1:32" s="4" customFormat="1" ht="14.25">
      <c r="A89" s="78"/>
      <c r="B89" s="78"/>
      <c r="C89" s="78"/>
      <c r="D89" s="1065"/>
      <c r="F89" s="1066"/>
      <c r="H89" s="1065"/>
      <c r="I89" s="19"/>
      <c r="J89" s="631"/>
      <c r="K89" s="631"/>
      <c r="L89" s="1064"/>
      <c r="M89" s="631"/>
      <c r="N89" s="631"/>
      <c r="O89" s="631"/>
      <c r="P89" s="631"/>
      <c r="Q89" s="631"/>
      <c r="R89" s="631"/>
      <c r="S89" s="631"/>
      <c r="T89" s="631"/>
      <c r="U89" s="631"/>
      <c r="V89" s="631"/>
      <c r="W89" s="631"/>
      <c r="X89" s="631"/>
      <c r="Y89" s="631"/>
      <c r="Z89" s="631"/>
      <c r="AA89" s="631"/>
      <c r="AB89" s="631"/>
      <c r="AC89" s="631"/>
      <c r="AD89" s="631"/>
      <c r="AE89" s="631"/>
      <c r="AF89" s="631"/>
    </row>
    <row r="90" spans="1:32" s="4" customFormat="1" ht="14.25">
      <c r="A90" s="78"/>
      <c r="B90" s="78"/>
      <c r="C90" s="78"/>
      <c r="D90" s="1065"/>
      <c r="F90" s="1066"/>
      <c r="H90" s="1065"/>
      <c r="I90" s="19"/>
      <c r="J90" s="631"/>
      <c r="K90" s="631"/>
      <c r="L90" s="1064"/>
      <c r="M90" s="631"/>
      <c r="N90" s="631"/>
      <c r="O90" s="631"/>
      <c r="P90" s="631"/>
      <c r="Q90" s="631"/>
      <c r="R90" s="631"/>
      <c r="S90" s="631"/>
      <c r="T90" s="631"/>
      <c r="U90" s="631"/>
      <c r="V90" s="631"/>
      <c r="W90" s="631"/>
      <c r="X90" s="631"/>
      <c r="Y90" s="631"/>
      <c r="Z90" s="631"/>
      <c r="AA90" s="631"/>
      <c r="AB90" s="631"/>
      <c r="AC90" s="631"/>
      <c r="AD90" s="631"/>
      <c r="AE90" s="631"/>
      <c r="AF90" s="631"/>
    </row>
    <row r="91" spans="1:32" s="1067" customFormat="1" ht="14.25">
      <c r="A91" s="78"/>
      <c r="B91" s="78"/>
      <c r="C91" s="78"/>
      <c r="D91" s="1065"/>
      <c r="E91" s="4"/>
      <c r="F91" s="1066"/>
      <c r="G91" s="4"/>
      <c r="H91" s="1065"/>
      <c r="I91" s="19"/>
      <c r="J91" s="631"/>
      <c r="K91" s="631"/>
      <c r="L91" s="1064"/>
      <c r="M91" s="631"/>
      <c r="N91" s="631"/>
      <c r="O91" s="631"/>
      <c r="P91" s="631"/>
      <c r="Q91" s="631"/>
      <c r="R91" s="631"/>
      <c r="S91" s="631"/>
      <c r="T91" s="631"/>
      <c r="U91" s="631"/>
      <c r="V91" s="631"/>
      <c r="W91" s="631"/>
      <c r="X91" s="631"/>
      <c r="Y91" s="631"/>
      <c r="Z91" s="631"/>
      <c r="AA91" s="631"/>
      <c r="AB91" s="631"/>
      <c r="AC91" s="631"/>
      <c r="AD91" s="631"/>
      <c r="AE91" s="631"/>
      <c r="AF91" s="631"/>
    </row>
    <row r="92" spans="1:32" s="1067" customFormat="1" ht="14.25">
      <c r="A92" s="78"/>
      <c r="B92" s="78"/>
      <c r="C92" s="78"/>
      <c r="D92" s="1065"/>
      <c r="E92" s="4"/>
      <c r="F92" s="1066"/>
      <c r="G92" s="4"/>
      <c r="H92" s="1065"/>
      <c r="I92" s="19"/>
      <c r="J92" s="631"/>
      <c r="K92" s="631"/>
      <c r="L92" s="1064"/>
      <c r="M92" s="631"/>
      <c r="N92" s="631"/>
      <c r="O92" s="631"/>
      <c r="P92" s="631"/>
      <c r="Q92" s="631"/>
      <c r="R92" s="631"/>
      <c r="S92" s="631"/>
      <c r="T92" s="631"/>
      <c r="U92" s="631"/>
      <c r="V92" s="631"/>
      <c r="W92" s="631"/>
      <c r="X92" s="631"/>
      <c r="Y92" s="631"/>
      <c r="Z92" s="631"/>
      <c r="AA92" s="631"/>
      <c r="AB92" s="631"/>
      <c r="AC92" s="631"/>
      <c r="AD92" s="631"/>
      <c r="AE92" s="631"/>
      <c r="AF92" s="631"/>
    </row>
    <row r="93" spans="1:32" s="1067" customFormat="1" ht="14.25">
      <c r="A93" s="78"/>
      <c r="B93" s="78"/>
      <c r="C93" s="78"/>
      <c r="D93" s="1065"/>
      <c r="E93" s="4"/>
      <c r="F93" s="1066"/>
      <c r="G93" s="4"/>
      <c r="H93" s="1065"/>
      <c r="I93" s="19"/>
      <c r="J93" s="631"/>
      <c r="K93" s="631"/>
      <c r="L93" s="1064"/>
      <c r="M93" s="631"/>
      <c r="N93" s="631"/>
      <c r="O93" s="631"/>
      <c r="P93" s="631"/>
      <c r="Q93" s="631"/>
      <c r="R93" s="631"/>
      <c r="S93" s="631"/>
      <c r="T93" s="631"/>
      <c r="U93" s="631"/>
      <c r="V93" s="631"/>
      <c r="W93" s="631"/>
      <c r="X93" s="631"/>
      <c r="Y93" s="631"/>
      <c r="Z93" s="631"/>
      <c r="AA93" s="631"/>
      <c r="AB93" s="631"/>
      <c r="AC93" s="631"/>
      <c r="AD93" s="631"/>
      <c r="AE93" s="631"/>
      <c r="AF93" s="631"/>
    </row>
    <row r="94" spans="1:32" s="1067" customFormat="1" ht="14.25">
      <c r="A94" s="78"/>
      <c r="B94" s="78"/>
      <c r="C94" s="78"/>
      <c r="D94" s="1065"/>
      <c r="E94" s="4"/>
      <c r="F94" s="1066"/>
      <c r="G94" s="4"/>
      <c r="H94" s="1065"/>
      <c r="I94" s="19"/>
      <c r="J94" s="631"/>
      <c r="K94" s="631"/>
      <c r="L94" s="1064"/>
      <c r="M94" s="631"/>
      <c r="N94" s="631"/>
      <c r="O94" s="631"/>
      <c r="P94" s="631"/>
      <c r="Q94" s="631"/>
      <c r="R94" s="631"/>
      <c r="S94" s="631"/>
      <c r="T94" s="631"/>
      <c r="U94" s="631"/>
      <c r="V94" s="631"/>
      <c r="W94" s="631"/>
      <c r="X94" s="631"/>
      <c r="Y94" s="631"/>
      <c r="Z94" s="631"/>
      <c r="AA94" s="631"/>
      <c r="AB94" s="631"/>
      <c r="AC94" s="631"/>
      <c r="AD94" s="631"/>
      <c r="AE94" s="631"/>
      <c r="AF94" s="631"/>
    </row>
    <row r="95" spans="1:32" s="1067" customFormat="1" ht="14.25">
      <c r="A95" s="78"/>
      <c r="B95" s="78"/>
      <c r="C95" s="78"/>
      <c r="D95" s="1065"/>
      <c r="E95" s="4"/>
      <c r="F95" s="1066"/>
      <c r="G95" s="4"/>
      <c r="H95" s="1065"/>
      <c r="I95" s="19"/>
      <c r="J95" s="631"/>
      <c r="K95" s="631"/>
      <c r="L95" s="1064"/>
      <c r="M95" s="631"/>
      <c r="N95" s="631"/>
      <c r="O95" s="631"/>
      <c r="P95" s="631"/>
      <c r="Q95" s="631"/>
      <c r="R95" s="631"/>
      <c r="S95" s="631"/>
      <c r="T95" s="631"/>
      <c r="U95" s="631"/>
      <c r="V95" s="631"/>
      <c r="W95" s="631"/>
      <c r="X95" s="631"/>
      <c r="Y95" s="631"/>
      <c r="Z95" s="631"/>
      <c r="AA95" s="631"/>
      <c r="AB95" s="631"/>
      <c r="AC95" s="631"/>
      <c r="AD95" s="631"/>
      <c r="AE95" s="631"/>
      <c r="AF95" s="631"/>
    </row>
    <row r="96" spans="1:32" s="1067" customFormat="1" ht="14.25">
      <c r="A96" s="78"/>
      <c r="B96" s="78"/>
      <c r="C96" s="78"/>
      <c r="D96" s="1065"/>
      <c r="E96" s="4"/>
      <c r="F96" s="1066"/>
      <c r="G96" s="4"/>
      <c r="H96" s="1065"/>
      <c r="I96" s="19"/>
      <c r="J96" s="631"/>
      <c r="K96" s="631"/>
      <c r="L96" s="1064"/>
      <c r="M96" s="631"/>
      <c r="N96" s="631"/>
      <c r="O96" s="631"/>
      <c r="P96" s="631"/>
      <c r="Q96" s="631"/>
      <c r="R96" s="631"/>
      <c r="S96" s="631"/>
      <c r="T96" s="631"/>
      <c r="U96" s="631"/>
      <c r="V96" s="631"/>
      <c r="W96" s="631"/>
      <c r="X96" s="631"/>
      <c r="Y96" s="631"/>
      <c r="Z96" s="631"/>
      <c r="AA96" s="631"/>
      <c r="AB96" s="631"/>
      <c r="AC96" s="631"/>
      <c r="AD96" s="631"/>
      <c r="AE96" s="631"/>
      <c r="AF96" s="631"/>
    </row>
    <row r="97" spans="1:32" s="1067" customFormat="1" ht="14.25">
      <c r="A97" s="78"/>
      <c r="B97" s="78"/>
      <c r="C97" s="78"/>
      <c r="D97" s="1065"/>
      <c r="E97" s="4"/>
      <c r="F97" s="1066"/>
      <c r="G97" s="4"/>
      <c r="H97" s="1065"/>
      <c r="I97" s="19"/>
      <c r="J97" s="631"/>
      <c r="K97" s="631"/>
      <c r="L97" s="1064"/>
      <c r="M97" s="631"/>
      <c r="N97" s="631"/>
      <c r="O97" s="631"/>
      <c r="P97" s="631"/>
      <c r="Q97" s="631"/>
      <c r="R97" s="631"/>
      <c r="S97" s="631"/>
      <c r="T97" s="631"/>
      <c r="U97" s="631"/>
      <c r="V97" s="631"/>
      <c r="W97" s="631"/>
      <c r="X97" s="631"/>
      <c r="Y97" s="631"/>
      <c r="Z97" s="631"/>
      <c r="AA97" s="631"/>
      <c r="AB97" s="631"/>
      <c r="AC97" s="631"/>
      <c r="AD97" s="631"/>
      <c r="AE97" s="631"/>
      <c r="AF97" s="631"/>
    </row>
    <row r="98" spans="1:32" s="1067" customFormat="1" ht="14.25">
      <c r="A98" s="78"/>
      <c r="B98" s="78"/>
      <c r="C98" s="78"/>
      <c r="D98" s="1065"/>
      <c r="E98" s="4"/>
      <c r="F98" s="1066"/>
      <c r="G98" s="4"/>
      <c r="H98" s="1065"/>
      <c r="I98" s="19"/>
      <c r="J98" s="631"/>
      <c r="K98" s="631"/>
      <c r="L98" s="1064"/>
      <c r="M98" s="631"/>
      <c r="N98" s="631"/>
      <c r="O98" s="631"/>
      <c r="P98" s="631"/>
      <c r="Q98" s="631"/>
      <c r="R98" s="631"/>
      <c r="S98" s="631"/>
      <c r="T98" s="631"/>
      <c r="U98" s="631"/>
      <c r="V98" s="631"/>
      <c r="W98" s="631"/>
      <c r="X98" s="631"/>
      <c r="Y98" s="631"/>
      <c r="Z98" s="631"/>
      <c r="AA98" s="631"/>
      <c r="AB98" s="631"/>
      <c r="AC98" s="631"/>
      <c r="AD98" s="631"/>
      <c r="AE98" s="631"/>
      <c r="AF98" s="631"/>
    </row>
    <row r="99" spans="1:32" s="1067" customFormat="1" ht="14.25">
      <c r="A99" s="78"/>
      <c r="B99" s="78"/>
      <c r="C99" s="78"/>
      <c r="D99" s="1065"/>
      <c r="E99" s="4"/>
      <c r="F99" s="1066"/>
      <c r="G99" s="4"/>
      <c r="H99" s="1065"/>
      <c r="I99" s="19"/>
      <c r="J99" s="631"/>
      <c r="K99" s="631"/>
      <c r="L99" s="1064"/>
      <c r="M99" s="631"/>
      <c r="N99" s="631"/>
      <c r="O99" s="631"/>
      <c r="P99" s="631"/>
      <c r="Q99" s="631"/>
      <c r="R99" s="631"/>
      <c r="S99" s="631"/>
      <c r="T99" s="631"/>
      <c r="U99" s="631"/>
      <c r="V99" s="631"/>
      <c r="W99" s="631"/>
      <c r="X99" s="631"/>
      <c r="Y99" s="631"/>
      <c r="Z99" s="631"/>
      <c r="AA99" s="631"/>
      <c r="AB99" s="631"/>
      <c r="AC99" s="631"/>
      <c r="AD99" s="631"/>
      <c r="AE99" s="631"/>
      <c r="AF99" s="631"/>
    </row>
    <row r="100" spans="1:32" s="1067" customFormat="1" ht="14.25">
      <c r="A100" s="78"/>
      <c r="B100" s="78"/>
      <c r="C100" s="78"/>
      <c r="D100" s="1065"/>
      <c r="E100" s="4"/>
      <c r="F100" s="1066"/>
      <c r="G100" s="4"/>
      <c r="H100" s="1065"/>
      <c r="I100" s="19"/>
      <c r="J100" s="631"/>
      <c r="K100" s="631"/>
      <c r="L100" s="1064"/>
      <c r="M100" s="631"/>
      <c r="N100" s="631"/>
      <c r="O100" s="631"/>
      <c r="P100" s="631"/>
      <c r="Q100" s="631"/>
      <c r="R100" s="631"/>
      <c r="S100" s="631"/>
      <c r="T100" s="631"/>
      <c r="U100" s="631"/>
      <c r="V100" s="631"/>
      <c r="W100" s="631"/>
      <c r="X100" s="631"/>
      <c r="Y100" s="631"/>
      <c r="Z100" s="631"/>
      <c r="AA100" s="631"/>
      <c r="AB100" s="631"/>
      <c r="AC100" s="631"/>
      <c r="AD100" s="631"/>
      <c r="AE100" s="631"/>
      <c r="AF100" s="631"/>
    </row>
    <row r="101" spans="1:32" s="1067" customFormat="1" ht="14.25">
      <c r="A101" s="78"/>
      <c r="B101" s="78"/>
      <c r="C101" s="78"/>
      <c r="D101" s="1065"/>
      <c r="E101" s="4"/>
      <c r="F101" s="1066"/>
      <c r="G101" s="4"/>
      <c r="H101" s="1065"/>
      <c r="I101" s="19"/>
      <c r="J101" s="631"/>
      <c r="K101" s="631"/>
      <c r="L101" s="1064"/>
      <c r="M101" s="631"/>
      <c r="N101" s="631"/>
      <c r="O101" s="631"/>
      <c r="P101" s="631"/>
      <c r="Q101" s="631"/>
      <c r="R101" s="631"/>
      <c r="S101" s="631"/>
      <c r="T101" s="631"/>
      <c r="U101" s="631"/>
      <c r="V101" s="631"/>
      <c r="W101" s="631"/>
      <c r="X101" s="631"/>
      <c r="Y101" s="631"/>
      <c r="Z101" s="631"/>
      <c r="AA101" s="631"/>
      <c r="AB101" s="631"/>
      <c r="AC101" s="631"/>
      <c r="AD101" s="631"/>
      <c r="AE101" s="631"/>
      <c r="AF101" s="631"/>
    </row>
    <row r="102" spans="1:32" s="1067" customFormat="1" ht="14.25">
      <c r="A102" s="78"/>
      <c r="B102" s="78"/>
      <c r="C102" s="78"/>
      <c r="D102" s="1068"/>
      <c r="E102" s="78"/>
      <c r="F102" s="9"/>
      <c r="G102" s="78"/>
      <c r="H102" s="1068"/>
      <c r="I102" s="78"/>
      <c r="J102" s="631"/>
      <c r="K102" s="631"/>
      <c r="L102" s="1064"/>
      <c r="M102" s="631"/>
      <c r="N102" s="631"/>
      <c r="O102" s="631"/>
      <c r="P102" s="631"/>
      <c r="Q102" s="631"/>
      <c r="R102" s="631"/>
      <c r="S102" s="631"/>
      <c r="T102" s="631"/>
      <c r="U102" s="631"/>
      <c r="V102" s="631"/>
      <c r="W102" s="631"/>
      <c r="X102" s="631"/>
      <c r="Y102" s="631"/>
      <c r="Z102" s="631"/>
      <c r="AA102" s="631"/>
      <c r="AB102" s="631"/>
      <c r="AC102" s="631"/>
      <c r="AD102" s="631"/>
      <c r="AE102" s="631"/>
      <c r="AF102" s="631"/>
    </row>
    <row r="103" spans="1:32" s="1067" customFormat="1" ht="14.25">
      <c r="A103" s="78"/>
      <c r="B103" s="78"/>
      <c r="C103" s="78"/>
      <c r="D103" s="1068"/>
      <c r="E103" s="78"/>
      <c r="F103" s="9"/>
      <c r="G103" s="78"/>
      <c r="H103" s="1068"/>
      <c r="I103" s="78"/>
      <c r="J103" s="631"/>
      <c r="K103" s="631"/>
      <c r="L103" s="1064"/>
      <c r="M103" s="631"/>
      <c r="N103" s="631"/>
      <c r="O103" s="631"/>
      <c r="P103" s="631"/>
      <c r="Q103" s="631"/>
      <c r="R103" s="631"/>
      <c r="S103" s="631"/>
      <c r="T103" s="631"/>
      <c r="U103" s="631"/>
      <c r="V103" s="631"/>
      <c r="W103" s="631"/>
      <c r="X103" s="631"/>
      <c r="Y103" s="631"/>
      <c r="Z103" s="631"/>
      <c r="AA103" s="631"/>
      <c r="AB103" s="631"/>
      <c r="AC103" s="631"/>
      <c r="AD103" s="631"/>
      <c r="AE103" s="631"/>
      <c r="AF103" s="631"/>
    </row>
    <row r="104" spans="1:32" s="1067" customFormat="1" ht="14.25">
      <c r="A104" s="78"/>
      <c r="B104" s="78"/>
      <c r="C104" s="78"/>
      <c r="D104" s="1068"/>
      <c r="E104" s="78"/>
      <c r="F104" s="9"/>
      <c r="G104" s="78"/>
      <c r="H104" s="1068"/>
      <c r="I104" s="78"/>
      <c r="J104" s="631"/>
      <c r="K104" s="631"/>
      <c r="L104" s="1064"/>
      <c r="M104" s="631"/>
      <c r="N104" s="631"/>
      <c r="O104" s="631"/>
      <c r="P104" s="631"/>
      <c r="Q104" s="631"/>
      <c r="R104" s="631"/>
      <c r="S104" s="631"/>
      <c r="T104" s="631"/>
      <c r="U104" s="631"/>
      <c r="V104" s="631"/>
      <c r="W104" s="631"/>
      <c r="X104" s="631"/>
      <c r="Y104" s="631"/>
      <c r="Z104" s="631"/>
      <c r="AA104" s="631"/>
      <c r="AB104" s="631"/>
      <c r="AC104" s="631"/>
      <c r="AD104" s="631"/>
      <c r="AE104" s="631"/>
      <c r="AF104" s="631"/>
    </row>
    <row r="105" spans="1:32" s="1067" customFormat="1" ht="14.25">
      <c r="A105" s="78"/>
      <c r="B105" s="78"/>
      <c r="C105" s="78"/>
      <c r="D105" s="1068"/>
      <c r="E105" s="78"/>
      <c r="F105" s="9"/>
      <c r="G105" s="78"/>
      <c r="H105" s="1068"/>
      <c r="I105" s="78"/>
      <c r="J105" s="631"/>
      <c r="K105" s="631"/>
      <c r="L105" s="1064"/>
      <c r="M105" s="631"/>
      <c r="N105" s="631"/>
      <c r="O105" s="631"/>
      <c r="P105" s="631"/>
      <c r="Q105" s="631"/>
      <c r="R105" s="631"/>
      <c r="S105" s="631"/>
      <c r="T105" s="631"/>
      <c r="U105" s="631"/>
      <c r="V105" s="631"/>
      <c r="W105" s="631"/>
      <c r="X105" s="631"/>
      <c r="Y105" s="631"/>
      <c r="Z105" s="631"/>
      <c r="AA105" s="631"/>
      <c r="AB105" s="631"/>
      <c r="AC105" s="631"/>
      <c r="AD105" s="631"/>
      <c r="AE105" s="631"/>
      <c r="AF105" s="631"/>
    </row>
    <row r="106" spans="1:32" s="1067" customFormat="1" ht="14.25">
      <c r="A106" s="78"/>
      <c r="B106" s="78"/>
      <c r="C106" s="78"/>
      <c r="D106" s="1068"/>
      <c r="E106" s="78"/>
      <c r="F106" s="9"/>
      <c r="G106" s="78"/>
      <c r="H106" s="1068"/>
      <c r="I106" s="78"/>
      <c r="J106" s="631"/>
      <c r="K106" s="631"/>
      <c r="L106" s="1064"/>
      <c r="M106" s="631"/>
      <c r="N106" s="631"/>
      <c r="O106" s="631"/>
      <c r="P106" s="631"/>
      <c r="Q106" s="631"/>
      <c r="R106" s="631"/>
      <c r="S106" s="631"/>
      <c r="T106" s="631"/>
      <c r="U106" s="631"/>
      <c r="V106" s="631"/>
      <c r="W106" s="631"/>
      <c r="X106" s="631"/>
      <c r="Y106" s="631"/>
      <c r="Z106" s="631"/>
      <c r="AA106" s="631"/>
      <c r="AB106" s="631"/>
      <c r="AC106" s="631"/>
      <c r="AD106" s="631"/>
      <c r="AE106" s="631"/>
      <c r="AF106" s="631"/>
    </row>
    <row r="107" spans="1:32" s="1067" customFormat="1" ht="14.25">
      <c r="A107" s="78"/>
      <c r="B107" s="78"/>
      <c r="C107" s="78"/>
      <c r="D107" s="1068"/>
      <c r="E107" s="78"/>
      <c r="F107" s="9"/>
      <c r="G107" s="78"/>
      <c r="H107" s="1068"/>
      <c r="I107" s="78"/>
      <c r="J107" s="631"/>
      <c r="K107" s="631"/>
      <c r="L107" s="1064"/>
      <c r="M107" s="631"/>
      <c r="N107" s="631"/>
      <c r="O107" s="631"/>
      <c r="P107" s="631"/>
      <c r="Q107" s="631"/>
      <c r="R107" s="631"/>
      <c r="S107" s="631"/>
      <c r="T107" s="631"/>
      <c r="U107" s="631"/>
      <c r="V107" s="631"/>
      <c r="W107" s="631"/>
      <c r="X107" s="631"/>
      <c r="Y107" s="631"/>
      <c r="Z107" s="631"/>
      <c r="AA107" s="631"/>
      <c r="AB107" s="631"/>
      <c r="AC107" s="631"/>
      <c r="AD107" s="631"/>
      <c r="AE107" s="631"/>
      <c r="AF107" s="631"/>
    </row>
    <row r="108" spans="1:32" s="1067" customFormat="1" ht="14.25">
      <c r="A108" s="78"/>
      <c r="B108" s="78"/>
      <c r="C108" s="78"/>
      <c r="D108" s="1068"/>
      <c r="E108" s="78"/>
      <c r="F108" s="9"/>
      <c r="G108" s="78"/>
      <c r="H108" s="1068"/>
      <c r="I108" s="78"/>
      <c r="J108" s="631"/>
      <c r="K108" s="631"/>
      <c r="L108" s="1064"/>
      <c r="M108" s="631"/>
      <c r="N108" s="631"/>
      <c r="O108" s="631"/>
      <c r="P108" s="631"/>
      <c r="Q108" s="631"/>
      <c r="R108" s="631"/>
      <c r="S108" s="631"/>
      <c r="T108" s="631"/>
      <c r="U108" s="631"/>
      <c r="V108" s="631"/>
      <c r="W108" s="631"/>
      <c r="X108" s="631"/>
      <c r="Y108" s="631"/>
      <c r="Z108" s="631"/>
      <c r="AA108" s="631"/>
      <c r="AB108" s="631"/>
      <c r="AC108" s="631"/>
      <c r="AD108" s="631"/>
      <c r="AE108" s="631"/>
      <c r="AF108" s="631"/>
    </row>
    <row r="109" spans="1:32" s="1067" customFormat="1" ht="14.25">
      <c r="A109" s="78"/>
      <c r="B109" s="78"/>
      <c r="C109" s="78"/>
      <c r="D109" s="1068"/>
      <c r="E109" s="78"/>
      <c r="F109" s="9"/>
      <c r="G109" s="78"/>
      <c r="H109" s="1068"/>
      <c r="I109" s="78"/>
      <c r="J109" s="631"/>
      <c r="K109" s="631"/>
      <c r="L109" s="1064"/>
      <c r="M109" s="631"/>
      <c r="N109" s="631"/>
      <c r="O109" s="631"/>
      <c r="P109" s="631"/>
      <c r="Q109" s="631"/>
      <c r="R109" s="631"/>
      <c r="S109" s="631"/>
      <c r="T109" s="631"/>
      <c r="U109" s="631"/>
      <c r="V109" s="631"/>
      <c r="W109" s="631"/>
      <c r="X109" s="631"/>
      <c r="Y109" s="631"/>
      <c r="Z109" s="631"/>
      <c r="AA109" s="631"/>
      <c r="AB109" s="631"/>
      <c r="AC109" s="631"/>
      <c r="AD109" s="631"/>
      <c r="AE109" s="631"/>
      <c r="AF109" s="631"/>
    </row>
    <row r="110" spans="1:32" s="1067" customFormat="1" ht="14.25">
      <c r="A110" s="78"/>
      <c r="B110" s="78"/>
      <c r="C110" s="78"/>
      <c r="D110" s="1068"/>
      <c r="E110" s="78"/>
      <c r="F110" s="9"/>
      <c r="G110" s="78"/>
      <c r="H110" s="1068"/>
      <c r="I110" s="78"/>
      <c r="J110" s="631"/>
      <c r="K110" s="631"/>
      <c r="L110" s="1064"/>
      <c r="M110" s="631"/>
      <c r="N110" s="631"/>
      <c r="O110" s="631"/>
      <c r="P110" s="631"/>
      <c r="Q110" s="631"/>
      <c r="R110" s="631"/>
      <c r="S110" s="631"/>
      <c r="T110" s="631"/>
      <c r="U110" s="631"/>
      <c r="V110" s="631"/>
      <c r="W110" s="631"/>
      <c r="X110" s="631"/>
      <c r="Y110" s="631"/>
      <c r="Z110" s="631"/>
      <c r="AA110" s="631"/>
      <c r="AB110" s="631"/>
      <c r="AC110" s="631"/>
      <c r="AD110" s="631"/>
      <c r="AE110" s="631"/>
      <c r="AF110" s="631"/>
    </row>
    <row r="111" spans="1:32" s="1067" customFormat="1" ht="14.25">
      <c r="A111" s="78"/>
      <c r="B111" s="78"/>
      <c r="C111" s="78"/>
      <c r="D111" s="1068"/>
      <c r="E111" s="78"/>
      <c r="F111" s="9"/>
      <c r="G111" s="78"/>
      <c r="H111" s="1068"/>
      <c r="I111" s="78"/>
      <c r="J111" s="631"/>
      <c r="K111" s="631"/>
      <c r="L111" s="1064"/>
      <c r="M111" s="631"/>
      <c r="N111" s="631"/>
      <c r="O111" s="631"/>
      <c r="P111" s="631"/>
      <c r="Q111" s="631"/>
      <c r="R111" s="631"/>
      <c r="S111" s="631"/>
      <c r="T111" s="631"/>
      <c r="U111" s="631"/>
      <c r="V111" s="631"/>
      <c r="W111" s="631"/>
      <c r="X111" s="631"/>
      <c r="Y111" s="631"/>
      <c r="Z111" s="631"/>
      <c r="AA111" s="631"/>
      <c r="AB111" s="631"/>
      <c r="AC111" s="631"/>
      <c r="AD111" s="631"/>
      <c r="AE111" s="631"/>
      <c r="AF111" s="631"/>
    </row>
    <row r="112" spans="1:32" s="1067" customFormat="1" ht="14.25">
      <c r="A112" s="78"/>
      <c r="B112" s="78"/>
      <c r="C112" s="78"/>
      <c r="D112" s="1068"/>
      <c r="E112" s="78"/>
      <c r="F112" s="9"/>
      <c r="G112" s="78"/>
      <c r="H112" s="1068"/>
      <c r="I112" s="78"/>
      <c r="J112" s="631"/>
      <c r="K112" s="631"/>
      <c r="L112" s="1064"/>
      <c r="M112" s="631"/>
      <c r="N112" s="631"/>
      <c r="O112" s="631"/>
      <c r="P112" s="631"/>
      <c r="Q112" s="631"/>
      <c r="R112" s="631"/>
      <c r="S112" s="631"/>
      <c r="T112" s="631"/>
      <c r="U112" s="631"/>
      <c r="V112" s="631"/>
      <c r="W112" s="631"/>
      <c r="X112" s="631"/>
      <c r="Y112" s="631"/>
      <c r="Z112" s="631"/>
      <c r="AA112" s="631"/>
      <c r="AB112" s="631"/>
      <c r="AC112" s="631"/>
      <c r="AD112" s="631"/>
      <c r="AE112" s="631"/>
      <c r="AF112" s="631"/>
    </row>
    <row r="113" spans="1:32" s="1067" customFormat="1" ht="14.25">
      <c r="A113" s="78"/>
      <c r="B113" s="78"/>
      <c r="C113" s="78"/>
      <c r="D113" s="1068"/>
      <c r="E113" s="78"/>
      <c r="F113" s="9"/>
      <c r="G113" s="78"/>
      <c r="H113" s="1068"/>
      <c r="I113" s="78"/>
      <c r="J113" s="631"/>
      <c r="K113" s="631"/>
      <c r="L113" s="1064"/>
      <c r="M113" s="631"/>
      <c r="N113" s="631"/>
      <c r="O113" s="631"/>
      <c r="P113" s="631"/>
      <c r="Q113" s="631"/>
      <c r="R113" s="631"/>
      <c r="S113" s="631"/>
      <c r="T113" s="631"/>
      <c r="U113" s="631"/>
      <c r="V113" s="631"/>
      <c r="W113" s="631"/>
      <c r="X113" s="631"/>
      <c r="Y113" s="631"/>
      <c r="Z113" s="631"/>
      <c r="AA113" s="631"/>
      <c r="AB113" s="631"/>
      <c r="AC113" s="631"/>
      <c r="AD113" s="631"/>
      <c r="AE113" s="631"/>
      <c r="AF113" s="631"/>
    </row>
    <row r="114" spans="1:32" s="1067" customFormat="1" ht="14.25">
      <c r="A114" s="78"/>
      <c r="B114" s="78"/>
      <c r="C114" s="78"/>
      <c r="D114" s="1068"/>
      <c r="E114" s="78"/>
      <c r="F114" s="9"/>
      <c r="G114" s="78"/>
      <c r="H114" s="1068"/>
      <c r="I114" s="78"/>
      <c r="J114" s="631"/>
      <c r="K114" s="631"/>
      <c r="L114" s="1064"/>
      <c r="M114" s="631"/>
      <c r="N114" s="631"/>
      <c r="O114" s="631"/>
      <c r="P114" s="631"/>
      <c r="Q114" s="631"/>
      <c r="R114" s="631"/>
      <c r="S114" s="631"/>
      <c r="T114" s="631"/>
      <c r="U114" s="631"/>
      <c r="V114" s="631"/>
      <c r="W114" s="631"/>
      <c r="X114" s="631"/>
      <c r="Y114" s="631"/>
      <c r="Z114" s="631"/>
      <c r="AA114" s="631"/>
      <c r="AB114" s="631"/>
      <c r="AC114" s="631"/>
      <c r="AD114" s="631"/>
      <c r="AE114" s="631"/>
      <c r="AF114" s="631"/>
    </row>
    <row r="115" spans="1:32" s="1067" customFormat="1" ht="14.25">
      <c r="A115" s="78"/>
      <c r="B115" s="78"/>
      <c r="C115" s="78"/>
      <c r="D115" s="1068"/>
      <c r="E115" s="78"/>
      <c r="F115" s="9"/>
      <c r="G115" s="78"/>
      <c r="H115" s="1068"/>
      <c r="I115" s="78"/>
      <c r="J115" s="631"/>
      <c r="K115" s="631"/>
      <c r="L115" s="1064"/>
      <c r="M115" s="631"/>
      <c r="N115" s="631"/>
      <c r="O115" s="631"/>
      <c r="P115" s="631"/>
      <c r="Q115" s="631"/>
      <c r="R115" s="631"/>
      <c r="S115" s="631"/>
      <c r="T115" s="631"/>
      <c r="U115" s="631"/>
      <c r="V115" s="631"/>
      <c r="W115" s="631"/>
      <c r="X115" s="631"/>
      <c r="Y115" s="631"/>
      <c r="Z115" s="631"/>
      <c r="AA115" s="631"/>
      <c r="AB115" s="631"/>
      <c r="AC115" s="631"/>
      <c r="AD115" s="631"/>
      <c r="AE115" s="631"/>
      <c r="AF115" s="631"/>
    </row>
    <row r="116" spans="1:32" s="1067" customFormat="1" ht="14.25">
      <c r="A116" s="78"/>
      <c r="B116" s="78"/>
      <c r="C116" s="78"/>
      <c r="D116" s="1068"/>
      <c r="E116" s="78"/>
      <c r="F116" s="9"/>
      <c r="G116" s="78"/>
      <c r="H116" s="1068"/>
      <c r="I116" s="78"/>
      <c r="J116" s="631"/>
      <c r="K116" s="631"/>
      <c r="L116" s="1064"/>
      <c r="M116" s="631"/>
      <c r="N116" s="631"/>
      <c r="O116" s="631"/>
      <c r="P116" s="631"/>
      <c r="Q116" s="631"/>
      <c r="R116" s="631"/>
      <c r="S116" s="631"/>
      <c r="T116" s="631"/>
      <c r="U116" s="631"/>
      <c r="V116" s="631"/>
      <c r="W116" s="631"/>
      <c r="X116" s="631"/>
      <c r="Y116" s="631"/>
      <c r="Z116" s="631"/>
      <c r="AA116" s="631"/>
      <c r="AB116" s="631"/>
      <c r="AC116" s="631"/>
      <c r="AD116" s="631"/>
      <c r="AE116" s="631"/>
      <c r="AF116" s="631"/>
    </row>
  </sheetData>
  <mergeCells count="3">
    <mergeCell ref="L6:L7"/>
    <mergeCell ref="M6:P6"/>
    <mergeCell ref="Q6:Q7"/>
  </mergeCells>
  <printOptions horizontalCentered="1"/>
  <pageMargins left="0.59055118110236227" right="0.59055118110236227" top="0.59055118110236227" bottom="0.59055118110236227" header="0.39370078740157483" footer="0.39370078740157483"/>
  <pageSetup paperSize="9" scale="78" firstPageNumber="6" orientation="portrait" useFirstPageNumber="1" r:id="rId1"/>
  <headerFooter alignWithMargins="0">
    <oddFooter>&amp;L&amp;11LEL Schwäbisch Gmünd&amp;C&amp;11&amp;P+8&amp;R&amp;11&amp;F</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0000"/>
  </sheetPr>
  <dimension ref="A1:L86"/>
  <sheetViews>
    <sheetView workbookViewId="0"/>
  </sheetViews>
  <sheetFormatPr baseColWidth="10" defaultColWidth="11.25" defaultRowHeight="12.75"/>
  <cols>
    <col min="1" max="1" width="26.625" style="33" bestFit="1" customWidth="1"/>
    <col min="2" max="3" width="11.25" style="33"/>
    <col min="4" max="4" width="3" style="33" customWidth="1"/>
    <col min="5" max="5" width="38.625" style="33" bestFit="1" customWidth="1"/>
    <col min="6" max="6" width="11.375" style="33" bestFit="1" customWidth="1"/>
    <col min="7" max="7" width="12.125" style="33" bestFit="1" customWidth="1"/>
    <col min="8" max="8" width="11.25" style="33"/>
    <col min="9" max="9" width="12.875" style="33" bestFit="1" customWidth="1"/>
    <col min="10" max="10" width="12.5" style="33" bestFit="1" customWidth="1"/>
    <col min="11" max="11" width="13.375" style="2016" bestFit="1" customWidth="1"/>
    <col min="12" max="16384" width="11.25" style="33"/>
  </cols>
  <sheetData>
    <row r="1" spans="1:12" ht="20.25">
      <c r="A1" s="205" t="s">
        <v>1916</v>
      </c>
    </row>
    <row r="2" spans="1:12">
      <c r="A2" s="15" t="s">
        <v>1915</v>
      </c>
      <c r="H2" s="15" t="s">
        <v>1914</v>
      </c>
      <c r="I2" s="3005">
        <v>0.02</v>
      </c>
      <c r="J2" s="15"/>
    </row>
    <row r="4" spans="1:12" ht="25.5">
      <c r="A4" s="15" t="s">
        <v>617</v>
      </c>
      <c r="B4" s="15" t="s">
        <v>114</v>
      </c>
      <c r="E4" s="15" t="s">
        <v>1913</v>
      </c>
      <c r="F4" s="3004" t="s">
        <v>1912</v>
      </c>
      <c r="G4" s="15" t="s">
        <v>779</v>
      </c>
      <c r="H4" s="15" t="s">
        <v>1911</v>
      </c>
      <c r="I4" s="15" t="s">
        <v>1910</v>
      </c>
      <c r="J4" s="15" t="s">
        <v>1909</v>
      </c>
      <c r="K4" s="2016" t="s">
        <v>1908</v>
      </c>
      <c r="L4" s="15" t="s">
        <v>522</v>
      </c>
    </row>
    <row r="5" spans="1:12">
      <c r="A5" s="392" t="s">
        <v>1907</v>
      </c>
      <c r="B5" s="3003">
        <f>SUM(B6:B35)</f>
        <v>150</v>
      </c>
      <c r="C5" s="15"/>
      <c r="D5" s="4515" t="s">
        <v>524</v>
      </c>
      <c r="E5" s="4569"/>
    </row>
    <row r="6" spans="1:12">
      <c r="A6" s="392" t="str">
        <f>'SD8'!B10</f>
        <v>Winterweizen (Futter-)</v>
      </c>
      <c r="B6" s="3003">
        <v>50</v>
      </c>
      <c r="C6" s="15"/>
      <c r="D6" s="477">
        <v>1</v>
      </c>
      <c r="E6" s="483" t="s">
        <v>539</v>
      </c>
      <c r="F6" s="3002">
        <v>100000</v>
      </c>
      <c r="G6" s="3002">
        <v>12</v>
      </c>
      <c r="H6" s="3002">
        <v>10000</v>
      </c>
      <c r="I6" s="3001">
        <f t="shared" ref="I6:I11" si="0">IFERROR((F6-H6)/G6+(F6+H6)/2*$I$2+0.01*F6+0.01*F6,"")</f>
        <v>10600</v>
      </c>
      <c r="K6" s="2999" t="str">
        <f>IFERROR(I6/J6,"")</f>
        <v/>
      </c>
    </row>
    <row r="7" spans="1:12">
      <c r="A7" s="392" t="str">
        <f>'SD8'!B11</f>
        <v>Winterweizen (Brot-)</v>
      </c>
      <c r="B7" s="3003"/>
      <c r="D7" s="477">
        <v>2</v>
      </c>
      <c r="E7" s="392" t="s">
        <v>537</v>
      </c>
      <c r="F7" s="3002"/>
      <c r="G7" s="3003"/>
      <c r="H7" s="3003"/>
      <c r="I7" s="3001" t="str">
        <f t="shared" si="0"/>
        <v/>
      </c>
    </row>
    <row r="8" spans="1:12">
      <c r="A8" s="392" t="str">
        <f>'SD8'!B12</f>
        <v>Winterweizen (Aufmisch-; A-Sort.)</v>
      </c>
      <c r="B8" s="3003"/>
      <c r="D8" s="477">
        <v>3</v>
      </c>
      <c r="E8" s="392" t="s">
        <v>535</v>
      </c>
      <c r="F8" s="3002"/>
      <c r="G8" s="3003"/>
      <c r="H8" s="3003"/>
      <c r="I8" s="3001" t="str">
        <f t="shared" si="0"/>
        <v/>
      </c>
    </row>
    <row r="9" spans="1:12">
      <c r="A9" s="392" t="str">
        <f>'SD8'!B13</f>
        <v>Winterweizen (Qualität-; E-Sorte)</v>
      </c>
      <c r="B9" s="3003"/>
      <c r="D9" s="477">
        <v>4</v>
      </c>
      <c r="E9" s="392" t="s">
        <v>533</v>
      </c>
      <c r="F9" s="3002"/>
      <c r="G9" s="3003"/>
      <c r="H9" s="3003"/>
      <c r="I9" s="3001" t="str">
        <f t="shared" si="0"/>
        <v/>
      </c>
    </row>
    <row r="10" spans="1:12">
      <c r="A10" s="392" t="str">
        <f>'SD8'!B14</f>
        <v>Winterroggen</v>
      </c>
      <c r="B10" s="3003"/>
      <c r="D10" s="477">
        <v>5</v>
      </c>
      <c r="E10" s="392" t="s">
        <v>531</v>
      </c>
      <c r="F10" s="3002"/>
      <c r="G10" s="3003"/>
      <c r="H10" s="3003"/>
      <c r="I10" s="3001" t="str">
        <f t="shared" si="0"/>
        <v/>
      </c>
    </row>
    <row r="11" spans="1:12">
      <c r="A11" s="392" t="str">
        <f>'SD8'!B15</f>
        <v>Triticale</v>
      </c>
      <c r="B11" s="3003"/>
      <c r="D11" s="477">
        <v>6</v>
      </c>
      <c r="E11" s="392" t="s">
        <v>528</v>
      </c>
      <c r="F11" s="3002"/>
      <c r="G11" s="3003"/>
      <c r="H11" s="3003"/>
      <c r="I11" s="3001" t="str">
        <f t="shared" si="0"/>
        <v/>
      </c>
    </row>
    <row r="12" spans="1:12">
      <c r="A12" s="392" t="str">
        <f>'SD8'!B16</f>
        <v>Wintergerste</v>
      </c>
      <c r="B12" s="3003">
        <v>30</v>
      </c>
      <c r="D12" s="4515" t="s">
        <v>525</v>
      </c>
      <c r="E12" s="4569"/>
    </row>
    <row r="13" spans="1:12">
      <c r="A13" s="392" t="str">
        <f>'SD8'!B17</f>
        <v>Dinkel</v>
      </c>
      <c r="B13" s="3003"/>
      <c r="D13" s="4570" t="s">
        <v>1906</v>
      </c>
      <c r="E13" s="392" t="s">
        <v>515</v>
      </c>
      <c r="F13" s="3002">
        <v>15000</v>
      </c>
      <c r="G13" s="3003">
        <v>12</v>
      </c>
      <c r="H13" s="3002">
        <v>1000</v>
      </c>
      <c r="I13" s="3001">
        <f t="shared" ref="I13:I44" si="1">IFERROR((F13-H13)/G13+(F13+H13)/2*$I$2+0.01*F13,"")</f>
        <v>1476.6666666666667</v>
      </c>
      <c r="J13" s="3000">
        <f ca="1">SUMIF(Maschinenauslastung!D:D,E13,Maschinenauslastung!E:E)</f>
        <v>100</v>
      </c>
      <c r="K13" s="2999">
        <f t="shared" ref="K13:K44" ca="1" si="2">IFERROR(I13/J13,"")</f>
        <v>14.766666666666667</v>
      </c>
      <c r="L13" s="627">
        <f>VLOOKUP(E13,'SDK3'!C:O,2,FALSE)</f>
        <v>12</v>
      </c>
    </row>
    <row r="14" spans="1:12">
      <c r="A14" s="392" t="str">
        <f>'SD8'!B18</f>
        <v xml:space="preserve">Sommerweizen </v>
      </c>
      <c r="B14" s="3003"/>
      <c r="D14" s="4568"/>
      <c r="E14" s="392" t="s">
        <v>512</v>
      </c>
      <c r="F14" s="3002">
        <v>10000</v>
      </c>
      <c r="G14" s="3003">
        <v>8</v>
      </c>
      <c r="H14" s="3002">
        <v>2000</v>
      </c>
      <c r="I14" s="3001">
        <f t="shared" si="1"/>
        <v>1220</v>
      </c>
      <c r="J14" s="3000">
        <f ca="1">SUMIF(Maschinenauslastung!D:D,E14,Maschinenauslastung!E:E)</f>
        <v>0</v>
      </c>
      <c r="K14" s="2999" t="str">
        <f t="shared" ca="1" si="2"/>
        <v/>
      </c>
      <c r="L14" s="627">
        <f>VLOOKUP(E14,'SDK3'!C:O,2,FALSE)</f>
        <v>5</v>
      </c>
    </row>
    <row r="15" spans="1:12">
      <c r="A15" s="392" t="str">
        <f>'SD8'!B19</f>
        <v xml:space="preserve">Sommerfuttergerste </v>
      </c>
      <c r="B15" s="3003"/>
      <c r="D15" s="4568"/>
      <c r="E15" s="392" t="s">
        <v>508</v>
      </c>
      <c r="F15" s="3002"/>
      <c r="G15" s="3003"/>
      <c r="H15" s="3002"/>
      <c r="I15" s="3001" t="str">
        <f t="shared" si="1"/>
        <v/>
      </c>
      <c r="J15" s="3000">
        <f ca="1">SUMIF(Maschinenauslastung!D:D,E15,Maschinenauslastung!E:E)</f>
        <v>0</v>
      </c>
      <c r="K15" s="2999" t="str">
        <f t="shared" ca="1" si="2"/>
        <v/>
      </c>
      <c r="L15" s="627">
        <f>VLOOKUP(E15,'SDK3'!C:O,2,FALSE)</f>
        <v>5.5</v>
      </c>
    </row>
    <row r="16" spans="1:12">
      <c r="A16" s="392" t="str">
        <f>'SD8'!B20</f>
        <v>Braugerste</v>
      </c>
      <c r="B16" s="3003"/>
      <c r="D16" s="4568"/>
      <c r="E16" s="425" t="s">
        <v>504</v>
      </c>
      <c r="F16" s="3002"/>
      <c r="G16" s="3003"/>
      <c r="H16" s="3002"/>
      <c r="I16" s="3001" t="str">
        <f t="shared" si="1"/>
        <v/>
      </c>
      <c r="J16" s="3000">
        <f ca="1">SUMIF(Maschinenauslastung!D:D,E16,Maschinenauslastung!E:E)</f>
        <v>0</v>
      </c>
      <c r="K16" s="2999" t="str">
        <f t="shared" ca="1" si="2"/>
        <v/>
      </c>
      <c r="L16" s="627">
        <f>VLOOKUP(E16,'SDK3'!C:O,2,FALSE)</f>
        <v>4</v>
      </c>
    </row>
    <row r="17" spans="1:12">
      <c r="A17" s="392" t="str">
        <f>'SD8'!B21</f>
        <v xml:space="preserve">Hafer </v>
      </c>
      <c r="B17" s="3003"/>
      <c r="D17" s="4568"/>
      <c r="E17" s="392" t="s">
        <v>500</v>
      </c>
      <c r="F17" s="3002"/>
      <c r="G17" s="3003"/>
      <c r="H17" s="3002"/>
      <c r="I17" s="3001" t="str">
        <f t="shared" si="1"/>
        <v/>
      </c>
      <c r="J17" s="3000">
        <f ca="1">SUMIF(Maschinenauslastung!D:D,E17,Maschinenauslastung!E:E)</f>
        <v>0</v>
      </c>
      <c r="K17" s="2999" t="str">
        <f t="shared" ca="1" si="2"/>
        <v/>
      </c>
      <c r="L17" s="627">
        <f>VLOOKUP(E17,'SDK3'!C:O,2,FALSE)</f>
        <v>7</v>
      </c>
    </row>
    <row r="18" spans="1:12">
      <c r="A18" s="392" t="str">
        <f>'SD8'!B22</f>
        <v>Durum</v>
      </c>
      <c r="B18" s="3003"/>
      <c r="D18" s="4568"/>
      <c r="E18" s="392" t="s">
        <v>497</v>
      </c>
      <c r="F18" s="3002"/>
      <c r="G18" s="3003"/>
      <c r="H18" s="3002"/>
      <c r="I18" s="3001" t="str">
        <f t="shared" si="1"/>
        <v/>
      </c>
      <c r="J18" s="3000">
        <f ca="1">SUMIF(Maschinenauslastung!D:D,E18,Maschinenauslastung!E:E)</f>
        <v>0</v>
      </c>
      <c r="K18" s="2999" t="str">
        <f t="shared" ca="1" si="2"/>
        <v/>
      </c>
      <c r="L18" s="627">
        <f>VLOOKUP(E18,'SDK3'!C:O,2,FALSE)</f>
        <v>1.5</v>
      </c>
    </row>
    <row r="19" spans="1:12">
      <c r="A19" s="392" t="str">
        <f>'SD8'!B23</f>
        <v xml:space="preserve">Körnermais </v>
      </c>
      <c r="B19" s="3003">
        <v>30</v>
      </c>
      <c r="D19" s="4565" t="s">
        <v>1905</v>
      </c>
      <c r="E19" s="392" t="s">
        <v>493</v>
      </c>
      <c r="F19" s="3002"/>
      <c r="G19" s="3003"/>
      <c r="H19" s="3002"/>
      <c r="I19" s="3001" t="str">
        <f t="shared" si="1"/>
        <v/>
      </c>
      <c r="J19" s="3000">
        <f ca="1">SUMIF(Maschinenauslastung!D:D,E19,Maschinenauslastung!E:E)</f>
        <v>0</v>
      </c>
      <c r="K19" s="2999" t="str">
        <f t="shared" ca="1" si="2"/>
        <v/>
      </c>
      <c r="L19" s="627">
        <f>VLOOKUP(E19,'SDK3'!C:O,2,FALSE)</f>
        <v>9.5</v>
      </c>
    </row>
    <row r="20" spans="1:12">
      <c r="A20" s="392" t="str">
        <f>'SD8'!B24</f>
        <v>Körnerhirse (Lebens-/Futtermittel)</v>
      </c>
      <c r="B20" s="3003"/>
      <c r="D20" s="4566"/>
      <c r="E20" s="392" t="s">
        <v>489</v>
      </c>
      <c r="F20" s="3002"/>
      <c r="G20" s="3003"/>
      <c r="H20" s="3002"/>
      <c r="I20" s="3001" t="str">
        <f t="shared" si="1"/>
        <v/>
      </c>
      <c r="J20" s="3000">
        <f ca="1">SUMIF(Maschinenauslastung!D:D,E20,Maschinenauslastung!E:E)</f>
        <v>10</v>
      </c>
      <c r="K20" s="2999" t="str">
        <f t="shared" ca="1" si="2"/>
        <v/>
      </c>
      <c r="L20" s="627">
        <f>VLOOKUP(E20,'SDK3'!C:O,2,FALSE)</f>
        <v>14.5</v>
      </c>
    </row>
    <row r="21" spans="1:12">
      <c r="A21" s="392" t="str">
        <f>'SD8'!B25</f>
        <v>Winterraps</v>
      </c>
      <c r="B21" s="3003">
        <v>20</v>
      </c>
      <c r="D21" s="4566"/>
      <c r="E21" s="392" t="s">
        <v>485</v>
      </c>
      <c r="F21" s="3002"/>
      <c r="G21" s="3003"/>
      <c r="H21" s="3002"/>
      <c r="I21" s="3001" t="str">
        <f t="shared" si="1"/>
        <v/>
      </c>
      <c r="J21" s="3000">
        <f ca="1">SUMIF(Maschinenauslastung!D:D,E21,Maschinenauslastung!E:E)</f>
        <v>0</v>
      </c>
      <c r="K21" s="2999" t="str">
        <f t="shared" ca="1" si="2"/>
        <v/>
      </c>
      <c r="L21" s="627">
        <f>VLOOKUP(E21,'SDK3'!C:O,2,FALSE)</f>
        <v>2.5</v>
      </c>
    </row>
    <row r="22" spans="1:12">
      <c r="A22" s="392" t="str">
        <f>'SD8'!B26</f>
        <v xml:space="preserve">Sommerraps </v>
      </c>
      <c r="B22" s="3003"/>
      <c r="D22" s="4566"/>
      <c r="E22" s="392" t="s">
        <v>482</v>
      </c>
      <c r="F22" s="3002"/>
      <c r="G22" s="3003"/>
      <c r="H22" s="3002"/>
      <c r="I22" s="3001" t="str">
        <f t="shared" si="1"/>
        <v/>
      </c>
      <c r="J22" s="3000">
        <f ca="1">SUMIF(Maschinenauslastung!D:D,E22,Maschinenauslastung!E:E)</f>
        <v>0</v>
      </c>
      <c r="K22" s="2999" t="str">
        <f t="shared" ca="1" si="2"/>
        <v/>
      </c>
      <c r="L22" s="627">
        <f>VLOOKUP(E22,'SDK3'!C:O,2,FALSE)</f>
        <v>8</v>
      </c>
    </row>
    <row r="23" spans="1:12">
      <c r="A23" s="392" t="str">
        <f>'SD8'!B27</f>
        <v xml:space="preserve">Sonnenblumen </v>
      </c>
      <c r="B23" s="3003"/>
      <c r="D23" s="4566"/>
      <c r="E23" s="392" t="s">
        <v>478</v>
      </c>
      <c r="F23" s="3002"/>
      <c r="G23" s="3003"/>
      <c r="H23" s="3002"/>
      <c r="I23" s="3001" t="str">
        <f t="shared" si="1"/>
        <v/>
      </c>
      <c r="J23" s="3000">
        <f ca="1">SUMIF(Maschinenauslastung!D:D,E23,Maschinenauslastung!E:E)</f>
        <v>0</v>
      </c>
      <c r="K23" s="2999" t="str">
        <f t="shared" ca="1" si="2"/>
        <v/>
      </c>
      <c r="L23" s="627">
        <f>VLOOKUP(E23,'SDK3'!C:O,2,FALSE)</f>
        <v>8</v>
      </c>
    </row>
    <row r="24" spans="1:12">
      <c r="A24" s="392" t="str">
        <f>'SD8'!B28</f>
        <v xml:space="preserve">Sojabohne </v>
      </c>
      <c r="B24" s="3003"/>
      <c r="D24" s="4566"/>
      <c r="E24" s="392" t="s">
        <v>474</v>
      </c>
      <c r="F24" s="3002"/>
      <c r="G24" s="3003"/>
      <c r="H24" s="3002"/>
      <c r="I24" s="3001" t="str">
        <f t="shared" si="1"/>
        <v/>
      </c>
      <c r="J24" s="3000">
        <f ca="1">SUMIF(Maschinenauslastung!D:D,E24,Maschinenauslastung!E:E)</f>
        <v>0</v>
      </c>
      <c r="K24" s="2999" t="str">
        <f t="shared" ca="1" si="2"/>
        <v/>
      </c>
      <c r="L24" s="627">
        <f>VLOOKUP(E24,'SDK3'!C:O,2,FALSE)</f>
        <v>8</v>
      </c>
    </row>
    <row r="25" spans="1:12">
      <c r="A25" s="392" t="str">
        <f>'SD8'!B29</f>
        <v xml:space="preserve">Öllein (Industrie) </v>
      </c>
      <c r="B25" s="3003"/>
      <c r="D25" s="4566"/>
      <c r="E25" s="392" t="s">
        <v>468</v>
      </c>
      <c r="F25" s="3002"/>
      <c r="G25" s="3003"/>
      <c r="H25" s="3002"/>
      <c r="I25" s="3001" t="str">
        <f t="shared" si="1"/>
        <v/>
      </c>
      <c r="J25" s="3000">
        <f ca="1">SUMIF(Maschinenauslastung!D:D,E25,Maschinenauslastung!E:E)</f>
        <v>0</v>
      </c>
      <c r="K25" s="2999" t="str">
        <f t="shared" ca="1" si="2"/>
        <v/>
      </c>
      <c r="L25" s="627">
        <f>VLOOKUP(E25,'SDK3'!C:O,2,FALSE)</f>
        <v>12</v>
      </c>
    </row>
    <row r="26" spans="1:12">
      <c r="A26" s="392" t="str">
        <f>'SD8'!B30</f>
        <v xml:space="preserve">Futtererbsen </v>
      </c>
      <c r="B26" s="3003">
        <v>10</v>
      </c>
      <c r="D26" s="4567" t="s">
        <v>1904</v>
      </c>
      <c r="E26" s="392" t="s">
        <v>467</v>
      </c>
      <c r="F26" s="3002"/>
      <c r="G26" s="3003"/>
      <c r="H26" s="3002"/>
      <c r="I26" s="3001" t="str">
        <f t="shared" si="1"/>
        <v/>
      </c>
      <c r="J26" s="3000">
        <f ca="1">SUMIF(Maschinenauslastung!D:D,E26,Maschinenauslastung!E:E)</f>
        <v>20</v>
      </c>
      <c r="K26" s="2999" t="str">
        <f t="shared" ca="1" si="2"/>
        <v/>
      </c>
      <c r="L26" s="627">
        <f>VLOOKUP(E26,'SDK3'!C:O,2,FALSE)</f>
        <v>0.15</v>
      </c>
    </row>
    <row r="27" spans="1:12">
      <c r="A27" s="392" t="str">
        <f>'SD8'!B31</f>
        <v xml:space="preserve">Ackerbohnen </v>
      </c>
      <c r="B27" s="3003"/>
      <c r="D27" s="4568"/>
      <c r="E27" s="425" t="s">
        <v>462</v>
      </c>
      <c r="F27" s="3002"/>
      <c r="G27" s="3003"/>
      <c r="H27" s="3002"/>
      <c r="I27" s="3001" t="str">
        <f t="shared" si="1"/>
        <v/>
      </c>
      <c r="J27" s="3000">
        <f ca="1">SUMIF(Maschinenauslastung!D:D,E27,Maschinenauslastung!E:E)</f>
        <v>0</v>
      </c>
      <c r="K27" s="2999" t="str">
        <f t="shared" ca="1" si="2"/>
        <v/>
      </c>
      <c r="L27" s="627">
        <f>VLOOKUP(E27,'SDK3'!C:O,2,FALSE)</f>
        <v>8.1999999999999993</v>
      </c>
    </row>
    <row r="28" spans="1:12">
      <c r="A28" s="392" t="str">
        <f>'SD8'!B32</f>
        <v xml:space="preserve">Blaue Lupine </v>
      </c>
      <c r="B28" s="3003"/>
      <c r="D28" s="4568"/>
      <c r="E28" s="425" t="s">
        <v>460</v>
      </c>
      <c r="F28" s="3002"/>
      <c r="G28" s="3003"/>
      <c r="H28" s="3002"/>
      <c r="I28" s="3001" t="str">
        <f t="shared" si="1"/>
        <v/>
      </c>
      <c r="J28" s="3000">
        <f ca="1">SUMIF(Maschinenauslastung!D:D,E28,Maschinenauslastung!E:E)</f>
        <v>0</v>
      </c>
      <c r="K28" s="2999" t="str">
        <f t="shared" ca="1" si="2"/>
        <v/>
      </c>
      <c r="L28" s="627">
        <f>VLOOKUP(E28,'SDK3'!C:O,2,FALSE)</f>
        <v>7</v>
      </c>
    </row>
    <row r="29" spans="1:12">
      <c r="A29" s="392" t="str">
        <f>'SD8'!B33</f>
        <v xml:space="preserve">Zuckerrüben </v>
      </c>
      <c r="B29" s="3003"/>
      <c r="D29" s="4568"/>
      <c r="E29" s="425" t="s">
        <v>1507</v>
      </c>
      <c r="F29" s="3002"/>
      <c r="G29" s="3003"/>
      <c r="H29" s="3002"/>
      <c r="I29" s="3001" t="str">
        <f t="shared" si="1"/>
        <v/>
      </c>
      <c r="J29" s="3000">
        <f ca="1">SUMIF(Maschinenauslastung!D:D,E29,Maschinenauslastung!E:E)</f>
        <v>0</v>
      </c>
      <c r="K29" s="2999" t="str">
        <f t="shared" ca="1" si="2"/>
        <v/>
      </c>
      <c r="L29" s="627" t="e">
        <f>VLOOKUP(E29,'SDK3'!C:O,2,FALSE)</f>
        <v>#N/A</v>
      </c>
    </row>
    <row r="30" spans="1:12">
      <c r="A30" s="392" t="str">
        <f>'SD8'!B34</f>
        <v>Frühkartoffeln</v>
      </c>
      <c r="B30" s="3003"/>
      <c r="D30" s="4565" t="s">
        <v>1143</v>
      </c>
      <c r="E30" s="392" t="s">
        <v>456</v>
      </c>
      <c r="F30" s="3002"/>
      <c r="G30" s="3003"/>
      <c r="H30" s="3002"/>
      <c r="I30" s="3001" t="str">
        <f t="shared" si="1"/>
        <v/>
      </c>
      <c r="J30" s="3000">
        <f ca="1">SUMIF(Maschinenauslastung!D:D,E30,Maschinenauslastung!E:E)</f>
        <v>100</v>
      </c>
      <c r="K30" s="2999" t="str">
        <f t="shared" ca="1" si="2"/>
        <v/>
      </c>
      <c r="L30" s="627">
        <f>VLOOKUP(E30,'SDK3'!C:O,2,FALSE)</f>
        <v>0.65</v>
      </c>
    </row>
    <row r="31" spans="1:12">
      <c r="A31" s="392" t="str">
        <f>'SD8'!B35</f>
        <v>Frühkartoffeln, Folie, beregnet</v>
      </c>
      <c r="B31" s="3003"/>
      <c r="D31" s="4566"/>
      <c r="E31" s="392" t="s">
        <v>450</v>
      </c>
      <c r="F31" s="3002"/>
      <c r="G31" s="3003"/>
      <c r="H31" s="3002"/>
      <c r="I31" s="3001" t="str">
        <f t="shared" si="1"/>
        <v/>
      </c>
      <c r="J31" s="3000">
        <f ca="1">SUMIF(Maschinenauslastung!D:D,E31,Maschinenauslastung!E:E)</f>
        <v>0</v>
      </c>
      <c r="K31" s="2999" t="str">
        <f t="shared" ca="1" si="2"/>
        <v/>
      </c>
      <c r="L31" s="627">
        <f>VLOOKUP(E31,'SDK3'!C:O,2,FALSE)</f>
        <v>2.9</v>
      </c>
    </row>
    <row r="32" spans="1:12">
      <c r="A32" s="392" t="str">
        <f>'SD8'!B36</f>
        <v>Speisekartoffeln spät</v>
      </c>
      <c r="B32" s="3003">
        <v>10</v>
      </c>
      <c r="D32" s="4566"/>
      <c r="E32" s="425" t="s">
        <v>446</v>
      </c>
      <c r="F32" s="3002"/>
      <c r="G32" s="3003"/>
      <c r="H32" s="3002"/>
      <c r="I32" s="3001" t="str">
        <f t="shared" si="1"/>
        <v/>
      </c>
      <c r="J32" s="3000">
        <f ca="1">SUMIF(Maschinenauslastung!D:D,E32,Maschinenauslastung!E:E)</f>
        <v>0</v>
      </c>
      <c r="K32" s="2999" t="str">
        <f t="shared" ca="1" si="2"/>
        <v/>
      </c>
      <c r="L32" s="627">
        <f>VLOOKUP(E32,'SDK3'!C:O,2,FALSE)</f>
        <v>0.15</v>
      </c>
    </row>
    <row r="33" spans="1:12">
      <c r="A33" s="392" t="str">
        <f>'SD8'!B37</f>
        <v>Speisekartoffeln spät, beregnet</v>
      </c>
      <c r="B33" s="3003"/>
      <c r="D33" s="4566"/>
      <c r="E33" s="392" t="s">
        <v>444</v>
      </c>
      <c r="F33" s="3002"/>
      <c r="G33" s="3003"/>
      <c r="H33" s="3002"/>
      <c r="I33" s="3001" t="str">
        <f t="shared" si="1"/>
        <v/>
      </c>
      <c r="J33" s="3000">
        <f ca="1">SUMIF(Maschinenauslastung!D:D,E33,Maschinenauslastung!E:E)</f>
        <v>0</v>
      </c>
      <c r="K33" s="2999" t="str">
        <f t="shared" ca="1" si="2"/>
        <v/>
      </c>
      <c r="L33" s="627">
        <f>VLOOKUP(E33,'SDK3'!C:O,2,FALSE)</f>
        <v>2</v>
      </c>
    </row>
    <row r="34" spans="1:12">
      <c r="A34" s="392" t="str">
        <f>'SD8'!B38</f>
        <v>Kultur A</v>
      </c>
      <c r="B34" s="3003"/>
      <c r="D34" s="4566"/>
      <c r="E34" s="392" t="s">
        <v>441</v>
      </c>
      <c r="F34" s="3002"/>
      <c r="G34" s="3003"/>
      <c r="H34" s="3002"/>
      <c r="I34" s="3001" t="str">
        <f t="shared" si="1"/>
        <v/>
      </c>
      <c r="J34" s="3000">
        <f ca="1">SUMIF(Maschinenauslastung!D:D,E34,Maschinenauslastung!E:E)</f>
        <v>0</v>
      </c>
      <c r="K34" s="2999" t="str">
        <f t="shared" ca="1" si="2"/>
        <v/>
      </c>
      <c r="L34" s="627">
        <f>VLOOKUP(E34,'SDK3'!C:O,2,FALSE)</f>
        <v>3</v>
      </c>
    </row>
    <row r="35" spans="1:12">
      <c r="A35" s="392" t="str">
        <f>'SD8'!B39</f>
        <v>FAKT - Brachebegrünung</v>
      </c>
      <c r="B35" s="3003"/>
      <c r="D35" s="4567" t="s">
        <v>1903</v>
      </c>
      <c r="E35" s="392" t="s">
        <v>438</v>
      </c>
      <c r="F35" s="3002"/>
      <c r="G35" s="3003"/>
      <c r="H35" s="3002"/>
      <c r="I35" s="3001" t="str">
        <f t="shared" si="1"/>
        <v/>
      </c>
      <c r="J35" s="3000">
        <f ca="1">SUMIF(Maschinenauslastung!D:D,E35,Maschinenauslastung!E:E)</f>
        <v>0</v>
      </c>
      <c r="K35" s="2999" t="str">
        <f t="shared" ca="1" si="2"/>
        <v/>
      </c>
      <c r="L35" s="627">
        <f>VLOOKUP(E35,'SDK3'!C:O,2,FALSE)</f>
        <v>0</v>
      </c>
    </row>
    <row r="36" spans="1:12">
      <c r="A36" s="392" t="str">
        <f>'SD8'!B40</f>
        <v>Begrünung</v>
      </c>
      <c r="B36" s="3003"/>
      <c r="D36" s="4568"/>
      <c r="E36" s="425" t="s">
        <v>437</v>
      </c>
      <c r="F36" s="3002"/>
      <c r="G36" s="3003"/>
      <c r="H36" s="3002"/>
      <c r="I36" s="3001" t="str">
        <f t="shared" si="1"/>
        <v/>
      </c>
      <c r="J36" s="3000">
        <f ca="1">SUMIF(Maschinenauslastung!D:D,E36,Maschinenauslastung!E:E)</f>
        <v>0</v>
      </c>
      <c r="K36" s="2999" t="str">
        <f t="shared" ca="1" si="2"/>
        <v/>
      </c>
      <c r="L36" s="627">
        <f>VLOOKUP(E36,'SDK3'!C:O,2,FALSE)</f>
        <v>68</v>
      </c>
    </row>
    <row r="37" spans="1:12">
      <c r="D37" s="4565" t="s">
        <v>602</v>
      </c>
      <c r="E37" s="392" t="s">
        <v>435</v>
      </c>
      <c r="F37" s="3002"/>
      <c r="G37" s="3003"/>
      <c r="H37" s="3002"/>
      <c r="I37" s="3001" t="str">
        <f t="shared" si="1"/>
        <v/>
      </c>
      <c r="J37" s="3000">
        <f ca="1">SUMIF(Maschinenauslastung!D:D,E37,Maschinenauslastung!E:E)</f>
        <v>0</v>
      </c>
      <c r="K37" s="2999" t="str">
        <f t="shared" ca="1" si="2"/>
        <v/>
      </c>
      <c r="L37" s="627">
        <f>VLOOKUP(E37,'SDK3'!C:O,2,FALSE)</f>
        <v>1.2000000000000002</v>
      </c>
    </row>
    <row r="38" spans="1:12">
      <c r="D38" s="4566"/>
      <c r="E38" s="392" t="s">
        <v>431</v>
      </c>
      <c r="F38" s="3002"/>
      <c r="G38" s="3003"/>
      <c r="H38" s="3002"/>
      <c r="I38" s="3001" t="str">
        <f t="shared" si="1"/>
        <v/>
      </c>
      <c r="J38" s="3000">
        <f ca="1">SUMIF(Maschinenauslastung!D:D,E38,Maschinenauslastung!E:E)</f>
        <v>0</v>
      </c>
      <c r="K38" s="2999" t="str">
        <f t="shared" ca="1" si="2"/>
        <v/>
      </c>
      <c r="L38" s="627">
        <f>VLOOKUP(E38,'SDK3'!C:O,2,FALSE)</f>
        <v>1.2000000000000002</v>
      </c>
    </row>
    <row r="39" spans="1:12">
      <c r="D39" s="4566"/>
      <c r="E39" s="392" t="s">
        <v>427</v>
      </c>
      <c r="F39" s="3002"/>
      <c r="G39" s="3003"/>
      <c r="H39" s="3002"/>
      <c r="I39" s="3001" t="str">
        <f t="shared" si="1"/>
        <v/>
      </c>
      <c r="J39" s="3000">
        <f ca="1">SUMIF(Maschinenauslastung!D:D,E39,Maschinenauslastung!E:E)</f>
        <v>0</v>
      </c>
      <c r="K39" s="2999" t="str">
        <f t="shared" ca="1" si="2"/>
        <v/>
      </c>
      <c r="L39" s="627">
        <f>VLOOKUP(E39,'SDK3'!C:O,2,FALSE)</f>
        <v>10</v>
      </c>
    </row>
    <row r="40" spans="1:12">
      <c r="D40" s="4566"/>
      <c r="E40" s="392" t="s">
        <v>425</v>
      </c>
      <c r="F40" s="3002"/>
      <c r="G40" s="3003"/>
      <c r="H40" s="3002"/>
      <c r="I40" s="3001" t="str">
        <f t="shared" si="1"/>
        <v/>
      </c>
      <c r="J40" s="3000">
        <f ca="1">SUMIF(Maschinenauslastung!D:D,E40,Maschinenauslastung!E:E)</f>
        <v>65</v>
      </c>
      <c r="K40" s="2999" t="str">
        <f t="shared" ca="1" si="2"/>
        <v/>
      </c>
      <c r="L40" s="627">
        <f>VLOOKUP(E40,'SDK3'!C:O,2,FALSE)</f>
        <v>0.8</v>
      </c>
    </row>
    <row r="41" spans="1:12">
      <c r="D41" s="4567" t="s">
        <v>1902</v>
      </c>
      <c r="E41" s="392" t="s">
        <v>421</v>
      </c>
      <c r="F41" s="3002"/>
      <c r="G41" s="3003"/>
      <c r="H41" s="3002"/>
      <c r="I41" s="3001" t="str">
        <f t="shared" si="1"/>
        <v/>
      </c>
      <c r="J41" s="3000">
        <f ca="1">SUMIF(Maschinenauslastung!D:D,E41,Maschinenauslastung!E:E)</f>
        <v>0</v>
      </c>
      <c r="K41" s="2999" t="str">
        <f t="shared" ca="1" si="2"/>
        <v/>
      </c>
      <c r="L41" s="627">
        <f>VLOOKUP(E41,'SDK3'!C:O,2,FALSE)</f>
        <v>0.2</v>
      </c>
    </row>
    <row r="42" spans="1:12">
      <c r="D42" s="4568"/>
      <c r="E42" s="392" t="s">
        <v>420</v>
      </c>
      <c r="F42" s="3002"/>
      <c r="G42" s="3003"/>
      <c r="H42" s="3002"/>
      <c r="I42" s="3001" t="str">
        <f t="shared" si="1"/>
        <v/>
      </c>
      <c r="J42" s="3000">
        <f ca="1">SUMIF(Maschinenauslastung!D:D,E42,Maschinenauslastung!E:E)</f>
        <v>0</v>
      </c>
      <c r="K42" s="2999" t="str">
        <f t="shared" ca="1" si="2"/>
        <v/>
      </c>
      <c r="L42" s="627">
        <f>VLOOKUP(E42,'SDK3'!C:O,2,FALSE)</f>
        <v>2.2000000000000002</v>
      </c>
    </row>
    <row r="43" spans="1:12">
      <c r="D43" s="4568"/>
      <c r="E43" s="392" t="s">
        <v>418</v>
      </c>
      <c r="F43" s="3002"/>
      <c r="G43" s="3003"/>
      <c r="H43" s="3002"/>
      <c r="I43" s="3001" t="str">
        <f t="shared" si="1"/>
        <v/>
      </c>
      <c r="J43" s="3000">
        <f ca="1">SUMIF(Maschinenauslastung!D:D,E43,Maschinenauslastung!E:E)</f>
        <v>0</v>
      </c>
      <c r="K43" s="2999" t="str">
        <f t="shared" ca="1" si="2"/>
        <v/>
      </c>
      <c r="L43" s="627">
        <f>VLOOKUP(E43,'SDK3'!C:O,2,FALSE)</f>
        <v>2.25</v>
      </c>
    </row>
    <row r="44" spans="1:12">
      <c r="D44" s="4568"/>
      <c r="E44" s="392" t="s">
        <v>416</v>
      </c>
      <c r="F44" s="3002"/>
      <c r="G44" s="3003"/>
      <c r="H44" s="3002"/>
      <c r="I44" s="3001" t="str">
        <f t="shared" si="1"/>
        <v/>
      </c>
      <c r="J44" s="3000">
        <f ca="1">SUMIF(Maschinenauslastung!D:D,E44,Maschinenauslastung!E:E)</f>
        <v>0</v>
      </c>
      <c r="K44" s="2999" t="str">
        <f t="shared" ca="1" si="2"/>
        <v/>
      </c>
      <c r="L44" s="627">
        <f>VLOOKUP(E44,'SDK3'!C:O,2,FALSE)</f>
        <v>2.25</v>
      </c>
    </row>
    <row r="45" spans="1:12">
      <c r="D45" s="4568"/>
      <c r="E45" s="392" t="s">
        <v>414</v>
      </c>
      <c r="F45" s="3002"/>
      <c r="G45" s="3003"/>
      <c r="H45" s="3002"/>
      <c r="I45" s="3001" t="str">
        <f t="shared" ref="I45:I76" si="3">IFERROR((F45-H45)/G45+(F45+H45)/2*$I$2+0.01*F45,"")</f>
        <v/>
      </c>
      <c r="J45" s="3000">
        <f ca="1">SUMIF(Maschinenauslastung!D:D,E45,Maschinenauslastung!E:E)</f>
        <v>0</v>
      </c>
      <c r="K45" s="2999" t="str">
        <f t="shared" ref="K45:K76" ca="1" si="4">IFERROR(I45/J45,"")</f>
        <v/>
      </c>
      <c r="L45" s="627">
        <f>VLOOKUP(E45,'SDK3'!C:O,2,FALSE)</f>
        <v>1.65</v>
      </c>
    </row>
    <row r="46" spans="1:12">
      <c r="D46" s="4568"/>
      <c r="E46" s="392" t="s">
        <v>413</v>
      </c>
      <c r="F46" s="3002"/>
      <c r="G46" s="3003"/>
      <c r="H46" s="3002"/>
      <c r="I46" s="3001" t="str">
        <f t="shared" si="3"/>
        <v/>
      </c>
      <c r="J46" s="3000">
        <f ca="1">SUMIF(Maschinenauslastung!D:D,E46,Maschinenauslastung!E:E)</f>
        <v>0</v>
      </c>
      <c r="K46" s="2999" t="str">
        <f t="shared" ca="1" si="4"/>
        <v/>
      </c>
      <c r="L46" s="627">
        <f>VLOOKUP(E46,'SDK3'!C:O,2,FALSE)</f>
        <v>2.2999999999999998</v>
      </c>
    </row>
    <row r="47" spans="1:12">
      <c r="D47" s="4568"/>
      <c r="E47" s="392" t="s">
        <v>411</v>
      </c>
      <c r="F47" s="3002"/>
      <c r="G47" s="3003"/>
      <c r="H47" s="3002"/>
      <c r="I47" s="3001" t="str">
        <f t="shared" si="3"/>
        <v/>
      </c>
      <c r="J47" s="3000">
        <f ca="1">SUMIF(Maschinenauslastung!D:D,E47,Maschinenauslastung!E:E)</f>
        <v>0</v>
      </c>
      <c r="K47" s="2999" t="str">
        <f t="shared" ca="1" si="4"/>
        <v/>
      </c>
      <c r="L47" s="627">
        <f>VLOOKUP(E47,'SDK3'!C:O,2,FALSE)</f>
        <v>5.4</v>
      </c>
    </row>
    <row r="48" spans="1:12">
      <c r="D48" s="4568"/>
      <c r="E48" s="392" t="s">
        <v>408</v>
      </c>
      <c r="F48" s="3002"/>
      <c r="G48" s="3003"/>
      <c r="H48" s="3002"/>
      <c r="I48" s="3001" t="str">
        <f t="shared" si="3"/>
        <v/>
      </c>
      <c r="J48" s="3000">
        <f ca="1">SUMIF(Maschinenauslastung!D:D,E48,Maschinenauslastung!E:E)</f>
        <v>0</v>
      </c>
      <c r="K48" s="2999" t="str">
        <f t="shared" ca="1" si="4"/>
        <v/>
      </c>
      <c r="L48" s="627">
        <f>VLOOKUP(E48,'SDK3'!C:O,2,FALSE)</f>
        <v>0</v>
      </c>
    </row>
    <row r="49" spans="4:12">
      <c r="D49" s="4565" t="s">
        <v>1010</v>
      </c>
      <c r="E49" s="392" t="s">
        <v>406</v>
      </c>
      <c r="F49" s="3002"/>
      <c r="G49" s="3003"/>
      <c r="H49" s="3002"/>
      <c r="I49" s="3001" t="str">
        <f t="shared" si="3"/>
        <v/>
      </c>
      <c r="J49" s="3000">
        <f ca="1">SUMIF(Maschinenauslastung!D:D,E49,Maschinenauslastung!E:E)</f>
        <v>0</v>
      </c>
      <c r="K49" s="2999" t="str">
        <f t="shared" ca="1" si="4"/>
        <v/>
      </c>
      <c r="L49" s="627">
        <f>VLOOKUP(E49,'SDK3'!C:O,2,FALSE)</f>
        <v>97.8</v>
      </c>
    </row>
    <row r="50" spans="4:12">
      <c r="D50" s="4566"/>
      <c r="E50" s="392" t="s">
        <v>404</v>
      </c>
      <c r="F50" s="3002"/>
      <c r="G50" s="3003"/>
      <c r="H50" s="3002"/>
      <c r="I50" s="3001" t="str">
        <f t="shared" si="3"/>
        <v/>
      </c>
      <c r="J50" s="3000">
        <f ca="1">SUMIF(Maschinenauslastung!D:D,E50,Maschinenauslastung!E:E)</f>
        <v>0</v>
      </c>
      <c r="K50" s="2999" t="str">
        <f t="shared" ca="1" si="4"/>
        <v/>
      </c>
      <c r="L50" s="627">
        <f>VLOOKUP(E50,'SDK3'!C:O,2,FALSE)</f>
        <v>0.84699999999999998</v>
      </c>
    </row>
    <row r="51" spans="4:12">
      <c r="D51" s="4566"/>
      <c r="E51" s="392" t="s">
        <v>400</v>
      </c>
      <c r="F51" s="3002"/>
      <c r="G51" s="3003"/>
      <c r="H51" s="3002"/>
      <c r="I51" s="3001" t="str">
        <f t="shared" si="3"/>
        <v/>
      </c>
      <c r="J51" s="3000">
        <f ca="1">SUMIF(Maschinenauslastung!D:D,E51,Maschinenauslastung!E:E)</f>
        <v>0</v>
      </c>
      <c r="K51" s="2999" t="str">
        <f t="shared" ca="1" si="4"/>
        <v/>
      </c>
      <c r="L51" s="627">
        <f>VLOOKUP(E51,'SDK3'!C:O,2,FALSE)</f>
        <v>13</v>
      </c>
    </row>
    <row r="52" spans="4:12">
      <c r="D52" s="4566"/>
      <c r="E52" s="392" t="s">
        <v>395</v>
      </c>
      <c r="F52" s="3002"/>
      <c r="G52" s="3003"/>
      <c r="H52" s="3002"/>
      <c r="I52" s="3001" t="str">
        <f t="shared" si="3"/>
        <v/>
      </c>
      <c r="J52" s="3000">
        <f ca="1">SUMIF(Maschinenauslastung!D:D,E52,Maschinenauslastung!E:E)</f>
        <v>10</v>
      </c>
      <c r="K52" s="2999" t="str">
        <f t="shared" ca="1" si="4"/>
        <v/>
      </c>
      <c r="L52" s="627">
        <f>VLOOKUP(E52,'SDK3'!C:O,2,FALSE)</f>
        <v>13</v>
      </c>
    </row>
    <row r="53" spans="4:12">
      <c r="D53" s="4566"/>
      <c r="E53" s="392" t="s">
        <v>391</v>
      </c>
      <c r="F53" s="3002"/>
      <c r="G53" s="3003"/>
      <c r="H53" s="3002"/>
      <c r="I53" s="3001" t="str">
        <f t="shared" si="3"/>
        <v/>
      </c>
      <c r="J53" s="3000">
        <f ca="1">SUMIF(Maschinenauslastung!D:D,E53,Maschinenauslastung!E:E)</f>
        <v>10</v>
      </c>
      <c r="K53" s="2999" t="str">
        <f t="shared" ca="1" si="4"/>
        <v/>
      </c>
      <c r="L53" s="627">
        <f>VLOOKUP(E53,'SDK3'!C:O,2,FALSE)</f>
        <v>3</v>
      </c>
    </row>
    <row r="54" spans="4:12">
      <c r="D54" s="4566"/>
      <c r="E54" s="425" t="s">
        <v>389</v>
      </c>
      <c r="F54" s="3002"/>
      <c r="G54" s="3003"/>
      <c r="H54" s="3002"/>
      <c r="I54" s="3001" t="str">
        <f t="shared" si="3"/>
        <v/>
      </c>
      <c r="J54" s="3000">
        <f ca="1">SUMIF(Maschinenauslastung!D:D,E54,Maschinenauslastung!E:E)</f>
        <v>0</v>
      </c>
      <c r="K54" s="2999" t="str">
        <f t="shared" ca="1" si="4"/>
        <v/>
      </c>
      <c r="L54" s="627">
        <f>VLOOKUP(E54,'SDK3'!C:O,2,FALSE)</f>
        <v>3</v>
      </c>
    </row>
    <row r="55" spans="4:12">
      <c r="D55" s="4566"/>
      <c r="E55" s="392" t="s">
        <v>387</v>
      </c>
      <c r="F55" s="3002"/>
      <c r="G55" s="3003"/>
      <c r="H55" s="3002"/>
      <c r="I55" s="3001" t="str">
        <f t="shared" si="3"/>
        <v/>
      </c>
      <c r="J55" s="3000">
        <f ca="1">SUMIF(Maschinenauslastung!D:D,E55,Maschinenauslastung!E:E)</f>
        <v>0</v>
      </c>
      <c r="K55" s="2999" t="str">
        <f t="shared" ca="1" si="4"/>
        <v/>
      </c>
      <c r="L55" s="627">
        <f>VLOOKUP(E55,'SDK3'!C:O,2,FALSE)</f>
        <v>3</v>
      </c>
    </row>
    <row r="56" spans="4:12">
      <c r="D56" s="4566"/>
      <c r="E56" s="425" t="s">
        <v>382</v>
      </c>
      <c r="F56" s="3002"/>
      <c r="G56" s="3003"/>
      <c r="H56" s="3002"/>
      <c r="I56" s="3001" t="str">
        <f t="shared" si="3"/>
        <v/>
      </c>
      <c r="J56" s="3000">
        <f ca="1">SUMIF(Maschinenauslastung!D:D,E56,Maschinenauslastung!E:E)</f>
        <v>0</v>
      </c>
      <c r="K56" s="2999" t="str">
        <f t="shared" ca="1" si="4"/>
        <v/>
      </c>
      <c r="L56" s="627">
        <f>VLOOKUP(E56,'SDK3'!C:O,2,FALSE)</f>
        <v>5.2</v>
      </c>
    </row>
    <row r="57" spans="4:12">
      <c r="D57" s="4566"/>
      <c r="E57" s="425" t="s">
        <v>380</v>
      </c>
      <c r="F57" s="3002"/>
      <c r="G57" s="3003"/>
      <c r="H57" s="3002"/>
      <c r="I57" s="3001" t="str">
        <f t="shared" si="3"/>
        <v/>
      </c>
      <c r="J57" s="3000">
        <f ca="1">SUMIF(Maschinenauslastung!D:D,E57,Maschinenauslastung!E:E)</f>
        <v>0</v>
      </c>
      <c r="K57" s="2999" t="str">
        <f t="shared" ca="1" si="4"/>
        <v/>
      </c>
      <c r="L57" s="627">
        <f>VLOOKUP(E57,'SDK3'!C:O,2,FALSE)</f>
        <v>40</v>
      </c>
    </row>
    <row r="58" spans="4:12">
      <c r="D58" s="4566"/>
      <c r="E58" s="392" t="s">
        <v>379</v>
      </c>
      <c r="F58" s="3002"/>
      <c r="G58" s="3003"/>
      <c r="H58" s="3002"/>
      <c r="I58" s="3001" t="str">
        <f t="shared" si="3"/>
        <v/>
      </c>
      <c r="J58" s="3000">
        <f ca="1">SUMIF(Maschinenauslastung!D:D,E58,Maschinenauslastung!E:E)</f>
        <v>0</v>
      </c>
      <c r="K58" s="2999" t="str">
        <f t="shared" ca="1" si="4"/>
        <v/>
      </c>
      <c r="L58" s="627">
        <f>VLOOKUP(E58,'SDK3'!C:O,2,FALSE)</f>
        <v>40</v>
      </c>
    </row>
    <row r="59" spans="4:12">
      <c r="D59" s="4566"/>
      <c r="E59" s="392" t="s">
        <v>1506</v>
      </c>
      <c r="F59" s="3002"/>
      <c r="G59" s="3003"/>
      <c r="H59" s="3002"/>
      <c r="I59" s="3001" t="str">
        <f t="shared" si="3"/>
        <v/>
      </c>
      <c r="J59" s="3000">
        <f ca="1">SUMIF(Maschinenauslastung!D:D,E59,Maschinenauslastung!E:E)</f>
        <v>0</v>
      </c>
      <c r="K59" s="2999" t="str">
        <f t="shared" ca="1" si="4"/>
        <v/>
      </c>
      <c r="L59" s="627" t="e">
        <f>VLOOKUP(E59,'SDK3'!C:O,2,FALSE)</f>
        <v>#N/A</v>
      </c>
    </row>
    <row r="60" spans="4:12">
      <c r="D60" s="4566"/>
      <c r="E60" s="425" t="s">
        <v>370</v>
      </c>
      <c r="F60" s="3002"/>
      <c r="G60" s="3003"/>
      <c r="H60" s="3002"/>
      <c r="I60" s="3001" t="str">
        <f t="shared" si="3"/>
        <v/>
      </c>
      <c r="J60" s="3000">
        <f ca="1">SUMIF(Maschinenauslastung!D:D,E60,Maschinenauslastung!E:E)</f>
        <v>0</v>
      </c>
      <c r="K60" s="2999" t="str">
        <f t="shared" ca="1" si="4"/>
        <v/>
      </c>
      <c r="L60" s="627">
        <f>VLOOKUP(E60,'SDK3'!C:O,2,FALSE)</f>
        <v>5</v>
      </c>
    </row>
    <row r="61" spans="4:12">
      <c r="D61" s="4566"/>
      <c r="E61" s="392" t="s">
        <v>367</v>
      </c>
      <c r="F61" s="3002"/>
      <c r="G61" s="3003"/>
      <c r="H61" s="3002"/>
      <c r="I61" s="3001" t="str">
        <f t="shared" si="3"/>
        <v/>
      </c>
      <c r="J61" s="3000">
        <f ca="1">SUMIF(Maschinenauslastung!D:D,E61,Maschinenauslastung!E:E)</f>
        <v>38.095238095238095</v>
      </c>
      <c r="K61" s="2999" t="str">
        <f t="shared" ca="1" si="4"/>
        <v/>
      </c>
      <c r="L61" s="627">
        <f>VLOOKUP(E61,'SDK3'!C:O,2,FALSE)</f>
        <v>9</v>
      </c>
    </row>
    <row r="62" spans="4:12">
      <c r="D62" s="4566"/>
      <c r="E62" s="392" t="s">
        <v>363</v>
      </c>
      <c r="F62" s="3002"/>
      <c r="G62" s="3003"/>
      <c r="H62" s="3002"/>
      <c r="I62" s="3001" t="str">
        <f t="shared" si="3"/>
        <v/>
      </c>
      <c r="J62" s="3000">
        <f ca="1">SUMIF(Maschinenauslastung!D:D,E62,Maschinenauslastung!E:E)</f>
        <v>0</v>
      </c>
      <c r="K62" s="2999" t="str">
        <f t="shared" ca="1" si="4"/>
        <v/>
      </c>
      <c r="L62" s="627">
        <f>VLOOKUP(E62,'SDK3'!C:O,2,FALSE)</f>
        <v>2</v>
      </c>
    </row>
    <row r="63" spans="4:12">
      <c r="D63" s="4566"/>
      <c r="E63" s="392" t="s">
        <v>362</v>
      </c>
      <c r="F63" s="3002"/>
      <c r="G63" s="3003"/>
      <c r="H63" s="3002"/>
      <c r="I63" s="3001" t="str">
        <f t="shared" si="3"/>
        <v/>
      </c>
      <c r="J63" s="3000">
        <f ca="1">SUMIF(Maschinenauslastung!D:D,E63,Maschinenauslastung!E:E)</f>
        <v>0</v>
      </c>
      <c r="K63" s="2999" t="str">
        <f t="shared" ca="1" si="4"/>
        <v/>
      </c>
      <c r="L63" s="627">
        <f>VLOOKUP(E63,'SDK3'!C:O,2,FALSE)</f>
        <v>5</v>
      </c>
    </row>
    <row r="64" spans="4:12">
      <c r="D64" s="4566"/>
      <c r="E64" s="392" t="s">
        <v>361</v>
      </c>
      <c r="F64" s="3002"/>
      <c r="G64" s="3003"/>
      <c r="H64" s="3002"/>
      <c r="I64" s="3001" t="str">
        <f t="shared" si="3"/>
        <v/>
      </c>
      <c r="J64" s="3000">
        <f ca="1">SUMIF(Maschinenauslastung!D:D,E64,Maschinenauslastung!E:E)</f>
        <v>0</v>
      </c>
      <c r="K64" s="2999" t="str">
        <f t="shared" ca="1" si="4"/>
        <v/>
      </c>
      <c r="L64" s="627">
        <f>VLOOKUP(E64,'SDK3'!C:O,2,FALSE)</f>
        <v>28.11</v>
      </c>
    </row>
    <row r="65" spans="4:12">
      <c r="D65" s="4566"/>
      <c r="E65" s="392" t="s">
        <v>1503</v>
      </c>
      <c r="F65" s="3002"/>
      <c r="G65" s="3003"/>
      <c r="H65" s="3002"/>
      <c r="I65" s="3001" t="str">
        <f t="shared" si="3"/>
        <v/>
      </c>
      <c r="J65" s="3000">
        <f ca="1">SUMIF(Maschinenauslastung!D:D,E65,Maschinenauslastung!E:E)</f>
        <v>0</v>
      </c>
      <c r="K65" s="2999" t="str">
        <f t="shared" ca="1" si="4"/>
        <v/>
      </c>
      <c r="L65" s="627" t="e">
        <f>VLOOKUP(E65,'SDK3'!C:O,2,FALSE)</f>
        <v>#N/A</v>
      </c>
    </row>
    <row r="66" spans="4:12">
      <c r="D66" s="4567" t="s">
        <v>627</v>
      </c>
      <c r="E66" s="392" t="s">
        <v>1502</v>
      </c>
      <c r="F66" s="3002"/>
      <c r="G66" s="3003"/>
      <c r="H66" s="3002"/>
      <c r="I66" s="3001" t="str">
        <f t="shared" si="3"/>
        <v/>
      </c>
      <c r="J66" s="3000">
        <f ca="1">SUMIF(Maschinenauslastung!D:D,E66,Maschinenauslastung!E:E)</f>
        <v>0</v>
      </c>
      <c r="K66" s="2999" t="str">
        <f t="shared" ca="1" si="4"/>
        <v/>
      </c>
      <c r="L66" s="627" t="e">
        <f>VLOOKUP(E66,'SDK3'!C:O,2,FALSE)</f>
        <v>#N/A</v>
      </c>
    </row>
    <row r="67" spans="4:12">
      <c r="D67" s="4568"/>
      <c r="E67" s="392" t="s">
        <v>1500</v>
      </c>
      <c r="F67" s="3002"/>
      <c r="G67" s="3003"/>
      <c r="H67" s="3002"/>
      <c r="I67" s="3001" t="str">
        <f t="shared" si="3"/>
        <v/>
      </c>
      <c r="J67" s="3000">
        <f ca="1">SUMIF(Maschinenauslastung!D:D,E67,Maschinenauslastung!E:E)</f>
        <v>0</v>
      </c>
      <c r="K67" s="2999" t="str">
        <f t="shared" ca="1" si="4"/>
        <v/>
      </c>
      <c r="L67" s="627" t="e">
        <f>VLOOKUP(E67,'SDK3'!C:O,2,FALSE)</f>
        <v>#N/A</v>
      </c>
    </row>
    <row r="68" spans="4:12">
      <c r="D68" s="4568"/>
      <c r="E68" s="392" t="s">
        <v>1499</v>
      </c>
      <c r="F68" s="3002"/>
      <c r="G68" s="3003"/>
      <c r="H68" s="3002"/>
      <c r="I68" s="3001" t="str">
        <f t="shared" si="3"/>
        <v/>
      </c>
      <c r="J68" s="3000">
        <f ca="1">SUMIF(Maschinenauslastung!D:D,E68,Maschinenauslastung!E:E)</f>
        <v>0</v>
      </c>
      <c r="K68" s="2999" t="str">
        <f t="shared" ca="1" si="4"/>
        <v/>
      </c>
      <c r="L68" s="627" t="e">
        <f>VLOOKUP(E68,'SDK3'!C:O,2,FALSE)</f>
        <v>#N/A</v>
      </c>
    </row>
    <row r="69" spans="4:12">
      <c r="D69" s="4568"/>
      <c r="E69" s="392" t="s">
        <v>1498</v>
      </c>
      <c r="F69" s="3002"/>
      <c r="G69" s="3003"/>
      <c r="H69" s="3002"/>
      <c r="I69" s="3001" t="str">
        <f t="shared" si="3"/>
        <v/>
      </c>
      <c r="J69" s="3000">
        <f ca="1">SUMIF(Maschinenauslastung!D:D,E69,Maschinenauslastung!E:E)</f>
        <v>0</v>
      </c>
      <c r="K69" s="2999" t="str">
        <f t="shared" ca="1" si="4"/>
        <v/>
      </c>
      <c r="L69" s="627" t="e">
        <f>VLOOKUP(E69,'SDK3'!C:O,2,FALSE)</f>
        <v>#N/A</v>
      </c>
    </row>
    <row r="70" spans="4:12">
      <c r="D70" s="4565" t="s">
        <v>1901</v>
      </c>
      <c r="E70" s="3003"/>
      <c r="F70" s="3002"/>
      <c r="G70" s="3003"/>
      <c r="H70" s="3002"/>
      <c r="I70" s="3001" t="str">
        <f t="shared" si="3"/>
        <v/>
      </c>
      <c r="J70" s="3000">
        <f ca="1">SUMIF(Maschinenauslastung!D:D,E70,Maschinenauslastung!E:E)</f>
        <v>0</v>
      </c>
      <c r="K70" s="2999" t="str">
        <f t="shared" ca="1" si="4"/>
        <v/>
      </c>
      <c r="L70" s="627" t="e">
        <f>VLOOKUP(E70,'SDK3'!C:O,2,FALSE)</f>
        <v>#N/A</v>
      </c>
    </row>
    <row r="71" spans="4:12">
      <c r="D71" s="4566"/>
      <c r="E71" s="3003"/>
      <c r="F71" s="3002"/>
      <c r="G71" s="3003"/>
      <c r="H71" s="3002"/>
      <c r="I71" s="3001" t="str">
        <f t="shared" si="3"/>
        <v/>
      </c>
      <c r="J71" s="3000">
        <f ca="1">SUMIF(Maschinenauslastung!D:D,E71,Maschinenauslastung!E:E)</f>
        <v>0</v>
      </c>
      <c r="K71" s="2999" t="str">
        <f t="shared" ca="1" si="4"/>
        <v/>
      </c>
    </row>
    <row r="72" spans="4:12">
      <c r="D72" s="4566"/>
      <c r="E72" s="3003"/>
      <c r="F72" s="3002"/>
      <c r="G72" s="3003"/>
      <c r="H72" s="3002"/>
      <c r="I72" s="3001" t="str">
        <f t="shared" si="3"/>
        <v/>
      </c>
      <c r="J72" s="3000">
        <f ca="1">SUMIF(Maschinenauslastung!D:D,E72,Maschinenauslastung!E:E)</f>
        <v>0</v>
      </c>
      <c r="K72" s="2999" t="str">
        <f t="shared" ca="1" si="4"/>
        <v/>
      </c>
    </row>
    <row r="73" spans="4:12">
      <c r="D73" s="4566"/>
      <c r="E73" s="3003"/>
      <c r="F73" s="3002"/>
      <c r="G73" s="3003"/>
      <c r="H73" s="3002"/>
      <c r="I73" s="3001" t="str">
        <f t="shared" si="3"/>
        <v/>
      </c>
      <c r="J73" s="3000">
        <f ca="1">SUMIF(Maschinenauslastung!D:D,E73,Maschinenauslastung!E:E)</f>
        <v>0</v>
      </c>
      <c r="K73" s="2999" t="str">
        <f t="shared" ca="1" si="4"/>
        <v/>
      </c>
    </row>
    <row r="74" spans="4:12">
      <c r="D74" s="4566"/>
      <c r="E74" s="3003"/>
      <c r="F74" s="3002"/>
      <c r="G74" s="3003"/>
      <c r="H74" s="3002"/>
      <c r="I74" s="3001" t="str">
        <f t="shared" si="3"/>
        <v/>
      </c>
      <c r="J74" s="3000">
        <f ca="1">SUMIF(Maschinenauslastung!D:D,E74,Maschinenauslastung!E:E)</f>
        <v>0</v>
      </c>
      <c r="K74" s="2999" t="str">
        <f t="shared" ca="1" si="4"/>
        <v/>
      </c>
    </row>
    <row r="75" spans="4:12">
      <c r="D75" s="4566"/>
      <c r="E75" s="3003"/>
      <c r="F75" s="3002"/>
      <c r="G75" s="3003"/>
      <c r="H75" s="3002"/>
      <c r="I75" s="3001" t="str">
        <f t="shared" si="3"/>
        <v/>
      </c>
      <c r="J75" s="3000">
        <f ca="1">SUMIF(Maschinenauslastung!D:D,E75,Maschinenauslastung!E:E)</f>
        <v>0</v>
      </c>
      <c r="K75" s="2999" t="str">
        <f t="shared" ca="1" si="4"/>
        <v/>
      </c>
    </row>
    <row r="76" spans="4:12">
      <c r="D76" s="4566"/>
      <c r="E76" s="3003"/>
      <c r="F76" s="3002"/>
      <c r="G76" s="3003"/>
      <c r="H76" s="3002"/>
      <c r="I76" s="3001" t="str">
        <f t="shared" si="3"/>
        <v/>
      </c>
      <c r="J76" s="3000">
        <f ca="1">SUMIF(Maschinenauslastung!D:D,E76,Maschinenauslastung!E:E)</f>
        <v>0</v>
      </c>
      <c r="K76" s="2999" t="str">
        <f t="shared" ca="1" si="4"/>
        <v/>
      </c>
    </row>
    <row r="77" spans="4:12">
      <c r="D77" s="4566"/>
      <c r="E77" s="3003"/>
      <c r="F77" s="3002"/>
      <c r="G77" s="3003"/>
      <c r="H77" s="3002"/>
      <c r="I77" s="3001" t="str">
        <f t="shared" ref="I77:I86" si="5">IFERROR((F77-H77)/G77+(F77+H77)/2*$I$2+0.01*F77,"")</f>
        <v/>
      </c>
      <c r="J77" s="3000">
        <f ca="1">SUMIF(Maschinenauslastung!D:D,E77,Maschinenauslastung!E:E)</f>
        <v>0</v>
      </c>
      <c r="K77" s="2999" t="str">
        <f t="shared" ref="K77:K86" ca="1" si="6">IFERROR(I77/J77,"")</f>
        <v/>
      </c>
    </row>
    <row r="78" spans="4:12">
      <c r="D78" s="4566"/>
      <c r="E78" s="3003"/>
      <c r="F78" s="3002"/>
      <c r="G78" s="3003"/>
      <c r="H78" s="3002"/>
      <c r="I78" s="3001" t="str">
        <f t="shared" si="5"/>
        <v/>
      </c>
      <c r="J78" s="3000">
        <f ca="1">SUMIF(Maschinenauslastung!D:D,E78,Maschinenauslastung!E:E)</f>
        <v>0</v>
      </c>
      <c r="K78" s="2999" t="str">
        <f t="shared" ca="1" si="6"/>
        <v/>
      </c>
    </row>
    <row r="79" spans="4:12">
      <c r="D79" s="4566"/>
      <c r="E79" s="3003"/>
      <c r="F79" s="3002"/>
      <c r="G79" s="3003"/>
      <c r="H79" s="3002"/>
      <c r="I79" s="3001" t="str">
        <f t="shared" si="5"/>
        <v/>
      </c>
      <c r="J79" s="3000">
        <f ca="1">SUMIF(Maschinenauslastung!D:D,E79,Maschinenauslastung!E:E)</f>
        <v>0</v>
      </c>
      <c r="K79" s="2999" t="str">
        <f t="shared" ca="1" si="6"/>
        <v/>
      </c>
    </row>
    <row r="80" spans="4:12">
      <c r="D80" s="4566"/>
      <c r="E80" s="3003"/>
      <c r="F80" s="3002"/>
      <c r="G80" s="3003"/>
      <c r="H80" s="3002"/>
      <c r="I80" s="3001" t="str">
        <f t="shared" si="5"/>
        <v/>
      </c>
      <c r="J80" s="3000">
        <f ca="1">SUMIF(Maschinenauslastung!D:D,E80,Maschinenauslastung!E:E)</f>
        <v>0</v>
      </c>
      <c r="K80" s="2999" t="str">
        <f t="shared" ca="1" si="6"/>
        <v/>
      </c>
    </row>
    <row r="81" spans="4:11">
      <c r="D81" s="4566"/>
      <c r="E81" s="3003"/>
      <c r="F81" s="3002"/>
      <c r="G81" s="3003"/>
      <c r="H81" s="3002"/>
      <c r="I81" s="3001" t="str">
        <f t="shared" si="5"/>
        <v/>
      </c>
      <c r="J81" s="3000">
        <f ca="1">SUMIF(Maschinenauslastung!D:D,E81,Maschinenauslastung!E:E)</f>
        <v>0</v>
      </c>
      <c r="K81" s="2999" t="str">
        <f t="shared" ca="1" si="6"/>
        <v/>
      </c>
    </row>
    <row r="82" spans="4:11">
      <c r="D82" s="4566"/>
      <c r="E82" s="3003"/>
      <c r="F82" s="3002"/>
      <c r="G82" s="3003"/>
      <c r="H82" s="3002"/>
      <c r="I82" s="3001" t="str">
        <f t="shared" si="5"/>
        <v/>
      </c>
      <c r="J82" s="3000">
        <f ca="1">SUMIF(Maschinenauslastung!D:D,E82,Maschinenauslastung!E:E)</f>
        <v>0</v>
      </c>
      <c r="K82" s="2999" t="str">
        <f t="shared" ca="1" si="6"/>
        <v/>
      </c>
    </row>
    <row r="83" spans="4:11">
      <c r="D83" s="4566"/>
      <c r="E83" s="3003"/>
      <c r="F83" s="3002"/>
      <c r="G83" s="3003"/>
      <c r="H83" s="3002"/>
      <c r="I83" s="3001" t="str">
        <f t="shared" si="5"/>
        <v/>
      </c>
      <c r="J83" s="3000">
        <f ca="1">SUMIF(Maschinenauslastung!D:D,E83,Maschinenauslastung!E:E)</f>
        <v>0</v>
      </c>
      <c r="K83" s="2999" t="str">
        <f t="shared" ca="1" si="6"/>
        <v/>
      </c>
    </row>
    <row r="84" spans="4:11">
      <c r="D84" s="4566"/>
      <c r="E84" s="3003"/>
      <c r="F84" s="3002"/>
      <c r="G84" s="3003"/>
      <c r="H84" s="3002"/>
      <c r="I84" s="3001" t="str">
        <f t="shared" si="5"/>
        <v/>
      </c>
      <c r="J84" s="3000">
        <f ca="1">SUMIF(Maschinenauslastung!D:D,E84,Maschinenauslastung!E:E)</f>
        <v>0</v>
      </c>
      <c r="K84" s="2999" t="str">
        <f t="shared" ca="1" si="6"/>
        <v/>
      </c>
    </row>
    <row r="85" spans="4:11">
      <c r="D85" s="4566"/>
      <c r="E85" s="3003"/>
      <c r="F85" s="3002"/>
      <c r="G85" s="3003"/>
      <c r="H85" s="3002"/>
      <c r="I85" s="3001" t="str">
        <f t="shared" si="5"/>
        <v/>
      </c>
      <c r="J85" s="3000">
        <f ca="1">SUMIF(Maschinenauslastung!D:D,E85,Maschinenauslastung!E:E)</f>
        <v>0</v>
      </c>
      <c r="K85" s="2999" t="str">
        <f t="shared" ca="1" si="6"/>
        <v/>
      </c>
    </row>
    <row r="86" spans="4:11">
      <c r="D86" s="4566"/>
      <c r="E86" s="3003"/>
      <c r="F86" s="3002"/>
      <c r="G86" s="3003"/>
      <c r="H86" s="3002"/>
      <c r="I86" s="3001" t="str">
        <f t="shared" si="5"/>
        <v/>
      </c>
      <c r="J86" s="3000">
        <f ca="1">SUMIF(Maschinenauslastung!D:D,E86,Maschinenauslastung!E:E)</f>
        <v>0</v>
      </c>
      <c r="K86" s="2999" t="str">
        <f t="shared" ca="1" si="6"/>
        <v/>
      </c>
    </row>
  </sheetData>
  <mergeCells count="12">
    <mergeCell ref="D30:D34"/>
    <mergeCell ref="D19:D25"/>
    <mergeCell ref="D5:E5"/>
    <mergeCell ref="D12:E12"/>
    <mergeCell ref="D13:D18"/>
    <mergeCell ref="D26:D29"/>
    <mergeCell ref="D70:D86"/>
    <mergeCell ref="D35:D36"/>
    <mergeCell ref="D37:D40"/>
    <mergeCell ref="D41:D48"/>
    <mergeCell ref="D49:D65"/>
    <mergeCell ref="D66:D69"/>
  </mergeCells>
  <dataValidations count="1">
    <dataValidation allowBlank="1" showInputMessage="1" showErrorMessage="1" prompt="Abschreibung, Kapitalverzinsung &amp; 1% der Anschaffungskosten für Versicherung und Unterbringung" sqref="I4"/>
  </dataValidation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FF0000"/>
    <pageSetUpPr fitToPage="1"/>
  </sheetPr>
  <dimension ref="A1:AB301"/>
  <sheetViews>
    <sheetView showZeros="0" zoomScale="70" zoomScaleNormal="70" workbookViewId="0">
      <pane xSplit="8" topLeftCell="I1" activePane="topRight" state="frozen"/>
      <selection activeCell="AF19" sqref="AF19"/>
      <selection pane="topRight" sqref="A1:A10"/>
    </sheetView>
  </sheetViews>
  <sheetFormatPr baseColWidth="10" defaultColWidth="10.5" defaultRowHeight="14.25"/>
  <cols>
    <col min="1" max="1" width="0.75" style="1142" customWidth="1"/>
    <col min="2" max="2" width="3" style="1" bestFit="1" customWidth="1"/>
    <col min="3" max="3" width="0.75" style="1142" customWidth="1"/>
    <col min="4" max="4" width="3.875" style="1141" bestFit="1" customWidth="1"/>
    <col min="5" max="5" width="2.375" style="4" customWidth="1"/>
    <col min="6" max="6" width="26.75" style="4" customWidth="1"/>
    <col min="7" max="7" width="20.625" style="4" customWidth="1"/>
    <col min="8" max="8" width="8.75" style="1140" customWidth="1"/>
    <col min="9" max="9" width="12.75" style="19" customWidth="1"/>
    <col min="10" max="22" width="12.75" style="4" customWidth="1"/>
    <col min="23" max="24" width="12.75" style="78" customWidth="1"/>
    <col min="25" max="25" width="10.5" style="1" customWidth="1"/>
    <col min="26" max="16384" width="10.5" style="1"/>
  </cols>
  <sheetData>
    <row r="1" spans="1:25" ht="19.149999999999999" customHeight="1">
      <c r="A1" s="1232"/>
      <c r="B1" s="1232"/>
      <c r="C1" s="1232"/>
      <c r="D1" s="1232"/>
      <c r="E1" s="1232"/>
      <c r="F1" s="1444"/>
      <c r="G1" s="1444"/>
      <c r="H1" s="1444"/>
      <c r="I1" s="1444"/>
      <c r="J1" s="1444">
        <v>1</v>
      </c>
      <c r="K1" s="1444"/>
      <c r="L1" s="1444">
        <v>2</v>
      </c>
      <c r="M1" s="1444"/>
      <c r="N1" s="1444">
        <v>3</v>
      </c>
      <c r="O1" s="1444"/>
      <c r="P1" s="1444">
        <v>4</v>
      </c>
      <c r="Q1" s="1444"/>
      <c r="R1" s="1444">
        <v>5</v>
      </c>
      <c r="S1" s="1444"/>
      <c r="T1" s="1444">
        <v>6</v>
      </c>
      <c r="U1" s="1444"/>
      <c r="V1" s="1444">
        <v>7</v>
      </c>
      <c r="W1" s="3816"/>
      <c r="X1" s="3816">
        <v>8</v>
      </c>
      <c r="Y1" s="4781"/>
    </row>
    <row r="2" spans="1:25" ht="18.75" customHeight="1">
      <c r="A2" s="1232"/>
      <c r="B2" s="1232"/>
      <c r="C2" s="1232"/>
      <c r="D2" s="1232"/>
      <c r="E2" s="1454" t="str">
        <f>"Kostenrechnung " &amp; 'SDK1'!M8</f>
        <v xml:space="preserve">Kostenrechnung </v>
      </c>
      <c r="F2" s="1453"/>
      <c r="G2" s="1452"/>
      <c r="H2" s="1452"/>
      <c r="I2" s="4704" t="s">
        <v>196</v>
      </c>
      <c r="J2" s="4641"/>
      <c r="K2" s="4704" t="s">
        <v>86</v>
      </c>
      <c r="L2" s="4705"/>
      <c r="M2" s="4640" t="s">
        <v>205</v>
      </c>
      <c r="N2" s="4705"/>
      <c r="O2" s="4704" t="s">
        <v>64</v>
      </c>
      <c r="P2" s="4705"/>
      <c r="Q2" s="4640" t="s">
        <v>205</v>
      </c>
      <c r="R2" s="4705"/>
      <c r="S2" s="4704" t="s">
        <v>1954</v>
      </c>
      <c r="T2" s="4705"/>
      <c r="U2" s="4640" t="s">
        <v>198</v>
      </c>
      <c r="V2" s="4641"/>
      <c r="W2" s="4783" t="s">
        <v>2050</v>
      </c>
      <c r="X2" s="4784"/>
      <c r="Y2" s="4782"/>
    </row>
    <row r="3" spans="1:25" ht="3.4" customHeight="1">
      <c r="A3" s="1232"/>
      <c r="B3" s="1232"/>
      <c r="C3" s="1232"/>
      <c r="D3" s="1232"/>
      <c r="E3" s="1232"/>
      <c r="F3" s="1232"/>
      <c r="G3" s="1232"/>
      <c r="H3" s="1232"/>
      <c r="I3" s="1232"/>
      <c r="J3" s="1232"/>
      <c r="K3" s="1232"/>
      <c r="L3" s="1232"/>
      <c r="M3" s="1232"/>
      <c r="N3" s="1232"/>
      <c r="O3" s="1232"/>
      <c r="P3" s="1232"/>
      <c r="Q3" s="1232"/>
      <c r="R3" s="1232"/>
      <c r="S3" s="1232"/>
      <c r="T3" s="1232"/>
      <c r="U3" s="1232"/>
      <c r="V3" s="1232"/>
      <c r="W3" s="3817"/>
      <c r="X3" s="3817"/>
      <c r="Y3" s="4782"/>
    </row>
    <row r="4" spans="1:25" ht="15" customHeight="1">
      <c r="A4" s="1232"/>
      <c r="B4" s="1232"/>
      <c r="C4" s="1232"/>
      <c r="D4" s="1232"/>
      <c r="E4" s="1451" t="s">
        <v>1154</v>
      </c>
      <c r="F4" s="1250"/>
      <c r="G4" s="1450">
        <f>'WW1'!P4</f>
        <v>0</v>
      </c>
      <c r="H4" s="1449"/>
      <c r="I4" s="1448" t="str">
        <f>HLOOKUP(J$6,Daten!$D$3:$GR$64,ROW()+56,FALSE)</f>
        <v>Ernte im Lohn, pfluglos</v>
      </c>
      <c r="J4" s="1447"/>
      <c r="K4" s="1446" t="str">
        <f>HLOOKUP(L$6,Daten!$D$3:$GR$64,ROW()+56,FALSE)</f>
        <v>Lohndrusch, 2 ha-Schlag</v>
      </c>
      <c r="L4" s="1447"/>
      <c r="M4" s="1446" t="str">
        <f>HLOOKUP(N$6,Daten!$D$3:$GX$64,ROW()+56,FALSE)</f>
        <v>Lohndrusch, 2 ha-Schlag</v>
      </c>
      <c r="N4" s="1445"/>
      <c r="O4" s="1446" t="str">
        <f>HLOOKUP(P$6,Daten!$D$3:$GX$64,ROW()+56,FALSE)</f>
        <v>Lohndrusch, 2 ha-Schlag</v>
      </c>
      <c r="P4" s="1447"/>
      <c r="Q4" s="1446" t="str">
        <f>HLOOKUP(R$6,Daten!$D$3:$GX$64,ROW()+56,FALSE)</f>
        <v>Lohndrusch, 2 ha-Schlag</v>
      </c>
      <c r="R4" s="1445"/>
      <c r="S4" s="1446" t="str">
        <f>HLOOKUP(T$6,Daten!$D$3:$GX$64,ROW()+56,FALSE)</f>
        <v>Lohnsaat,Lohndrusch, 2 ha-Schlag</v>
      </c>
      <c r="T4" s="1447"/>
      <c r="U4" s="1446" t="str">
        <f>HLOOKUP(V$6,Daten!$D$3:$GX$64,ROW()+56,FALSE)</f>
        <v>Lohndrusch, 2 ha-Schlag</v>
      </c>
      <c r="V4" s="1445"/>
      <c r="W4" s="1446"/>
      <c r="X4" s="1445"/>
      <c r="Y4" s="4782"/>
    </row>
    <row r="5" spans="1:25" ht="13.15" customHeight="1">
      <c r="A5" s="1232"/>
      <c r="B5" s="1232"/>
      <c r="C5" s="1232"/>
      <c r="D5" s="1232"/>
      <c r="E5" s="1232"/>
      <c r="F5" s="1232"/>
      <c r="G5" s="1232"/>
      <c r="H5" s="1232"/>
      <c r="I5" s="4642" t="str">
        <f>HYPERLINK("#"&amp;HLOOKUP(J$6,Daten!$D$3:$GX$65,ROW()+58,FALSE)&amp;"!A1","Daten ändern")</f>
        <v>Daten ändern</v>
      </c>
      <c r="J5" s="4643"/>
      <c r="K5" s="4642" t="str">
        <f>HYPERLINK("#"&amp;HLOOKUP(L$6,Daten!$D$3:$GX$65,ROW()+58,FALSE)&amp;"!A1","Daten ändern")</f>
        <v>Daten ändern</v>
      </c>
      <c r="L5" s="4643"/>
      <c r="M5" s="4642" t="str">
        <f>HYPERLINK("#"&amp;HLOOKUP(N$6,Daten!$D$3:$GX$65,ROW()+58,FALSE)&amp;"!A1","Daten ändern")</f>
        <v>Daten ändern</v>
      </c>
      <c r="N5" s="4643"/>
      <c r="O5" s="4642" t="str">
        <f>HYPERLINK("#"&amp;HLOOKUP(P$6,Daten!$D$3:$GX$65,ROW()+58,FALSE)&amp;"!A1","Daten ändern")</f>
        <v>Daten ändern</v>
      </c>
      <c r="P5" s="4643"/>
      <c r="Q5" s="4642" t="str">
        <f>HYPERLINK("#"&amp;HLOOKUP(R$6,Daten!$D$3:$GX$65,ROW()+58,FALSE)&amp;"!A1","Daten ändern")</f>
        <v>Daten ändern</v>
      </c>
      <c r="R5" s="4643"/>
      <c r="S5" s="4642" t="str">
        <f>HYPERLINK("#"&amp;HLOOKUP(T$6,Daten!$D$3:$GX$65,ROW()+58,FALSE)&amp;"!A1","Daten ändern")</f>
        <v>Daten ändern</v>
      </c>
      <c r="T5" s="4643"/>
      <c r="U5" s="4642" t="str">
        <f>HYPERLINK("#"&amp;HLOOKUP(V$6,Daten!$D$3:$GX$65,ROW()+58,FALSE)&amp;"!A1","Daten ändern")</f>
        <v>Daten ändern</v>
      </c>
      <c r="V5" s="4643"/>
      <c r="W5" s="4785"/>
      <c r="X5" s="4786"/>
      <c r="Y5" s="4782"/>
    </row>
    <row r="6" spans="1:25" ht="11.45" hidden="1" customHeight="1">
      <c r="A6" s="1232"/>
      <c r="B6" s="1232"/>
      <c r="C6" s="1232"/>
      <c r="D6" s="1232"/>
      <c r="E6" s="1232"/>
      <c r="F6" s="1232"/>
      <c r="G6" s="1232"/>
      <c r="H6" s="1232"/>
      <c r="I6" s="1444">
        <f>VLOOKUP(I2,$F$233:$G$289,2,FALSE)</f>
        <v>25</v>
      </c>
      <c r="J6" s="1232" t="str">
        <f>I6 &amp; LEFT(I8,1)</f>
        <v>25m</v>
      </c>
      <c r="K6" s="1444">
        <f>VLOOKUP(K2,$F$233:$G$289,2,FALSE)</f>
        <v>8</v>
      </c>
      <c r="L6" s="1232" t="str">
        <f>K6 &amp; LEFT(K8,1)</f>
        <v>8m</v>
      </c>
      <c r="M6" s="1444">
        <f>VLOOKUP(M2,$F$233:$G$289,2,FALSE)</f>
        <v>15</v>
      </c>
      <c r="N6" s="1232" t="str">
        <f>M6 &amp; LEFT(M8,1)</f>
        <v>15m</v>
      </c>
      <c r="O6" s="1444">
        <f>VLOOKUP(O2,$F$233:$G$289,2,FALSE)</f>
        <v>17</v>
      </c>
      <c r="P6" s="1232" t="str">
        <f>O6 &amp; LEFT(O8,1)</f>
        <v>17m</v>
      </c>
      <c r="Q6" s="1444">
        <f>VLOOKUP(Q2,$F$233:$G$289,2,FALSE)</f>
        <v>15</v>
      </c>
      <c r="R6" s="1232" t="str">
        <f>Q6 &amp; LEFT(Q8,1)</f>
        <v>15m</v>
      </c>
      <c r="S6" s="1444">
        <f>VLOOKUP(S2,$F$233:$G$289,2,FALSE)</f>
        <v>45</v>
      </c>
      <c r="T6" s="1232" t="str">
        <f>S6 &amp; LEFT(S8,1)</f>
        <v>45h</v>
      </c>
      <c r="U6" s="1444">
        <f>VLOOKUP(U2,$F$233:$G$289,2,FALSE)</f>
        <v>23</v>
      </c>
      <c r="V6" s="1232" t="str">
        <f>U6 &amp; LEFT(U8,1)</f>
        <v>23m</v>
      </c>
      <c r="W6" s="3816"/>
      <c r="X6" s="3817"/>
      <c r="Y6" s="4782"/>
    </row>
    <row r="7" spans="1:25" ht="30">
      <c r="A7" s="1232"/>
      <c r="B7" s="1232"/>
      <c r="C7" s="1232"/>
      <c r="D7" s="1232"/>
      <c r="E7" s="1443" t="s">
        <v>230</v>
      </c>
      <c r="F7" s="1442"/>
      <c r="G7" s="1442"/>
      <c r="H7" s="1441" t="s">
        <v>1995</v>
      </c>
      <c r="I7" s="3055"/>
      <c r="J7" s="3884">
        <v>10</v>
      </c>
      <c r="K7" s="3033"/>
      <c r="L7" s="3883">
        <v>10</v>
      </c>
      <c r="M7" s="3033"/>
      <c r="N7" s="3884">
        <v>10</v>
      </c>
      <c r="O7" s="3033"/>
      <c r="P7" s="3883">
        <v>10</v>
      </c>
      <c r="Q7" s="3033"/>
      <c r="R7" s="3884"/>
      <c r="S7" s="3033"/>
      <c r="T7" s="3883"/>
      <c r="U7" s="3033"/>
      <c r="V7" s="3056"/>
      <c r="W7" s="3818"/>
      <c r="X7" s="3819">
        <f>SUM(J7:W7)</f>
        <v>40</v>
      </c>
      <c r="Y7" s="3029" t="s">
        <v>1961</v>
      </c>
    </row>
    <row r="8" spans="1:25" s="1422" customFormat="1" ht="15" customHeight="1">
      <c r="A8" s="1232"/>
      <c r="B8" s="1232"/>
      <c r="C8" s="1232"/>
      <c r="D8" s="1280"/>
      <c r="E8" s="1440" t="s">
        <v>1153</v>
      </c>
      <c r="F8" s="1440"/>
      <c r="G8" s="1440"/>
      <c r="H8" s="1439"/>
      <c r="I8" s="4644" t="s">
        <v>152</v>
      </c>
      <c r="J8" s="4645"/>
      <c r="K8" s="4644" t="s">
        <v>152</v>
      </c>
      <c r="L8" s="4645"/>
      <c r="M8" s="4644" t="s">
        <v>152</v>
      </c>
      <c r="N8" s="4645"/>
      <c r="O8" s="4644" t="s">
        <v>152</v>
      </c>
      <c r="P8" s="4645"/>
      <c r="Q8" s="4644" t="s">
        <v>152</v>
      </c>
      <c r="R8" s="4645"/>
      <c r="S8" s="4644" t="s">
        <v>178</v>
      </c>
      <c r="T8" s="4645"/>
      <c r="U8" s="4644" t="s">
        <v>152</v>
      </c>
      <c r="V8" s="4645"/>
      <c r="W8" s="4787"/>
      <c r="X8" s="4788"/>
      <c r="Y8" s="3030"/>
    </row>
    <row r="9" spans="1:25" s="1422" customFormat="1" ht="16.5">
      <c r="A9" s="1232"/>
      <c r="B9" s="1232"/>
      <c r="C9" s="1232"/>
      <c r="D9" s="1438">
        <v>1</v>
      </c>
      <c r="E9" s="1437" t="s">
        <v>1152</v>
      </c>
      <c r="F9" s="1436"/>
      <c r="G9" s="1436"/>
      <c r="H9" s="1435" t="s">
        <v>172</v>
      </c>
      <c r="I9" s="1432"/>
      <c r="J9" s="1431">
        <f>HLOOKUP(J$6,Daten!$D$3:$GR$65,ROW()-6,FALSE)</f>
        <v>750</v>
      </c>
      <c r="K9" s="1434"/>
      <c r="L9" s="1433">
        <f>HLOOKUP(L$6,Daten!$D$3:$GR$65,ROW()-6,FALSE)</f>
        <v>70</v>
      </c>
      <c r="M9" s="1432"/>
      <c r="N9" s="1431">
        <f>HLOOKUP(N$6,Daten!$D$3:$GR$65,ROW()-6,FALSE)</f>
        <v>100</v>
      </c>
      <c r="O9" s="1434"/>
      <c r="P9" s="1433">
        <f>HLOOKUP(P$6,Daten!$D$3:$GR$64,ROW()-6,FALSE)</f>
        <v>40</v>
      </c>
      <c r="Q9" s="1432"/>
      <c r="R9" s="1431">
        <f>HLOOKUP(R$6,Daten!$D$3:$GR$65,ROW()-6,FALSE)</f>
        <v>100</v>
      </c>
      <c r="S9" s="1434"/>
      <c r="T9" s="1433">
        <f>HLOOKUP(T$6,Daten!$D$3:$GR$65,ROW()-6,FALSE)</f>
        <v>100</v>
      </c>
      <c r="U9" s="1432"/>
      <c r="V9" s="1431">
        <f>HLOOKUP(V$6,Daten!$D$3:$GR$65,ROW()-6,FALSE)</f>
        <v>35</v>
      </c>
      <c r="W9" s="1432"/>
      <c r="X9" s="3820">
        <f t="shared" ref="X9:X34" si="0">SUMPRODUCT($I$7:$V$7,I9:V9)/$X$7</f>
        <v>240</v>
      </c>
      <c r="Y9" s="3031"/>
    </row>
    <row r="10" spans="1:25" s="1422" customFormat="1" ht="15">
      <c r="A10" s="1232"/>
      <c r="B10" s="1232"/>
      <c r="C10" s="1232"/>
      <c r="D10" s="1244">
        <f t="shared" ref="D10:D19" si="1">D9+1</f>
        <v>2</v>
      </c>
      <c r="E10" s="1430" t="s">
        <v>1151</v>
      </c>
      <c r="F10" s="1430" t="s">
        <v>1150</v>
      </c>
      <c r="G10" s="1429"/>
      <c r="H10" s="1214"/>
      <c r="I10" s="1426"/>
      <c r="J10" s="1425">
        <f>HLOOKUP(J$6,Daten!$D$3:$GR$65,ROW()-6,FALSE)</f>
        <v>730</v>
      </c>
      <c r="K10" s="1428"/>
      <c r="L10" s="1427">
        <f>HLOOKUP(L$6,Daten!$D$3:$GR$65,ROW()-6,FALSE)</f>
        <v>70</v>
      </c>
      <c r="M10" s="1426"/>
      <c r="N10" s="1425">
        <f>HLOOKUP(N$6,Daten!$D$3:$GR$64,ROW()-6,FALSE)</f>
        <v>100</v>
      </c>
      <c r="O10" s="1428"/>
      <c r="P10" s="1427">
        <f>HLOOKUP(P$6,Daten!$D$3:$GR$64,ROW()-6,FALSE)</f>
        <v>40</v>
      </c>
      <c r="Q10" s="1426"/>
      <c r="R10" s="1425">
        <f>HLOOKUP(R$6,Daten!$D$3:$GR$65,ROW()-6,FALSE)</f>
        <v>100</v>
      </c>
      <c r="S10" s="1428"/>
      <c r="T10" s="1427">
        <f>HLOOKUP(T$6,Daten!$D$3:$GR$65,ROW()-6,FALSE)</f>
        <v>100</v>
      </c>
      <c r="U10" s="1426"/>
      <c r="V10" s="1425">
        <f>HLOOKUP(V$6,Daten!$D$3:$GR$65,ROW()-6,FALSE)</f>
        <v>35</v>
      </c>
      <c r="W10" s="1426"/>
      <c r="X10" s="3821">
        <f t="shared" si="0"/>
        <v>235</v>
      </c>
      <c r="Y10" s="3031"/>
    </row>
    <row r="11" spans="1:25" s="1422" customFormat="1" ht="16.5">
      <c r="A11" s="1232"/>
      <c r="B11" s="1232"/>
      <c r="C11" s="1232"/>
      <c r="D11" s="1239">
        <f t="shared" si="1"/>
        <v>3</v>
      </c>
      <c r="E11" s="1424" t="str">
        <f>IF('SDK1'!M9&gt;0,"Preis Hauptprodukt (incl. MwSt.)","Preis Hauptprodukt (ohne MwSt.)")</f>
        <v>Preis Hauptprodukt (incl. MwSt.)</v>
      </c>
      <c r="F11" s="1421"/>
      <c r="G11" s="1424"/>
      <c r="H11" s="1423" t="s">
        <v>228</v>
      </c>
      <c r="I11" s="3586"/>
      <c r="J11" s="3581">
        <f>HLOOKUP(J$6,Daten!$D$3:$GR$65,ROW()-6,FALSE)</f>
        <v>2.83</v>
      </c>
      <c r="K11" s="3588"/>
      <c r="L11" s="3587">
        <f>HLOOKUP(L$6,Daten!$D$3:$GR$65,ROW()-6,FALSE)</f>
        <v>18.666666666666668</v>
      </c>
      <c r="M11" s="3586"/>
      <c r="N11" s="3581">
        <f>HLOOKUP(N$6,Daten!$D$3:$GR$64,ROW()-6,FALSE)</f>
        <v>24.116666666666671</v>
      </c>
      <c r="O11" s="3588"/>
      <c r="P11" s="3587">
        <f>HLOOKUP(P$6,Daten!$D$3:$GR$64,ROW()-6,FALSE)</f>
        <v>49.8</v>
      </c>
      <c r="Q11" s="3586"/>
      <c r="R11" s="3581">
        <f>HLOOKUP(R6,Daten!$D$3:$GR$65,ROW()-6,FALSE)</f>
        <v>24.116666666666671</v>
      </c>
      <c r="S11" s="3588"/>
      <c r="T11" s="3587">
        <f>HLOOKUP(T$6,Daten!$D$3:$GR$65,ROW()-6,FALSE)</f>
        <v>38.983333333333327</v>
      </c>
      <c r="U11" s="3586"/>
      <c r="V11" s="3581">
        <f>HLOOKUP(V$6,Daten!$D$3:$GR$65,ROW()-6,FALSE)</f>
        <v>25.533333333333331</v>
      </c>
      <c r="W11" s="3822"/>
      <c r="X11" s="3581">
        <f t="shared" si="0"/>
        <v>23.853333333333335</v>
      </c>
      <c r="Y11" s="3037"/>
    </row>
    <row r="12" spans="1:25" ht="15" customHeight="1">
      <c r="A12" s="1232"/>
      <c r="B12" s="4754" t="s">
        <v>1149</v>
      </c>
      <c r="C12" s="1232"/>
      <c r="D12" s="1271">
        <f t="shared" si="1"/>
        <v>4</v>
      </c>
      <c r="E12" s="1068"/>
      <c r="F12" s="78" t="s">
        <v>227</v>
      </c>
      <c r="G12" s="1216"/>
      <c r="H12" s="9" t="s">
        <v>171</v>
      </c>
      <c r="I12" s="1221"/>
      <c r="J12" s="3584">
        <f>HLOOKUP(J$6,Daten!$D$3:$GR$65,ROW()-6,FALSE)</f>
        <v>2065.9</v>
      </c>
      <c r="K12" s="3589"/>
      <c r="L12" s="3590">
        <f>HLOOKUP(L$6,Daten!$D$3:$GR$65,ROW()-6,FALSE)</f>
        <v>1306.6666666666667</v>
      </c>
      <c r="M12" s="1221"/>
      <c r="N12" s="3584">
        <f>HLOOKUP(N$6,Daten!$D$3:$GR$65,ROW()-6,FALSE)</f>
        <v>2411.666666666667</v>
      </c>
      <c r="O12" s="3589"/>
      <c r="P12" s="3590">
        <f>HLOOKUP(P$6,Daten!$D$3:$GR$65,ROW()-6,FALSE)</f>
        <v>1992</v>
      </c>
      <c r="Q12" s="1221"/>
      <c r="R12" s="3584">
        <f>HLOOKUP(R6,Daten!$D$3:$GR$65,ROW()-6,FALSE)</f>
        <v>2411.666666666667</v>
      </c>
      <c r="S12" s="3589"/>
      <c r="T12" s="3590">
        <f>HLOOKUP(T6,Daten!$D$3:$GR$65,ROW()-6,FALSE)</f>
        <v>3898.3333333333326</v>
      </c>
      <c r="U12" s="1221"/>
      <c r="V12" s="3584">
        <f>HLOOKUP(V6,Daten!$D$3:$GR$65,ROW()-6,FALSE)</f>
        <v>893.66666666666663</v>
      </c>
      <c r="W12" s="1432"/>
      <c r="X12" s="3584">
        <f t="shared" si="0"/>
        <v>1944.0583333333336</v>
      </c>
      <c r="Y12" s="3038"/>
    </row>
    <row r="13" spans="1:25">
      <c r="A13" s="1232"/>
      <c r="B13" s="4755"/>
      <c r="C13" s="1232"/>
      <c r="D13" s="1244">
        <f t="shared" si="1"/>
        <v>5</v>
      </c>
      <c r="E13" s="1068"/>
      <c r="F13" s="78" t="s">
        <v>1074</v>
      </c>
      <c r="G13" s="4757"/>
      <c r="H13" s="4757"/>
      <c r="I13" s="1208"/>
      <c r="J13" s="3582">
        <f>HLOOKUP(J$6,Daten!$D$3:$GR$65,ROW()-6,FALSE)</f>
        <v>33.066666666666663</v>
      </c>
      <c r="K13" s="3591"/>
      <c r="L13" s="3592">
        <f>HLOOKUP(L$6,Daten!$D$3:$GR$65,ROW()-6,FALSE)</f>
        <v>0</v>
      </c>
      <c r="M13" s="1208"/>
      <c r="N13" s="3582">
        <f>HLOOKUP(N$6,Daten!$D$3:$GR$65,ROW()-6,FALSE)</f>
        <v>0</v>
      </c>
      <c r="O13" s="3591"/>
      <c r="P13" s="3592">
        <f>HLOOKUP(P$6,Daten!$D$3:$GR$65,ROW()-6,FALSE)</f>
        <v>0</v>
      </c>
      <c r="Q13" s="1208"/>
      <c r="R13" s="3582">
        <f>HLOOKUP(R6,Daten!$D$3:$GR$65,ROW()-6,FALSE)</f>
        <v>0</v>
      </c>
      <c r="S13" s="3591"/>
      <c r="T13" s="3592">
        <f>HLOOKUP(T6,Daten!$D$3:$GR$65,ROW()-6,FALSE)</f>
        <v>0</v>
      </c>
      <c r="U13" s="1208"/>
      <c r="V13" s="3582">
        <f>HLOOKUP(V6,Daten!$D$3:$GR$65,ROW()-6,FALSE)</f>
        <v>0</v>
      </c>
      <c r="W13" s="3823"/>
      <c r="X13" s="3582">
        <f t="shared" si="0"/>
        <v>8.2666666666666657</v>
      </c>
      <c r="Y13" s="3038"/>
    </row>
    <row r="14" spans="1:25" ht="15">
      <c r="A14" s="1232"/>
      <c r="B14" s="4755"/>
      <c r="C14" s="1232"/>
      <c r="D14" s="1244">
        <f t="shared" si="1"/>
        <v>6</v>
      </c>
      <c r="E14" s="1068"/>
      <c r="F14" s="78" t="s">
        <v>225</v>
      </c>
      <c r="G14" s="1216"/>
      <c r="H14" s="9"/>
      <c r="I14" s="1208"/>
      <c r="J14" s="3583">
        <f>HLOOKUP(J$6,Daten!$D$3:$GR$65,ROW()-6,FALSE)</f>
        <v>0</v>
      </c>
      <c r="K14" s="3591"/>
      <c r="L14" s="3593">
        <f>HLOOKUP(L$6,Daten!$D$3:$GR$65,ROW()-6,FALSE)</f>
        <v>0</v>
      </c>
      <c r="M14" s="1208"/>
      <c r="N14" s="3583">
        <f>HLOOKUP(N$6,Daten!$D$3:$GR$65,ROW()-6,FALSE)</f>
        <v>0</v>
      </c>
      <c r="O14" s="3591"/>
      <c r="P14" s="3593">
        <f>HLOOKUP(P$6,Daten!$D$3:$GR$65,ROW()-6,FALSE)</f>
        <v>0</v>
      </c>
      <c r="Q14" s="1208"/>
      <c r="R14" s="3583">
        <f>HLOOKUP(R6,Daten!$D$3:$GR$65,ROW()-6,FALSE)</f>
        <v>0</v>
      </c>
      <c r="S14" s="3591"/>
      <c r="T14" s="3593" t="e">
        <f>HLOOKUP(T6,Daten!$D$3:$GR$65,ROW()-6,FALSE)</f>
        <v>#REF!</v>
      </c>
      <c r="U14" s="1208"/>
      <c r="V14" s="3583">
        <f>HLOOKUP(V6,Daten!$D$3:$GR$65,ROW()-6,FALSE)</f>
        <v>0</v>
      </c>
      <c r="W14" s="3823" t="e">
        <f>SUMPRODUCT($J$7:$V$7,J14:V14)/$X$7</f>
        <v>#REF!</v>
      </c>
      <c r="X14" s="3583" t="e">
        <f t="shared" si="0"/>
        <v>#REF!</v>
      </c>
      <c r="Y14" s="3039"/>
    </row>
    <row r="15" spans="1:25" ht="16.5">
      <c r="A15" s="1232"/>
      <c r="B15" s="4755"/>
      <c r="C15" s="1232"/>
      <c r="D15" s="1244">
        <f t="shared" si="1"/>
        <v>7</v>
      </c>
      <c r="E15" s="1416" t="s">
        <v>1148</v>
      </c>
      <c r="F15" s="1421"/>
      <c r="G15" s="1421"/>
      <c r="H15" s="1214"/>
      <c r="I15" s="4616">
        <f>SUM(J12:J14)</f>
        <v>2098.9666666666667</v>
      </c>
      <c r="J15" s="4617"/>
      <c r="K15" s="4712">
        <f>SUM(L12:L14)</f>
        <v>1306.6666666666667</v>
      </c>
      <c r="L15" s="4713"/>
      <c r="M15" s="4616">
        <f>SUM(N12:N14)</f>
        <v>2411.666666666667</v>
      </c>
      <c r="N15" s="4617"/>
      <c r="O15" s="4712">
        <f>SUM(P12:P14)</f>
        <v>1992</v>
      </c>
      <c r="P15" s="4713"/>
      <c r="Q15" s="4616">
        <f>SUM(R12:R14)</f>
        <v>2411.666666666667</v>
      </c>
      <c r="R15" s="4617"/>
      <c r="S15" s="4712" t="e">
        <f>SUM(T12:T14)</f>
        <v>#REF!</v>
      </c>
      <c r="T15" s="4713"/>
      <c r="U15" s="4616">
        <f>SUM(V12:V14)</f>
        <v>893.66666666666663</v>
      </c>
      <c r="V15" s="4617"/>
      <c r="W15" s="4616" t="e">
        <f>SUMPRODUCT($I$7:$V$7,H15:U15)/$X$7</f>
        <v>#REF!</v>
      </c>
      <c r="X15" s="4617" t="e">
        <f t="shared" si="0"/>
        <v>#REF!</v>
      </c>
      <c r="Y15" s="3039"/>
    </row>
    <row r="16" spans="1:25" ht="15" customHeight="1">
      <c r="A16" s="1232"/>
      <c r="B16" s="4755"/>
      <c r="C16" s="1232"/>
      <c r="D16" s="1420">
        <f t="shared" si="1"/>
        <v>8</v>
      </c>
      <c r="E16" s="1380"/>
      <c r="F16" s="1379" t="s">
        <v>1147</v>
      </c>
      <c r="G16" s="1412"/>
      <c r="H16" s="1411"/>
      <c r="I16" s="4646">
        <f>HLOOKUP(J$6,Daten!$D$3:$GR$65,ROW()+45,FALSE)</f>
        <v>355.4</v>
      </c>
      <c r="J16" s="4724"/>
      <c r="K16" s="4714">
        <f>HLOOKUP(L$6,Daten!$D$3:$GR$65,ROW()+45,FALSE)</f>
        <v>355.4</v>
      </c>
      <c r="L16" s="4715"/>
      <c r="M16" s="4646">
        <f>HLOOKUP(N$6,Daten!$D$3:$GR$65,ROW()+45,FALSE)</f>
        <v>355.4</v>
      </c>
      <c r="N16" s="4724"/>
      <c r="O16" s="4714">
        <f>HLOOKUP(P$6,Daten!$D$3:$GR$65,ROW()+45,FALSE)</f>
        <v>355.4</v>
      </c>
      <c r="P16" s="4731"/>
      <c r="Q16" s="4646">
        <f>HLOOKUP(R$6,Daten!$D$3:$GR$65,ROW()+45,FALSE)</f>
        <v>355.4</v>
      </c>
      <c r="R16" s="4724"/>
      <c r="S16" s="4714">
        <f>HLOOKUP(T$6,Daten!$D$3:$GR$65,ROW()+45,FALSE)</f>
        <v>355.4</v>
      </c>
      <c r="T16" s="4715"/>
      <c r="U16" s="4646">
        <f>HLOOKUP(V$6,Daten!$D$3:$GR$65,ROW()+45,FALSE)</f>
        <v>355.4</v>
      </c>
      <c r="V16" s="4647"/>
      <c r="W16" s="4646">
        <f>SUMPRODUCT($I$7:$V$7,H16:U16)/$X$7</f>
        <v>355.4</v>
      </c>
      <c r="X16" s="4826">
        <f t="shared" si="0"/>
        <v>0</v>
      </c>
      <c r="Y16" s="3039"/>
    </row>
    <row r="17" spans="1:28" ht="15" customHeight="1">
      <c r="A17" s="1232"/>
      <c r="B17" s="4755"/>
      <c r="C17" s="1232"/>
      <c r="D17" s="1420">
        <f t="shared" si="1"/>
        <v>9</v>
      </c>
      <c r="E17" s="1419"/>
      <c r="F17" s="1409" t="s">
        <v>1146</v>
      </c>
      <c r="G17" s="1408"/>
      <c r="H17" s="1410"/>
      <c r="I17" s="4614">
        <f>HLOOKUP(J$6,Daten!$D$3:$GR$65,ROW()+45,FALSE)</f>
        <v>0</v>
      </c>
      <c r="J17" s="4725"/>
      <c r="K17" s="4716">
        <f>HLOOKUP(L$6,Daten!$D$3:$GR$65,ROW()+45,FALSE)</f>
        <v>100</v>
      </c>
      <c r="L17" s="4717"/>
      <c r="M17" s="4614">
        <f>HLOOKUP(N$6,Daten!$D$3:$GR$65,ROW()+45,FALSE)</f>
        <v>100</v>
      </c>
      <c r="N17" s="4725"/>
      <c r="O17" s="4716">
        <f>HLOOKUP(P$6,Daten!$D$3:$GR$65,ROW()+45,FALSE)</f>
        <v>100</v>
      </c>
      <c r="P17" s="4717"/>
      <c r="Q17" s="4614">
        <f>HLOOKUP(R$6,Daten!$D$3:$GR$65,ROW()+45,FALSE)</f>
        <v>100</v>
      </c>
      <c r="R17" s="4725"/>
      <c r="S17" s="4716">
        <f>HLOOKUP(T$6,Daten!$D$3:$GR$65,ROW()+45,FALSE)</f>
        <v>240</v>
      </c>
      <c r="T17" s="4717"/>
      <c r="U17" s="4614">
        <f>HLOOKUP(V$6,Daten!$D$3:$GR$65,ROW()+45,FALSE)</f>
        <v>100</v>
      </c>
      <c r="V17" s="4615"/>
      <c r="W17" s="4614">
        <f>SUMPRODUCT($I$7:$V$7,H17:U17)/$X$7</f>
        <v>75</v>
      </c>
      <c r="X17" s="4827">
        <f t="shared" si="0"/>
        <v>0</v>
      </c>
      <c r="Y17" s="3039"/>
    </row>
    <row r="18" spans="1:28" ht="15" customHeight="1">
      <c r="A18" s="1232"/>
      <c r="B18" s="4755"/>
      <c r="C18" s="1232"/>
      <c r="D18" s="1244">
        <f t="shared" si="1"/>
        <v>10</v>
      </c>
      <c r="E18" s="1416"/>
      <c r="F18" s="1418" t="s">
        <v>1145</v>
      </c>
      <c r="G18" s="1417"/>
      <c r="H18" s="1390"/>
      <c r="I18" s="4616">
        <f>SUM(I16:J17)</f>
        <v>355.4</v>
      </c>
      <c r="J18" s="4617"/>
      <c r="K18" s="4718">
        <f>SUM(K16:L17)</f>
        <v>455.4</v>
      </c>
      <c r="L18" s="4719"/>
      <c r="M18" s="4616">
        <f>SUM(M16:N17)</f>
        <v>455.4</v>
      </c>
      <c r="N18" s="4617"/>
      <c r="O18" s="4718">
        <f>SUM(O16:P17)</f>
        <v>455.4</v>
      </c>
      <c r="P18" s="4719"/>
      <c r="Q18" s="4616">
        <f>SUM(Q16:R17)</f>
        <v>455.4</v>
      </c>
      <c r="R18" s="4617"/>
      <c r="S18" s="4718">
        <f>SUM(S16:T17)</f>
        <v>595.4</v>
      </c>
      <c r="T18" s="4719"/>
      <c r="U18" s="4616">
        <f>SUM(U16:V17)</f>
        <v>455.4</v>
      </c>
      <c r="V18" s="4617"/>
      <c r="W18" s="4616">
        <f>SUMPRODUCT($I$7:$V$7,H18:U18)/$X$7</f>
        <v>430.4</v>
      </c>
      <c r="X18" s="4617">
        <f t="shared" si="0"/>
        <v>0</v>
      </c>
      <c r="Y18" s="3039"/>
    </row>
    <row r="19" spans="1:28" ht="15" customHeight="1">
      <c r="A19" s="1232"/>
      <c r="B19" s="4756"/>
      <c r="C19" s="1232"/>
      <c r="D19" s="1239">
        <f t="shared" si="1"/>
        <v>11</v>
      </c>
      <c r="E19" s="1416" t="s">
        <v>1144</v>
      </c>
      <c r="F19" s="1415"/>
      <c r="G19" s="1414"/>
      <c r="H19" s="1413"/>
      <c r="I19" s="4650">
        <f>I15+I18</f>
        <v>2454.3666666666668</v>
      </c>
      <c r="J19" s="4651"/>
      <c r="K19" s="4720">
        <f>K15+K18</f>
        <v>1762.0666666666666</v>
      </c>
      <c r="L19" s="4721"/>
      <c r="M19" s="4650">
        <f>M15+M18</f>
        <v>2867.0666666666671</v>
      </c>
      <c r="N19" s="4651"/>
      <c r="O19" s="4720">
        <f>O15+O18</f>
        <v>2447.4</v>
      </c>
      <c r="P19" s="4721"/>
      <c r="Q19" s="4650">
        <f>Q15+Q18</f>
        <v>2867.0666666666671</v>
      </c>
      <c r="R19" s="4651"/>
      <c r="S19" s="4720" t="e">
        <f>S15+S18</f>
        <v>#REF!</v>
      </c>
      <c r="T19" s="4721"/>
      <c r="U19" s="4650">
        <f>U15+U18</f>
        <v>1349.0666666666666</v>
      </c>
      <c r="V19" s="4651"/>
      <c r="W19" s="4650" t="e">
        <f>SUMPRODUCT($I$7:$V$7,H19:U19)/$X$7</f>
        <v>#REF!</v>
      </c>
      <c r="X19" s="4651" t="e">
        <f t="shared" si="0"/>
        <v>#REF!</v>
      </c>
      <c r="Y19" s="3039"/>
    </row>
    <row r="20" spans="1:28" ht="17.45" customHeight="1">
      <c r="A20" s="1232"/>
      <c r="B20" s="1232"/>
      <c r="C20" s="1232"/>
      <c r="D20" s="1232"/>
      <c r="E20" s="1232"/>
      <c r="F20" s="1232"/>
      <c r="G20" s="1232"/>
      <c r="H20" s="1232"/>
      <c r="I20" s="1232"/>
      <c r="J20" s="1232"/>
      <c r="K20" s="1232"/>
      <c r="L20" s="1232"/>
      <c r="M20" s="1232"/>
      <c r="N20" s="1232"/>
      <c r="O20" s="1232"/>
      <c r="P20" s="1232"/>
      <c r="Q20" s="1232"/>
      <c r="R20" s="1232"/>
      <c r="S20" s="1232"/>
      <c r="T20" s="1232"/>
      <c r="U20" s="1232"/>
      <c r="V20" s="1232"/>
      <c r="W20" s="3817"/>
      <c r="X20" s="3817">
        <f t="shared" si="0"/>
        <v>0</v>
      </c>
      <c r="Y20" s="3031"/>
    </row>
    <row r="21" spans="1:28" ht="13.7" customHeight="1">
      <c r="A21" s="1232"/>
      <c r="B21" s="4754" t="s">
        <v>522</v>
      </c>
      <c r="C21" s="1232"/>
      <c r="D21" s="1280">
        <f>D19+1</f>
        <v>12</v>
      </c>
      <c r="E21" s="3872"/>
      <c r="F21" s="3872" t="str">
        <f>IF(OR(I6&lt;26,I6&gt;29),"Saatgut (ggf. mit Begrünung)","Pflanzgut (ggf. mit Begrünung)")</f>
        <v>Saatgut (ggf. mit Begrünung)</v>
      </c>
      <c r="G21" s="3872" t="s">
        <v>1200</v>
      </c>
      <c r="H21" s="3873" t="s">
        <v>171</v>
      </c>
      <c r="I21" s="1221"/>
      <c r="J21" s="3874">
        <f>HLOOKUP(J$6,Daten!$D$3:$GR$64,$AB21,FALSE)</f>
        <v>275</v>
      </c>
      <c r="K21" s="3589"/>
      <c r="L21" s="3590">
        <f>HLOOKUP(L$6,Daten!$D$3:$GR$64,$AB21,FALSE)</f>
        <v>145.25</v>
      </c>
      <c r="M21" s="1218"/>
      <c r="N21" s="3874">
        <f>HLOOKUP(N$6,Daten!$D$3:$GR$64,$AB21,FALSE)</f>
        <v>243</v>
      </c>
      <c r="O21" s="3589"/>
      <c r="P21" s="3590">
        <f>HLOOKUP(P$6,Daten!$D$3:$GR$64,$AB21,FALSE)</f>
        <v>105</v>
      </c>
      <c r="Q21" s="1218"/>
      <c r="R21" s="3874">
        <f>HLOOKUP(R$6,Daten!$D$3:$GR$64,$AB21,FALSE)</f>
        <v>243</v>
      </c>
      <c r="S21" s="3589"/>
      <c r="T21" s="3590">
        <f>HLOOKUP(T$6,Daten!$D$3:$GR$64,$AB21,FALSE)</f>
        <v>210</v>
      </c>
      <c r="U21" s="1218"/>
      <c r="V21" s="3875">
        <f>HLOOKUP(V$6,Daten!$D$3:$GR$64,$AB21,FALSE)</f>
        <v>176.4</v>
      </c>
      <c r="W21" s="3839"/>
      <c r="X21" s="3874">
        <f t="shared" si="0"/>
        <v>192.0625</v>
      </c>
      <c r="Y21" s="3040"/>
      <c r="AB21" s="1">
        <v>10</v>
      </c>
    </row>
    <row r="22" spans="1:28" ht="14.25" customHeight="1">
      <c r="A22" s="1232"/>
      <c r="B22" s="4755"/>
      <c r="C22" s="1232"/>
      <c r="D22" s="1244">
        <f t="shared" ref="D22:D30" si="2">D21+1</f>
        <v>13</v>
      </c>
      <c r="E22" s="1409"/>
      <c r="F22" s="1409" t="s">
        <v>1143</v>
      </c>
      <c r="G22" s="1409" t="s">
        <v>1199</v>
      </c>
      <c r="H22" s="1410"/>
      <c r="I22" s="1208"/>
      <c r="J22" s="3583">
        <f>HLOOKUP(J$6,Daten!$D$3:$GR$64,$AB22,FALSE)</f>
        <v>531.4</v>
      </c>
      <c r="K22" s="3591"/>
      <c r="L22" s="3592">
        <f>HLOOKUP(L$6,Daten!$D$3:$GR$64,$AB22,FALSE)</f>
        <v>347.01766666666663</v>
      </c>
      <c r="M22" s="1065"/>
      <c r="N22" s="3583">
        <f>HLOOKUP(N$6,Daten!$D$3:$GR$64,$AB22,FALSE)</f>
        <v>406.05999999999995</v>
      </c>
      <c r="O22" s="3591"/>
      <c r="P22" s="3592">
        <f>HLOOKUP(P$6,Daten!$D$3:$GR$64,$AB22,FALSE)</f>
        <v>428.74666666666661</v>
      </c>
      <c r="Q22" s="1065"/>
      <c r="R22" s="3583">
        <f>HLOOKUP(R$6,Daten!$D$3:$GR$64,$AB22,FALSE)</f>
        <v>406.05999999999995</v>
      </c>
      <c r="S22" s="3591"/>
      <c r="T22" s="3592">
        <f>HLOOKUP(T$6,Daten!$D$3:$GR$64,$AB22,FALSE)</f>
        <v>908.26666666666665</v>
      </c>
      <c r="U22" s="1065"/>
      <c r="V22" s="3585">
        <f>HLOOKUP(V$6,Daten!$D$3:$GR$64,$AB22,FALSE)</f>
        <v>50.481666666666648</v>
      </c>
      <c r="W22" s="1068"/>
      <c r="X22" s="3583">
        <f t="shared" si="0"/>
        <v>428.30608333333328</v>
      </c>
      <c r="Y22" s="3037"/>
      <c r="AB22" s="1">
        <v>11</v>
      </c>
    </row>
    <row r="23" spans="1:28" ht="15" customHeight="1">
      <c r="A23" s="1232"/>
      <c r="B23" s="4755"/>
      <c r="C23" s="1232"/>
      <c r="D23" s="1244">
        <f t="shared" si="2"/>
        <v>14</v>
      </c>
      <c r="E23" s="1306"/>
      <c r="F23" s="1306" t="s">
        <v>1142</v>
      </c>
      <c r="G23" s="1306" t="s">
        <v>1198</v>
      </c>
      <c r="H23" s="1410"/>
      <c r="I23" s="1208"/>
      <c r="J23" s="3583">
        <f>HLOOKUP(J$6,Daten!$D$3:$GR$64,$AB23,FALSE)</f>
        <v>345.4</v>
      </c>
      <c r="K23" s="3591"/>
      <c r="L23" s="3593">
        <f>HLOOKUP(L$6,Daten!$D$3:$GR$64,$AB23,FALSE)</f>
        <v>192.29999999999998</v>
      </c>
      <c r="M23" s="1065"/>
      <c r="N23" s="3583">
        <f>HLOOKUP(N$6,Daten!$D$3:$GR$64,$AB23,FALSE)</f>
        <v>67.199999999999989</v>
      </c>
      <c r="O23" s="3591"/>
      <c r="P23" s="3593">
        <f>HLOOKUP(P$6,Daten!$D$3:$GR$64,$AB23,FALSE)</f>
        <v>178.11</v>
      </c>
      <c r="Q23" s="1065"/>
      <c r="R23" s="3583">
        <f>HLOOKUP(R$6,Daten!$D$3:$GR$64,$AB23,FALSE)</f>
        <v>67.199999999999989</v>
      </c>
      <c r="S23" s="3591"/>
      <c r="T23" s="3593">
        <f>HLOOKUP(T$6,Daten!$D$3:$GR$64,$AB23,FALSE)</f>
        <v>0</v>
      </c>
      <c r="U23" s="1065"/>
      <c r="V23" s="3585">
        <f>HLOOKUP(V$6,Daten!$D$3:$GR$64,$AB23,FALSE)</f>
        <v>78.300000000000011</v>
      </c>
      <c r="W23" s="1068">
        <f t="shared" ref="W23:W29" si="3">SUMPRODUCT($J$7:$V$7,J23:V23)/$X$7</f>
        <v>195.7525</v>
      </c>
      <c r="X23" s="3583">
        <f t="shared" si="0"/>
        <v>195.7525</v>
      </c>
      <c r="Y23" s="3038"/>
      <c r="AB23" s="1">
        <v>12</v>
      </c>
    </row>
    <row r="24" spans="1:28" ht="15" customHeight="1">
      <c r="A24" s="1232"/>
      <c r="B24" s="4755"/>
      <c r="C24" s="1232"/>
      <c r="D24" s="1244">
        <f t="shared" si="2"/>
        <v>15</v>
      </c>
      <c r="E24" s="1409"/>
      <c r="F24" s="1409" t="s">
        <v>1141</v>
      </c>
      <c r="G24" s="1409" t="s">
        <v>1197</v>
      </c>
      <c r="H24" s="1333"/>
      <c r="I24" s="1208"/>
      <c r="J24" s="3583">
        <f>HLOOKUP(J$6,Daten!$D$3:$GR$64,$AB24,FALSE)</f>
        <v>0</v>
      </c>
      <c r="K24" s="3591"/>
      <c r="L24" s="3593">
        <f>HLOOKUP(L$6,Daten!$D$3:$GR$64,$AB24,FALSE)</f>
        <v>126.35000000000001</v>
      </c>
      <c r="M24" s="1065"/>
      <c r="N24" s="3583">
        <f>HLOOKUP(N$6,Daten!$D$3:$GR$64,$AB24,FALSE)</f>
        <v>550</v>
      </c>
      <c r="O24" s="3591"/>
      <c r="P24" s="3593">
        <f>HLOOKUP(P$6,Daten!$D$3:$GR$64,$AB24,FALSE)</f>
        <v>103.48800000000001</v>
      </c>
      <c r="Q24" s="1065"/>
      <c r="R24" s="3583">
        <f>HLOOKUP(R$6,Daten!$D$3:$GR$64,$AB24,FALSE)</f>
        <v>550</v>
      </c>
      <c r="S24" s="3591"/>
      <c r="T24" s="3593">
        <f>HLOOKUP(T$6,Daten!$D$3:$GR$64,$AB24,FALSE)</f>
        <v>610</v>
      </c>
      <c r="U24" s="1065"/>
      <c r="V24" s="3585">
        <f>HLOOKUP(V$6,Daten!$D$3:$GR$64,$AB24,FALSE)</f>
        <v>101.178</v>
      </c>
      <c r="W24" s="1068">
        <f t="shared" si="3"/>
        <v>194.95949999999999</v>
      </c>
      <c r="X24" s="3583">
        <f t="shared" si="0"/>
        <v>194.95949999999999</v>
      </c>
      <c r="Y24" s="3038"/>
      <c r="AB24" s="1">
        <v>16</v>
      </c>
    </row>
    <row r="25" spans="1:28" ht="15" customHeight="1">
      <c r="A25" s="1232"/>
      <c r="B25" s="4755"/>
      <c r="C25" s="1232"/>
      <c r="D25" s="1244">
        <f t="shared" si="2"/>
        <v>16</v>
      </c>
      <c r="E25" s="1306"/>
      <c r="F25" s="1306" t="s">
        <v>900</v>
      </c>
      <c r="G25" s="1306" t="s">
        <v>1196</v>
      </c>
      <c r="H25" s="1333"/>
      <c r="I25" s="1208"/>
      <c r="J25" s="3583">
        <f>HLOOKUP(J$6,Daten!$D$3:$GR$64,$AB25,FALSE)</f>
        <v>25.1876</v>
      </c>
      <c r="K25" s="3591"/>
      <c r="L25" s="3592">
        <f>HLOOKUP(L$6,Daten!$D$3:$GR$64,$AB25,FALSE)</f>
        <v>20.906666666666666</v>
      </c>
      <c r="M25" s="1065"/>
      <c r="N25" s="3583">
        <f>HLOOKUP(N$6,Daten!$D$3:$GR$64,$AB25,FALSE)</f>
        <v>36.175000000000004</v>
      </c>
      <c r="O25" s="3591"/>
      <c r="P25" s="3592">
        <f>HLOOKUP(P$6,Daten!$D$3:$GR$64,$AB25,FALSE)</f>
        <v>85.656000000000006</v>
      </c>
      <c r="Q25" s="1065"/>
      <c r="R25" s="3583">
        <f>HLOOKUP(R$6,Daten!$D$3:$GR$64,$AB25,FALSE)</f>
        <v>36.175000000000004</v>
      </c>
      <c r="S25" s="3591"/>
      <c r="T25" s="3592">
        <f>HLOOKUP(T$6,Daten!$D$3:$GR$64,$AB25,FALSE)</f>
        <v>62.373333333333321</v>
      </c>
      <c r="U25" s="1065"/>
      <c r="V25" s="3585">
        <f>HLOOKUP(V$6,Daten!$D$3:$GR$64,$AB25,FALSE)</f>
        <v>26.81</v>
      </c>
      <c r="W25" s="1068"/>
      <c r="X25" s="3583">
        <f t="shared" si="0"/>
        <v>41.981316666666672</v>
      </c>
      <c r="Y25" s="3039"/>
      <c r="AB25" s="1">
        <v>17</v>
      </c>
    </row>
    <row r="26" spans="1:28" ht="13.7" customHeight="1">
      <c r="A26" s="1232"/>
      <c r="B26" s="4755"/>
      <c r="C26" s="1232"/>
      <c r="D26" s="1244">
        <f t="shared" si="2"/>
        <v>17</v>
      </c>
      <c r="E26" s="1306"/>
      <c r="F26" s="1306" t="s">
        <v>1140</v>
      </c>
      <c r="G26" s="1306" t="s">
        <v>1195</v>
      </c>
      <c r="H26" s="1333"/>
      <c r="I26" s="1208"/>
      <c r="J26" s="3583">
        <f>HLOOKUP(J$6,Daten!$D$3:$GR$64,$AB26,FALSE)</f>
        <v>112.5</v>
      </c>
      <c r="K26" s="3591"/>
      <c r="L26" s="3592">
        <f>HLOOKUP(L$6,Daten!$D$3:$GR$64,$AB26,FALSE)</f>
        <v>0</v>
      </c>
      <c r="M26" s="1065"/>
      <c r="N26" s="3583">
        <f>HLOOKUP(N$6,Daten!$D$3:$GR$64,$AB26,FALSE)</f>
        <v>0</v>
      </c>
      <c r="O26" s="3591"/>
      <c r="P26" s="3592">
        <f>HLOOKUP(P$6,Daten!$D$3:$GR$64,$AB26,FALSE)</f>
        <v>0</v>
      </c>
      <c r="Q26" s="1065"/>
      <c r="R26" s="3583">
        <f>HLOOKUP(R$6,Daten!$D$3:$GR$64,$AB26,FALSE)</f>
        <v>0</v>
      </c>
      <c r="S26" s="3591"/>
      <c r="T26" s="3592">
        <f>HLOOKUP(T$6,Daten!$D$3:$GR$64,$AB26,FALSE)</f>
        <v>0</v>
      </c>
      <c r="U26" s="1065"/>
      <c r="V26" s="3585">
        <f>HLOOKUP(V$6,Daten!$D$3:$GR$64,$AB26,FALSE)</f>
        <v>0</v>
      </c>
      <c r="W26" s="1068">
        <f t="shared" si="3"/>
        <v>28.125</v>
      </c>
      <c r="X26" s="3583">
        <f t="shared" si="0"/>
        <v>28.125</v>
      </c>
      <c r="Y26" s="3039"/>
      <c r="AB26" s="1">
        <v>18</v>
      </c>
    </row>
    <row r="27" spans="1:28" ht="15" customHeight="1">
      <c r="A27" s="1232"/>
      <c r="B27" s="4755"/>
      <c r="C27" s="1232"/>
      <c r="D27" s="1244">
        <f t="shared" si="2"/>
        <v>18</v>
      </c>
      <c r="E27" s="1306"/>
      <c r="F27" s="1306" t="s">
        <v>1139</v>
      </c>
      <c r="G27" s="1306" t="s">
        <v>1194</v>
      </c>
      <c r="H27" s="1333"/>
      <c r="I27" s="1208"/>
      <c r="J27" s="3583">
        <f>HLOOKUP(J$6,Daten!$D$3:$GR$64,$AB27,FALSE)</f>
        <v>141.49904399932774</v>
      </c>
      <c r="K27" s="3591"/>
      <c r="L27" s="3593">
        <f>HLOOKUP(L$6,Daten!$D$3:$GR$64,$AB27,FALSE)</f>
        <v>146.83464642980394</v>
      </c>
      <c r="M27" s="1065"/>
      <c r="N27" s="3583">
        <f>HLOOKUP(N$6,Daten!$D$3:$GR$64,$AB27,FALSE)</f>
        <v>124.84189379215687</v>
      </c>
      <c r="O27" s="3591"/>
      <c r="P27" s="3593">
        <f>HLOOKUP(P$6,Daten!$D$3:$GR$64,$AB27,FALSE)</f>
        <v>152.76037371450983</v>
      </c>
      <c r="Q27" s="1065"/>
      <c r="R27" s="3583">
        <f>HLOOKUP(R$6,Daten!$D$3:$GR$64,$AB27,FALSE)</f>
        <v>124.84189379215687</v>
      </c>
      <c r="S27" s="3591"/>
      <c r="T27" s="3593">
        <f>HLOOKUP(T$6,Daten!$D$3:$GR$64,$AB27,FALSE)</f>
        <v>196.24527271084034</v>
      </c>
      <c r="U27" s="1065"/>
      <c r="V27" s="3585">
        <f>HLOOKUP(V$6,Daten!$D$3:$GR$64,$AB27,FALSE)</f>
        <v>127.79688579294118</v>
      </c>
      <c r="W27" s="1068"/>
      <c r="X27" s="3583">
        <f t="shared" si="0"/>
        <v>141.48398948394961</v>
      </c>
      <c r="Y27" s="3039"/>
      <c r="AB27" s="1">
        <v>13</v>
      </c>
    </row>
    <row r="28" spans="1:28" ht="15" customHeight="1">
      <c r="A28" s="1232"/>
      <c r="B28" s="4755"/>
      <c r="C28" s="1232"/>
      <c r="D28" s="1244">
        <f t="shared" si="2"/>
        <v>19</v>
      </c>
      <c r="E28" s="1306"/>
      <c r="F28" s="1306" t="s">
        <v>1138</v>
      </c>
      <c r="G28" s="1306" t="s">
        <v>1193</v>
      </c>
      <c r="H28" s="1333"/>
      <c r="I28" s="1208"/>
      <c r="J28" s="3583">
        <f>HLOOKUP(J$6,Daten!$D$3:$GR$64,$AB28,FALSE)</f>
        <v>397.5</v>
      </c>
      <c r="K28" s="3591"/>
      <c r="L28" s="3593">
        <f>HLOOKUP(L$6,Daten!$D$3:$GR$64,$AB28,FALSE)</f>
        <v>151.9</v>
      </c>
      <c r="M28" s="1065"/>
      <c r="N28" s="3583">
        <f>HLOOKUP(N$6,Daten!$D$3:$GR$64,$AB28,FALSE)</f>
        <v>173.1</v>
      </c>
      <c r="O28" s="3591"/>
      <c r="P28" s="3593">
        <f>HLOOKUP(P$6,Daten!$D$3:$GR$64,$AB28,FALSE)</f>
        <v>167.8</v>
      </c>
      <c r="Q28" s="1065"/>
      <c r="R28" s="3583">
        <f>HLOOKUP(R$6,Daten!$D$3:$GR$64,$AB28,FALSE)</f>
        <v>173.1</v>
      </c>
      <c r="S28" s="3591"/>
      <c r="T28" s="3593">
        <f>HLOOKUP(T$6,Daten!$D$3:$GR$64,$AB28,FALSE)</f>
        <v>173.1</v>
      </c>
      <c r="U28" s="1065"/>
      <c r="V28" s="3585">
        <f>HLOOKUP(V$6,Daten!$D$3:$GR$64,$AB28,FALSE)</f>
        <v>176.8</v>
      </c>
      <c r="W28" s="1068"/>
      <c r="X28" s="3583">
        <f t="shared" si="0"/>
        <v>222.57499999999999</v>
      </c>
      <c r="Y28" s="3039"/>
      <c r="AB28" s="1">
        <v>14</v>
      </c>
    </row>
    <row r="29" spans="1:28" ht="15" customHeight="1">
      <c r="A29" s="1232"/>
      <c r="B29" s="4755"/>
      <c r="C29" s="1232"/>
      <c r="D29" s="1244">
        <f t="shared" si="2"/>
        <v>20</v>
      </c>
      <c r="E29" s="1306"/>
      <c r="F29" s="1306" t="s">
        <v>1137</v>
      </c>
      <c r="G29" s="1306" t="s">
        <v>1192</v>
      </c>
      <c r="H29" s="1333"/>
      <c r="I29" s="1208"/>
      <c r="J29" s="3583">
        <f>HLOOKUP(J$6,Daten!$D$3:$GR$64,$AB29,FALSE)</f>
        <v>0</v>
      </c>
      <c r="K29" s="3591"/>
      <c r="L29" s="3592">
        <f>HLOOKUP(L$6,Daten!$D$3:$GR$64,$AB29,FALSE)</f>
        <v>0</v>
      </c>
      <c r="M29" s="1065"/>
      <c r="N29" s="3583">
        <f>HLOOKUP(N$6,Daten!$D$3:$GR$64,$AB29,FALSE)</f>
        <v>0</v>
      </c>
      <c r="O29" s="3591"/>
      <c r="P29" s="3592">
        <f>HLOOKUP(P$6,Daten!$D$3:$GR$64,$AB29,FALSE)</f>
        <v>0</v>
      </c>
      <c r="Q29" s="1065"/>
      <c r="R29" s="3583">
        <f>HLOOKUP(R$6,Daten!$D$3:$GR$64,$AB29,FALSE)</f>
        <v>0</v>
      </c>
      <c r="S29" s="3591"/>
      <c r="T29" s="3592">
        <f>HLOOKUP(T$6,Daten!$D$3:$GR$64,$AB29,FALSE)</f>
        <v>0</v>
      </c>
      <c r="U29" s="1065"/>
      <c r="V29" s="3585">
        <f>HLOOKUP(V$6,Daten!$D$3:$GR$64,$AB29,FALSE)</f>
        <v>0</v>
      </c>
      <c r="W29" s="1068">
        <f t="shared" si="3"/>
        <v>0</v>
      </c>
      <c r="X29" s="3583">
        <f t="shared" si="0"/>
        <v>0</v>
      </c>
      <c r="Y29" s="3039"/>
      <c r="AB29" s="1">
        <v>15</v>
      </c>
    </row>
    <row r="30" spans="1:28" ht="15" customHeight="1">
      <c r="A30" s="1232"/>
      <c r="B30" s="4756"/>
      <c r="C30" s="1232"/>
      <c r="D30" s="1239">
        <f t="shared" si="2"/>
        <v>21</v>
      </c>
      <c r="E30" s="1377" t="s">
        <v>1136</v>
      </c>
      <c r="F30" s="1266"/>
      <c r="G30" s="1266"/>
      <c r="H30" s="1214"/>
      <c r="I30" s="3876"/>
      <c r="J30" s="3877">
        <f>HLOOKUP($J$6,Daten!$D$3:$GR$64,ROW()-11,FALSE)</f>
        <v>1828.4866439993277</v>
      </c>
      <c r="K30" s="3878"/>
      <c r="L30" s="3879">
        <f>HLOOKUP($L$6,Daten!$D$3:$GR$64,ROW()-11,FALSE)</f>
        <v>1130.5589797631371</v>
      </c>
      <c r="M30" s="1238"/>
      <c r="N30" s="3877">
        <f>HLOOKUP($N$6,Daten!$D$3:$GR$64,ROW()-11,FALSE)</f>
        <v>1600.3768937921568</v>
      </c>
      <c r="O30" s="3878"/>
      <c r="P30" s="3879">
        <f>HLOOKUP($P$6,Daten!$D$3:$GR$64,ROW()-11,FALSE)</f>
        <v>1221.5610403811766</v>
      </c>
      <c r="Q30" s="1238"/>
      <c r="R30" s="3877">
        <f>HLOOKUP($R$6,Daten!$D$3:$GR$64,ROW()-11,FALSE)</f>
        <v>1600.3768937921568</v>
      </c>
      <c r="S30" s="3878"/>
      <c r="T30" s="3879">
        <f>HLOOKUP($T$6,Daten!$D$3:$GR$64,ROW()-11,FALSE)</f>
        <v>2159.9852727108405</v>
      </c>
      <c r="U30" s="1238"/>
      <c r="V30" s="3880">
        <f>HLOOKUP($V$6,Daten!$D$3:$GR$64,ROW()-11,FALSE)</f>
        <v>737.76655245960785</v>
      </c>
      <c r="W30" s="3881"/>
      <c r="X30" s="3877">
        <f t="shared" si="0"/>
        <v>1445.2458894839497</v>
      </c>
      <c r="Y30" s="3039"/>
    </row>
    <row r="31" spans="1:28" ht="5.25" customHeight="1">
      <c r="A31" s="1232"/>
      <c r="B31" s="1232"/>
      <c r="C31" s="1232"/>
      <c r="D31" s="1232"/>
      <c r="E31" s="1232"/>
      <c r="F31" s="1232"/>
      <c r="G31" s="1232"/>
      <c r="H31" s="1232"/>
      <c r="I31" s="1232"/>
      <c r="J31" s="1232"/>
      <c r="K31" s="1232"/>
      <c r="L31" s="1232"/>
      <c r="M31" s="1232"/>
      <c r="N31" s="1232"/>
      <c r="O31" s="1232"/>
      <c r="P31" s="1232"/>
      <c r="Q31" s="1232"/>
      <c r="R31" s="1232"/>
      <c r="S31" s="1232"/>
      <c r="T31" s="1232"/>
      <c r="U31" s="1232"/>
      <c r="V31" s="1232"/>
      <c r="W31" s="3817"/>
      <c r="X31" s="3817">
        <f t="shared" si="0"/>
        <v>0</v>
      </c>
      <c r="Y31" s="3031"/>
    </row>
    <row r="32" spans="1:28" ht="16.5" customHeight="1">
      <c r="A32" s="1232"/>
      <c r="B32" s="4754" t="s">
        <v>1135</v>
      </c>
      <c r="C32" s="1232"/>
      <c r="D32" s="1280">
        <f>D30+1</f>
        <v>22</v>
      </c>
      <c r="E32" s="1407" t="s">
        <v>1134</v>
      </c>
      <c r="F32" s="1406"/>
      <c r="G32" s="1405"/>
      <c r="H32" s="1404" t="s">
        <v>171</v>
      </c>
      <c r="I32" s="4620">
        <f>I15-J30</f>
        <v>270.48002266733897</v>
      </c>
      <c r="J32" s="4621"/>
      <c r="K32" s="4684">
        <f>K15-L30</f>
        <v>176.10768690352961</v>
      </c>
      <c r="L32" s="4685"/>
      <c r="M32" s="4620">
        <f>M15-N30</f>
        <v>811.28977287451016</v>
      </c>
      <c r="N32" s="4621"/>
      <c r="O32" s="4684">
        <f>O15-P30</f>
        <v>770.43895961882345</v>
      </c>
      <c r="P32" s="4685"/>
      <c r="Q32" s="4620">
        <f>Q15-R30</f>
        <v>811.28977287451016</v>
      </c>
      <c r="R32" s="4621"/>
      <c r="S32" s="4684" t="e">
        <f>S15-T30</f>
        <v>#REF!</v>
      </c>
      <c r="T32" s="4685"/>
      <c r="U32" s="4620">
        <f>U15-V30</f>
        <v>155.90011420705878</v>
      </c>
      <c r="V32" s="4621"/>
      <c r="W32" s="4620" t="e">
        <f t="shared" ref="W32:X37" si="4">SUMPRODUCT($I$7:$V$7,H32:U32)/$X$7</f>
        <v>#REF!</v>
      </c>
      <c r="X32" s="4621" t="e">
        <f t="shared" si="0"/>
        <v>#REF!</v>
      </c>
      <c r="Y32" s="3031"/>
    </row>
    <row r="33" spans="1:25" ht="15" hidden="1" customHeight="1">
      <c r="A33" s="1232"/>
      <c r="B33" s="4758"/>
      <c r="C33" s="1232"/>
      <c r="D33" s="1244">
        <v>19</v>
      </c>
      <c r="E33" s="1403"/>
      <c r="F33" s="1402"/>
      <c r="G33" s="1401"/>
      <c r="H33" s="1400" t="s">
        <v>228</v>
      </c>
      <c r="I33" s="1397"/>
      <c r="J33" s="1396">
        <f>IF(J10=0,0,I32/J10)</f>
        <v>0.37052057899635477</v>
      </c>
      <c r="K33" s="1399"/>
      <c r="L33" s="1398">
        <f>IF(L10=0,0,K32/L10)</f>
        <v>2.5158240986218514</v>
      </c>
      <c r="M33" s="1397"/>
      <c r="N33" s="1396">
        <f>IF(N10=0,0,M32/N10)</f>
        <v>8.1128977287451018</v>
      </c>
      <c r="O33" s="1399"/>
      <c r="P33" s="1398">
        <f>IF(P10=0,0,O32/P10)</f>
        <v>19.260973990470585</v>
      </c>
      <c r="Q33" s="1397"/>
      <c r="R33" s="1396">
        <f>IF(R10=0,0,Q32/R10)</f>
        <v>8.1128977287451018</v>
      </c>
      <c r="S33" s="1399"/>
      <c r="T33" s="1398" t="e">
        <f>IF(T10=0,0,S32/T10)</f>
        <v>#REF!</v>
      </c>
      <c r="U33" s="1397"/>
      <c r="V33" s="1396">
        <f>IF(V10=0,0,U32/V10)</f>
        <v>4.4542889773445369</v>
      </c>
      <c r="W33" s="1397" t="e">
        <f t="shared" si="4"/>
        <v>#REF!</v>
      </c>
      <c r="X33" s="1396" t="e">
        <f t="shared" si="0"/>
        <v>#REF!</v>
      </c>
      <c r="Y33" s="3037"/>
    </row>
    <row r="34" spans="1:25" ht="15.75" customHeight="1">
      <c r="A34" s="1232"/>
      <c r="B34" s="4758"/>
      <c r="C34" s="1232"/>
      <c r="D34" s="1244">
        <f>D32+1</f>
        <v>23</v>
      </c>
      <c r="E34" s="1395"/>
      <c r="F34" s="1372" t="s">
        <v>1133</v>
      </c>
      <c r="G34" s="1216"/>
      <c r="H34" s="9"/>
      <c r="I34" s="4648">
        <f>I18</f>
        <v>355.4</v>
      </c>
      <c r="J34" s="4649"/>
      <c r="K34" s="4686">
        <f>K18</f>
        <v>455.4</v>
      </c>
      <c r="L34" s="4687"/>
      <c r="M34" s="4648">
        <f>M18</f>
        <v>455.4</v>
      </c>
      <c r="N34" s="4649"/>
      <c r="O34" s="4686">
        <f>O18</f>
        <v>455.4</v>
      </c>
      <c r="P34" s="4687"/>
      <c r="Q34" s="4648">
        <f>Q18</f>
        <v>455.4</v>
      </c>
      <c r="R34" s="4649"/>
      <c r="S34" s="4686">
        <f>S18</f>
        <v>595.4</v>
      </c>
      <c r="T34" s="4687"/>
      <c r="U34" s="4648">
        <f>U18</f>
        <v>455.4</v>
      </c>
      <c r="V34" s="4649"/>
      <c r="W34" s="4648">
        <f t="shared" si="4"/>
        <v>430.4</v>
      </c>
      <c r="X34" s="4649">
        <f t="shared" si="0"/>
        <v>0</v>
      </c>
      <c r="Y34" s="3038"/>
    </row>
    <row r="35" spans="1:25" ht="15.75" customHeight="1">
      <c r="A35" s="1232"/>
      <c r="B35" s="4758"/>
      <c r="C35" s="1232"/>
      <c r="D35" s="1244">
        <f>D34+1</f>
        <v>24</v>
      </c>
      <c r="E35" s="1395"/>
      <c r="F35" s="1394" t="s">
        <v>1132</v>
      </c>
      <c r="G35" s="1314"/>
      <c r="H35" s="1393"/>
      <c r="I35" s="4614">
        <f>IF(J9=0,0,HLOOKUP($J$6,Daten!$D$3:$GR$64,ROW()-13,FALSE))</f>
        <v>11.428041524995798</v>
      </c>
      <c r="J35" s="4615"/>
      <c r="K35" s="4686">
        <f>IF(L9=0,0,HLOOKUP($L$6,Daten!$D$3:$GR$64,ROW()-13,FALSE))</f>
        <v>9.8923910729274489</v>
      </c>
      <c r="L35" s="4687"/>
      <c r="M35" s="4614">
        <f>IF(N9=0,0,HLOOKUP($N$6,Daten!$D$3:$GR$64,ROW()-13,FALSE))</f>
        <v>10.002355586200979</v>
      </c>
      <c r="N35" s="4615"/>
      <c r="O35" s="4686">
        <f>IF(P9=0,0,HLOOKUP($P$6,Daten!$D$3:$GR$64,ROW()-13,FALSE))</f>
        <v>10.688659103335295</v>
      </c>
      <c r="P35" s="4687"/>
      <c r="Q35" s="4614">
        <f>IF(R9=0,0,HLOOKUP($R$6,Daten!$D$3:$GR$64,ROW()-13,FALSE))</f>
        <v>10.002355586200979</v>
      </c>
      <c r="R35" s="4615"/>
      <c r="S35" s="4686">
        <f>IF(T9=0,0,HLOOKUP($T$6,Daten!$D$3:$GR$64,ROW()-13,FALSE))</f>
        <v>18.899871136219854</v>
      </c>
      <c r="T35" s="4687"/>
      <c r="U35" s="4614">
        <f>IF(V9=0,0,HLOOKUP($V$6,Daten!$D$3:$GR$64,ROW()-13,FALSE))</f>
        <v>4.6110409528725489</v>
      </c>
      <c r="V35" s="4615"/>
      <c r="W35" s="4614">
        <f>SUMPRODUCT($I$7:$V$7,I35:V35)/$X$7</f>
        <v>0</v>
      </c>
      <c r="X35" s="4615">
        <f t="shared" si="4"/>
        <v>0</v>
      </c>
      <c r="Y35" s="3038"/>
    </row>
    <row r="36" spans="1:25" ht="15.75" customHeight="1">
      <c r="A36" s="1232"/>
      <c r="B36" s="4758"/>
      <c r="C36" s="1232"/>
      <c r="D36" s="1244">
        <f>D35+1</f>
        <v>25</v>
      </c>
      <c r="E36" s="1299" t="s">
        <v>1131</v>
      </c>
      <c r="F36" s="1298"/>
      <c r="G36" s="1298"/>
      <c r="H36" s="1392" t="s">
        <v>171</v>
      </c>
      <c r="I36" s="4620">
        <f>I32+I34-I35</f>
        <v>614.45198114234313</v>
      </c>
      <c r="J36" s="4621"/>
      <c r="K36" s="4684">
        <f>K32+K34-K35</f>
        <v>621.61529583060212</v>
      </c>
      <c r="L36" s="4685"/>
      <c r="M36" s="4620">
        <f>M32+M34-M35</f>
        <v>1256.6874172883092</v>
      </c>
      <c r="N36" s="4621"/>
      <c r="O36" s="4684">
        <f>O32+O34-O35</f>
        <v>1215.1503005154882</v>
      </c>
      <c r="P36" s="4685"/>
      <c r="Q36" s="4620">
        <f>Q32+Q34-Q35</f>
        <v>1256.6874172883092</v>
      </c>
      <c r="R36" s="4621"/>
      <c r="S36" s="4684" t="e">
        <f>S32+S34-S35</f>
        <v>#REF!</v>
      </c>
      <c r="T36" s="4685"/>
      <c r="U36" s="4620">
        <f>U32+U34-U35</f>
        <v>606.68907325418616</v>
      </c>
      <c r="V36" s="4621"/>
      <c r="W36" s="4620" t="e">
        <f t="shared" si="4"/>
        <v>#REF!</v>
      </c>
      <c r="X36" s="4621" t="e">
        <f t="shared" si="4"/>
        <v>#REF!</v>
      </c>
      <c r="Y36" s="3039"/>
    </row>
    <row r="37" spans="1:25" ht="15.75" customHeight="1">
      <c r="A37" s="1232"/>
      <c r="B37" s="4759"/>
      <c r="C37" s="1232"/>
      <c r="D37" s="1239">
        <f>D36+1</f>
        <v>26</v>
      </c>
      <c r="E37" s="1391"/>
      <c r="F37" s="1369"/>
      <c r="G37" s="1288"/>
      <c r="H37" s="1390" t="s">
        <v>228</v>
      </c>
      <c r="I37" s="4622">
        <f>IF(J10=0,0,I36/J10)</f>
        <v>0.84171504266074404</v>
      </c>
      <c r="J37" s="4623"/>
      <c r="K37" s="4696">
        <f>IF(L10=0,0,K36/L10)</f>
        <v>8.8802185118657437</v>
      </c>
      <c r="L37" s="4697"/>
      <c r="M37" s="4622">
        <f>IF(N10=0,0,M36/N10)</f>
        <v>12.566874172883093</v>
      </c>
      <c r="N37" s="4623"/>
      <c r="O37" s="4696">
        <f>IF(P10=0,0,O36/P10)</f>
        <v>30.378757512887205</v>
      </c>
      <c r="P37" s="4697"/>
      <c r="Q37" s="4622">
        <f>IF(R10=0,0,Q36/R10)</f>
        <v>12.566874172883093</v>
      </c>
      <c r="R37" s="4623"/>
      <c r="S37" s="4696" t="e">
        <f>IF(T10=0,0,S36/T10)</f>
        <v>#REF!</v>
      </c>
      <c r="T37" s="4697"/>
      <c r="U37" s="4622">
        <f>IF(V10=0,0,U36/V10)</f>
        <v>17.333973521548177</v>
      </c>
      <c r="V37" s="4623"/>
      <c r="W37" s="4622" t="e">
        <f t="shared" si="4"/>
        <v>#REF!</v>
      </c>
      <c r="X37" s="4623" t="e">
        <f t="shared" si="4"/>
        <v>#REF!</v>
      </c>
      <c r="Y37" s="3039"/>
    </row>
    <row r="38" spans="1:25" ht="10.5" customHeight="1">
      <c r="A38" s="1232"/>
      <c r="B38" s="1232"/>
      <c r="C38" s="1232"/>
      <c r="D38" s="1232"/>
      <c r="E38" s="1232"/>
      <c r="F38" s="1232"/>
      <c r="G38" s="1232"/>
      <c r="H38" s="1232"/>
      <c r="I38" s="1232"/>
      <c r="J38" s="1232"/>
      <c r="K38" s="1232"/>
      <c r="L38" s="1232"/>
      <c r="M38" s="1232"/>
      <c r="N38" s="1232"/>
      <c r="O38" s="1232"/>
      <c r="P38" s="1232"/>
      <c r="Q38" s="1232"/>
      <c r="R38" s="1232"/>
      <c r="S38" s="1232"/>
      <c r="T38" s="1232"/>
      <c r="U38" s="1232"/>
      <c r="V38" s="1232"/>
      <c r="W38" s="3817"/>
      <c r="X38" s="3817"/>
      <c r="Y38" s="3039"/>
    </row>
    <row r="39" spans="1:25" ht="18" customHeight="1">
      <c r="A39" s="1232"/>
      <c r="B39" s="4754" t="s">
        <v>1129</v>
      </c>
      <c r="C39" s="1232"/>
      <c r="D39" s="1280">
        <f>D37+1</f>
        <v>27</v>
      </c>
      <c r="E39" s="1389" t="s">
        <v>1130</v>
      </c>
      <c r="F39" s="1388"/>
      <c r="G39" s="1388"/>
      <c r="H39" s="1387" t="s">
        <v>516</v>
      </c>
      <c r="I39" s="1386">
        <f>HLOOKUP(J$6,Daten!$D$3:$GR$64,ROW()-14,FALSE)</f>
        <v>10.763999999999998</v>
      </c>
      <c r="J39" s="1385"/>
      <c r="K39" s="1384">
        <f>HLOOKUP(L$6,Daten!$D$3:$GR$64,ROW()-14,FALSE)</f>
        <v>10.092000000000002</v>
      </c>
      <c r="L39" s="1383"/>
      <c r="M39" s="1382">
        <f>HLOOKUP(N$6,Daten!$D$3:$GR$64,ROW()-14,FALSE)</f>
        <v>8.4</v>
      </c>
      <c r="N39" s="1381"/>
      <c r="O39" s="1384">
        <f>HLOOKUP(P$6,Daten!$D$3:$GR$64,ROW()-14,FALSE)</f>
        <v>10.956</v>
      </c>
      <c r="P39" s="1383"/>
      <c r="Q39" s="1382">
        <f>HLOOKUP(R$6,Daten!$D$3:$GR$64,ROW()-14,FALSE)</f>
        <v>8.4</v>
      </c>
      <c r="R39" s="1381"/>
      <c r="S39" s="1384">
        <f>HLOOKUP(T$6,Daten!$D$3:$GR$64,ROW()-14,FALSE)</f>
        <v>14.2065</v>
      </c>
      <c r="T39" s="1383"/>
      <c r="U39" s="1382">
        <f>HLOOKUP(V$6,Daten!$D$3:$GR$64,ROW()-14,FALSE)</f>
        <v>7.8119999999999994</v>
      </c>
      <c r="V39" s="1381"/>
      <c r="W39" s="1382"/>
      <c r="X39" s="1381">
        <f>SUMPRODUCT($I$7:$V$7,I39:V39)/$X$7</f>
        <v>0</v>
      </c>
      <c r="Y39" s="3039"/>
    </row>
    <row r="40" spans="1:25" ht="13.7" customHeight="1">
      <c r="A40" s="1232"/>
      <c r="B40" s="4755"/>
      <c r="C40" s="1232"/>
      <c r="D40" s="1244">
        <f t="shared" ref="D40:D46" si="5">D39+1</f>
        <v>28</v>
      </c>
      <c r="E40" s="1380"/>
      <c r="F40" s="1379" t="s">
        <v>1128</v>
      </c>
      <c r="G40" s="1378">
        <f>'SDK4'!P50</f>
        <v>16.833333333333332</v>
      </c>
      <c r="H40" s="1333" t="s">
        <v>171</v>
      </c>
      <c r="I40" s="4646">
        <f>$G$40*I39</f>
        <v>181.19399999999996</v>
      </c>
      <c r="J40" s="4647"/>
      <c r="K40" s="4698">
        <f>$G$40*K39</f>
        <v>169.88200000000003</v>
      </c>
      <c r="L40" s="4699"/>
      <c r="M40" s="4646">
        <f>$G$40*M39</f>
        <v>141.4</v>
      </c>
      <c r="N40" s="4647"/>
      <c r="O40" s="4698">
        <f>$G$40*O39</f>
        <v>184.42599999999999</v>
      </c>
      <c r="P40" s="4699"/>
      <c r="Q40" s="4646">
        <f>$G$40*Q39</f>
        <v>141.4</v>
      </c>
      <c r="R40" s="4647"/>
      <c r="S40" s="4698">
        <f>$G$40*S39</f>
        <v>239.14274999999998</v>
      </c>
      <c r="T40" s="4699"/>
      <c r="U40" s="4646">
        <f>$G$40*U39</f>
        <v>131.50199999999998</v>
      </c>
      <c r="V40" s="4647"/>
      <c r="W40" s="4646">
        <f t="shared" ref="W40:X46" si="6">SUMPRODUCT($I$7:$V$7,H40:U40)/$X$7</f>
        <v>169.22550000000001</v>
      </c>
      <c r="X40" s="4647">
        <f t="shared" si="6"/>
        <v>0</v>
      </c>
      <c r="Y40" s="3039"/>
    </row>
    <row r="41" spans="1:25" ht="14.25" customHeight="1">
      <c r="A41" s="1232"/>
      <c r="B41" s="4755"/>
      <c r="C41" s="1232"/>
      <c r="D41" s="1244">
        <f t="shared" si="5"/>
        <v>29</v>
      </c>
      <c r="E41" s="1306"/>
      <c r="F41" s="1306" t="s">
        <v>1127</v>
      </c>
      <c r="G41" s="1314"/>
      <c r="H41" s="1333" t="s">
        <v>171</v>
      </c>
      <c r="I41" s="4614">
        <f>IF(OR(I36=0,F2="Begrünung"),0,'SDK4'!$N$8)</f>
        <v>187</v>
      </c>
      <c r="J41" s="4615"/>
      <c r="K41" s="4694">
        <f>IF(OR(K36=0,H2="Begrünung"),0,'SDK4'!$N$8)</f>
        <v>187</v>
      </c>
      <c r="L41" s="4695"/>
      <c r="M41" s="4614">
        <f>IF(OR(M36=0,J2="Begrünung"),0,'SDK4'!$N$8)</f>
        <v>187</v>
      </c>
      <c r="N41" s="4615"/>
      <c r="O41" s="4694">
        <f>IF(OR(O36=0,L2="Begrünung"),0,'SDK4'!$N$8)</f>
        <v>187</v>
      </c>
      <c r="P41" s="4695"/>
      <c r="Q41" s="4614">
        <f>IF(OR(Q36=0,N2="Begrünung"),0,'SDK4'!$N$8)</f>
        <v>187</v>
      </c>
      <c r="R41" s="4615"/>
      <c r="S41" s="4694" t="e">
        <f>IF(OR(S36=0,P2="Begrünung"),0,'SDK4'!$N$8)</f>
        <v>#REF!</v>
      </c>
      <c r="T41" s="4695"/>
      <c r="U41" s="4614">
        <f>IF(OR(U36=0,R2="Begrünung"),0,'SDK4'!$N$8)</f>
        <v>187</v>
      </c>
      <c r="V41" s="4615"/>
      <c r="W41" s="4614" t="e">
        <f t="shared" si="6"/>
        <v>#REF!</v>
      </c>
      <c r="X41" s="4615" t="e">
        <f t="shared" si="6"/>
        <v>#REF!</v>
      </c>
      <c r="Y41" s="3039"/>
    </row>
    <row r="42" spans="1:25" ht="15" customHeight="1">
      <c r="A42" s="1232"/>
      <c r="B42" s="4755"/>
      <c r="C42" s="1232"/>
      <c r="D42" s="1244">
        <f t="shared" si="5"/>
        <v>30</v>
      </c>
      <c r="E42" s="1306"/>
      <c r="F42" s="1306" t="s">
        <v>1126</v>
      </c>
      <c r="G42" s="1314"/>
      <c r="H42" s="1333" t="s">
        <v>171</v>
      </c>
      <c r="I42" s="4614">
        <f>IF(OR(I36=0,F2="Begrünung"),0,'SDK4'!$N$33)</f>
        <v>30</v>
      </c>
      <c r="J42" s="4615"/>
      <c r="K42" s="4694">
        <f>IF(OR(K36=0,H2="Begrünung"),0,'SDK4'!$N$33)</f>
        <v>30</v>
      </c>
      <c r="L42" s="4695"/>
      <c r="M42" s="4614">
        <f>IF(OR(M36=0,J2="Begrünung"),0,'SDK4'!$N$33)</f>
        <v>30</v>
      </c>
      <c r="N42" s="4615"/>
      <c r="O42" s="4694">
        <f>IF(OR(O36=0,L2="Begrünung"),0,'SDK4'!$N$33)</f>
        <v>30</v>
      </c>
      <c r="P42" s="4695"/>
      <c r="Q42" s="4614">
        <f>IF(OR(Q36=0,N2="Begrünung"),0,'SDK4'!$N$33)</f>
        <v>30</v>
      </c>
      <c r="R42" s="4615"/>
      <c r="S42" s="4694" t="e">
        <f>IF(OR(S36=0,P2="Begrünung"),0,'SDK4'!$N$33)</f>
        <v>#REF!</v>
      </c>
      <c r="T42" s="4695"/>
      <c r="U42" s="4614">
        <f>IF(OR(U36=0,R2="Begrünung"),0,'SDK4'!$N$33)</f>
        <v>30</v>
      </c>
      <c r="V42" s="4615"/>
      <c r="W42" s="4614" t="e">
        <f t="shared" si="6"/>
        <v>#REF!</v>
      </c>
      <c r="X42" s="4615" t="e">
        <f t="shared" si="6"/>
        <v>#REF!</v>
      </c>
      <c r="Y42" s="3031"/>
    </row>
    <row r="43" spans="1:25" ht="15" customHeight="1">
      <c r="A43" s="1232"/>
      <c r="B43" s="4755"/>
      <c r="C43" s="1232"/>
      <c r="D43" s="1244">
        <f t="shared" si="5"/>
        <v>31</v>
      </c>
      <c r="E43" s="1306"/>
      <c r="F43" s="1306" t="s">
        <v>1125</v>
      </c>
      <c r="G43" s="1314"/>
      <c r="H43" s="1333" t="s">
        <v>171</v>
      </c>
      <c r="I43" s="4614">
        <f>IF(I36=0,0,IF(I8="niedrig",'SDK4'!$P$45,IF(I8="mittel",'SDK4'!$P$46,'SDK4'!$P$47)))</f>
        <v>303.33333333333331</v>
      </c>
      <c r="J43" s="4615"/>
      <c r="K43" s="4694">
        <f>IF(K36=0,0,IF(K8="niedrig",'SDK4'!$P$45,IF(K8="mittel",'SDK4'!$P$46,'SDK4'!$P$47)))</f>
        <v>303.33333333333331</v>
      </c>
      <c r="L43" s="4695"/>
      <c r="M43" s="4614">
        <f>IF(M36=0,0,IF(M8="niedrig",'SDK4'!$P$45,IF(M8="mittel",'SDK4'!$P$46,'SDK4'!$P$47)))</f>
        <v>303.33333333333331</v>
      </c>
      <c r="N43" s="4615"/>
      <c r="O43" s="4694">
        <f>IF(O36=0,0,IF(O8="niedrig",'SDK4'!$P$45,IF(O8="mittel",'SDK4'!$P$46,'SDK4'!$P$47)))</f>
        <v>303.33333333333331</v>
      </c>
      <c r="P43" s="4695"/>
      <c r="Q43" s="4614">
        <f>IF(Q36=0,0,IF(Q8="niedrig",'SDK4'!$P$45,IF(Q8="mittel",'SDK4'!$P$46,'SDK4'!$P$47)))</f>
        <v>303.33333333333331</v>
      </c>
      <c r="R43" s="4615"/>
      <c r="S43" s="4694" t="e">
        <f>IF(S36=0,0,IF(S8="niedrig",'SDK4'!$P$45,IF(S8="mittel",'SDK4'!$P$46,'SDK4'!$P$47)))</f>
        <v>#REF!</v>
      </c>
      <c r="T43" s="4695"/>
      <c r="U43" s="4614">
        <f>IF(U36=0,0,IF(U8="niedrig",'SDK4'!$P$45,IF(U8="mittel",'SDK4'!$P$46,'SDK4'!$P$47)))</f>
        <v>303.33333333333331</v>
      </c>
      <c r="V43" s="4615"/>
      <c r="W43" s="4614" t="e">
        <f t="shared" si="6"/>
        <v>#REF!</v>
      </c>
      <c r="X43" s="4615" t="e">
        <f t="shared" si="6"/>
        <v>#REF!</v>
      </c>
      <c r="Y43" s="3031"/>
    </row>
    <row r="44" spans="1:25" ht="15" customHeight="1">
      <c r="A44" s="1232"/>
      <c r="B44" s="4755"/>
      <c r="C44" s="1232"/>
      <c r="D44" s="1244">
        <f t="shared" si="5"/>
        <v>32</v>
      </c>
      <c r="E44" s="1306"/>
      <c r="F44" s="1306" t="s">
        <v>1124</v>
      </c>
      <c r="G44" s="1314"/>
      <c r="H44" s="1333" t="s">
        <v>171</v>
      </c>
      <c r="I44" s="4614">
        <f>IF(I6=25,J10*'SDK4'!$P$52*'SDK1'!$M$62%,0)</f>
        <v>0</v>
      </c>
      <c r="J44" s="4615"/>
      <c r="K44" s="4694">
        <f>IF(I6=25,L10*'SDK4'!$P$52*'SDK1'!$M$62%,0)</f>
        <v>0</v>
      </c>
      <c r="L44" s="4695"/>
      <c r="M44" s="4614">
        <f>IF(I6=25,N10*'SDK4'!$P$52*'SDK1'!$M$62%,0)</f>
        <v>0</v>
      </c>
      <c r="N44" s="4615"/>
      <c r="O44" s="4694">
        <f>IF(K6=25,P10*'SDK4'!$P$52*'SDK1'!$M$62%,0)</f>
        <v>0</v>
      </c>
      <c r="P44" s="4695"/>
      <c r="Q44" s="4614">
        <f>IF(M6=25,R10*'SDK4'!$P$52*'SDK1'!$M$62%,0)</f>
        <v>0</v>
      </c>
      <c r="R44" s="4615"/>
      <c r="S44" s="4694">
        <f>IF(O6=25,T10*'SDK4'!$P$52*'SDK1'!$M$62%,0)</f>
        <v>0</v>
      </c>
      <c r="T44" s="4695"/>
      <c r="U44" s="4614">
        <f>IF(Q6=25,V10*'SDK4'!$P$52*'SDK1'!$M$62%,0)</f>
        <v>0</v>
      </c>
      <c r="V44" s="4615"/>
      <c r="W44" s="4614">
        <f t="shared" si="6"/>
        <v>0</v>
      </c>
      <c r="X44" s="4615">
        <f t="shared" si="6"/>
        <v>0</v>
      </c>
      <c r="Y44" s="3037"/>
    </row>
    <row r="45" spans="1:25" ht="15.75" customHeight="1">
      <c r="A45" s="1232"/>
      <c r="B45" s="4755"/>
      <c r="C45" s="1232"/>
      <c r="D45" s="1244">
        <f t="shared" si="5"/>
        <v>33</v>
      </c>
      <c r="E45" s="1306"/>
      <c r="F45" s="1306" t="s">
        <v>1123</v>
      </c>
      <c r="G45" s="1314"/>
      <c r="H45" s="1333" t="s">
        <v>171</v>
      </c>
      <c r="I45" s="4614">
        <f>IF(OR(I36=0,F2="Begrünung"),0,'SDK4'!$P$48)</f>
        <v>115</v>
      </c>
      <c r="J45" s="4615"/>
      <c r="K45" s="4694">
        <f>IF(OR(K36=0,H2="Begrünung"),0,'SDK4'!$P$48)</f>
        <v>115</v>
      </c>
      <c r="L45" s="4695"/>
      <c r="M45" s="4614">
        <f>IF(OR(M36=0,J2="Begrünung"),0,'SDK4'!$P$48)</f>
        <v>115</v>
      </c>
      <c r="N45" s="4615"/>
      <c r="O45" s="4694">
        <f>IF(OR(O36=0,L2="Begrünung"),0,'SDK4'!$P$48)</f>
        <v>115</v>
      </c>
      <c r="P45" s="4695"/>
      <c r="Q45" s="4614">
        <f>IF(OR(Q36=0,N2="Begrünung"),0,'SDK4'!$P$48)</f>
        <v>115</v>
      </c>
      <c r="R45" s="4615"/>
      <c r="S45" s="4694" t="e">
        <f>IF(OR(S36=0,P2="Begrünung"),0,'SDK4'!$P$48)</f>
        <v>#REF!</v>
      </c>
      <c r="T45" s="4695"/>
      <c r="U45" s="4614">
        <f>IF(OR(U36=0,R2="Begrünung"),0,'SDK4'!$P$48)</f>
        <v>115</v>
      </c>
      <c r="V45" s="4615"/>
      <c r="W45" s="4614" t="e">
        <f t="shared" si="6"/>
        <v>#REF!</v>
      </c>
      <c r="X45" s="4615" t="e">
        <f t="shared" si="6"/>
        <v>#REF!</v>
      </c>
      <c r="Y45" s="3038"/>
    </row>
    <row r="46" spans="1:25" ht="15" customHeight="1">
      <c r="A46" s="1232"/>
      <c r="B46" s="4756"/>
      <c r="C46" s="1232"/>
      <c r="D46" s="1239">
        <f t="shared" si="5"/>
        <v>34</v>
      </c>
      <c r="E46" s="1377" t="s">
        <v>1122</v>
      </c>
      <c r="F46" s="1266"/>
      <c r="G46" s="1266"/>
      <c r="H46" s="1272"/>
      <c r="I46" s="4616">
        <f>SUM(I40:I45)</f>
        <v>816.52733333333322</v>
      </c>
      <c r="J46" s="4617"/>
      <c r="K46" s="4678">
        <f>SUM(K40:K45)</f>
        <v>805.21533333333332</v>
      </c>
      <c r="L46" s="4679"/>
      <c r="M46" s="4616">
        <f>SUM(M40:M45)</f>
        <v>776.73333333333335</v>
      </c>
      <c r="N46" s="4617"/>
      <c r="O46" s="4678">
        <f>SUM(O40:O45)</f>
        <v>819.7593333333333</v>
      </c>
      <c r="P46" s="4679"/>
      <c r="Q46" s="4616">
        <f>SUM(Q40:Q45)</f>
        <v>776.73333333333335</v>
      </c>
      <c r="R46" s="4617"/>
      <c r="S46" s="4678" t="e">
        <f>SUM(S40:S45)</f>
        <v>#REF!</v>
      </c>
      <c r="T46" s="4679"/>
      <c r="U46" s="4616">
        <f>SUM(U40:U45)</f>
        <v>766.83533333333321</v>
      </c>
      <c r="V46" s="4617"/>
      <c r="W46" s="4616" t="e">
        <f t="shared" si="6"/>
        <v>#REF!</v>
      </c>
      <c r="X46" s="4617" t="e">
        <f t="shared" si="6"/>
        <v>#REF!</v>
      </c>
      <c r="Y46" s="3038"/>
    </row>
    <row r="47" spans="1:25" s="4" customFormat="1" ht="5.25" customHeight="1">
      <c r="A47" s="1232"/>
      <c r="B47" s="1232"/>
      <c r="C47" s="1232"/>
      <c r="D47" s="1232"/>
      <c r="E47" s="1232"/>
      <c r="F47" s="1232"/>
      <c r="G47" s="1232"/>
      <c r="H47" s="1232"/>
      <c r="I47" s="1232"/>
      <c r="J47" s="1232"/>
      <c r="K47" s="1232"/>
      <c r="L47" s="1232"/>
      <c r="M47" s="1232"/>
      <c r="N47" s="1232"/>
      <c r="O47" s="1232"/>
      <c r="P47" s="1232"/>
      <c r="Q47" s="1232"/>
      <c r="R47" s="1232"/>
      <c r="S47" s="1232"/>
      <c r="T47" s="1232"/>
      <c r="U47" s="1232"/>
      <c r="V47" s="1232"/>
      <c r="W47" s="3817"/>
      <c r="X47" s="3817"/>
      <c r="Y47" s="3039"/>
    </row>
    <row r="48" spans="1:25" ht="15" customHeight="1">
      <c r="A48" s="1232"/>
      <c r="B48" s="4754" t="s">
        <v>1121</v>
      </c>
      <c r="C48" s="1232"/>
      <c r="D48" s="1280">
        <f>D46+1</f>
        <v>35</v>
      </c>
      <c r="E48" s="1376"/>
      <c r="F48" s="1375" t="s">
        <v>1120</v>
      </c>
      <c r="G48" s="1278"/>
      <c r="H48" s="1374"/>
      <c r="I48" s="4618">
        <f>I15</f>
        <v>2098.9666666666667</v>
      </c>
      <c r="J48" s="4619"/>
      <c r="K48" s="4680">
        <f>K15</f>
        <v>1306.6666666666667</v>
      </c>
      <c r="L48" s="4681"/>
      <c r="M48" s="4618">
        <f>M15</f>
        <v>2411.666666666667</v>
      </c>
      <c r="N48" s="4619"/>
      <c r="O48" s="4680">
        <f>O15</f>
        <v>1992</v>
      </c>
      <c r="P48" s="4681"/>
      <c r="Q48" s="4618">
        <f>Q15</f>
        <v>2411.666666666667</v>
      </c>
      <c r="R48" s="4619"/>
      <c r="S48" s="4680" t="e">
        <f>S15</f>
        <v>#REF!</v>
      </c>
      <c r="T48" s="4681"/>
      <c r="U48" s="4618">
        <f>U15</f>
        <v>893.66666666666663</v>
      </c>
      <c r="V48" s="4619"/>
      <c r="W48" s="4618" t="e">
        <f t="shared" ref="W48:X54" si="7">SUMPRODUCT($I$7:$V$7,H48:U48)/$X$7</f>
        <v>#REF!</v>
      </c>
      <c r="X48" s="4619" t="e">
        <f t="shared" si="7"/>
        <v>#REF!</v>
      </c>
      <c r="Y48" s="3039"/>
    </row>
    <row r="49" spans="1:25" ht="15" customHeight="1">
      <c r="A49" s="1232"/>
      <c r="B49" s="4755"/>
      <c r="C49" s="1232"/>
      <c r="D49" s="1244">
        <f t="shared" ref="D49:D54" si="8">D48+1</f>
        <v>36</v>
      </c>
      <c r="E49" s="1270"/>
      <c r="F49" s="1373" t="s">
        <v>1119</v>
      </c>
      <c r="G49" s="1269"/>
      <c r="H49" s="1333"/>
      <c r="I49" s="4616">
        <f>J30+I35+I46</f>
        <v>2656.4420188576569</v>
      </c>
      <c r="J49" s="4617"/>
      <c r="K49" s="4678">
        <f>L30+K35+K46</f>
        <v>1945.6667041693979</v>
      </c>
      <c r="L49" s="4679"/>
      <c r="M49" s="4616">
        <f>N30+M35+M46</f>
        <v>2387.1125827116912</v>
      </c>
      <c r="N49" s="4617"/>
      <c r="O49" s="4678">
        <f>P30+O35+O46</f>
        <v>2052.0090328178453</v>
      </c>
      <c r="P49" s="4679"/>
      <c r="Q49" s="4616">
        <f>R30+Q35+Q46</f>
        <v>2387.1125827116912</v>
      </c>
      <c r="R49" s="4617"/>
      <c r="S49" s="4678" t="e">
        <f>T30+S35+S46</f>
        <v>#REF!</v>
      </c>
      <c r="T49" s="4679"/>
      <c r="U49" s="4616">
        <f>V30+U35+U46</f>
        <v>1509.2129267458135</v>
      </c>
      <c r="V49" s="4617"/>
      <c r="W49" s="4616" t="e">
        <f t="shared" si="7"/>
        <v>#REF!</v>
      </c>
      <c r="X49" s="4617" t="e">
        <f t="shared" si="7"/>
        <v>#REF!</v>
      </c>
      <c r="Y49" s="3039"/>
    </row>
    <row r="50" spans="1:25" ht="15" customHeight="1">
      <c r="A50" s="1232"/>
      <c r="B50" s="4755"/>
      <c r="C50" s="1232"/>
      <c r="D50" s="1271">
        <f t="shared" si="8"/>
        <v>37</v>
      </c>
      <c r="E50" s="1299" t="s">
        <v>1118</v>
      </c>
      <c r="F50" s="1298"/>
      <c r="G50" s="1298"/>
      <c r="H50" s="1371" t="s">
        <v>1114</v>
      </c>
      <c r="I50" s="4620">
        <f>I48-I49</f>
        <v>-557.47535219099018</v>
      </c>
      <c r="J50" s="4621"/>
      <c r="K50" s="4680">
        <f>K48-K49</f>
        <v>-639.00003750273117</v>
      </c>
      <c r="L50" s="4681"/>
      <c r="M50" s="4620">
        <f>M48-M49</f>
        <v>24.554083954975795</v>
      </c>
      <c r="N50" s="4621"/>
      <c r="O50" s="4680">
        <f>O48-O49</f>
        <v>-60.009032817845309</v>
      </c>
      <c r="P50" s="4681"/>
      <c r="Q50" s="4620">
        <f>Q48-Q49</f>
        <v>24.554083954975795</v>
      </c>
      <c r="R50" s="4621"/>
      <c r="S50" s="4680" t="e">
        <f>S48-S49</f>
        <v>#REF!</v>
      </c>
      <c r="T50" s="4681"/>
      <c r="U50" s="4620">
        <f>U48-U49</f>
        <v>-615.54626007914692</v>
      </c>
      <c r="V50" s="4621"/>
      <c r="W50" s="4620" t="e">
        <f t="shared" si="7"/>
        <v>#REF!</v>
      </c>
      <c r="X50" s="4621" t="e">
        <f t="shared" si="7"/>
        <v>#REF!</v>
      </c>
      <c r="Y50" s="3039"/>
    </row>
    <row r="51" spans="1:25" ht="15" customHeight="1">
      <c r="A51" s="1232"/>
      <c r="B51" s="4755"/>
      <c r="C51" s="1232"/>
      <c r="D51" s="1271">
        <f t="shared" si="8"/>
        <v>38</v>
      </c>
      <c r="E51" s="1289" t="s">
        <v>1117</v>
      </c>
      <c r="F51" s="1369"/>
      <c r="G51" s="1368"/>
      <c r="H51" s="1367" t="s">
        <v>228</v>
      </c>
      <c r="I51" s="4622">
        <f>IF(J10=0,0,I50/J10)</f>
        <v>-0.76366486601505501</v>
      </c>
      <c r="J51" s="4623"/>
      <c r="K51" s="4682">
        <f>IF(L10=0,0,K50/L10)</f>
        <v>-9.1285719643247312</v>
      </c>
      <c r="L51" s="4683"/>
      <c r="M51" s="4622">
        <f>IF(N10=0,0,M50/N10)</f>
        <v>0.24554083954975794</v>
      </c>
      <c r="N51" s="4623"/>
      <c r="O51" s="4682">
        <f>IF(P10=0,0,O50/P10)</f>
        <v>-1.5002258204461327</v>
      </c>
      <c r="P51" s="4683"/>
      <c r="Q51" s="4622">
        <f>IF(R10=0,0,Q50/R10)</f>
        <v>0.24554083954975794</v>
      </c>
      <c r="R51" s="4623"/>
      <c r="S51" s="4682" t="e">
        <f>IF(T10=0,0,S50/T10)</f>
        <v>#REF!</v>
      </c>
      <c r="T51" s="4683"/>
      <c r="U51" s="4622">
        <f>IF(V10=0,0,U50/V10)</f>
        <v>-17.587036002261339</v>
      </c>
      <c r="V51" s="4623"/>
      <c r="W51" s="4622" t="e">
        <f t="shared" si="7"/>
        <v>#REF!</v>
      </c>
      <c r="X51" s="4623" t="e">
        <f t="shared" si="7"/>
        <v>#REF!</v>
      </c>
      <c r="Y51" s="3039"/>
    </row>
    <row r="52" spans="1:25" ht="18" customHeight="1">
      <c r="A52" s="1232"/>
      <c r="B52" s="4755"/>
      <c r="C52" s="1232"/>
      <c r="D52" s="1244">
        <f t="shared" si="8"/>
        <v>39</v>
      </c>
      <c r="E52" s="78"/>
      <c r="F52" s="1372" t="s">
        <v>1116</v>
      </c>
      <c r="G52" s="1216"/>
      <c r="H52" s="9"/>
      <c r="I52" s="4614">
        <f>I18</f>
        <v>355.4</v>
      </c>
      <c r="J52" s="4615"/>
      <c r="K52" s="4694">
        <f>K18</f>
        <v>455.4</v>
      </c>
      <c r="L52" s="4695"/>
      <c r="M52" s="4614">
        <f>M18</f>
        <v>455.4</v>
      </c>
      <c r="N52" s="4615"/>
      <c r="O52" s="4694">
        <f>O18</f>
        <v>455.4</v>
      </c>
      <c r="P52" s="4695"/>
      <c r="Q52" s="4614">
        <f>Q18</f>
        <v>455.4</v>
      </c>
      <c r="R52" s="4615"/>
      <c r="S52" s="4694">
        <f>S18</f>
        <v>595.4</v>
      </c>
      <c r="T52" s="4695"/>
      <c r="U52" s="4614">
        <f>U18</f>
        <v>455.4</v>
      </c>
      <c r="V52" s="4615"/>
      <c r="W52" s="4614">
        <f t="shared" si="7"/>
        <v>430.4</v>
      </c>
      <c r="X52" s="4615">
        <f t="shared" si="7"/>
        <v>0</v>
      </c>
      <c r="Y52" s="3039"/>
    </row>
    <row r="53" spans="1:25" ht="15" customHeight="1">
      <c r="A53" s="1232"/>
      <c r="B53" s="4755"/>
      <c r="C53" s="1232"/>
      <c r="D53" s="1271">
        <f t="shared" si="8"/>
        <v>40</v>
      </c>
      <c r="E53" s="1299" t="s">
        <v>1115</v>
      </c>
      <c r="F53" s="1298"/>
      <c r="G53" s="1298"/>
      <c r="H53" s="1371" t="s">
        <v>1114</v>
      </c>
      <c r="I53" s="4620">
        <f>I50+I52</f>
        <v>-202.0753521909902</v>
      </c>
      <c r="J53" s="4621"/>
      <c r="K53" s="4680">
        <f>K50+K52</f>
        <v>-183.6000375027312</v>
      </c>
      <c r="L53" s="4681"/>
      <c r="M53" s="4620">
        <f>M50+M52</f>
        <v>479.95408395497577</v>
      </c>
      <c r="N53" s="4621"/>
      <c r="O53" s="4680">
        <f>O50+O52</f>
        <v>395.39096718215467</v>
      </c>
      <c r="P53" s="4681"/>
      <c r="Q53" s="4620">
        <f>Q50+Q52</f>
        <v>479.95408395497577</v>
      </c>
      <c r="R53" s="4621"/>
      <c r="S53" s="4680" t="e">
        <f>S50+S52</f>
        <v>#REF!</v>
      </c>
      <c r="T53" s="4681"/>
      <c r="U53" s="4620">
        <f>U50+U52</f>
        <v>-160.14626007914694</v>
      </c>
      <c r="V53" s="4621"/>
      <c r="W53" s="4620" t="e">
        <f t="shared" si="7"/>
        <v>#REF!</v>
      </c>
      <c r="X53" s="4621" t="e">
        <f t="shared" si="7"/>
        <v>#REF!</v>
      </c>
      <c r="Y53" s="3031"/>
    </row>
    <row r="54" spans="1:25" ht="15" customHeight="1">
      <c r="A54" s="1232"/>
      <c r="B54" s="4756"/>
      <c r="C54" s="1232"/>
      <c r="D54" s="1370">
        <f t="shared" si="8"/>
        <v>41</v>
      </c>
      <c r="E54" s="1289" t="s">
        <v>1113</v>
      </c>
      <c r="F54" s="1369"/>
      <c r="G54" s="1368"/>
      <c r="H54" s="1367" t="s">
        <v>228</v>
      </c>
      <c r="I54" s="4622">
        <f>IF(J10=0,0,I53/J10)</f>
        <v>-0.27681555094656191</v>
      </c>
      <c r="J54" s="4623"/>
      <c r="K54" s="4682">
        <f>IF(L10=0,0,K53/L10)</f>
        <v>-2.6228576786104458</v>
      </c>
      <c r="L54" s="4683"/>
      <c r="M54" s="4622">
        <f>IF(N10=0,0,M53/N10)</f>
        <v>4.7995408395497581</v>
      </c>
      <c r="N54" s="4623"/>
      <c r="O54" s="4682">
        <f>IF(P10=0,0,O53/P10)</f>
        <v>9.8847741795538671</v>
      </c>
      <c r="P54" s="4683"/>
      <c r="Q54" s="4622">
        <f>IF(R10=0,0,Q53/R10)</f>
        <v>4.7995408395497581</v>
      </c>
      <c r="R54" s="4623"/>
      <c r="S54" s="4682" t="e">
        <f>IF(T10=0,0,S53/T10)</f>
        <v>#REF!</v>
      </c>
      <c r="T54" s="4683"/>
      <c r="U54" s="4622">
        <f>IF(V10=0,0,U53/V10)</f>
        <v>-4.5756074308327701</v>
      </c>
      <c r="V54" s="4623"/>
      <c r="W54" s="4622" t="e">
        <f t="shared" si="7"/>
        <v>#REF!</v>
      </c>
      <c r="X54" s="4623" t="e">
        <f t="shared" si="7"/>
        <v>#REF!</v>
      </c>
      <c r="Y54" s="3031"/>
    </row>
    <row r="55" spans="1:25" s="1142" customFormat="1" ht="5.25" customHeight="1">
      <c r="A55" s="1232"/>
      <c r="B55" s="1232"/>
      <c r="C55" s="1232"/>
      <c r="D55" s="1232"/>
      <c r="E55" s="1232"/>
      <c r="F55" s="1232"/>
      <c r="G55" s="1232"/>
      <c r="H55" s="1232"/>
      <c r="I55" s="1232"/>
      <c r="J55" s="1232"/>
      <c r="K55" s="1232"/>
      <c r="L55" s="1232"/>
      <c r="M55" s="1232"/>
      <c r="N55" s="1232"/>
      <c r="O55" s="1232"/>
      <c r="P55" s="1232"/>
      <c r="Q55" s="1232"/>
      <c r="R55" s="1232"/>
      <c r="S55" s="1232"/>
      <c r="T55" s="1232"/>
      <c r="U55" s="1232"/>
      <c r="V55" s="1232"/>
      <c r="W55" s="3817"/>
      <c r="X55" s="3817"/>
      <c r="Y55" s="3037"/>
    </row>
    <row r="56" spans="1:25" s="1142" customFormat="1" ht="5.25" customHeight="1">
      <c r="A56" s="1232"/>
      <c r="B56" s="1232"/>
      <c r="C56" s="1232"/>
      <c r="D56" s="1232"/>
      <c r="E56" s="1232"/>
      <c r="F56" s="1232"/>
      <c r="G56" s="1232"/>
      <c r="H56" s="1232"/>
      <c r="I56" s="1232"/>
      <c r="J56" s="1232"/>
      <c r="K56" s="1232"/>
      <c r="L56" s="1232"/>
      <c r="M56" s="1232"/>
      <c r="N56" s="1232"/>
      <c r="O56" s="1232"/>
      <c r="P56" s="1232"/>
      <c r="Q56" s="1232"/>
      <c r="R56" s="1232"/>
      <c r="S56" s="1232"/>
      <c r="T56" s="1232"/>
      <c r="U56" s="1232"/>
      <c r="V56" s="1232"/>
      <c r="W56" s="3817"/>
      <c r="X56" s="3817"/>
      <c r="Y56" s="3038"/>
    </row>
    <row r="57" spans="1:25" ht="15" customHeight="1">
      <c r="A57" s="1232"/>
      <c r="B57" s="4754" t="s">
        <v>1112</v>
      </c>
      <c r="C57" s="1232"/>
      <c r="D57" s="1280">
        <f>D54+1</f>
        <v>42</v>
      </c>
      <c r="E57" s="1366" t="s">
        <v>1111</v>
      </c>
      <c r="F57" s="1365"/>
      <c r="G57" s="1365"/>
      <c r="H57" s="1364"/>
      <c r="I57" s="1360" t="s">
        <v>171</v>
      </c>
      <c r="J57" s="1363" t="s">
        <v>1110</v>
      </c>
      <c r="K57" s="1362" t="s">
        <v>171</v>
      </c>
      <c r="L57" s="1361" t="s">
        <v>1110</v>
      </c>
      <c r="M57" s="1360" t="s">
        <v>171</v>
      </c>
      <c r="N57" s="1359" t="s">
        <v>1110</v>
      </c>
      <c r="O57" s="1362" t="s">
        <v>171</v>
      </c>
      <c r="P57" s="1361" t="s">
        <v>1110</v>
      </c>
      <c r="Q57" s="1360" t="s">
        <v>171</v>
      </c>
      <c r="R57" s="1359" t="s">
        <v>1110</v>
      </c>
      <c r="S57" s="1362" t="s">
        <v>171</v>
      </c>
      <c r="T57" s="1361" t="s">
        <v>1110</v>
      </c>
      <c r="U57" s="1360" t="s">
        <v>171</v>
      </c>
      <c r="V57" s="1359" t="s">
        <v>1110</v>
      </c>
      <c r="W57" s="3824" t="s">
        <v>171</v>
      </c>
      <c r="X57" s="3825" t="s">
        <v>1110</v>
      </c>
      <c r="Y57" s="3038"/>
    </row>
    <row r="58" spans="1:25" s="1322" customFormat="1" ht="2.25" customHeight="1">
      <c r="A58" s="1232"/>
      <c r="B58" s="4755"/>
      <c r="C58" s="1232"/>
      <c r="D58" s="1330">
        <v>39</v>
      </c>
      <c r="E58" s="1358"/>
      <c r="F58" s="1357"/>
      <c r="G58" s="1356"/>
      <c r="H58" s="1336"/>
      <c r="I58" s="1352"/>
      <c r="J58" s="1355"/>
      <c r="K58" s="1354"/>
      <c r="L58" s="1353"/>
      <c r="M58" s="1352"/>
      <c r="N58" s="1351"/>
      <c r="O58" s="1354"/>
      <c r="P58" s="1353"/>
      <c r="Q58" s="1352"/>
      <c r="R58" s="1351"/>
      <c r="S58" s="1354"/>
      <c r="T58" s="1353"/>
      <c r="U58" s="1352"/>
      <c r="V58" s="1351"/>
      <c r="W58" s="1352"/>
      <c r="X58" s="1351"/>
      <c r="Y58" s="3039"/>
    </row>
    <row r="59" spans="1:25" ht="15" customHeight="1">
      <c r="A59" s="1232"/>
      <c r="B59" s="4755"/>
      <c r="C59" s="1232"/>
      <c r="D59" s="1244">
        <f>D57+1</f>
        <v>43</v>
      </c>
      <c r="E59" s="1350"/>
      <c r="F59" s="1349" t="s">
        <v>1109</v>
      </c>
      <c r="G59" s="1211"/>
      <c r="H59" s="1348" t="s">
        <v>1108</v>
      </c>
      <c r="I59" s="1344">
        <f>I53+I40</f>
        <v>-20.881352190990242</v>
      </c>
      <c r="J59" s="1347">
        <f>IF(I39=0,0,I59/I39)</f>
        <v>-1.9399249527118401</v>
      </c>
      <c r="K59" s="1346">
        <f>K53+K40</f>
        <v>-13.718037502731164</v>
      </c>
      <c r="L59" s="1345">
        <f>IF(K39=0,0,K59/K39)</f>
        <v>-1.3592982067708246</v>
      </c>
      <c r="M59" s="1344">
        <f>M53+M40</f>
        <v>621.35408395497575</v>
      </c>
      <c r="N59" s="1343">
        <f>IF(M39=0,0,M59/M39)</f>
        <v>73.970724280354247</v>
      </c>
      <c r="O59" s="1346">
        <f>O53+O40</f>
        <v>579.81696718215471</v>
      </c>
      <c r="P59" s="1345">
        <f>IF(O39=0,0,O59/O39)</f>
        <v>52.922322670879403</v>
      </c>
      <c r="Q59" s="1344">
        <f>Q53+Q40</f>
        <v>621.35408395497575</v>
      </c>
      <c r="R59" s="1343">
        <f>IF(Q39=0,0,Q59/Q39)</f>
        <v>73.970724280354247</v>
      </c>
      <c r="S59" s="1346" t="e">
        <f>S53+S40</f>
        <v>#REF!</v>
      </c>
      <c r="T59" s="1345" t="e">
        <f>IF(S39=0,0,S59/S39)</f>
        <v>#REF!</v>
      </c>
      <c r="U59" s="1344">
        <f>U53+U40</f>
        <v>-28.64426007914696</v>
      </c>
      <c r="V59" s="1343">
        <f>IF(U39=0,0,U59/U39)</f>
        <v>-3.6666999589281826</v>
      </c>
      <c r="W59" s="1344" t="e">
        <f>W53+W40</f>
        <v>#REF!</v>
      </c>
      <c r="X59" s="1343">
        <f>IF(X39=0,0,W59/X39)</f>
        <v>0</v>
      </c>
      <c r="Y59" s="3039"/>
    </row>
    <row r="60" spans="1:25" ht="16.350000000000001" hidden="1" customHeight="1">
      <c r="A60" s="1232"/>
      <c r="B60" s="4755"/>
      <c r="C60" s="1232"/>
      <c r="D60" s="1244">
        <v>41</v>
      </c>
      <c r="E60" s="1342"/>
      <c r="F60" s="1341" t="s">
        <v>1107</v>
      </c>
      <c r="G60" s="1340"/>
      <c r="H60" s="1339" t="s">
        <v>228</v>
      </c>
      <c r="I60" s="4652">
        <f>IF(I44=0,0,IF(J10=0,0,(I53+I44)/'SDK1'!$M$62*100/J10))</f>
        <v>0</v>
      </c>
      <c r="J60" s="4653"/>
      <c r="K60" s="4700">
        <f>IF(K44=0,0,IF(L10=0,0,(K53+K44)/'SDK1'!$M$62*100/L10))</f>
        <v>0</v>
      </c>
      <c r="L60" s="4701"/>
      <c r="M60" s="4652">
        <f>IF(M44=0,0,IF(N10=0,0,(M53+M44)/'SDK1'!$M$62*100/N10))</f>
        <v>0</v>
      </c>
      <c r="N60" s="4653"/>
      <c r="O60" s="4700">
        <f>IF(O44=0,0,IF(P10=0,0,(O53+O44)/'SDK1'!$M$62*100/P10))</f>
        <v>0</v>
      </c>
      <c r="P60" s="4701"/>
      <c r="Q60" s="4652">
        <f>IF(Q44=0,0,IF(R10=0,0,(Q53+Q44)/'SDK1'!$M$62*100/R10))</f>
        <v>0</v>
      </c>
      <c r="R60" s="4653"/>
      <c r="S60" s="4700">
        <f>IF(S44=0,0,IF(T10=0,0,(S53+S44)/'SDK1'!$M$62*100/T10))</f>
        <v>0</v>
      </c>
      <c r="T60" s="4701"/>
      <c r="U60" s="4652">
        <f>IF(U44=0,0,IF(V10=0,0,(U53+U44)/'SDK1'!$M$62*100/V10))</f>
        <v>0</v>
      </c>
      <c r="V60" s="4653"/>
      <c r="W60" s="4652">
        <f>IF(W44=0,0,IF(X10=0,0,(W53+W44)/'SDK1'!$M$62*100/X10))</f>
        <v>0</v>
      </c>
      <c r="X60" s="4653"/>
      <c r="Y60" s="3039"/>
    </row>
    <row r="61" spans="1:25" s="1322" customFormat="1" ht="4.7" customHeight="1">
      <c r="A61" s="1232"/>
      <c r="B61" s="4755"/>
      <c r="C61" s="1232"/>
      <c r="D61" s="1330">
        <v>41</v>
      </c>
      <c r="E61" s="1338"/>
      <c r="F61" s="1338"/>
      <c r="G61" s="1337"/>
      <c r="H61" s="1336"/>
      <c r="I61" s="4752"/>
      <c r="J61" s="4753"/>
      <c r="K61" s="4702"/>
      <c r="L61" s="4703"/>
      <c r="M61" s="4654"/>
      <c r="N61" s="4655"/>
      <c r="O61" s="4702"/>
      <c r="P61" s="4703"/>
      <c r="Q61" s="4654"/>
      <c r="R61" s="4655"/>
      <c r="S61" s="4702"/>
      <c r="T61" s="4703"/>
      <c r="U61" s="4654"/>
      <c r="V61" s="4655"/>
      <c r="W61" s="4654"/>
      <c r="X61" s="4655"/>
      <c r="Y61" s="3039"/>
    </row>
    <row r="62" spans="1:25" ht="15" customHeight="1">
      <c r="A62" s="1232"/>
      <c r="B62" s="4755"/>
      <c r="C62" s="1232"/>
      <c r="D62" s="1244">
        <f>D59+1</f>
        <v>44</v>
      </c>
      <c r="E62" s="1276"/>
      <c r="F62" s="1270" t="s">
        <v>1106</v>
      </c>
      <c r="G62" s="1269"/>
      <c r="H62" s="1335" t="s">
        <v>1105</v>
      </c>
      <c r="I62" s="4612">
        <f>I53+I43</f>
        <v>101.25798114234311</v>
      </c>
      <c r="J62" s="4613"/>
      <c r="K62" s="4638">
        <f>K53+K43</f>
        <v>119.73329583060212</v>
      </c>
      <c r="L62" s="4639"/>
      <c r="M62" s="4612">
        <f>M53+M43</f>
        <v>783.28741728830914</v>
      </c>
      <c r="N62" s="4613"/>
      <c r="O62" s="4638">
        <f>O53+O43</f>
        <v>698.72430051548804</v>
      </c>
      <c r="P62" s="4639"/>
      <c r="Q62" s="4612">
        <f>Q53+Q43</f>
        <v>783.28741728830914</v>
      </c>
      <c r="R62" s="4613"/>
      <c r="S62" s="4638" t="e">
        <f>S53+S43</f>
        <v>#REF!</v>
      </c>
      <c r="T62" s="4639"/>
      <c r="U62" s="4612">
        <f>U53+U43</f>
        <v>143.18707325418637</v>
      </c>
      <c r="V62" s="4613"/>
      <c r="W62" s="4612" t="e">
        <f>W53+W43</f>
        <v>#REF!</v>
      </c>
      <c r="X62" s="4613"/>
      <c r="Y62" s="3039"/>
    </row>
    <row r="63" spans="1:25" ht="2.25" customHeight="1">
      <c r="A63" s="1232"/>
      <c r="B63" s="4755"/>
      <c r="C63" s="1232"/>
      <c r="D63" s="1244"/>
      <c r="E63" s="1334"/>
      <c r="F63" s="1306"/>
      <c r="G63" s="1269"/>
      <c r="H63" s="1333"/>
      <c r="I63" s="4628"/>
      <c r="J63" s="4629"/>
      <c r="K63" s="4688"/>
      <c r="L63" s="4689"/>
      <c r="M63" s="4628"/>
      <c r="N63" s="4629"/>
      <c r="O63" s="4688"/>
      <c r="P63" s="4689"/>
      <c r="Q63" s="4628"/>
      <c r="R63" s="4629"/>
      <c r="S63" s="4688"/>
      <c r="T63" s="4689"/>
      <c r="U63" s="4628"/>
      <c r="V63" s="4629"/>
      <c r="W63" s="4628"/>
      <c r="X63" s="4629"/>
      <c r="Y63" s="3039"/>
    </row>
    <row r="64" spans="1:25" ht="3.4" customHeight="1">
      <c r="A64" s="1232"/>
      <c r="B64" s="4755"/>
      <c r="C64" s="1232"/>
      <c r="D64" s="1244"/>
      <c r="E64" s="1332"/>
      <c r="F64" s="1331"/>
      <c r="G64" s="1266"/>
      <c r="H64" s="1272"/>
      <c r="I64" s="4630"/>
      <c r="J64" s="4631"/>
      <c r="K64" s="4690"/>
      <c r="L64" s="4691"/>
      <c r="M64" s="4630"/>
      <c r="N64" s="4631"/>
      <c r="O64" s="4690"/>
      <c r="P64" s="4691"/>
      <c r="Q64" s="4630"/>
      <c r="R64" s="4631"/>
      <c r="S64" s="4690"/>
      <c r="T64" s="4691"/>
      <c r="U64" s="4630"/>
      <c r="V64" s="4631"/>
      <c r="W64" s="4630"/>
      <c r="X64" s="4631"/>
      <c r="Y64" s="3031"/>
    </row>
    <row r="65" spans="1:25" s="1322" customFormat="1" ht="15" customHeight="1">
      <c r="A65" s="1232"/>
      <c r="B65" s="4755"/>
      <c r="C65" s="1232"/>
      <c r="D65" s="1330"/>
      <c r="E65" s="1329" t="s">
        <v>1104</v>
      </c>
      <c r="F65" s="26"/>
      <c r="G65" s="1329"/>
      <c r="H65" s="1328"/>
      <c r="I65" s="1324" t="s">
        <v>171</v>
      </c>
      <c r="J65" s="1327" t="s">
        <v>228</v>
      </c>
      <c r="K65" s="1326" t="s">
        <v>171</v>
      </c>
      <c r="L65" s="1325" t="s">
        <v>228</v>
      </c>
      <c r="M65" s="1324" t="s">
        <v>171</v>
      </c>
      <c r="N65" s="1323" t="s">
        <v>228</v>
      </c>
      <c r="O65" s="1326" t="s">
        <v>171</v>
      </c>
      <c r="P65" s="1325" t="s">
        <v>228</v>
      </c>
      <c r="Q65" s="1324" t="s">
        <v>171</v>
      </c>
      <c r="R65" s="1323" t="s">
        <v>228</v>
      </c>
      <c r="S65" s="1326" t="s">
        <v>171</v>
      </c>
      <c r="T65" s="1325" t="s">
        <v>228</v>
      </c>
      <c r="U65" s="1324" t="s">
        <v>171</v>
      </c>
      <c r="V65" s="1323" t="s">
        <v>228</v>
      </c>
      <c r="W65" s="3826" t="s">
        <v>171</v>
      </c>
      <c r="X65" s="3827" t="s">
        <v>228</v>
      </c>
      <c r="Y65" s="3031"/>
    </row>
    <row r="66" spans="1:25" ht="15" customHeight="1">
      <c r="A66" s="1232"/>
      <c r="B66" s="4755"/>
      <c r="C66" s="1232"/>
      <c r="D66" s="1244">
        <f>D62+1</f>
        <v>45</v>
      </c>
      <c r="E66" s="1321"/>
      <c r="F66" s="1320" t="s">
        <v>1103</v>
      </c>
      <c r="G66" s="1320"/>
      <c r="H66" s="1319"/>
      <c r="I66" s="1316">
        <f>I49</f>
        <v>2656.4420188576569</v>
      </c>
      <c r="J66" s="1318">
        <f>IF(J10=0,0,I66/J10)</f>
        <v>3.6389616696680229</v>
      </c>
      <c r="K66" s="1311">
        <f>K49</f>
        <v>1945.6667041693979</v>
      </c>
      <c r="L66" s="1317">
        <f>IF(L10=0,0,K66/L10)</f>
        <v>27.795238630991399</v>
      </c>
      <c r="M66" s="1316">
        <f>M49</f>
        <v>2387.1125827116912</v>
      </c>
      <c r="N66" s="1315">
        <f>IF(N10=0,0,M66/N10)</f>
        <v>23.871125827116913</v>
      </c>
      <c r="O66" s="1311">
        <f>O49</f>
        <v>2052.0090328178453</v>
      </c>
      <c r="P66" s="1317">
        <f>IF(P10=0,0,O66/P10)</f>
        <v>51.30022582044613</v>
      </c>
      <c r="Q66" s="1316">
        <f>Q49</f>
        <v>2387.1125827116912</v>
      </c>
      <c r="R66" s="1315">
        <f>IF(R10=0,0,Q66/R10)</f>
        <v>23.871125827116913</v>
      </c>
      <c r="S66" s="1311" t="e">
        <f>S49</f>
        <v>#REF!</v>
      </c>
      <c r="T66" s="1317" t="e">
        <f>IF(T10=0,0,S66/T10)</f>
        <v>#REF!</v>
      </c>
      <c r="U66" s="1316">
        <f>U49</f>
        <v>1509.2129267458135</v>
      </c>
      <c r="V66" s="1315">
        <f>IF(V10=0,0,U66/V10)</f>
        <v>43.120369335594674</v>
      </c>
      <c r="W66" s="1316" t="e">
        <f>W49</f>
        <v>#REF!</v>
      </c>
      <c r="X66" s="3828" t="e">
        <f>IF(X10=0,0,W66/X10)</f>
        <v>#REF!</v>
      </c>
      <c r="Y66" s="3037"/>
    </row>
    <row r="67" spans="1:25" ht="15" customHeight="1">
      <c r="A67" s="1232"/>
      <c r="B67" s="4755"/>
      <c r="C67" s="1232"/>
      <c r="D67" s="1244">
        <f t="shared" ref="D67:D72" si="9">D66+1</f>
        <v>46</v>
      </c>
      <c r="E67" s="1314"/>
      <c r="F67" s="1313" t="s">
        <v>1102</v>
      </c>
      <c r="G67" s="1275"/>
      <c r="H67" s="1066"/>
      <c r="I67" s="1302">
        <f>J13+J14</f>
        <v>33.066666666666663</v>
      </c>
      <c r="J67" s="1312">
        <f>IF(J10=0,0,I67/J10)</f>
        <v>4.529680365296803E-2</v>
      </c>
      <c r="K67" s="1311">
        <f>L13+L14</f>
        <v>0</v>
      </c>
      <c r="L67" s="1310">
        <f>IF(L10=0,0,K67/L10)</f>
        <v>0</v>
      </c>
      <c r="M67" s="1302">
        <f>N13+N14</f>
        <v>0</v>
      </c>
      <c r="N67" s="1309">
        <f>IF(N10=0,0,M67/N10)</f>
        <v>0</v>
      </c>
      <c r="O67" s="1311">
        <f>P13+P14</f>
        <v>0</v>
      </c>
      <c r="P67" s="1310">
        <f>IF(P10=0,0,O67/P10)</f>
        <v>0</v>
      </c>
      <c r="Q67" s="1302">
        <f>R13+R14</f>
        <v>0</v>
      </c>
      <c r="R67" s="1309">
        <f>IF(R10=0,0,Q67/R10)</f>
        <v>0</v>
      </c>
      <c r="S67" s="1311" t="e">
        <f>T13+T14</f>
        <v>#REF!</v>
      </c>
      <c r="T67" s="1310" t="e">
        <f>IF(T10=0,0,S67/T10)</f>
        <v>#REF!</v>
      </c>
      <c r="U67" s="1302">
        <f>V13+V14</f>
        <v>0</v>
      </c>
      <c r="V67" s="1309">
        <f>IF(V10=0,0,U67/V10)</f>
        <v>0</v>
      </c>
      <c r="W67" s="1302" t="e">
        <f>W13+W14</f>
        <v>#REF!</v>
      </c>
      <c r="X67" s="3829" t="e">
        <f>IF(X10=0,0,W67/X10)</f>
        <v>#REF!</v>
      </c>
      <c r="Y67" s="3038"/>
    </row>
    <row r="68" spans="1:25" ht="13.7" customHeight="1">
      <c r="A68" s="1232"/>
      <c r="B68" s="4755"/>
      <c r="C68" s="1232"/>
      <c r="D68" s="1244">
        <f t="shared" si="9"/>
        <v>47</v>
      </c>
      <c r="E68" s="1300"/>
      <c r="F68" s="1299" t="s">
        <v>1101</v>
      </c>
      <c r="G68" s="1298"/>
      <c r="H68" s="1308"/>
      <c r="I68" s="1296">
        <f t="shared" ref="I68:X68" si="10">I66-I67</f>
        <v>2623.3753521909903</v>
      </c>
      <c r="J68" s="1295">
        <f t="shared" si="10"/>
        <v>3.5936648660150547</v>
      </c>
      <c r="K68" s="1294">
        <f t="shared" si="10"/>
        <v>1945.6667041693979</v>
      </c>
      <c r="L68" s="1293">
        <f t="shared" si="10"/>
        <v>27.795238630991399</v>
      </c>
      <c r="M68" s="1292">
        <f t="shared" si="10"/>
        <v>2387.1125827116912</v>
      </c>
      <c r="N68" s="1291">
        <f t="shared" si="10"/>
        <v>23.871125827116913</v>
      </c>
      <c r="O68" s="1294">
        <f t="shared" si="10"/>
        <v>2052.0090328178453</v>
      </c>
      <c r="P68" s="1293">
        <f t="shared" si="10"/>
        <v>51.30022582044613</v>
      </c>
      <c r="Q68" s="1292">
        <f t="shared" si="10"/>
        <v>2387.1125827116912</v>
      </c>
      <c r="R68" s="1291">
        <f t="shared" si="10"/>
        <v>23.871125827116913</v>
      </c>
      <c r="S68" s="1294" t="e">
        <f t="shared" si="10"/>
        <v>#REF!</v>
      </c>
      <c r="T68" s="1293" t="e">
        <f t="shared" si="10"/>
        <v>#REF!</v>
      </c>
      <c r="U68" s="1292">
        <f t="shared" si="10"/>
        <v>1509.2129267458135</v>
      </c>
      <c r="V68" s="1291">
        <f t="shared" si="10"/>
        <v>43.120369335594674</v>
      </c>
      <c r="W68" s="1292" t="e">
        <f t="shared" si="10"/>
        <v>#REF!</v>
      </c>
      <c r="X68" s="1291" t="e">
        <f t="shared" si="10"/>
        <v>#REF!</v>
      </c>
      <c r="Y68" s="3038"/>
    </row>
    <row r="69" spans="1:25" ht="16.149999999999999" customHeight="1">
      <c r="A69" s="1232"/>
      <c r="B69" s="4755"/>
      <c r="C69" s="1232"/>
      <c r="D69" s="1244">
        <f t="shared" si="9"/>
        <v>48</v>
      </c>
      <c r="E69" s="1290"/>
      <c r="F69" s="1289" t="s">
        <v>1100</v>
      </c>
      <c r="G69" s="1288"/>
      <c r="H69" s="1287" t="str">
        <f>IF($E$2="Kostenrechnung mit MwSt.","ohne MwSt.","")</f>
        <v/>
      </c>
      <c r="I69" s="1286" t="str">
        <f>IF($E$2="Kostenrechnung mit MwSt.",(I66-I67)/(1+'SDK1'!M9/100),"")</f>
        <v/>
      </c>
      <c r="J69" s="1285" t="str">
        <f>IF($E$2="Kostenrechnung mit MwSt.",(J66-J67)/(1+'SDK1'!M9/100),"")</f>
        <v/>
      </c>
      <c r="K69" s="1284" t="str">
        <f>IF($E$2="Kostenrechnung mit MwSt.",(K66-K67)/(1+'SDK1'!M9/100),"")</f>
        <v/>
      </c>
      <c r="L69" s="1283" t="str">
        <f>IF($E$2="Kostenrechnung mit MwSt.",(L66-L67)/(1+'SDK1'!M9/100),"")</f>
        <v/>
      </c>
      <c r="M69" s="1282" t="str">
        <f>IF($E$2="Kostenrechnung mit MwSt.",(M66-M67)/(1+'SDK1'!M9/100),"")</f>
        <v/>
      </c>
      <c r="N69" s="1281" t="str">
        <f>IF($E$2="Kostenrechnung mit MwSt.",(N66-N67)/(1+'SDK1'!M9/100),"")</f>
        <v/>
      </c>
      <c r="O69" s="1284" t="str">
        <f>IF($E$2="Kostenrechnung mit MwSt.",(O66-O67)/(1+'SDK1'!P9/100),"")</f>
        <v/>
      </c>
      <c r="P69" s="1283" t="str">
        <f>IF($E$2="Kostenrechnung mit MwSt.",(P66-P67)/(1+'SDK1'!P9/100),"")</f>
        <v/>
      </c>
      <c r="Q69" s="1282" t="str">
        <f>IF($E$2="Kostenrechnung mit MwSt.",(Q66-Q67)/(1+'SDK1'!#REF!/100),"")</f>
        <v/>
      </c>
      <c r="R69" s="1281" t="str">
        <f>IF($E$2="Kostenrechnung mit MwSt.",(R66-R67)/(1+'SDK1'!#REF!/100),"")</f>
        <v/>
      </c>
      <c r="S69" s="1284" t="str">
        <f>IF($E$2="Kostenrechnung mit MwSt.",(S66-S67)/(1+'SDK1'!S9/100),"")</f>
        <v/>
      </c>
      <c r="T69" s="1283" t="str">
        <f>IF($E$2="Kostenrechnung mit MwSt.",(T66-T67)/(1+'SDK1'!S9/100),"")</f>
        <v/>
      </c>
      <c r="U69" s="1282" t="str">
        <f>IF($E$2="Kostenrechnung mit MwSt.",(U66-U67)/(1+'SDK1'!U9/100),"")</f>
        <v/>
      </c>
      <c r="V69" s="1281" t="str">
        <f>IF($E$2="Kostenrechnung mit MwSt.",(V66-V67)/(1+'SDK1'!U9/100),"")</f>
        <v/>
      </c>
      <c r="W69" s="1282" t="str">
        <f>IF($E$2="Kostenrechnung mit MwSt.",(W66-W67)/(1+'SDK1'!W9/100),"")</f>
        <v/>
      </c>
      <c r="X69" s="1281" t="str">
        <f>IF($E$2="Kostenrechnung mit MwSt.",(X66-X67)/(1+'SDK1'!W9/100),"")</f>
        <v/>
      </c>
      <c r="Y69" s="3039"/>
    </row>
    <row r="70" spans="1:25" ht="15" customHeight="1">
      <c r="A70" s="1232"/>
      <c r="B70" s="4755"/>
      <c r="C70" s="1232"/>
      <c r="D70" s="1244">
        <f t="shared" si="9"/>
        <v>49</v>
      </c>
      <c r="E70" s="1307"/>
      <c r="F70" s="1306" t="s">
        <v>1099</v>
      </c>
      <c r="G70" s="1275"/>
      <c r="H70" s="6"/>
      <c r="I70" s="1302">
        <f>I52</f>
        <v>355.4</v>
      </c>
      <c r="J70" s="1305">
        <f>IF(J10=0,0,I70/J10)</f>
        <v>0.4868493150684931</v>
      </c>
      <c r="K70" s="1304">
        <f>K52</f>
        <v>455.4</v>
      </c>
      <c r="L70" s="1303">
        <f>IF(L10=0,0,K70/L10)</f>
        <v>6.5057142857142853</v>
      </c>
      <c r="M70" s="1302">
        <f>M52</f>
        <v>455.4</v>
      </c>
      <c r="N70" s="1301">
        <f>IF(N10=0,0,M70/N10)</f>
        <v>4.5539999999999994</v>
      </c>
      <c r="O70" s="1304">
        <f>O52</f>
        <v>455.4</v>
      </c>
      <c r="P70" s="1303">
        <f>IF(P10=0,0,O70/P10)</f>
        <v>11.385</v>
      </c>
      <c r="Q70" s="1302">
        <f>Q52</f>
        <v>455.4</v>
      </c>
      <c r="R70" s="1301">
        <f>IF(R10=0,0,Q70/R10)</f>
        <v>4.5539999999999994</v>
      </c>
      <c r="S70" s="1304">
        <f>S52</f>
        <v>595.4</v>
      </c>
      <c r="T70" s="1303">
        <f>IF(T10=0,0,S70/T10)</f>
        <v>5.9539999999999997</v>
      </c>
      <c r="U70" s="1302">
        <f>U52</f>
        <v>455.4</v>
      </c>
      <c r="V70" s="1301">
        <f>IF(V10=0,0,U70/V10)</f>
        <v>13.011428571428571</v>
      </c>
      <c r="W70" s="1302">
        <f>W52</f>
        <v>430.4</v>
      </c>
      <c r="X70" s="1301">
        <f>IF(X10=0,0,W70/X10)</f>
        <v>1.8314893617021275</v>
      </c>
      <c r="Y70" s="3039"/>
    </row>
    <row r="71" spans="1:25" ht="15" customHeight="1">
      <c r="A71" s="1232"/>
      <c r="B71" s="4755"/>
      <c r="C71" s="1232"/>
      <c r="D71" s="1244">
        <f t="shared" si="9"/>
        <v>50</v>
      </c>
      <c r="E71" s="1300"/>
      <c r="F71" s="1299" t="s">
        <v>1098</v>
      </c>
      <c r="G71" s="1298"/>
      <c r="H71" s="1297"/>
      <c r="I71" s="1296">
        <f t="shared" ref="I71:X71" si="11">I68-I70</f>
        <v>2267.9753521909902</v>
      </c>
      <c r="J71" s="1295">
        <f t="shared" si="11"/>
        <v>3.1068155509465618</v>
      </c>
      <c r="K71" s="1294">
        <f t="shared" si="11"/>
        <v>1490.2667041693981</v>
      </c>
      <c r="L71" s="1293">
        <f t="shared" si="11"/>
        <v>21.289524345277115</v>
      </c>
      <c r="M71" s="1292">
        <f t="shared" si="11"/>
        <v>1931.7125827116911</v>
      </c>
      <c r="N71" s="1291">
        <f t="shared" si="11"/>
        <v>19.317125827116914</v>
      </c>
      <c r="O71" s="1294">
        <f t="shared" si="11"/>
        <v>1596.6090328178452</v>
      </c>
      <c r="P71" s="1293">
        <f t="shared" si="11"/>
        <v>39.915225820446132</v>
      </c>
      <c r="Q71" s="1292">
        <f t="shared" si="11"/>
        <v>1931.7125827116911</v>
      </c>
      <c r="R71" s="1291">
        <f t="shared" si="11"/>
        <v>19.317125827116914</v>
      </c>
      <c r="S71" s="1294" t="e">
        <f t="shared" si="11"/>
        <v>#REF!</v>
      </c>
      <c r="T71" s="1293" t="e">
        <f t="shared" si="11"/>
        <v>#REF!</v>
      </c>
      <c r="U71" s="1292">
        <f t="shared" si="11"/>
        <v>1053.8129267458135</v>
      </c>
      <c r="V71" s="1291">
        <f t="shared" si="11"/>
        <v>30.108940764166103</v>
      </c>
      <c r="W71" s="1292" t="e">
        <f t="shared" si="11"/>
        <v>#REF!</v>
      </c>
      <c r="X71" s="1291" t="e">
        <f t="shared" si="11"/>
        <v>#REF!</v>
      </c>
      <c r="Y71" s="3039"/>
    </row>
    <row r="72" spans="1:25" ht="15" customHeight="1">
      <c r="A72" s="1232"/>
      <c r="B72" s="4755"/>
      <c r="C72" s="1232"/>
      <c r="D72" s="1239">
        <f t="shared" si="9"/>
        <v>51</v>
      </c>
      <c r="E72" s="1290"/>
      <c r="F72" s="1289" t="s">
        <v>1097</v>
      </c>
      <c r="G72" s="1288"/>
      <c r="H72" s="1287" t="str">
        <f>IF($E$2="Kostenrechnung mit MwSt.","ohne MwSt.","")</f>
        <v/>
      </c>
      <c r="I72" s="1286" t="str">
        <f>IF($E$2="Kostenrechnung mit MwSt.",(I$66-I$67-I$70)/(1+'SDK1'!M9/100),"")</f>
        <v/>
      </c>
      <c r="J72" s="1285" t="str">
        <f>IF($E$2="Kostenrechnung mit MwSt.",(J$66-J$67-J$70)/(1+'SDK1'!M9/100),"")</f>
        <v/>
      </c>
      <c r="K72" s="1284" t="str">
        <f>IF($E$2="Kostenrechnung mit MwSt.",(K$66-K$67-K$70)/(1+'SDK1'!M9/100),"")</f>
        <v/>
      </c>
      <c r="L72" s="1283" t="str">
        <f>IF($E$2="Kostenrechnung mit MwSt.",(L$66-L$67-L$70)/(1+'SDK1'!M9/100),"")</f>
        <v/>
      </c>
      <c r="M72" s="1282" t="str">
        <f>IF($E$2="Kostenrechnung mit MwSt.",(M$66-M$67-M$70)/(1+'SDK1'!M9/100),"")</f>
        <v/>
      </c>
      <c r="N72" s="1281" t="str">
        <f>IF($E$2="Kostenrechnung mit MwSt.",(N$66-N$67-N$70)/(1+'SDK1'!M9/100),"")</f>
        <v/>
      </c>
      <c r="O72" s="1284" t="str">
        <f>IF($E$2="Kostenrechnung mit MwSt.",(O$66-O$67-O$70)/(1+'SDK1'!P9/100),"")</f>
        <v/>
      </c>
      <c r="P72" s="1283" t="str">
        <f>IF($E$2="Kostenrechnung mit MwSt.",(P$66-P$67-P$70)/(1+'SDK1'!P9/100),"")</f>
        <v/>
      </c>
      <c r="Q72" s="1282" t="str">
        <f>IF($E$2="Kostenrechnung mit MwSt.",(Q$66-Q$67-Q$70)/(1+'SDK1'!#REF!/100),"")</f>
        <v/>
      </c>
      <c r="R72" s="1281" t="str">
        <f>IF($E$2="Kostenrechnung mit MwSt.",(R$66-R$67-R$70)/(1+'SDK1'!#REF!/100),"")</f>
        <v/>
      </c>
      <c r="S72" s="1284" t="str">
        <f>IF($E$2="Kostenrechnung mit MwSt.",(S$66-S$67-S$70)/(1+'SDK1'!S9/100),"")</f>
        <v/>
      </c>
      <c r="T72" s="1283" t="str">
        <f>IF($E$2="Kostenrechnung mit MwSt.",(T$66-T$67-T$70)/(1+'SDK1'!S9/100),"")</f>
        <v/>
      </c>
      <c r="U72" s="1282" t="str">
        <f>IF($E$2="Kostenrechnung mit MwSt.",(U$66-U$67-U$70)/(1+'SDK1'!U9/100),"")</f>
        <v/>
      </c>
      <c r="V72" s="1281" t="str">
        <f>IF($E$2="Kostenrechnung mit MwSt.",(V$66-V$67-V$70)/(1+'SDK1'!U9/100),"")</f>
        <v/>
      </c>
      <c r="W72" s="1282" t="str">
        <f>IF($E$2="Kostenrechnung mit MwSt.",(W$66-W$67-W$70)/(1+'SDK1'!W9/100),"")</f>
        <v/>
      </c>
      <c r="X72" s="1281" t="str">
        <f>IF($E$2="Kostenrechnung mit MwSt.",(X$66-X$67-X$70)/(1+'SDK1'!W9/100),"")</f>
        <v/>
      </c>
      <c r="Y72" s="3039"/>
    </row>
    <row r="73" spans="1:25" ht="15" customHeight="1">
      <c r="A73" s="1232"/>
      <c r="B73" s="4755"/>
      <c r="C73" s="1232"/>
      <c r="D73" s="1232"/>
      <c r="E73" s="1232"/>
      <c r="F73" s="1232"/>
      <c r="G73" s="1232"/>
      <c r="H73" s="1232"/>
      <c r="I73" s="1232"/>
      <c r="J73" s="1232"/>
      <c r="K73" s="1232"/>
      <c r="L73" s="1232"/>
      <c r="M73" s="1232"/>
      <c r="N73" s="1232"/>
      <c r="O73" s="1232"/>
      <c r="P73" s="1232"/>
      <c r="Q73" s="1232"/>
      <c r="R73" s="1232"/>
      <c r="S73" s="1232"/>
      <c r="T73" s="1232"/>
      <c r="U73" s="1232"/>
      <c r="V73" s="1232"/>
      <c r="W73" s="3817"/>
      <c r="X73" s="3817"/>
      <c r="Y73" s="3039"/>
    </row>
    <row r="74" spans="1:25" ht="18" customHeight="1">
      <c r="A74" s="1232"/>
      <c r="B74" s="4755"/>
      <c r="C74" s="1232"/>
      <c r="D74" s="1280">
        <f>D72+1</f>
        <v>52</v>
      </c>
      <c r="E74" s="1279" t="s">
        <v>1096</v>
      </c>
      <c r="F74" s="1278"/>
      <c r="G74" s="1278"/>
      <c r="H74" s="1277" t="s">
        <v>171</v>
      </c>
      <c r="I74" s="4632">
        <f>SUM(J21:J26)+I35</f>
        <v>1300.9156415249956</v>
      </c>
      <c r="J74" s="4633"/>
      <c r="K74" s="4692">
        <f>SUM(L21:L26)+K35</f>
        <v>841.71672440626071</v>
      </c>
      <c r="L74" s="4693"/>
      <c r="M74" s="4632">
        <f>SUM(N21:N26)+M35</f>
        <v>1312.437355586201</v>
      </c>
      <c r="N74" s="4633"/>
      <c r="O74" s="4692">
        <f>SUM(P21:P26)+O35</f>
        <v>911.68932577000214</v>
      </c>
      <c r="P74" s="4693"/>
      <c r="Q74" s="4632">
        <f>SUM(R21:R26)+Q35</f>
        <v>1312.437355586201</v>
      </c>
      <c r="R74" s="4633"/>
      <c r="S74" s="4692">
        <f>SUM(T21:T26)+S35</f>
        <v>1809.5398711362197</v>
      </c>
      <c r="T74" s="4693"/>
      <c r="U74" s="4632">
        <f>SUM(V21:V26)+U35</f>
        <v>437.78070761953921</v>
      </c>
      <c r="V74" s="4633"/>
      <c r="W74" s="4632">
        <f>SUM(W21:W26)+W35</f>
        <v>418.83699999999999</v>
      </c>
      <c r="X74" s="4633"/>
      <c r="Y74" s="3039"/>
    </row>
    <row r="75" spans="1:25" ht="15" customHeight="1">
      <c r="A75" s="1232"/>
      <c r="B75" s="4755"/>
      <c r="C75" s="1232"/>
      <c r="D75" s="1244">
        <f>D74+1</f>
        <v>53</v>
      </c>
      <c r="E75" s="1276" t="s">
        <v>1095</v>
      </c>
      <c r="F75" s="1275"/>
      <c r="G75" s="1275"/>
      <c r="H75" s="1274" t="s">
        <v>171</v>
      </c>
      <c r="I75" s="4634">
        <f>(I15+I34)-I74</f>
        <v>1153.4510251416712</v>
      </c>
      <c r="J75" s="4635"/>
      <c r="K75" s="4656">
        <f>(K15+K34)-K74</f>
        <v>920.3499422604059</v>
      </c>
      <c r="L75" s="4657"/>
      <c r="M75" s="4634">
        <f>(M15+M34)-M74</f>
        <v>1554.6293110804661</v>
      </c>
      <c r="N75" s="4635"/>
      <c r="O75" s="4656">
        <f>(O15+O34)-O74</f>
        <v>1535.7106742299979</v>
      </c>
      <c r="P75" s="4657"/>
      <c r="Q75" s="4634">
        <f>(Q15+Q34)-Q74</f>
        <v>1554.6293110804661</v>
      </c>
      <c r="R75" s="4635"/>
      <c r="S75" s="4656" t="e">
        <f>(S15+S34)-S74</f>
        <v>#REF!</v>
      </c>
      <c r="T75" s="4657"/>
      <c r="U75" s="4634">
        <f>(U15+U34)-U74</f>
        <v>911.28595904712733</v>
      </c>
      <c r="V75" s="4635"/>
      <c r="W75" s="4634" t="e">
        <f>(W15+W34)-W74</f>
        <v>#REF!</v>
      </c>
      <c r="X75" s="4635"/>
      <c r="Y75" s="3031"/>
    </row>
    <row r="76" spans="1:25" ht="3.75" customHeight="1">
      <c r="A76" s="1232"/>
      <c r="B76" s="4755"/>
      <c r="C76" s="1232"/>
      <c r="D76" s="1244"/>
      <c r="E76" s="1267"/>
      <c r="F76" s="8"/>
      <c r="G76" s="1273"/>
      <c r="H76" s="1272"/>
      <c r="I76" s="4636"/>
      <c r="J76" s="4637"/>
      <c r="K76" s="4658"/>
      <c r="L76" s="4659"/>
      <c r="M76" s="4636"/>
      <c r="N76" s="4637"/>
      <c r="O76" s="4658"/>
      <c r="P76" s="4659"/>
      <c r="Q76" s="4636"/>
      <c r="R76" s="4637"/>
      <c r="S76" s="4658"/>
      <c r="T76" s="4659"/>
      <c r="U76" s="4636"/>
      <c r="V76" s="4637"/>
      <c r="W76" s="4636"/>
      <c r="X76" s="4637"/>
      <c r="Y76" s="3031"/>
    </row>
    <row r="77" spans="1:25" ht="15" customHeight="1">
      <c r="A77" s="1232"/>
      <c r="B77" s="4755"/>
      <c r="C77" s="1232"/>
      <c r="D77" s="1271">
        <f>D75+1</f>
        <v>54</v>
      </c>
      <c r="E77" s="1270" t="s">
        <v>1094</v>
      </c>
      <c r="F77" s="1269"/>
      <c r="G77" s="1269"/>
      <c r="H77" s="1268" t="s">
        <v>171</v>
      </c>
      <c r="I77" s="4634">
        <f>J27+J28+J29+I41+I40</f>
        <v>907.19304399932776</v>
      </c>
      <c r="J77" s="4635"/>
      <c r="K77" s="4656">
        <f>L27+L28+L29+K41+K40</f>
        <v>655.61664642980395</v>
      </c>
      <c r="L77" s="4657"/>
      <c r="M77" s="4634">
        <f>N27+N28+N29+M41+M40</f>
        <v>626.34189379215684</v>
      </c>
      <c r="N77" s="4635"/>
      <c r="O77" s="4656">
        <f>P27+P28+P29+O41+O40</f>
        <v>691.98637371450991</v>
      </c>
      <c r="P77" s="4657"/>
      <c r="Q77" s="4634">
        <f>R27+R28+R29+Q41+Q40</f>
        <v>626.34189379215684</v>
      </c>
      <c r="R77" s="4635"/>
      <c r="S77" s="4656" t="e">
        <f>T27+T28+T29+S41+S40</f>
        <v>#REF!</v>
      </c>
      <c r="T77" s="4657"/>
      <c r="U77" s="4634">
        <f>V27+V28+V29+U41+U40</f>
        <v>623.09888579294113</v>
      </c>
      <c r="V77" s="4635"/>
      <c r="W77" s="4634" t="e">
        <f>W27+W28+W29+W41+W40</f>
        <v>#REF!</v>
      </c>
      <c r="X77" s="4635"/>
      <c r="Y77" s="3037"/>
    </row>
    <row r="78" spans="1:25" ht="15" customHeight="1">
      <c r="A78" s="1232"/>
      <c r="B78" s="4756"/>
      <c r="C78" s="1232"/>
      <c r="D78" s="1239">
        <f>D77+1</f>
        <v>55</v>
      </c>
      <c r="E78" s="1267" t="s">
        <v>1093</v>
      </c>
      <c r="F78" s="8"/>
      <c r="G78" s="1266"/>
      <c r="H78" s="1265" t="s">
        <v>228</v>
      </c>
      <c r="I78" s="4624">
        <f>IF(J10=0,0,I77/J10)</f>
        <v>1.2427301972593532</v>
      </c>
      <c r="J78" s="4625"/>
      <c r="K78" s="4660">
        <f>IF(L10=0,0,K77/L10)</f>
        <v>9.3659520918543429</v>
      </c>
      <c r="L78" s="4625"/>
      <c r="M78" s="4624">
        <f>IF(N10=0,0,M77/N10)</f>
        <v>6.2634189379215686</v>
      </c>
      <c r="N78" s="4625"/>
      <c r="O78" s="4660">
        <f>IF(P10=0,0,O77/P10)</f>
        <v>17.299659342862746</v>
      </c>
      <c r="P78" s="4625"/>
      <c r="Q78" s="4624">
        <f>IF(R10=0,0,Q77/R10)</f>
        <v>6.2634189379215686</v>
      </c>
      <c r="R78" s="4625"/>
      <c r="S78" s="4660" t="e">
        <f>IF(T10=0,0,S77/T10)</f>
        <v>#REF!</v>
      </c>
      <c r="T78" s="4625"/>
      <c r="U78" s="4624">
        <f>IF(V10=0,0,U77/V10)</f>
        <v>17.802825308369748</v>
      </c>
      <c r="V78" s="4625"/>
      <c r="W78" s="4624" t="e">
        <f>IF(X10=0,0,W77/X10)</f>
        <v>#REF!</v>
      </c>
      <c r="X78" s="4825"/>
      <c r="Y78" s="3038"/>
    </row>
    <row r="79" spans="1:25" ht="16.149999999999999" customHeight="1">
      <c r="A79" s="1232"/>
      <c r="B79" s="1232"/>
      <c r="C79" s="1232"/>
      <c r="D79" s="1232"/>
      <c r="E79" s="1232"/>
      <c r="F79" s="1232"/>
      <c r="G79" s="1232"/>
      <c r="H79" s="1232"/>
      <c r="I79" s="1232"/>
      <c r="J79" s="1232"/>
      <c r="K79" s="1232"/>
      <c r="L79" s="1232"/>
      <c r="M79" s="1232"/>
      <c r="N79" s="1232"/>
      <c r="O79" s="1232"/>
      <c r="P79" s="1232"/>
      <c r="Q79" s="1232"/>
      <c r="R79" s="1232"/>
      <c r="S79" s="1232"/>
      <c r="T79" s="1232"/>
      <c r="U79" s="1232"/>
      <c r="V79" s="1232"/>
      <c r="W79" s="3817"/>
      <c r="X79" s="3817"/>
      <c r="Y79" s="3038"/>
    </row>
    <row r="80" spans="1:25" ht="16.149999999999999" customHeight="1">
      <c r="A80" s="1232"/>
      <c r="B80" s="1232"/>
      <c r="C80" s="1232"/>
      <c r="D80" s="1232"/>
      <c r="E80" s="1232"/>
      <c r="F80" s="1232"/>
      <c r="G80" s="1232"/>
      <c r="H80" s="1232"/>
      <c r="I80" s="1232"/>
      <c r="J80" s="1232"/>
      <c r="K80" s="1232"/>
      <c r="L80" s="1232"/>
      <c r="M80" s="1232"/>
      <c r="N80" s="1232"/>
      <c r="O80" s="1232"/>
      <c r="P80" s="1232"/>
      <c r="Q80" s="1232"/>
      <c r="R80" s="1232"/>
      <c r="S80" s="1232"/>
      <c r="T80" s="1232"/>
      <c r="U80" s="1232"/>
      <c r="V80" s="1232"/>
      <c r="W80" s="3817"/>
      <c r="X80" s="3817"/>
      <c r="Y80" s="3032"/>
    </row>
    <row r="81" spans="1:25" ht="15.75">
      <c r="A81" s="1254"/>
      <c r="B81" s="1254"/>
      <c r="C81" s="1254"/>
      <c r="D81" s="1264"/>
      <c r="E81" s="1263" t="s">
        <v>1092</v>
      </c>
      <c r="F81" s="1262"/>
      <c r="G81" s="1261"/>
      <c r="H81" s="1260"/>
      <c r="I81" s="4819" t="s">
        <v>1091</v>
      </c>
      <c r="J81" s="4820"/>
      <c r="K81" s="4820"/>
      <c r="L81" s="4820"/>
      <c r="M81" s="4820"/>
      <c r="N81" s="4820"/>
      <c r="O81" s="4820"/>
      <c r="P81" s="4820"/>
      <c r="Q81" s="4820"/>
      <c r="R81" s="4820"/>
      <c r="S81" s="4820"/>
      <c r="T81" s="4820"/>
      <c r="U81" s="4820"/>
      <c r="V81" s="4821"/>
      <c r="W81" s="3830"/>
      <c r="X81" s="3830"/>
      <c r="Y81" s="3032"/>
    </row>
    <row r="82" spans="1:25" ht="15">
      <c r="A82" s="1254"/>
      <c r="B82" s="1254"/>
      <c r="C82" s="1254"/>
      <c r="D82" s="1259"/>
      <c r="E82" s="1258" t="s">
        <v>1090</v>
      </c>
      <c r="F82" s="1257"/>
      <c r="G82" s="1256"/>
      <c r="H82" s="1255"/>
      <c r="I82" s="4822"/>
      <c r="J82" s="4823"/>
      <c r="K82" s="4823"/>
      <c r="L82" s="4823"/>
      <c r="M82" s="4823"/>
      <c r="N82" s="4823"/>
      <c r="O82" s="4823"/>
      <c r="P82" s="4823"/>
      <c r="Q82" s="4823"/>
      <c r="R82" s="4823"/>
      <c r="S82" s="4823"/>
      <c r="T82" s="4823"/>
      <c r="U82" s="4823"/>
      <c r="V82" s="4824"/>
      <c r="W82" s="3830"/>
      <c r="X82" s="3830"/>
      <c r="Y82" s="3032"/>
    </row>
    <row r="83" spans="1:25" ht="15">
      <c r="A83" s="1232"/>
      <c r="B83" s="1232"/>
      <c r="C83" s="1232"/>
      <c r="D83" s="1244">
        <f>D78+1</f>
        <v>56</v>
      </c>
      <c r="E83" s="1082"/>
      <c r="F83" s="1243" t="s">
        <v>1089</v>
      </c>
      <c r="H83" s="9" t="s">
        <v>171</v>
      </c>
      <c r="I83" s="1252">
        <f>I$86*(1+$F83)</f>
        <v>1.415</v>
      </c>
      <c r="J83" s="1251">
        <f>IF(J$9=0,0,J$86-(I$86-I83)*J$9+$Q83)</f>
        <v>-778.71164399932775</v>
      </c>
      <c r="K83" s="1252">
        <f>K$86*(1+$F83)</f>
        <v>9.3333333333333339</v>
      </c>
      <c r="L83" s="1253">
        <f>IF(L$9=0,0,L$86-(K$86-K83)*L$9+$Q83)</f>
        <v>-465.16731309647042</v>
      </c>
      <c r="M83" s="1252">
        <f>M$86*(1+$F83)</f>
        <v>12.058333333333335</v>
      </c>
      <c r="N83" s="1251">
        <f>IF(N$9=0,0,N$86-(M$86-M83)*N$9+$Q83)</f>
        <v>-382.48522712548998</v>
      </c>
      <c r="O83" s="1252">
        <f>O$86*(1+$F83)</f>
        <v>24.9</v>
      </c>
      <c r="P83" s="1253">
        <f>IF(P$9=0,0,P$86-(O$86-O83)*P$9+$Q83)</f>
        <v>-213.50270704784322</v>
      </c>
      <c r="Q83" s="1252">
        <f>Q$86*(1+$F83)</f>
        <v>12.058333333333335</v>
      </c>
      <c r="R83" s="1251">
        <f>IF(R$9=0,0,R$86-(Q$86-Q83)*R$9+$Q83)</f>
        <v>-382.48522712548998</v>
      </c>
      <c r="S83" s="1252">
        <f>S$86*(1+$F83)</f>
        <v>19.491666666666664</v>
      </c>
      <c r="T83" s="1253" t="e">
        <f>IF(T$9=0,0,T$86-(S$86-S83)*T$9+$Q83)</f>
        <v>#REF!</v>
      </c>
      <c r="U83" s="1252">
        <f>U$86*(1+$F83)</f>
        <v>12.766666666666666</v>
      </c>
      <c r="V83" s="3026">
        <f>IF(V$9=0,0,V$86-(U$86-U83)*V$9+$Q83)</f>
        <v>-278.8748857929412</v>
      </c>
      <c r="W83" s="3831">
        <f>W$86*(1+$F83)</f>
        <v>0</v>
      </c>
      <c r="X83" s="3809" t="e">
        <f>IF(X$9=0,0,X$86-(W$86-W83)*X$9+$Q83)</f>
        <v>#REF!</v>
      </c>
      <c r="Y83" s="3032"/>
    </row>
    <row r="84" spans="1:25">
      <c r="A84" s="1232"/>
      <c r="B84" s="1232"/>
      <c r="C84" s="1232"/>
      <c r="D84" s="1244">
        <f t="shared" ref="D84:D89" si="12">D83+1</f>
        <v>57</v>
      </c>
      <c r="F84" s="1243" t="s">
        <v>1088</v>
      </c>
      <c r="H84" s="9" t="s">
        <v>171</v>
      </c>
      <c r="I84" s="1241">
        <f>I$86*(1+$F84)</f>
        <v>2.1225000000000001</v>
      </c>
      <c r="J84" s="1240">
        <f>IF(J$9=0,0,J$86-(I$86-I84)*J$9+$Q84)</f>
        <v>-242.05747733266102</v>
      </c>
      <c r="K84" s="1241">
        <f>K$86*(1+$F84)</f>
        <v>14</v>
      </c>
      <c r="L84" s="1242">
        <f>IF(L$9=0,0,L$86-(K$86-K84)*L$9+$Q84)</f>
        <v>-132.47147976313713</v>
      </c>
      <c r="M84" s="1241">
        <f>M$86*(1+$F84)</f>
        <v>18.087500000000002</v>
      </c>
      <c r="N84" s="1240">
        <f>IF(N$9=0,0,N$86-(M$86-M84)*N$9+$Q84)</f>
        <v>226.46060620784331</v>
      </c>
      <c r="O84" s="1241">
        <f>O$86*(1+$F84)</f>
        <v>37.349999999999994</v>
      </c>
      <c r="P84" s="1242">
        <f>IF(P$9=0,0,P$86-(O$86-O84)*P$9+$Q84)</f>
        <v>290.52645961882331</v>
      </c>
      <c r="Q84" s="1241">
        <f>Q$86*(1+$F84)</f>
        <v>18.087500000000002</v>
      </c>
      <c r="R84" s="1240">
        <f>IF(R$9=0,0,R$86-(Q$86-Q84)*R$9+$Q84)</f>
        <v>226.46060620784331</v>
      </c>
      <c r="S84" s="1241">
        <f>S$86*(1+$F84)</f>
        <v>29.237499999999997</v>
      </c>
      <c r="T84" s="1242" t="e">
        <f>IF(T$9=0,0,T$86-(S$86-S84)*T$9+$Q84)</f>
        <v>#REF!</v>
      </c>
      <c r="U84" s="1241">
        <f>U$86*(1+$F84)</f>
        <v>19.149999999999999</v>
      </c>
      <c r="V84" s="3025">
        <f>IF(V$9=0,0,V$86-(U$86-U84)*V$9+$Q84)</f>
        <v>-49.429052459607874</v>
      </c>
      <c r="W84" s="3832">
        <f>W$86*(1+$F84)</f>
        <v>0</v>
      </c>
      <c r="X84" s="3807" t="e">
        <f>IF(X$9=0,0,X$86-(W$86-W84)*X$9+$Q84)</f>
        <v>#REF!</v>
      </c>
      <c r="Y84" s="3032"/>
    </row>
    <row r="85" spans="1:25">
      <c r="A85" s="1232"/>
      <c r="B85" s="1232"/>
      <c r="C85" s="1232"/>
      <c r="D85" s="1244">
        <f t="shared" si="12"/>
        <v>58</v>
      </c>
      <c r="F85" s="1243" t="s">
        <v>1087</v>
      </c>
      <c r="H85" s="9" t="s">
        <v>171</v>
      </c>
      <c r="I85" s="1241">
        <f>I$86*(1+$F85)</f>
        <v>2.5470000000000002</v>
      </c>
      <c r="J85" s="1240">
        <f>IF(J$9=0,0,J$86-(I$86-I85)*J$9+$Q85)</f>
        <v>79.935022667339041</v>
      </c>
      <c r="K85" s="1241">
        <f>K$86*(1+$F85)</f>
        <v>16.8</v>
      </c>
      <c r="L85" s="1242">
        <f>IF(L$9=0,0,L$86-(K$86-K85)*L$9+$Q85)</f>
        <v>67.146020236862938</v>
      </c>
      <c r="M85" s="1241">
        <f>M$86*(1+$F85)</f>
        <v>21.705000000000005</v>
      </c>
      <c r="N85" s="1240">
        <f>IF(N$9=0,0,N$86-(M$86-M85)*N$9+$Q85)</f>
        <v>591.82810620784369</v>
      </c>
      <c r="O85" s="1241">
        <f>O$86*(1+$F85)</f>
        <v>44.82</v>
      </c>
      <c r="P85" s="1242">
        <f>IF(P$9=0,0,P$86-(O$86-O85)*P$9+$Q85)</f>
        <v>592.94395961882367</v>
      </c>
      <c r="Q85" s="1241">
        <f>Q$86*(1+$F85)</f>
        <v>21.705000000000005</v>
      </c>
      <c r="R85" s="1240">
        <f>IF(R$9=0,0,R$86-(Q$86-Q85)*R$9+$Q85)</f>
        <v>591.82810620784369</v>
      </c>
      <c r="S85" s="1241">
        <f>S$86*(1+$F85)</f>
        <v>35.084999999999994</v>
      </c>
      <c r="T85" s="1242" t="e">
        <f>IF(T$9=0,0,T$86-(S$86-S85)*T$9+$Q85)</f>
        <v>#REF!</v>
      </c>
      <c r="U85" s="1241">
        <f>U$86*(1+$F85)</f>
        <v>22.98</v>
      </c>
      <c r="V85" s="3025">
        <f>IF(V$9=0,0,V$86-(U$86-U85)*V$9+$Q85)</f>
        <v>88.238447540392201</v>
      </c>
      <c r="W85" s="3832">
        <f>W$86*(1+$F85)</f>
        <v>0</v>
      </c>
      <c r="X85" s="3807" t="e">
        <f>IF(X$9=0,0,X$86-(W$86-W85)*X$9+$Q85)</f>
        <v>#REF!</v>
      </c>
      <c r="Y85" s="3032"/>
    </row>
    <row r="86" spans="1:25" ht="15">
      <c r="A86" s="1232"/>
      <c r="B86" s="1232"/>
      <c r="C86" s="1232"/>
      <c r="D86" s="1244">
        <f t="shared" si="12"/>
        <v>59</v>
      </c>
      <c r="E86" s="1250"/>
      <c r="F86" s="1249"/>
      <c r="G86" s="1249"/>
      <c r="H86" s="1248" t="s">
        <v>171</v>
      </c>
      <c r="I86" s="1246">
        <f>J11</f>
        <v>2.83</v>
      </c>
      <c r="J86" s="1245">
        <f>I32</f>
        <v>270.48002266733897</v>
      </c>
      <c r="K86" s="1246">
        <f>L11</f>
        <v>18.666666666666668</v>
      </c>
      <c r="L86" s="1247">
        <f>K32</f>
        <v>176.10768690352961</v>
      </c>
      <c r="M86" s="1246">
        <f>N11</f>
        <v>24.116666666666671</v>
      </c>
      <c r="N86" s="1245">
        <f>M32</f>
        <v>811.28977287451016</v>
      </c>
      <c r="O86" s="1246">
        <f>P11</f>
        <v>49.8</v>
      </c>
      <c r="P86" s="1247">
        <f>O32</f>
        <v>770.43895961882345</v>
      </c>
      <c r="Q86" s="1246">
        <f>R11</f>
        <v>24.116666666666671</v>
      </c>
      <c r="R86" s="1245">
        <f>Q32</f>
        <v>811.28977287451016</v>
      </c>
      <c r="S86" s="1246">
        <f>T11</f>
        <v>38.983333333333327</v>
      </c>
      <c r="T86" s="1247" t="e">
        <f>S32</f>
        <v>#REF!</v>
      </c>
      <c r="U86" s="1246">
        <f>V11</f>
        <v>25.533333333333331</v>
      </c>
      <c r="V86" s="3027">
        <f>U32</f>
        <v>155.90011420705878</v>
      </c>
      <c r="W86" s="3833">
        <f>W11</f>
        <v>0</v>
      </c>
      <c r="X86" s="3808" t="e">
        <f>W32</f>
        <v>#REF!</v>
      </c>
      <c r="Y86" s="3032"/>
    </row>
    <row r="87" spans="1:25">
      <c r="A87" s="1232"/>
      <c r="B87" s="1232"/>
      <c r="C87" s="1232"/>
      <c r="D87" s="1244">
        <f t="shared" si="12"/>
        <v>60</v>
      </c>
      <c r="F87" s="1243" t="s">
        <v>1086</v>
      </c>
      <c r="H87" s="9" t="s">
        <v>171</v>
      </c>
      <c r="I87" s="1241">
        <f>I$86*(1+$F87)</f>
        <v>3.1130000000000004</v>
      </c>
      <c r="J87" s="1240">
        <f>IF(J$9=0,0,J$86-(I$86-I87)*J$9+$Q87)</f>
        <v>509.25835600067262</v>
      </c>
      <c r="K87" s="1241">
        <f>K$86*(1+$F87)</f>
        <v>20.533333333333335</v>
      </c>
      <c r="L87" s="1242">
        <f>IF(L$9=0,0,L$86-(K$86-K87)*L$9+$Q87)</f>
        <v>333.30268690352966</v>
      </c>
      <c r="M87" s="1241">
        <f>M$86*(1+$F87)</f>
        <v>26.52833333333334</v>
      </c>
      <c r="N87" s="1240">
        <f>IF(N$9=0,0,N$86-(M$86-M87)*N$9+$Q87)</f>
        <v>1078.9847728745106</v>
      </c>
      <c r="O87" s="1241">
        <f>O$86*(1+$F87)</f>
        <v>54.78</v>
      </c>
      <c r="P87" s="1242">
        <f>IF(P$9=0,0,P$86-(O$86-O87)*P$9+$Q87)</f>
        <v>996.16729295215691</v>
      </c>
      <c r="Q87" s="1241">
        <f>Q$86*(1+$F87)</f>
        <v>26.52833333333334</v>
      </c>
      <c r="R87" s="1240">
        <f>IF(R$9=0,0,R$86-(Q$86-Q87)*R$9+$Q87)</f>
        <v>1078.9847728745106</v>
      </c>
      <c r="S87" s="1241">
        <f>S$86*(1+$F87)</f>
        <v>42.881666666666661</v>
      </c>
      <c r="T87" s="1242" t="e">
        <f>IF(T$9=0,0,T$86-(S$86-S87)*T$9+$Q87)</f>
        <v>#REF!</v>
      </c>
      <c r="U87" s="1241">
        <f>U$86*(1+$F87)</f>
        <v>28.086666666666666</v>
      </c>
      <c r="V87" s="3025">
        <f>IF(V$9=0,0,V$86-(U$86-U87)*V$9+$Q87)</f>
        <v>271.79511420705882</v>
      </c>
      <c r="W87" s="3832">
        <f>W$86*(1+$F87)</f>
        <v>0</v>
      </c>
      <c r="X87" s="3807" t="e">
        <f>IF(X$9=0,0,X$86-(W$86-W87)*X$9+$Q87)</f>
        <v>#REF!</v>
      </c>
      <c r="Y87" s="3032"/>
    </row>
    <row r="88" spans="1:25">
      <c r="A88" s="1232"/>
      <c r="B88" s="1232"/>
      <c r="C88" s="1232"/>
      <c r="D88" s="1244">
        <f t="shared" si="12"/>
        <v>61</v>
      </c>
      <c r="F88" s="1243" t="s">
        <v>1085</v>
      </c>
      <c r="H88" s="9" t="s">
        <v>171</v>
      </c>
      <c r="I88" s="1241">
        <f>I$86*(1+$F88)</f>
        <v>3.3959999999999999</v>
      </c>
      <c r="J88" s="1240">
        <f>IF(J$9=0,0,J$86-(I$86-I88)*J$9+$Q88)</f>
        <v>723.92002266733891</v>
      </c>
      <c r="K88" s="1241">
        <f>K$86*(1+$F88)</f>
        <v>22.400000000000002</v>
      </c>
      <c r="L88" s="1242">
        <f>IF(L$9=0,0,L$86-(K$86-K88)*L$9+$Q88)</f>
        <v>466.38102023686298</v>
      </c>
      <c r="M88" s="1241">
        <f>M$86*(1+$F88)</f>
        <v>28.940000000000005</v>
      </c>
      <c r="N88" s="1240">
        <f>IF(N$9=0,0,N$86-(M$86-M88)*N$9+$Q88)</f>
        <v>1322.5631062078437</v>
      </c>
      <c r="O88" s="1241">
        <f>O$86*(1+$F88)</f>
        <v>59.759999999999991</v>
      </c>
      <c r="P88" s="1242">
        <f>IF(P$9=0,0,P$86-(O$86-O88)*P$9+$Q88)</f>
        <v>1197.7789596188231</v>
      </c>
      <c r="Q88" s="1241">
        <f>Q$86*(1+$F88)</f>
        <v>28.940000000000005</v>
      </c>
      <c r="R88" s="1240">
        <f>IF(R$9=0,0,R$86-(Q$86-Q88)*R$9+$Q88)</f>
        <v>1322.5631062078437</v>
      </c>
      <c r="S88" s="1241">
        <f>S$86*(1+$F88)</f>
        <v>46.779999999999994</v>
      </c>
      <c r="T88" s="1242" t="e">
        <f>IF(T$9=0,0,T$86-(S$86-S88)*T$9+$Q88)</f>
        <v>#REF!</v>
      </c>
      <c r="U88" s="1241">
        <f>U$86*(1+$F88)</f>
        <v>30.639999999999997</v>
      </c>
      <c r="V88" s="3025">
        <f>IF(V$9=0,0,V$86-(U$86-U88)*V$9+$Q88)</f>
        <v>363.57344754039207</v>
      </c>
      <c r="W88" s="3832">
        <f>W$86*(1+$F88)</f>
        <v>0</v>
      </c>
      <c r="X88" s="3807" t="e">
        <f>IF(X$9=0,0,X$86-(W$86-W88)*X$9+$Q88)</f>
        <v>#REF!</v>
      </c>
      <c r="Y88" s="3032"/>
    </row>
    <row r="89" spans="1:25">
      <c r="A89" s="1232"/>
      <c r="B89" s="1232"/>
      <c r="C89" s="1232"/>
      <c r="D89" s="1239">
        <f t="shared" si="12"/>
        <v>62</v>
      </c>
      <c r="E89" s="1238"/>
      <c r="F89" s="1237" t="s">
        <v>1084</v>
      </c>
      <c r="G89" s="8"/>
      <c r="H89" s="1236" t="s">
        <v>171</v>
      </c>
      <c r="I89" s="1234">
        <f>I$86*(1+$F89)</f>
        <v>4.2450000000000001</v>
      </c>
      <c r="J89" s="1233">
        <f>IF(J$9=0,0,J$86-(I$86-I89)*J$9+$Q89)</f>
        <v>1367.9050226673389</v>
      </c>
      <c r="K89" s="1234">
        <f>K$86*(1+$F89)</f>
        <v>28</v>
      </c>
      <c r="L89" s="1235">
        <f>IF(L$9=0,0,L$86-(K$86-K89)*L$9+$Q89)</f>
        <v>865.61602023686282</v>
      </c>
      <c r="M89" s="1234">
        <f>M$86*(1+$F89)</f>
        <v>36.175000000000004</v>
      </c>
      <c r="N89" s="1233">
        <f>IF(N$9=0,0,N$86-(M$86-M89)*N$9+$Q89)</f>
        <v>2053.2981062078434</v>
      </c>
      <c r="O89" s="1234">
        <f>O$86*(1+$F89)</f>
        <v>74.699999999999989</v>
      </c>
      <c r="P89" s="1235">
        <f>IF(P$9=0,0,P$86-(O$86-O89)*P$9+$Q89)</f>
        <v>1802.6139596188229</v>
      </c>
      <c r="Q89" s="1234">
        <f>Q$86*(1+$F89)</f>
        <v>36.175000000000004</v>
      </c>
      <c r="R89" s="1233">
        <f>IF(R$9=0,0,R$86-(Q$86-Q89)*R$9+$Q89)</f>
        <v>2053.2981062078434</v>
      </c>
      <c r="S89" s="1234">
        <f>S$86*(1+$F89)</f>
        <v>58.474999999999994</v>
      </c>
      <c r="T89" s="1235" t="e">
        <f>IF(T$9=0,0,T$86-(S$86-S89)*T$9+$Q89)</f>
        <v>#REF!</v>
      </c>
      <c r="U89" s="1234">
        <f>U$86*(1+$F89)</f>
        <v>38.299999999999997</v>
      </c>
      <c r="V89" s="1233">
        <f>IF(V$9=0,0,V$86-(U$86-U89)*V$9+$Q89)</f>
        <v>638.90844754039199</v>
      </c>
      <c r="W89" s="3834">
        <f>W$86*(1+$F89)</f>
        <v>0</v>
      </c>
      <c r="X89" s="1233" t="e">
        <f>IF(X$9=0,0,X$86-(W$86-W89)*X$9+$Q89)</f>
        <v>#REF!</v>
      </c>
      <c r="Y89" s="3032"/>
    </row>
    <row r="90" spans="1:25">
      <c r="A90" s="1232"/>
      <c r="B90" s="1232"/>
      <c r="C90" s="1232"/>
      <c r="D90" s="1232"/>
      <c r="E90" s="1232"/>
      <c r="F90" s="1232"/>
      <c r="G90" s="1232"/>
      <c r="H90" s="1232"/>
      <c r="I90" s="1232"/>
      <c r="J90" s="1232"/>
      <c r="K90" s="1232"/>
      <c r="L90" s="1232"/>
      <c r="M90" s="1232"/>
      <c r="N90" s="1232"/>
      <c r="O90" s="1232"/>
      <c r="P90" s="1232"/>
      <c r="Q90" s="1232"/>
      <c r="R90" s="1232"/>
      <c r="S90" s="1232"/>
      <c r="T90" s="1232"/>
      <c r="U90" s="1232"/>
      <c r="V90" s="1232"/>
      <c r="W90" s="3817"/>
      <c r="X90" s="3817"/>
      <c r="Y90" s="3032"/>
    </row>
    <row r="91" spans="1:25" ht="13.15" hidden="1" customHeight="1">
      <c r="B91" s="1195"/>
      <c r="D91" s="1194"/>
      <c r="E91" s="1190"/>
      <c r="F91" s="1190"/>
      <c r="G91" s="1190"/>
      <c r="H91" s="1192"/>
      <c r="I91" s="1191"/>
      <c r="J91" s="1190"/>
      <c r="K91" s="1190"/>
      <c r="L91" s="1190"/>
      <c r="M91" s="1190"/>
      <c r="N91" s="1190"/>
      <c r="O91" s="1190"/>
      <c r="P91" s="1190"/>
      <c r="Q91" s="1190"/>
      <c r="R91" s="1190"/>
      <c r="S91" s="1190"/>
      <c r="T91" s="1190"/>
      <c r="U91" s="1190"/>
      <c r="V91" s="1190"/>
      <c r="W91" s="3835"/>
      <c r="X91" s="3835"/>
      <c r="Y91" s="3032"/>
    </row>
    <row r="92" spans="1:25" ht="6" hidden="1" customHeight="1">
      <c r="B92" s="1195"/>
      <c r="D92" s="1231"/>
      <c r="E92" s="1230"/>
      <c r="F92" s="1230"/>
      <c r="G92" s="1230"/>
      <c r="H92" s="1229"/>
      <c r="I92" s="1228"/>
      <c r="J92" s="1227"/>
      <c r="K92" s="1226"/>
      <c r="L92" s="1226"/>
      <c r="M92" s="1225"/>
      <c r="N92" s="1224"/>
      <c r="O92" s="1226"/>
      <c r="P92" s="1226"/>
      <c r="Q92" s="1225"/>
      <c r="R92" s="1224"/>
      <c r="S92" s="1226"/>
      <c r="T92" s="1226"/>
      <c r="U92" s="1225"/>
      <c r="V92" s="1230"/>
      <c r="W92" s="3836"/>
      <c r="X92" s="3837"/>
      <c r="Y92" s="3032"/>
    </row>
    <row r="93" spans="1:25" ht="19.899999999999999" hidden="1" customHeight="1">
      <c r="B93" s="1195"/>
      <c r="D93" s="1204">
        <v>61</v>
      </c>
      <c r="E93" s="1216" t="s">
        <v>1083</v>
      </c>
      <c r="H93" s="22" t="s">
        <v>171</v>
      </c>
      <c r="I93" s="4626" t="e">
        <f>IF(J9=0,0,HLOOKUP($Q$229,Daten!$D$2:AI35,34))</f>
        <v>#N/A</v>
      </c>
      <c r="J93" s="4762"/>
      <c r="K93" s="4661" t="e">
        <f>IF(L9=0,0,HLOOKUP($Q$229,Daten!$AJ$2:BO35,34))</f>
        <v>#N/A</v>
      </c>
      <c r="L93" s="4662"/>
      <c r="M93" s="4626" t="e">
        <f>IF(N9=0,0,HLOOKUP($Q$229,Daten!$BP$2:CT35,34))</f>
        <v>#N/A</v>
      </c>
      <c r="N93" s="4746"/>
      <c r="O93" s="4661" t="e">
        <f>IF(P9=0,0,HLOOKUP($Q$229,Daten!$BP$2:CU35,34))</f>
        <v>#N/A</v>
      </c>
      <c r="P93" s="4662"/>
      <c r="Q93" s="4626" t="e">
        <f>IF(R9=0,0,HLOOKUP($Q$229,Daten!$BP$2:CU35,34))</f>
        <v>#N/A</v>
      </c>
      <c r="R93" s="4746"/>
      <c r="S93" s="4661" t="e">
        <f>IF(T9=0,0,HLOOKUP($Q$229,Daten!$BP$2:CU35,34))</f>
        <v>#N/A</v>
      </c>
      <c r="T93" s="4662"/>
      <c r="U93" s="4626" t="e">
        <f>IF(V9=0,0,HLOOKUP($Q$229,Daten!$BP$2:CU35,34))</f>
        <v>#N/A</v>
      </c>
      <c r="V93" s="4627"/>
      <c r="W93" s="4634" t="e">
        <f>IF(X9=0,0,HLOOKUP($Q$229,Daten!$BP$2:CU35,34))</f>
        <v>#N/A</v>
      </c>
      <c r="X93" s="4789"/>
      <c r="Y93" s="3032"/>
    </row>
    <row r="94" spans="1:25" ht="19.899999999999999" hidden="1" customHeight="1">
      <c r="B94" s="1195"/>
      <c r="D94" s="1204"/>
      <c r="F94" s="1223" t="s">
        <v>204</v>
      </c>
      <c r="G94" s="4" t="s">
        <v>1081</v>
      </c>
      <c r="I94" s="1208"/>
      <c r="J94" s="1207"/>
      <c r="K94" s="1206"/>
      <c r="L94" s="1206"/>
      <c r="M94" s="1065"/>
      <c r="N94" s="1205"/>
      <c r="O94" s="1206"/>
      <c r="P94" s="1206"/>
      <c r="Q94" s="1065"/>
      <c r="R94" s="1205"/>
      <c r="S94" s="1206"/>
      <c r="T94" s="1206"/>
      <c r="U94" s="1065"/>
      <c r="W94" s="1068"/>
      <c r="X94" s="3838"/>
      <c r="Y94" s="3032"/>
    </row>
    <row r="95" spans="1:25" ht="3.4" hidden="1" customHeight="1">
      <c r="B95" s="1195"/>
      <c r="D95" s="1204"/>
      <c r="I95" s="1208"/>
      <c r="J95" s="1207"/>
      <c r="K95" s="1206"/>
      <c r="L95" s="1206"/>
      <c r="M95" s="1065"/>
      <c r="N95" s="1205"/>
      <c r="O95" s="1206"/>
      <c r="P95" s="1206"/>
      <c r="Q95" s="1065"/>
      <c r="R95" s="1205"/>
      <c r="S95" s="1206"/>
      <c r="T95" s="1206"/>
      <c r="U95" s="1065"/>
      <c r="W95" s="1068"/>
      <c r="X95" s="3838"/>
      <c r="Y95" s="3032"/>
    </row>
    <row r="96" spans="1:25" ht="3.4" hidden="1" customHeight="1">
      <c r="B96" s="1195"/>
      <c r="D96" s="1204"/>
      <c r="E96" s="1222"/>
      <c r="F96" s="1222"/>
      <c r="G96" s="1222"/>
      <c r="H96" s="1189"/>
      <c r="I96" s="1221"/>
      <c r="J96" s="1220"/>
      <c r="K96" s="1219"/>
      <c r="L96" s="1219"/>
      <c r="M96" s="1218"/>
      <c r="N96" s="1217"/>
      <c r="O96" s="1219"/>
      <c r="P96" s="1219"/>
      <c r="Q96" s="1218"/>
      <c r="R96" s="1217"/>
      <c r="S96" s="1219"/>
      <c r="T96" s="1219"/>
      <c r="U96" s="1218"/>
      <c r="V96" s="1222"/>
      <c r="W96" s="3839"/>
      <c r="X96" s="3840"/>
      <c r="Y96" s="3032"/>
    </row>
    <row r="97" spans="1:25" ht="19.899999999999999" hidden="1" customHeight="1">
      <c r="B97" s="1195"/>
      <c r="D97" s="1204">
        <v>62</v>
      </c>
      <c r="E97" s="1216" t="s">
        <v>1082</v>
      </c>
      <c r="H97" s="22" t="s">
        <v>171</v>
      </c>
      <c r="I97" s="4626">
        <f>I50</f>
        <v>-557.47535219099018</v>
      </c>
      <c r="J97" s="4762"/>
      <c r="K97" s="4661">
        <f>K50</f>
        <v>-639.00003750273117</v>
      </c>
      <c r="L97" s="4662"/>
      <c r="M97" s="4626">
        <f>M50</f>
        <v>24.554083954975795</v>
      </c>
      <c r="N97" s="4746"/>
      <c r="O97" s="4661">
        <f>O50</f>
        <v>-60.009032817845309</v>
      </c>
      <c r="P97" s="4662"/>
      <c r="Q97" s="4626">
        <f>Q50</f>
        <v>24.554083954975795</v>
      </c>
      <c r="R97" s="4746"/>
      <c r="S97" s="4661" t="e">
        <f>S50</f>
        <v>#REF!</v>
      </c>
      <c r="T97" s="4662"/>
      <c r="U97" s="4626">
        <f>U50</f>
        <v>-615.54626007914692</v>
      </c>
      <c r="V97" s="4627"/>
      <c r="W97" s="4634" t="e">
        <f>W50</f>
        <v>#REF!</v>
      </c>
      <c r="X97" s="4789"/>
      <c r="Y97" s="3032"/>
    </row>
    <row r="98" spans="1:25" ht="19.899999999999999" hidden="1" customHeight="1">
      <c r="B98" s="1195"/>
      <c r="D98" s="1204"/>
      <c r="E98" s="1215"/>
      <c r="F98" s="8">
        <f>H2</f>
        <v>0</v>
      </c>
      <c r="G98" s="8" t="s">
        <v>1081</v>
      </c>
      <c r="H98" s="1214"/>
      <c r="I98" s="4747"/>
      <c r="J98" s="4748"/>
      <c r="K98" s="4722"/>
      <c r="L98" s="4723"/>
      <c r="M98" s="4747"/>
      <c r="N98" s="4749"/>
      <c r="O98" s="4722"/>
      <c r="P98" s="4723"/>
      <c r="Q98" s="4747"/>
      <c r="R98" s="4749"/>
      <c r="S98" s="4722"/>
      <c r="T98" s="4723"/>
      <c r="U98" s="4747"/>
      <c r="V98" s="4775"/>
      <c r="W98" s="4790"/>
      <c r="X98" s="4791"/>
      <c r="Y98" s="3032"/>
    </row>
    <row r="99" spans="1:25" ht="19.899999999999999" hidden="1" customHeight="1">
      <c r="B99" s="1195"/>
      <c r="D99" s="1204">
        <v>63</v>
      </c>
      <c r="E99" s="23" t="s">
        <v>1080</v>
      </c>
      <c r="G99" s="1213" t="s">
        <v>1079</v>
      </c>
      <c r="H99" s="1140" t="s">
        <v>171</v>
      </c>
      <c r="I99" s="4773" t="e">
        <f>I97-I93</f>
        <v>#N/A</v>
      </c>
      <c r="J99" s="4774"/>
      <c r="K99" s="4672" t="e">
        <f>K97-K93</f>
        <v>#N/A</v>
      </c>
      <c r="L99" s="4673"/>
      <c r="M99" s="4706" t="e">
        <f>M97-M93</f>
        <v>#N/A</v>
      </c>
      <c r="N99" s="4707"/>
      <c r="O99" s="4672" t="e">
        <f>O97-O93</f>
        <v>#N/A</v>
      </c>
      <c r="P99" s="4673"/>
      <c r="Q99" s="4706" t="e">
        <f>Q97-Q93</f>
        <v>#N/A</v>
      </c>
      <c r="R99" s="4707"/>
      <c r="S99" s="4672" t="e">
        <f>S97-S93</f>
        <v>#REF!</v>
      </c>
      <c r="T99" s="4673"/>
      <c r="U99" s="4706" t="e">
        <f>U97-U93</f>
        <v>#N/A</v>
      </c>
      <c r="V99" s="4776"/>
      <c r="W99" s="4792" t="e">
        <f>W97-W93</f>
        <v>#REF!</v>
      </c>
      <c r="X99" s="4793"/>
      <c r="Y99" s="3032"/>
    </row>
    <row r="100" spans="1:25" ht="1.1499999999999999" hidden="1" customHeight="1">
      <c r="B100" s="1195"/>
      <c r="D100" s="1204"/>
      <c r="E100" s="1212"/>
      <c r="F100" s="1211"/>
      <c r="G100" s="1211"/>
      <c r="H100" s="1210"/>
      <c r="I100" s="4708"/>
      <c r="J100" s="4763"/>
      <c r="K100" s="4674"/>
      <c r="L100" s="4675"/>
      <c r="M100" s="4708"/>
      <c r="N100" s="4709"/>
      <c r="O100" s="4674"/>
      <c r="P100" s="4675"/>
      <c r="Q100" s="4708"/>
      <c r="R100" s="4709"/>
      <c r="S100" s="4674"/>
      <c r="T100" s="4675"/>
      <c r="U100" s="4708"/>
      <c r="V100" s="4777"/>
      <c r="W100" s="4708"/>
      <c r="X100" s="4709"/>
      <c r="Y100" s="3032"/>
    </row>
    <row r="101" spans="1:25" ht="19.899999999999999" hidden="1" customHeight="1">
      <c r="B101" s="1195"/>
      <c r="D101" s="1204"/>
      <c r="E101" s="23" t="s">
        <v>1078</v>
      </c>
      <c r="I101" s="1208"/>
      <c r="J101" s="1209"/>
      <c r="K101" s="1206"/>
      <c r="L101" s="1206"/>
      <c r="M101" s="1065"/>
      <c r="N101" s="1205"/>
      <c r="O101" s="1206"/>
      <c r="P101" s="1206"/>
      <c r="Q101" s="1065"/>
      <c r="R101" s="1205"/>
      <c r="S101" s="1206"/>
      <c r="T101" s="1206"/>
      <c r="U101" s="1065"/>
      <c r="W101" s="1068"/>
      <c r="X101" s="3838"/>
      <c r="Y101" s="3032"/>
    </row>
    <row r="102" spans="1:25" ht="18" hidden="1" customHeight="1">
      <c r="B102" s="1195"/>
      <c r="D102" s="1204">
        <v>64</v>
      </c>
      <c r="E102" s="1065"/>
      <c r="F102" s="78">
        <f>H2</f>
        <v>0</v>
      </c>
      <c r="H102" s="22" t="s">
        <v>228</v>
      </c>
      <c r="I102" s="4600" t="e">
        <f>IF(J9=0,0,(J12/J10)+(I99/J10*-1))</f>
        <v>#N/A</v>
      </c>
      <c r="J102" s="4766"/>
      <c r="K102" s="4676" t="e">
        <f>IF(L9=0,0,(L12/L10)+(K99/L10*-1))</f>
        <v>#N/A</v>
      </c>
      <c r="L102" s="4677"/>
      <c r="M102" s="4600" t="e">
        <f>IF(N9=0,0,(N12/N10)+(M99/N10*-1))</f>
        <v>#N/A</v>
      </c>
      <c r="N102" s="4710"/>
      <c r="O102" s="4676" t="e">
        <f>IF(P9=0,0,(P12/P10)+(O99/P10*-1))</f>
        <v>#N/A</v>
      </c>
      <c r="P102" s="4677"/>
      <c r="Q102" s="4600" t="e">
        <f>IF(R9=0,0,(R12/R10)+(Q99/R10*-1))</f>
        <v>#N/A</v>
      </c>
      <c r="R102" s="4710"/>
      <c r="S102" s="4676" t="e">
        <f>IF(T9=0,0,(T12/T10)+(S99/T10*-1))</f>
        <v>#REF!</v>
      </c>
      <c r="T102" s="4677"/>
      <c r="U102" s="4600" t="e">
        <f>IF(V9=0,0,(V12/V10)+(U99/V10*-1))</f>
        <v>#N/A</v>
      </c>
      <c r="V102" s="4601"/>
      <c r="W102" s="4794" t="e">
        <f>IF(X9=0,0,(W12/X10)+(W99/X10*-1))</f>
        <v>#REF!</v>
      </c>
      <c r="X102" s="4795"/>
      <c r="Y102" s="3032"/>
    </row>
    <row r="103" spans="1:25" ht="10.15" hidden="1" customHeight="1">
      <c r="B103" s="1195"/>
      <c r="D103" s="1204"/>
      <c r="E103" s="1065"/>
      <c r="I103" s="1208"/>
      <c r="J103" s="1207"/>
      <c r="K103" s="1206"/>
      <c r="L103" s="1206"/>
      <c r="M103" s="1065"/>
      <c r="N103" s="1205"/>
      <c r="O103" s="1206"/>
      <c r="P103" s="1206"/>
      <c r="Q103" s="1065"/>
      <c r="R103" s="1205"/>
      <c r="S103" s="1206"/>
      <c r="T103" s="1206"/>
      <c r="U103" s="1065"/>
      <c r="W103" s="1068"/>
      <c r="X103" s="3838"/>
      <c r="Y103" s="3032"/>
    </row>
    <row r="104" spans="1:25" ht="10.15" hidden="1" customHeight="1">
      <c r="B104" s="1195"/>
      <c r="D104" s="1204"/>
      <c r="I104" s="1208"/>
      <c r="J104" s="1207"/>
      <c r="K104" s="1206"/>
      <c r="L104" s="1206"/>
      <c r="M104" s="1065"/>
      <c r="N104" s="1205"/>
      <c r="O104" s="1206"/>
      <c r="P104" s="1206"/>
      <c r="Q104" s="1065"/>
      <c r="R104" s="1205"/>
      <c r="S104" s="1206"/>
      <c r="T104" s="1206"/>
      <c r="U104" s="1065"/>
      <c r="W104" s="1068"/>
      <c r="X104" s="3838"/>
      <c r="Y104" s="3032"/>
    </row>
    <row r="105" spans="1:25" ht="10.15" hidden="1" customHeight="1">
      <c r="B105" s="1195"/>
      <c r="D105" s="1204"/>
      <c r="E105" s="23"/>
      <c r="I105" s="1208"/>
      <c r="J105" s="1207"/>
      <c r="K105" s="1206"/>
      <c r="L105" s="1206"/>
      <c r="M105" s="1065"/>
      <c r="N105" s="1205"/>
      <c r="O105" s="1206"/>
      <c r="P105" s="1206"/>
      <c r="Q105" s="1065"/>
      <c r="R105" s="1205"/>
      <c r="S105" s="1206"/>
      <c r="T105" s="1206"/>
      <c r="U105" s="1065"/>
      <c r="W105" s="1068"/>
      <c r="X105" s="3838"/>
      <c r="Y105" s="3032"/>
    </row>
    <row r="106" spans="1:25" ht="10.15" hidden="1" customHeight="1">
      <c r="B106" s="1195"/>
      <c r="D106" s="1204"/>
      <c r="F106" s="78"/>
      <c r="G106" s="126"/>
      <c r="H106" s="22"/>
      <c r="I106" s="4602"/>
      <c r="J106" s="4767"/>
      <c r="K106" s="4663"/>
      <c r="L106" s="4664"/>
      <c r="M106" s="4602"/>
      <c r="N106" s="4711"/>
      <c r="O106" s="4663"/>
      <c r="P106" s="4664"/>
      <c r="Q106" s="4602"/>
      <c r="R106" s="4711"/>
      <c r="S106" s="4663"/>
      <c r="T106" s="4664"/>
      <c r="U106" s="4602"/>
      <c r="V106" s="4603"/>
      <c r="W106" s="4796"/>
      <c r="X106" s="4797"/>
      <c r="Y106" s="3032"/>
    </row>
    <row r="107" spans="1:25" ht="5.0999999999999996" hidden="1" customHeight="1" thickBot="1">
      <c r="B107" s="1195"/>
      <c r="D107" s="1203"/>
      <c r="E107" s="1202"/>
      <c r="F107" s="1202"/>
      <c r="G107" s="1202"/>
      <c r="H107" s="1201"/>
      <c r="I107" s="1200"/>
      <c r="J107" s="1199"/>
      <c r="K107" s="1198"/>
      <c r="L107" s="1198"/>
      <c r="M107" s="1197"/>
      <c r="N107" s="1196"/>
      <c r="O107" s="1198"/>
      <c r="P107" s="1198"/>
      <c r="Q107" s="1197"/>
      <c r="R107" s="1196"/>
      <c r="S107" s="1198"/>
      <c r="T107" s="1198"/>
      <c r="U107" s="1197"/>
      <c r="V107" s="1202"/>
      <c r="W107" s="3841"/>
      <c r="X107" s="3842"/>
      <c r="Y107" s="3032"/>
    </row>
    <row r="108" spans="1:25" ht="10.15" hidden="1" customHeight="1">
      <c r="B108" s="1195"/>
      <c r="D108" s="1194"/>
      <c r="E108" s="1190"/>
      <c r="F108" s="1190"/>
      <c r="G108" s="1190"/>
      <c r="H108" s="1192"/>
      <c r="I108" s="1191"/>
      <c r="J108" s="1190"/>
      <c r="K108" s="1190"/>
      <c r="L108" s="1190"/>
      <c r="M108" s="1190"/>
      <c r="N108" s="1190"/>
      <c r="O108" s="1190"/>
      <c r="P108" s="1190"/>
      <c r="Q108" s="1190"/>
      <c r="R108" s="1190"/>
      <c r="S108" s="1190"/>
      <c r="T108" s="1190"/>
      <c r="U108" s="1190"/>
      <c r="V108" s="1190"/>
      <c r="W108" s="3835"/>
      <c r="X108" s="3835"/>
      <c r="Y108" s="3032"/>
    </row>
    <row r="109" spans="1:25" ht="13.15" hidden="1" customHeight="1">
      <c r="B109" s="1195"/>
      <c r="D109" s="1194"/>
      <c r="E109" s="1193" t="s">
        <v>1077</v>
      </c>
      <c r="F109" s="1190"/>
      <c r="G109" s="1190"/>
      <c r="H109" s="1192"/>
      <c r="I109" s="1191"/>
      <c r="J109" s="1190"/>
      <c r="K109" s="1190"/>
      <c r="L109" s="1190"/>
      <c r="M109" s="1190"/>
      <c r="N109" s="1190"/>
      <c r="O109" s="1190"/>
      <c r="P109" s="1190"/>
      <c r="Q109" s="1190"/>
      <c r="R109" s="1190"/>
      <c r="S109" s="1190"/>
      <c r="T109" s="1190"/>
      <c r="U109" s="1190"/>
      <c r="V109" s="1190"/>
      <c r="W109" s="3835"/>
      <c r="X109" s="3835"/>
      <c r="Y109" s="3032"/>
    </row>
    <row r="110" spans="1:25" ht="13.15" hidden="1" customHeight="1">
      <c r="E110" s="126"/>
      <c r="Y110" s="3032"/>
    </row>
    <row r="111" spans="1:25">
      <c r="A111" s="3035"/>
      <c r="B111" s="3035"/>
      <c r="C111" s="3035"/>
      <c r="D111" s="3041"/>
      <c r="E111" s="3042"/>
      <c r="F111" s="3032"/>
      <c r="G111" s="3032"/>
      <c r="H111" s="3043"/>
      <c r="I111" s="3044"/>
      <c r="J111" s="3032"/>
      <c r="K111" s="3032"/>
      <c r="L111" s="3032"/>
      <c r="M111" s="3032"/>
      <c r="N111" s="3032"/>
      <c r="O111" s="3032"/>
      <c r="P111" s="3032"/>
      <c r="Q111" s="3032"/>
      <c r="R111" s="3032"/>
      <c r="S111" s="3032"/>
      <c r="T111" s="3032"/>
      <c r="U111" s="3032"/>
      <c r="V111" s="3032"/>
      <c r="W111" s="3843"/>
      <c r="X111" s="3843"/>
      <c r="Y111" s="3032"/>
    </row>
    <row r="112" spans="1:25">
      <c r="A112" s="3035"/>
      <c r="B112" s="3035"/>
      <c r="C112" s="3035"/>
      <c r="D112" s="3041"/>
      <c r="E112" s="3042"/>
      <c r="F112" s="3032"/>
      <c r="G112" s="3032"/>
      <c r="H112" s="3043"/>
      <c r="I112" s="3044"/>
      <c r="J112" s="3032"/>
      <c r="K112" s="3032"/>
      <c r="L112" s="3032"/>
      <c r="M112" s="3032"/>
      <c r="N112" s="3032"/>
      <c r="O112" s="3032"/>
      <c r="P112" s="3032"/>
      <c r="Q112" s="3032"/>
      <c r="R112" s="3032"/>
      <c r="S112" s="3032"/>
      <c r="T112" s="3032"/>
      <c r="U112" s="3032"/>
      <c r="V112" s="3032"/>
      <c r="W112" s="3843"/>
      <c r="X112" s="3843"/>
      <c r="Y112" s="3032"/>
    </row>
    <row r="113" spans="1:25">
      <c r="A113" s="3035"/>
      <c r="B113" s="3035"/>
      <c r="C113" s="3035"/>
      <c r="D113" s="4764" t="s">
        <v>990</v>
      </c>
      <c r="E113" s="4765"/>
      <c r="F113" s="4765"/>
      <c r="G113" s="3054"/>
      <c r="H113" s="1189"/>
      <c r="I113" s="4761"/>
      <c r="J113" s="4761"/>
      <c r="K113" s="4761"/>
      <c r="L113" s="4761"/>
      <c r="M113" s="4761"/>
      <c r="N113" s="4761"/>
      <c r="O113" s="3049"/>
      <c r="P113" s="3050"/>
      <c r="Q113" s="3049"/>
      <c r="R113" s="3050"/>
      <c r="S113" s="3049"/>
      <c r="T113" s="3050"/>
      <c r="U113" s="3049"/>
      <c r="V113" s="3051"/>
      <c r="W113" s="3844"/>
      <c r="X113" s="3845"/>
      <c r="Y113" s="3032"/>
    </row>
    <row r="114" spans="1:25">
      <c r="A114" s="3035"/>
      <c r="B114" s="3035"/>
      <c r="C114" s="3035"/>
      <c r="D114" s="1188"/>
      <c r="E114" s="1187"/>
      <c r="F114" s="1187"/>
      <c r="G114" s="3022"/>
      <c r="H114" s="1186"/>
      <c r="I114" s="4604" t="str">
        <f>I2</f>
        <v xml:space="preserve">Zuckerrüben </v>
      </c>
      <c r="J114" s="4665"/>
      <c r="K114" s="4604" t="str">
        <f>K2</f>
        <v>Wintergerste</v>
      </c>
      <c r="L114" s="4665"/>
      <c r="M114" s="4604" t="str">
        <f>M2</f>
        <v xml:space="preserve">Körnermais </v>
      </c>
      <c r="N114" s="4604"/>
      <c r="O114" s="4604" t="str">
        <f>O2</f>
        <v>Winterraps</v>
      </c>
      <c r="P114" s="4665"/>
      <c r="Q114" s="4604" t="str">
        <f>Q2</f>
        <v xml:space="preserve">Körnermais </v>
      </c>
      <c r="R114" s="4604"/>
      <c r="S114" s="4604" t="str">
        <f>S2</f>
        <v xml:space="preserve">Öko-Körnermais </v>
      </c>
      <c r="T114" s="4665"/>
      <c r="U114" s="4604" t="str">
        <f>U2</f>
        <v xml:space="preserve">Ackerbohnen </v>
      </c>
      <c r="V114" s="4605"/>
      <c r="W114" s="4800"/>
      <c r="X114" s="4800"/>
      <c r="Y114" s="3032"/>
    </row>
    <row r="115" spans="1:25" ht="15">
      <c r="A115" s="3035"/>
      <c r="B115" s="3035"/>
      <c r="C115" s="3035"/>
      <c r="D115" s="4726" t="s">
        <v>1076</v>
      </c>
      <c r="E115" s="4727"/>
      <c r="F115" s="4727"/>
      <c r="G115" s="4727"/>
      <c r="H115" s="1185"/>
      <c r="I115" s="4779" t="s">
        <v>179</v>
      </c>
      <c r="J115" s="4780"/>
      <c r="K115" s="4666" t="s">
        <v>152</v>
      </c>
      <c r="L115" s="4667"/>
      <c r="M115" s="4606" t="s">
        <v>178</v>
      </c>
      <c r="N115" s="4607"/>
      <c r="O115" s="4666" t="s">
        <v>178</v>
      </c>
      <c r="P115" s="4667"/>
      <c r="Q115" s="4606" t="s">
        <v>178</v>
      </c>
      <c r="R115" s="4607"/>
      <c r="S115" s="4666" t="s">
        <v>178</v>
      </c>
      <c r="T115" s="4667"/>
      <c r="U115" s="4606" t="s">
        <v>178</v>
      </c>
      <c r="V115" s="4607"/>
      <c r="W115" s="4801"/>
      <c r="X115" s="4802"/>
      <c r="Y115" s="3032"/>
    </row>
    <row r="116" spans="1:25" ht="15">
      <c r="A116" s="3035"/>
      <c r="B116" s="3035"/>
      <c r="C116" s="3035"/>
      <c r="D116" s="1184"/>
      <c r="E116" s="17"/>
      <c r="F116" s="1183"/>
      <c r="G116" s="1181"/>
      <c r="H116" s="1182"/>
      <c r="J116" s="1181"/>
      <c r="K116" s="1180"/>
      <c r="L116" s="1179"/>
      <c r="M116" s="17"/>
      <c r="N116" s="1178"/>
      <c r="O116" s="1180"/>
      <c r="P116" s="1179"/>
      <c r="Q116" s="17"/>
      <c r="R116" s="1178"/>
      <c r="S116" s="1180"/>
      <c r="T116" s="1179"/>
      <c r="U116" s="3052"/>
      <c r="V116" s="1178"/>
      <c r="X116" s="3846"/>
      <c r="Y116" s="3032"/>
    </row>
    <row r="117" spans="1:25" ht="15" customHeight="1">
      <c r="A117" s="3035"/>
      <c r="B117" s="3035"/>
      <c r="C117" s="3047" t="s">
        <v>176</v>
      </c>
      <c r="D117" s="4768" t="s">
        <v>176</v>
      </c>
      <c r="E117" s="4769"/>
      <c r="F117" s="4769"/>
      <c r="G117" s="4769"/>
      <c r="H117" s="1177" t="s">
        <v>172</v>
      </c>
      <c r="I117" s="4778">
        <f>J9</f>
        <v>750</v>
      </c>
      <c r="J117" s="4778"/>
      <c r="K117" s="4668">
        <f>L9</f>
        <v>70</v>
      </c>
      <c r="L117" s="4669"/>
      <c r="M117" s="4608">
        <f>N9</f>
        <v>100</v>
      </c>
      <c r="N117" s="4609"/>
      <c r="O117" s="4668">
        <f>P9</f>
        <v>40</v>
      </c>
      <c r="P117" s="4669"/>
      <c r="Q117" s="4608">
        <f>R9</f>
        <v>100</v>
      </c>
      <c r="R117" s="4609"/>
      <c r="S117" s="4668">
        <f>T9</f>
        <v>100</v>
      </c>
      <c r="T117" s="4669"/>
      <c r="U117" s="4608">
        <f>V9</f>
        <v>35</v>
      </c>
      <c r="V117" s="4609"/>
      <c r="W117" s="4803">
        <f>X9</f>
        <v>240</v>
      </c>
      <c r="X117" s="4804"/>
      <c r="Y117" s="3032"/>
    </row>
    <row r="118" spans="1:25">
      <c r="A118" s="3035"/>
      <c r="B118" s="3035"/>
      <c r="C118" s="3048"/>
      <c r="D118" s="4770" t="s">
        <v>1075</v>
      </c>
      <c r="E118" s="4771"/>
      <c r="F118" s="4771"/>
      <c r="G118" s="4771"/>
      <c r="H118" s="1176" t="s">
        <v>228</v>
      </c>
      <c r="I118" s="4760">
        <f>J11</f>
        <v>2.83</v>
      </c>
      <c r="J118" s="4760"/>
      <c r="K118" s="4670">
        <f>L11</f>
        <v>18.666666666666668</v>
      </c>
      <c r="L118" s="4671"/>
      <c r="M118" s="4610">
        <f>N11</f>
        <v>24.116666666666671</v>
      </c>
      <c r="N118" s="4611"/>
      <c r="O118" s="4670">
        <f>P11</f>
        <v>49.8</v>
      </c>
      <c r="P118" s="4671"/>
      <c r="Q118" s="4610">
        <f>R11</f>
        <v>24.116666666666671</v>
      </c>
      <c r="R118" s="4611"/>
      <c r="S118" s="4670">
        <f>T11</f>
        <v>38.983333333333327</v>
      </c>
      <c r="T118" s="4671"/>
      <c r="U118" s="4610">
        <f>V11</f>
        <v>25.533333333333331</v>
      </c>
      <c r="V118" s="4611"/>
      <c r="W118" s="4805">
        <f>W11</f>
        <v>0</v>
      </c>
      <c r="X118" s="4806"/>
      <c r="Y118" s="3032"/>
    </row>
    <row r="119" spans="1:25">
      <c r="A119" s="3035"/>
      <c r="B119" s="3035"/>
      <c r="C119" s="3048"/>
      <c r="D119" s="4728" t="s">
        <v>227</v>
      </c>
      <c r="E119" s="4729"/>
      <c r="F119" s="4729"/>
      <c r="G119" s="4729"/>
      <c r="H119" s="1164" t="s">
        <v>171</v>
      </c>
      <c r="I119" s="4730">
        <f>J12</f>
        <v>2065.9</v>
      </c>
      <c r="J119" s="4730"/>
      <c r="K119" s="4571">
        <f>L12</f>
        <v>1306.6666666666667</v>
      </c>
      <c r="L119" s="4572"/>
      <c r="M119" s="4590">
        <f>N12</f>
        <v>2411.666666666667</v>
      </c>
      <c r="N119" s="4591"/>
      <c r="O119" s="4571">
        <f>P12</f>
        <v>1992</v>
      </c>
      <c r="P119" s="4572"/>
      <c r="Q119" s="4590">
        <f>R12</f>
        <v>2411.666666666667</v>
      </c>
      <c r="R119" s="4591"/>
      <c r="S119" s="4571">
        <f>T12</f>
        <v>3898.3333333333326</v>
      </c>
      <c r="T119" s="4572"/>
      <c r="U119" s="4590">
        <f>V12</f>
        <v>893.66666666666663</v>
      </c>
      <c r="V119" s="4591"/>
      <c r="W119" s="4807">
        <f>W12</f>
        <v>0</v>
      </c>
      <c r="X119" s="4808"/>
      <c r="Y119" s="3032"/>
    </row>
    <row r="120" spans="1:25">
      <c r="A120" s="3035"/>
      <c r="B120" s="3035"/>
      <c r="C120" s="3048"/>
      <c r="D120" s="4728" t="s">
        <v>1074</v>
      </c>
      <c r="E120" s="4729"/>
      <c r="F120" s="4729"/>
      <c r="G120" s="4729"/>
      <c r="H120" s="1164" t="s">
        <v>171</v>
      </c>
      <c r="I120" s="4730">
        <f>J13</f>
        <v>33.066666666666663</v>
      </c>
      <c r="J120" s="4730"/>
      <c r="K120" s="4571">
        <f>L13</f>
        <v>0</v>
      </c>
      <c r="L120" s="4572"/>
      <c r="M120" s="4592">
        <f>N13</f>
        <v>0</v>
      </c>
      <c r="N120" s="4593"/>
      <c r="O120" s="4571">
        <f>P13</f>
        <v>0</v>
      </c>
      <c r="P120" s="4572"/>
      <c r="Q120" s="4592">
        <f>R13</f>
        <v>0</v>
      </c>
      <c r="R120" s="4593"/>
      <c r="S120" s="4571">
        <f>T13</f>
        <v>0</v>
      </c>
      <c r="T120" s="4572"/>
      <c r="U120" s="4592">
        <f>V13</f>
        <v>0</v>
      </c>
      <c r="V120" s="4593"/>
      <c r="W120" s="4809">
        <f>W13</f>
        <v>0</v>
      </c>
      <c r="X120" s="4810"/>
      <c r="Y120" s="3032"/>
    </row>
    <row r="121" spans="1:25">
      <c r="A121" s="3035"/>
      <c r="B121" s="3035"/>
      <c r="C121" s="3048"/>
      <c r="D121" s="4728" t="s">
        <v>163</v>
      </c>
      <c r="E121" s="4729"/>
      <c r="F121" s="4729"/>
      <c r="G121" s="4729"/>
      <c r="H121" s="1164" t="s">
        <v>171</v>
      </c>
      <c r="I121" s="4730">
        <f>I18</f>
        <v>355.4</v>
      </c>
      <c r="J121" s="4730"/>
      <c r="K121" s="4571">
        <f>K18</f>
        <v>455.4</v>
      </c>
      <c r="L121" s="4572"/>
      <c r="M121" s="4594">
        <f>M18</f>
        <v>455.4</v>
      </c>
      <c r="N121" s="4595"/>
      <c r="O121" s="4571">
        <f>O18</f>
        <v>455.4</v>
      </c>
      <c r="P121" s="4572"/>
      <c r="Q121" s="4594">
        <f>Q18</f>
        <v>455.4</v>
      </c>
      <c r="R121" s="4595"/>
      <c r="S121" s="4571">
        <f>S18</f>
        <v>595.4</v>
      </c>
      <c r="T121" s="4572"/>
      <c r="U121" s="4594">
        <f>U18</f>
        <v>455.4</v>
      </c>
      <c r="V121" s="4595"/>
      <c r="W121" s="4811">
        <f>W18</f>
        <v>430.4</v>
      </c>
      <c r="X121" s="4812"/>
      <c r="Y121" s="3032"/>
    </row>
    <row r="122" spans="1:25" ht="15">
      <c r="A122" s="3035"/>
      <c r="B122" s="3035"/>
      <c r="C122" s="3048"/>
      <c r="D122" s="4726" t="s">
        <v>1073</v>
      </c>
      <c r="E122" s="4727"/>
      <c r="F122" s="4727"/>
      <c r="G122" s="4727"/>
      <c r="H122" s="1171" t="s">
        <v>171</v>
      </c>
      <c r="I122" s="4750">
        <f>I19</f>
        <v>2454.3666666666668</v>
      </c>
      <c r="J122" s="4750"/>
      <c r="K122" s="4573">
        <f>K19</f>
        <v>1762.0666666666666</v>
      </c>
      <c r="L122" s="4574"/>
      <c r="M122" s="4596">
        <f>M19</f>
        <v>2867.0666666666671</v>
      </c>
      <c r="N122" s="4597"/>
      <c r="O122" s="4573">
        <f>O19</f>
        <v>2447.4</v>
      </c>
      <c r="P122" s="4574"/>
      <c r="Q122" s="4596">
        <f>Q19</f>
        <v>2867.0666666666671</v>
      </c>
      <c r="R122" s="4597"/>
      <c r="S122" s="4573" t="e">
        <f>S19</f>
        <v>#REF!</v>
      </c>
      <c r="T122" s="4574"/>
      <c r="U122" s="4596">
        <f>U19</f>
        <v>1349.0666666666666</v>
      </c>
      <c r="V122" s="4597"/>
      <c r="W122" s="4813" t="e">
        <f>W19</f>
        <v>#REF!</v>
      </c>
      <c r="X122" s="4814"/>
      <c r="Y122" s="3032"/>
    </row>
    <row r="123" spans="1:25">
      <c r="A123" s="3035"/>
      <c r="B123" s="3035"/>
      <c r="C123" s="3048"/>
      <c r="D123" s="4728" t="s">
        <v>1072</v>
      </c>
      <c r="E123" s="4729"/>
      <c r="F123" s="4729"/>
      <c r="G123" s="4729"/>
      <c r="H123" s="1164" t="s">
        <v>171</v>
      </c>
      <c r="I123" s="4730">
        <f>J30</f>
        <v>1828.4866439993277</v>
      </c>
      <c r="J123" s="4730"/>
      <c r="K123" s="4571">
        <f>L30</f>
        <v>1130.5589797631371</v>
      </c>
      <c r="L123" s="4572"/>
      <c r="M123" s="4598">
        <f>N30</f>
        <v>1600.3768937921568</v>
      </c>
      <c r="N123" s="4599"/>
      <c r="O123" s="4571">
        <f>P30</f>
        <v>1221.5610403811766</v>
      </c>
      <c r="P123" s="4572"/>
      <c r="Q123" s="4598">
        <f>R30</f>
        <v>1600.3768937921568</v>
      </c>
      <c r="R123" s="4599"/>
      <c r="S123" s="4571">
        <f>T30</f>
        <v>2159.9852727108405</v>
      </c>
      <c r="T123" s="4572"/>
      <c r="U123" s="4598">
        <f>V30</f>
        <v>737.76655245960785</v>
      </c>
      <c r="V123" s="4599"/>
      <c r="W123" s="4815">
        <f>W30</f>
        <v>0</v>
      </c>
      <c r="X123" s="4816"/>
      <c r="Y123" s="3032"/>
    </row>
    <row r="124" spans="1:25">
      <c r="A124" s="3035"/>
      <c r="B124" s="3035"/>
      <c r="C124" s="3048"/>
      <c r="D124" s="4728" t="s">
        <v>1071</v>
      </c>
      <c r="E124" s="4729"/>
      <c r="F124" s="4729"/>
      <c r="G124" s="4729"/>
      <c r="H124" s="1164" t="s">
        <v>171</v>
      </c>
      <c r="I124" s="4730">
        <f>I32</f>
        <v>270.48002266733897</v>
      </c>
      <c r="J124" s="4730"/>
      <c r="K124" s="4571">
        <f>K32</f>
        <v>176.10768690352961</v>
      </c>
      <c r="L124" s="4572"/>
      <c r="M124" s="4594">
        <f>M32</f>
        <v>811.28977287451016</v>
      </c>
      <c r="N124" s="4595"/>
      <c r="O124" s="4571">
        <f>O32</f>
        <v>770.43895961882345</v>
      </c>
      <c r="P124" s="4572"/>
      <c r="Q124" s="4594">
        <f>Q32</f>
        <v>811.28977287451016</v>
      </c>
      <c r="R124" s="4595"/>
      <c r="S124" s="4571" t="e">
        <f>S32</f>
        <v>#REF!</v>
      </c>
      <c r="T124" s="4572"/>
      <c r="U124" s="4594">
        <f>U32</f>
        <v>155.90011420705878</v>
      </c>
      <c r="V124" s="4595"/>
      <c r="W124" s="4811" t="e">
        <f>W32</f>
        <v>#REF!</v>
      </c>
      <c r="X124" s="4812"/>
      <c r="Y124" s="3032"/>
    </row>
    <row r="125" spans="1:25" ht="15">
      <c r="A125" s="3035"/>
      <c r="B125" s="3035"/>
      <c r="C125" s="3048"/>
      <c r="D125" s="4744" t="s">
        <v>1070</v>
      </c>
      <c r="E125" s="4745"/>
      <c r="F125" s="4745"/>
      <c r="G125" s="4745"/>
      <c r="H125" s="1161" t="s">
        <v>171</v>
      </c>
      <c r="I125" s="4736">
        <f>I36</f>
        <v>614.45198114234313</v>
      </c>
      <c r="J125" s="4736"/>
      <c r="K125" s="4573">
        <f>K36</f>
        <v>621.61529583060212</v>
      </c>
      <c r="L125" s="4574"/>
      <c r="M125" s="4573">
        <f>M36</f>
        <v>1256.6874172883092</v>
      </c>
      <c r="N125" s="4583"/>
      <c r="O125" s="4573">
        <f>O36</f>
        <v>1215.1503005154882</v>
      </c>
      <c r="P125" s="4574"/>
      <c r="Q125" s="4573">
        <f>Q36</f>
        <v>1256.6874172883092</v>
      </c>
      <c r="R125" s="4583"/>
      <c r="S125" s="4573" t="e">
        <f>S36</f>
        <v>#REF!</v>
      </c>
      <c r="T125" s="4574"/>
      <c r="U125" s="4573">
        <f>U36</f>
        <v>606.68907325418616</v>
      </c>
      <c r="V125" s="4583"/>
      <c r="W125" s="4817" t="e">
        <f>W36</f>
        <v>#REF!</v>
      </c>
      <c r="X125" s="4818"/>
      <c r="Y125" s="3032"/>
    </row>
    <row r="126" spans="1:25">
      <c r="A126" s="3035"/>
      <c r="B126" s="3035"/>
      <c r="C126" s="3048"/>
      <c r="D126" s="4772"/>
      <c r="E126" s="4772"/>
      <c r="F126" s="4772"/>
      <c r="G126" s="4772"/>
      <c r="H126" s="3045"/>
      <c r="I126" s="3046"/>
      <c r="J126" s="3046"/>
      <c r="K126" s="3036"/>
      <c r="L126" s="3036"/>
      <c r="M126" s="3036"/>
      <c r="N126" s="3036"/>
      <c r="O126" s="3036"/>
      <c r="P126" s="3036"/>
      <c r="Q126" s="3036"/>
      <c r="R126" s="3036"/>
      <c r="S126" s="3036"/>
      <c r="T126" s="3036"/>
      <c r="U126" s="3036"/>
      <c r="V126" s="3036"/>
      <c r="W126" s="3847"/>
      <c r="X126" s="3847"/>
      <c r="Y126" s="3032"/>
    </row>
    <row r="127" spans="1:25" ht="15">
      <c r="A127" s="3035"/>
      <c r="B127" s="3035"/>
      <c r="C127" s="3048"/>
      <c r="D127" s="4726" t="s">
        <v>176</v>
      </c>
      <c r="E127" s="4727"/>
      <c r="F127" s="4727"/>
      <c r="G127" s="4727"/>
      <c r="H127" s="1171" t="s">
        <v>1069</v>
      </c>
      <c r="I127" s="4751">
        <f>J9</f>
        <v>750</v>
      </c>
      <c r="J127" s="4751">
        <f t="shared" ref="J127:J137" si="13">J117</f>
        <v>0</v>
      </c>
      <c r="K127" s="4579">
        <f>L9</f>
        <v>70</v>
      </c>
      <c r="L127" s="4580">
        <f t="shared" ref="L127:L137" si="14">L117</f>
        <v>0</v>
      </c>
      <c r="M127" s="1170">
        <f>N9</f>
        <v>100</v>
      </c>
      <c r="N127" s="1169">
        <f t="shared" ref="N127:N137" si="15">N117</f>
        <v>0</v>
      </c>
      <c r="O127" s="4579">
        <f>P9</f>
        <v>40</v>
      </c>
      <c r="P127" s="4580">
        <f t="shared" ref="P127:P137" si="16">P117</f>
        <v>0</v>
      </c>
      <c r="Q127" s="1170">
        <f>R9</f>
        <v>100</v>
      </c>
      <c r="R127" s="1169">
        <f t="shared" ref="R127:R137" si="17">R117</f>
        <v>0</v>
      </c>
      <c r="S127" s="4579">
        <f>T9</f>
        <v>100</v>
      </c>
      <c r="T127" s="4580">
        <f t="shared" ref="T127:T137" si="18">T117</f>
        <v>0</v>
      </c>
      <c r="U127" s="3053">
        <f>V9</f>
        <v>35</v>
      </c>
      <c r="V127" s="1169">
        <f t="shared" ref="V127:V137" si="19">V117</f>
        <v>0</v>
      </c>
      <c r="W127" s="3848">
        <f>X9</f>
        <v>240</v>
      </c>
      <c r="X127" s="3849">
        <f t="shared" ref="X127:X137" si="20">X117</f>
        <v>0</v>
      </c>
      <c r="Y127" s="3032"/>
    </row>
    <row r="128" spans="1:25">
      <c r="A128" s="3035"/>
      <c r="B128" s="3035"/>
      <c r="C128" s="3048"/>
      <c r="D128" s="4728" t="s">
        <v>1068</v>
      </c>
      <c r="E128" s="4729"/>
      <c r="F128" s="4729"/>
      <c r="G128" s="4729"/>
      <c r="H128" s="1164" t="s">
        <v>171</v>
      </c>
      <c r="I128" s="4730">
        <f>I41+I42+I44+I45</f>
        <v>332</v>
      </c>
      <c r="J128" s="4730">
        <f t="shared" si="13"/>
        <v>0</v>
      </c>
      <c r="K128" s="4571">
        <f>K41+K42+K44+K45</f>
        <v>332</v>
      </c>
      <c r="L128" s="4572">
        <f t="shared" si="14"/>
        <v>0</v>
      </c>
      <c r="M128" s="1175">
        <f>M41+M42+M44+M45</f>
        <v>332</v>
      </c>
      <c r="N128" s="1174">
        <f t="shared" si="15"/>
        <v>0</v>
      </c>
      <c r="O128" s="4571">
        <f>O41+O42+O44+O45</f>
        <v>332</v>
      </c>
      <c r="P128" s="4572">
        <f t="shared" si="16"/>
        <v>0</v>
      </c>
      <c r="Q128" s="1175">
        <f>Q41+Q42+Q44+Q45</f>
        <v>332</v>
      </c>
      <c r="R128" s="1174">
        <f t="shared" si="17"/>
        <v>0</v>
      </c>
      <c r="S128" s="4571" t="e">
        <f>S41+S42+S44+S45</f>
        <v>#REF!</v>
      </c>
      <c r="T128" s="4572">
        <f t="shared" si="18"/>
        <v>0</v>
      </c>
      <c r="U128" s="3023">
        <f>U41+U42+U44+U45</f>
        <v>332</v>
      </c>
      <c r="V128" s="3024">
        <f t="shared" si="19"/>
        <v>0</v>
      </c>
      <c r="W128" s="3850" t="e">
        <f>W41+W42+W44+W45</f>
        <v>#REF!</v>
      </c>
      <c r="X128" s="3851">
        <f t="shared" si="20"/>
        <v>0</v>
      </c>
      <c r="Y128" s="3032"/>
    </row>
    <row r="129" spans="1:25">
      <c r="A129" s="3035"/>
      <c r="B129" s="3035"/>
      <c r="C129" s="3048"/>
      <c r="D129" s="4728" t="s">
        <v>764</v>
      </c>
      <c r="E129" s="4729"/>
      <c r="F129" s="4729"/>
      <c r="G129" s="4729"/>
      <c r="H129" s="1164" t="s">
        <v>171</v>
      </c>
      <c r="I129" s="4730">
        <f>I40</f>
        <v>181.19399999999996</v>
      </c>
      <c r="J129" s="4730">
        <f t="shared" si="13"/>
        <v>0</v>
      </c>
      <c r="K129" s="4571">
        <f>K40</f>
        <v>169.88200000000003</v>
      </c>
      <c r="L129" s="4572">
        <f t="shared" si="14"/>
        <v>0</v>
      </c>
      <c r="M129" s="1175">
        <f>M40</f>
        <v>141.4</v>
      </c>
      <c r="N129" s="1174">
        <f t="shared" si="15"/>
        <v>0</v>
      </c>
      <c r="O129" s="4571">
        <f>O40</f>
        <v>184.42599999999999</v>
      </c>
      <c r="P129" s="4572">
        <f t="shared" si="16"/>
        <v>0</v>
      </c>
      <c r="Q129" s="1175">
        <f>Q40</f>
        <v>141.4</v>
      </c>
      <c r="R129" s="1174">
        <f t="shared" si="17"/>
        <v>0</v>
      </c>
      <c r="S129" s="4571">
        <f>S40</f>
        <v>239.14274999999998</v>
      </c>
      <c r="T129" s="4572">
        <f t="shared" si="18"/>
        <v>0</v>
      </c>
      <c r="U129" s="3023">
        <f>U40</f>
        <v>131.50199999999998</v>
      </c>
      <c r="V129" s="3024">
        <f t="shared" si="19"/>
        <v>0</v>
      </c>
      <c r="W129" s="3850">
        <f>W40</f>
        <v>169.22550000000001</v>
      </c>
      <c r="X129" s="3851">
        <f t="shared" si="20"/>
        <v>0</v>
      </c>
      <c r="Y129" s="3032"/>
    </row>
    <row r="130" spans="1:25">
      <c r="A130" s="3035"/>
      <c r="B130" s="3035"/>
      <c r="C130" s="3048"/>
      <c r="D130" s="4728" t="s">
        <v>1067</v>
      </c>
      <c r="E130" s="4729"/>
      <c r="F130" s="4729"/>
      <c r="G130" s="4729"/>
      <c r="H130" s="1164" t="s">
        <v>171</v>
      </c>
      <c r="I130" s="4730">
        <f>I43</f>
        <v>303.33333333333331</v>
      </c>
      <c r="J130" s="4730">
        <f t="shared" si="13"/>
        <v>0</v>
      </c>
      <c r="K130" s="4571">
        <f>K43</f>
        <v>303.33333333333331</v>
      </c>
      <c r="L130" s="4572">
        <f t="shared" si="14"/>
        <v>0</v>
      </c>
      <c r="M130" s="1173">
        <f>M43</f>
        <v>303.33333333333331</v>
      </c>
      <c r="N130" s="1172">
        <f t="shared" si="15"/>
        <v>0</v>
      </c>
      <c r="O130" s="4571">
        <f>O43</f>
        <v>303.33333333333331</v>
      </c>
      <c r="P130" s="4572">
        <f t="shared" si="16"/>
        <v>0</v>
      </c>
      <c r="Q130" s="1173">
        <f>Q43</f>
        <v>303.33333333333331</v>
      </c>
      <c r="R130" s="1172">
        <f t="shared" si="17"/>
        <v>0</v>
      </c>
      <c r="S130" s="4571" t="e">
        <f>S43</f>
        <v>#REF!</v>
      </c>
      <c r="T130" s="4572">
        <f t="shared" si="18"/>
        <v>0</v>
      </c>
      <c r="U130" s="3018">
        <f>U43</f>
        <v>303.33333333333331</v>
      </c>
      <c r="V130" s="3019">
        <f t="shared" si="19"/>
        <v>0</v>
      </c>
      <c r="W130" s="3852" t="e">
        <f>W43</f>
        <v>#REF!</v>
      </c>
      <c r="X130" s="3853">
        <f t="shared" si="20"/>
        <v>0</v>
      </c>
      <c r="Y130" s="3032"/>
    </row>
    <row r="131" spans="1:25" ht="15">
      <c r="A131" s="3035"/>
      <c r="B131" s="3035"/>
      <c r="C131" s="3048"/>
      <c r="D131" s="4726" t="s">
        <v>1066</v>
      </c>
      <c r="E131" s="4727"/>
      <c r="F131" s="4727"/>
      <c r="G131" s="4727"/>
      <c r="H131" s="1171" t="s">
        <v>171</v>
      </c>
      <c r="I131" s="4750">
        <f>I46</f>
        <v>816.52733333333322</v>
      </c>
      <c r="J131" s="4750">
        <f t="shared" si="13"/>
        <v>0</v>
      </c>
      <c r="K131" s="4573">
        <f>K46</f>
        <v>805.21533333333332</v>
      </c>
      <c r="L131" s="4574">
        <f t="shared" si="14"/>
        <v>0</v>
      </c>
      <c r="M131" s="1170">
        <f>M46</f>
        <v>776.73333333333335</v>
      </c>
      <c r="N131" s="1169">
        <f t="shared" si="15"/>
        <v>0</v>
      </c>
      <c r="O131" s="4573">
        <f>O46</f>
        <v>819.7593333333333</v>
      </c>
      <c r="P131" s="4574">
        <f t="shared" si="16"/>
        <v>0</v>
      </c>
      <c r="Q131" s="1170">
        <f>Q46</f>
        <v>776.73333333333335</v>
      </c>
      <c r="R131" s="1169">
        <f t="shared" si="17"/>
        <v>0</v>
      </c>
      <c r="S131" s="4573" t="e">
        <f>S46</f>
        <v>#REF!</v>
      </c>
      <c r="T131" s="4574">
        <f t="shared" si="18"/>
        <v>0</v>
      </c>
      <c r="U131" s="3053">
        <f>U46</f>
        <v>766.83533333333321</v>
      </c>
      <c r="V131" s="1169">
        <f t="shared" si="19"/>
        <v>0</v>
      </c>
      <c r="W131" s="3848" t="e">
        <f>W46</f>
        <v>#REF!</v>
      </c>
      <c r="X131" s="3849">
        <f t="shared" si="20"/>
        <v>0</v>
      </c>
      <c r="Y131" s="3032"/>
    </row>
    <row r="132" spans="1:25">
      <c r="A132" s="3035"/>
      <c r="B132" s="3035"/>
      <c r="C132" s="3048"/>
      <c r="D132" s="4728" t="s">
        <v>1065</v>
      </c>
      <c r="E132" s="4729"/>
      <c r="F132" s="4729"/>
      <c r="G132" s="4729"/>
      <c r="H132" s="1164" t="s">
        <v>171</v>
      </c>
      <c r="I132" s="4735">
        <f>I50</f>
        <v>-557.47535219099018</v>
      </c>
      <c r="J132" s="4735">
        <f t="shared" si="13"/>
        <v>0</v>
      </c>
      <c r="K132" s="4581">
        <f>K50</f>
        <v>-639.00003750273117</v>
      </c>
      <c r="L132" s="4582">
        <f t="shared" si="14"/>
        <v>0</v>
      </c>
      <c r="M132" s="1168">
        <f>M50</f>
        <v>24.554083954975795</v>
      </c>
      <c r="N132" s="1167">
        <f t="shared" si="15"/>
        <v>0</v>
      </c>
      <c r="O132" s="4581">
        <f>O50</f>
        <v>-60.009032817845309</v>
      </c>
      <c r="P132" s="4582">
        <f t="shared" si="16"/>
        <v>0</v>
      </c>
      <c r="Q132" s="1168">
        <f>Q50</f>
        <v>24.554083954975795</v>
      </c>
      <c r="R132" s="1167">
        <f t="shared" si="17"/>
        <v>0</v>
      </c>
      <c r="S132" s="4581" t="e">
        <f>S50</f>
        <v>#REF!</v>
      </c>
      <c r="T132" s="4582">
        <f t="shared" si="18"/>
        <v>0</v>
      </c>
      <c r="U132" s="1168">
        <f>U50</f>
        <v>-615.54626007914692</v>
      </c>
      <c r="V132" s="1167">
        <f t="shared" si="19"/>
        <v>0</v>
      </c>
      <c r="W132" s="3854" t="e">
        <f>W50</f>
        <v>#REF!</v>
      </c>
      <c r="X132" s="3855">
        <f t="shared" si="20"/>
        <v>0</v>
      </c>
      <c r="Y132" s="3032"/>
    </row>
    <row r="133" spans="1:25" ht="15">
      <c r="A133" s="3035"/>
      <c r="B133" s="3035"/>
      <c r="C133" s="3048"/>
      <c r="D133" s="4744" t="s">
        <v>1064</v>
      </c>
      <c r="E133" s="4745"/>
      <c r="F133" s="4745"/>
      <c r="G133" s="4745"/>
      <c r="H133" s="1161" t="s">
        <v>171</v>
      </c>
      <c r="I133" s="4736">
        <f>I53</f>
        <v>-202.0753521909902</v>
      </c>
      <c r="J133" s="4736">
        <f t="shared" si="13"/>
        <v>0</v>
      </c>
      <c r="K133" s="4573">
        <f>K53</f>
        <v>-183.6000375027312</v>
      </c>
      <c r="L133" s="4574">
        <f t="shared" si="14"/>
        <v>0</v>
      </c>
      <c r="M133" s="1166">
        <f>M53</f>
        <v>479.95408395497577</v>
      </c>
      <c r="N133" s="1165">
        <f t="shared" si="15"/>
        <v>0</v>
      </c>
      <c r="O133" s="4573">
        <f>O53</f>
        <v>395.39096718215467</v>
      </c>
      <c r="P133" s="4574">
        <f t="shared" si="16"/>
        <v>0</v>
      </c>
      <c r="Q133" s="1166">
        <f>Q53</f>
        <v>479.95408395497577</v>
      </c>
      <c r="R133" s="1165">
        <f t="shared" si="17"/>
        <v>0</v>
      </c>
      <c r="S133" s="4573" t="e">
        <f>S53</f>
        <v>#REF!</v>
      </c>
      <c r="T133" s="4574">
        <f t="shared" si="18"/>
        <v>0</v>
      </c>
      <c r="U133" s="3020">
        <f>U53</f>
        <v>-160.14626007914694</v>
      </c>
      <c r="V133" s="3021">
        <f t="shared" si="19"/>
        <v>0</v>
      </c>
      <c r="W133" s="3856" t="e">
        <f>W53</f>
        <v>#REF!</v>
      </c>
      <c r="X133" s="3857">
        <f t="shared" si="20"/>
        <v>0</v>
      </c>
      <c r="Y133" s="3032"/>
    </row>
    <row r="134" spans="1:25">
      <c r="A134" s="3035"/>
      <c r="B134" s="3035"/>
      <c r="C134" s="3048"/>
      <c r="D134" s="4728" t="s">
        <v>1063</v>
      </c>
      <c r="E134" s="4729"/>
      <c r="F134" s="4729"/>
      <c r="G134" s="4729"/>
      <c r="H134" s="1164" t="s">
        <v>228</v>
      </c>
      <c r="I134" s="4734">
        <f>J68</f>
        <v>3.5936648660150547</v>
      </c>
      <c r="J134" s="4734">
        <f t="shared" si="13"/>
        <v>0</v>
      </c>
      <c r="K134" s="4575">
        <f>L68</f>
        <v>27.795238630991399</v>
      </c>
      <c r="L134" s="4576">
        <f t="shared" si="14"/>
        <v>0</v>
      </c>
      <c r="M134" s="1163">
        <f>N68</f>
        <v>23.871125827116913</v>
      </c>
      <c r="N134" s="1162">
        <f t="shared" si="15"/>
        <v>0</v>
      </c>
      <c r="O134" s="4575">
        <f>P68</f>
        <v>51.30022582044613</v>
      </c>
      <c r="P134" s="4576">
        <f t="shared" si="16"/>
        <v>0</v>
      </c>
      <c r="Q134" s="1163">
        <f>R68</f>
        <v>23.871125827116913</v>
      </c>
      <c r="R134" s="1162">
        <f t="shared" si="17"/>
        <v>0</v>
      </c>
      <c r="S134" s="4575" t="e">
        <f>T68</f>
        <v>#REF!</v>
      </c>
      <c r="T134" s="4576">
        <f t="shared" si="18"/>
        <v>0</v>
      </c>
      <c r="U134" s="1163">
        <f>V68</f>
        <v>43.120369335594674</v>
      </c>
      <c r="V134" s="1162">
        <f t="shared" si="19"/>
        <v>0</v>
      </c>
      <c r="W134" s="3858" t="e">
        <f>X68</f>
        <v>#REF!</v>
      </c>
      <c r="X134" s="3859">
        <f t="shared" si="20"/>
        <v>0</v>
      </c>
      <c r="Y134" s="3032"/>
    </row>
    <row r="135" spans="1:25" ht="15">
      <c r="A135" s="3035"/>
      <c r="B135" s="3035"/>
      <c r="C135" s="3048"/>
      <c r="D135" s="4744" t="s">
        <v>1062</v>
      </c>
      <c r="E135" s="4745"/>
      <c r="F135" s="4745"/>
      <c r="G135" s="4745"/>
      <c r="H135" s="1161" t="s">
        <v>228</v>
      </c>
      <c r="I135" s="4732">
        <f>J71</f>
        <v>3.1068155509465618</v>
      </c>
      <c r="J135" s="4732">
        <f t="shared" si="13"/>
        <v>0</v>
      </c>
      <c r="K135" s="4577">
        <f>L71</f>
        <v>21.289524345277115</v>
      </c>
      <c r="L135" s="4578">
        <f t="shared" si="14"/>
        <v>0</v>
      </c>
      <c r="M135" s="1160">
        <f>N71</f>
        <v>19.317125827116914</v>
      </c>
      <c r="N135" s="1159">
        <f t="shared" si="15"/>
        <v>0</v>
      </c>
      <c r="O135" s="4577">
        <f>P71</f>
        <v>39.915225820446132</v>
      </c>
      <c r="P135" s="4578">
        <f t="shared" si="16"/>
        <v>0</v>
      </c>
      <c r="Q135" s="1160">
        <f>R71</f>
        <v>19.317125827116914</v>
      </c>
      <c r="R135" s="1159">
        <f t="shared" si="17"/>
        <v>0</v>
      </c>
      <c r="S135" s="4577" t="e">
        <f>T71</f>
        <v>#REF!</v>
      </c>
      <c r="T135" s="4578">
        <f t="shared" si="18"/>
        <v>0</v>
      </c>
      <c r="U135" s="3028">
        <f>V71</f>
        <v>30.108940764166103</v>
      </c>
      <c r="V135" s="1159">
        <f t="shared" si="19"/>
        <v>0</v>
      </c>
      <c r="W135" s="3860" t="e">
        <f>X71</f>
        <v>#REF!</v>
      </c>
      <c r="X135" s="3861">
        <f t="shared" si="20"/>
        <v>0</v>
      </c>
      <c r="Y135" s="3032"/>
    </row>
    <row r="136" spans="1:25">
      <c r="A136" s="3035"/>
      <c r="B136" s="3035"/>
      <c r="C136" s="3048"/>
      <c r="D136" s="4740" t="s">
        <v>1061</v>
      </c>
      <c r="E136" s="4741"/>
      <c r="F136" s="4741"/>
      <c r="G136" s="4741"/>
      <c r="H136" s="1158" t="s">
        <v>1060</v>
      </c>
      <c r="I136" s="4737">
        <f>J59</f>
        <v>-1.9399249527118401</v>
      </c>
      <c r="J136" s="4737">
        <f t="shared" si="13"/>
        <v>0</v>
      </c>
      <c r="K136" s="4586">
        <f>L59</f>
        <v>-1.3592982067708246</v>
      </c>
      <c r="L136" s="4587">
        <f t="shared" si="14"/>
        <v>0</v>
      </c>
      <c r="M136" s="1157">
        <f>N59</f>
        <v>73.970724280354247</v>
      </c>
      <c r="N136" s="1156">
        <f t="shared" si="15"/>
        <v>0</v>
      </c>
      <c r="O136" s="4586">
        <f>P59</f>
        <v>52.922322670879403</v>
      </c>
      <c r="P136" s="4587">
        <f t="shared" si="16"/>
        <v>0</v>
      </c>
      <c r="Q136" s="1157">
        <f>R59</f>
        <v>73.970724280354247</v>
      </c>
      <c r="R136" s="1156">
        <f t="shared" si="17"/>
        <v>0</v>
      </c>
      <c r="S136" s="4586" t="e">
        <f>T59</f>
        <v>#REF!</v>
      </c>
      <c r="T136" s="4587">
        <f t="shared" si="18"/>
        <v>0</v>
      </c>
      <c r="U136" s="1157">
        <f>V59</f>
        <v>-3.6666999589281826</v>
      </c>
      <c r="V136" s="1156">
        <f t="shared" si="19"/>
        <v>0</v>
      </c>
      <c r="W136" s="3862">
        <f>X59</f>
        <v>0</v>
      </c>
      <c r="X136" s="3863">
        <f t="shared" si="20"/>
        <v>0</v>
      </c>
      <c r="Y136" s="3032"/>
    </row>
    <row r="137" spans="1:25">
      <c r="A137" s="3035"/>
      <c r="B137" s="3035"/>
      <c r="C137" s="3048"/>
      <c r="D137" s="4742" t="s">
        <v>1059</v>
      </c>
      <c r="E137" s="4743"/>
      <c r="F137" s="4743"/>
      <c r="G137" s="4743"/>
      <c r="H137" s="1155" t="s">
        <v>171</v>
      </c>
      <c r="I137" s="4739">
        <f>I62</f>
        <v>101.25798114234311</v>
      </c>
      <c r="J137" s="4739">
        <f t="shared" si="13"/>
        <v>0</v>
      </c>
      <c r="K137" s="4588">
        <f>K62</f>
        <v>119.73329583060212</v>
      </c>
      <c r="L137" s="4589">
        <f t="shared" si="14"/>
        <v>0</v>
      </c>
      <c r="M137" s="4584">
        <f>M62</f>
        <v>783.28741728830914</v>
      </c>
      <c r="N137" s="4585">
        <f t="shared" si="15"/>
        <v>0</v>
      </c>
      <c r="O137" s="4588">
        <f>O62</f>
        <v>698.72430051548804</v>
      </c>
      <c r="P137" s="4589">
        <f t="shared" si="16"/>
        <v>0</v>
      </c>
      <c r="Q137" s="4584">
        <f>Q62</f>
        <v>783.28741728830914</v>
      </c>
      <c r="R137" s="4585">
        <f t="shared" si="17"/>
        <v>0</v>
      </c>
      <c r="S137" s="4588" t="e">
        <f>S62</f>
        <v>#REF!</v>
      </c>
      <c r="T137" s="4589">
        <f t="shared" si="18"/>
        <v>0</v>
      </c>
      <c r="U137" s="4584">
        <f>U62</f>
        <v>143.18707325418637</v>
      </c>
      <c r="V137" s="4585">
        <f t="shared" si="19"/>
        <v>0</v>
      </c>
      <c r="W137" s="4798" t="e">
        <f>W62</f>
        <v>#REF!</v>
      </c>
      <c r="X137" s="4799">
        <f t="shared" si="20"/>
        <v>0</v>
      </c>
      <c r="Y137" s="3032"/>
    </row>
    <row r="138" spans="1:25">
      <c r="A138" s="3035"/>
      <c r="B138" s="3035"/>
      <c r="C138" s="3048"/>
      <c r="D138" s="3048"/>
      <c r="E138" s="3048"/>
      <c r="F138" s="3048"/>
      <c r="G138" s="3048"/>
      <c r="H138" s="3043"/>
      <c r="I138" s="3044"/>
      <c r="J138" s="3032"/>
      <c r="K138" s="3032"/>
      <c r="L138" s="3032"/>
      <c r="M138" s="3032"/>
      <c r="N138" s="3032"/>
      <c r="O138" s="3032"/>
      <c r="P138" s="3032"/>
      <c r="Q138" s="3032"/>
      <c r="R138" s="3032"/>
      <c r="S138" s="3032"/>
      <c r="T138" s="3032"/>
      <c r="U138" s="3032"/>
      <c r="V138" s="3032"/>
      <c r="W138" s="3843"/>
      <c r="X138" s="3843"/>
      <c r="Y138" s="3035"/>
    </row>
    <row r="139" spans="1:25" ht="23.25">
      <c r="A139" s="3035"/>
      <c r="B139" s="4738"/>
      <c r="C139" s="4738"/>
      <c r="D139" s="4738"/>
      <c r="E139" s="4738"/>
      <c r="F139" s="4738"/>
      <c r="G139" s="4738"/>
      <c r="H139" s="4738"/>
      <c r="I139" s="4738"/>
      <c r="J139" s="4738"/>
      <c r="K139" s="4738"/>
      <c r="L139" s="4738"/>
      <c r="M139" s="4738"/>
      <c r="N139" s="4738"/>
      <c r="O139" s="3034"/>
      <c r="P139" s="3035"/>
      <c r="Q139" s="3034"/>
      <c r="R139" s="3035"/>
      <c r="S139" s="3034"/>
      <c r="T139" s="3035"/>
      <c r="U139" s="3034"/>
      <c r="V139" s="3035"/>
      <c r="W139" s="3864"/>
      <c r="X139" s="3865"/>
      <c r="Y139" s="3035"/>
    </row>
    <row r="140" spans="1:25">
      <c r="A140" s="3035"/>
      <c r="B140" s="3035"/>
      <c r="C140" s="3048"/>
      <c r="D140" s="3048"/>
      <c r="E140" s="3048"/>
      <c r="F140" s="3048"/>
      <c r="G140" s="3048"/>
      <c r="H140" s="3043"/>
      <c r="I140" s="3044"/>
      <c r="J140" s="3032"/>
      <c r="K140" s="3032"/>
      <c r="L140" s="3032"/>
      <c r="M140" s="3032"/>
      <c r="N140" s="3032"/>
      <c r="O140" s="3032"/>
      <c r="P140" s="3032"/>
      <c r="Q140" s="3032"/>
      <c r="R140" s="3032"/>
      <c r="S140" s="3032"/>
      <c r="T140" s="3032"/>
      <c r="U140" s="3032"/>
      <c r="V140" s="3032"/>
      <c r="W140" s="3843"/>
      <c r="X140" s="3843"/>
      <c r="Y140" s="3035"/>
    </row>
    <row r="141" spans="1:25">
      <c r="A141" s="3035"/>
      <c r="B141" s="3035"/>
      <c r="C141" s="3048"/>
      <c r="D141" s="3048"/>
      <c r="E141" s="3048"/>
      <c r="F141" s="3048"/>
      <c r="G141" s="3048"/>
      <c r="H141" s="3043"/>
      <c r="I141" s="3044"/>
      <c r="J141" s="3032"/>
      <c r="K141" s="3032"/>
      <c r="L141" s="3032"/>
      <c r="M141" s="3032"/>
      <c r="N141" s="3032"/>
      <c r="O141" s="3032"/>
      <c r="P141" s="3032"/>
      <c r="Q141" s="3032"/>
      <c r="R141" s="3032"/>
      <c r="S141" s="3032"/>
      <c r="T141" s="3032"/>
      <c r="U141" s="3032"/>
      <c r="V141" s="3032"/>
      <c r="W141" s="3843"/>
      <c r="X141" s="3843"/>
      <c r="Y141" s="3032"/>
    </row>
    <row r="142" spans="1:25">
      <c r="A142" s="3035"/>
      <c r="B142" s="3035"/>
      <c r="C142" s="3048"/>
      <c r="D142" s="3048"/>
      <c r="E142" s="3048"/>
      <c r="F142" s="3048"/>
      <c r="G142" s="3048"/>
      <c r="H142" s="3043"/>
      <c r="I142" s="3044"/>
      <c r="J142" s="3032"/>
      <c r="K142" s="3032"/>
      <c r="L142" s="3032"/>
      <c r="M142" s="3032"/>
      <c r="N142" s="3032"/>
      <c r="O142" s="3032"/>
      <c r="P142" s="3032"/>
      <c r="Q142" s="3057"/>
      <c r="R142" s="3057" t="str">
        <f>$J$9&amp;"dt/ha"</f>
        <v>750dt/ha</v>
      </c>
      <c r="S142" s="3057" t="str">
        <f>$L$9&amp;"dt/ha"</f>
        <v>70dt/ha</v>
      </c>
      <c r="T142" s="3057" t="str">
        <f>$N$9&amp;"dt/ha"</f>
        <v>100dt/ha</v>
      </c>
      <c r="U142" s="3057" t="str">
        <f>$P$9&amp;"dt/ha"</f>
        <v>40dt/ha</v>
      </c>
      <c r="V142" s="3057" t="str">
        <f>$R$9&amp;"dt/ha"</f>
        <v>100dt/ha</v>
      </c>
      <c r="W142" s="3866" t="str">
        <f>$T$9&amp;"dt/ha"</f>
        <v>100dt/ha</v>
      </c>
      <c r="X142" s="3866" t="str">
        <f>$V$9&amp;"dt/ha"</f>
        <v>35dt/ha</v>
      </c>
      <c r="Y142" s="3035"/>
    </row>
    <row r="143" spans="1:25">
      <c r="A143" s="3035"/>
      <c r="B143" s="3035"/>
      <c r="C143" s="3048"/>
      <c r="D143" s="3048"/>
      <c r="E143" s="3048"/>
      <c r="F143" s="3048"/>
      <c r="G143" s="3048"/>
      <c r="H143" s="3043"/>
      <c r="I143" s="3044"/>
      <c r="J143" s="3032"/>
      <c r="K143" s="3032"/>
      <c r="L143" s="3032"/>
      <c r="M143" s="3032"/>
      <c r="N143" s="3032"/>
      <c r="O143" s="3032"/>
      <c r="P143" s="3032"/>
      <c r="Q143" s="3057"/>
      <c r="R143" s="3060" t="str">
        <f>$I$8</f>
        <v>mittel</v>
      </c>
      <c r="S143" s="3060" t="str">
        <f>$K$8</f>
        <v>mittel</v>
      </c>
      <c r="T143" s="3060" t="str">
        <f>$M$8</f>
        <v>mittel</v>
      </c>
      <c r="U143" s="3060" t="str">
        <f>$O$8</f>
        <v>mittel</v>
      </c>
      <c r="V143" s="3060" t="str">
        <f>$Q$8</f>
        <v>mittel</v>
      </c>
      <c r="W143" s="3866" t="str">
        <f>$S$8</f>
        <v>hoch</v>
      </c>
      <c r="X143" s="3867" t="str">
        <f>$U$8</f>
        <v>mittel</v>
      </c>
      <c r="Y143" s="3032"/>
    </row>
    <row r="144" spans="1:25">
      <c r="A144" s="3035"/>
      <c r="B144" s="3035"/>
      <c r="C144" s="3048"/>
      <c r="D144" s="3048"/>
      <c r="E144" s="3048"/>
      <c r="F144" s="3048"/>
      <c r="G144" s="3048"/>
      <c r="H144" s="3043"/>
      <c r="I144" s="3044"/>
      <c r="J144" s="3032"/>
      <c r="K144" s="3032"/>
      <c r="L144" s="3032"/>
      <c r="M144" s="3032"/>
      <c r="N144" s="3032"/>
      <c r="O144" s="3032"/>
      <c r="P144" s="3032"/>
      <c r="Q144" s="3057"/>
      <c r="R144" s="3057" t="str">
        <f>$I$2</f>
        <v xml:space="preserve">Zuckerrüben </v>
      </c>
      <c r="S144" s="3057" t="str">
        <f>$K$2</f>
        <v>Wintergerste</v>
      </c>
      <c r="T144" s="3057" t="str">
        <f>$M$2</f>
        <v xml:space="preserve">Körnermais </v>
      </c>
      <c r="U144" s="3057" t="str">
        <f>$O$2</f>
        <v>Winterraps</v>
      </c>
      <c r="V144" s="3057" t="str">
        <f>$Q$2</f>
        <v xml:space="preserve">Körnermais </v>
      </c>
      <c r="W144" s="3866" t="str">
        <f>$S$2</f>
        <v xml:space="preserve">Öko-Körnermais </v>
      </c>
      <c r="X144" s="3866" t="str">
        <f>$U$2</f>
        <v xml:space="preserve">Ackerbohnen </v>
      </c>
      <c r="Y144" s="3035"/>
    </row>
    <row r="145" spans="1:25">
      <c r="A145" s="3035"/>
      <c r="B145" s="3035"/>
      <c r="C145" s="3048"/>
      <c r="D145" s="3048"/>
      <c r="E145" s="3048"/>
      <c r="F145" s="3048"/>
      <c r="G145" s="3048"/>
      <c r="H145" s="3043"/>
      <c r="I145" s="3044"/>
      <c r="J145" s="3032"/>
      <c r="K145" s="3032"/>
      <c r="L145" s="3032"/>
      <c r="M145" s="3032"/>
      <c r="N145" s="3032"/>
      <c r="O145" s="3032"/>
      <c r="P145" s="3032"/>
      <c r="Q145" s="3058" t="s">
        <v>1675</v>
      </c>
      <c r="R145" s="3059">
        <f>I124</f>
        <v>270.48002266733897</v>
      </c>
      <c r="S145" s="3059">
        <f>K124</f>
        <v>176.10768690352961</v>
      </c>
      <c r="T145" s="3059">
        <f>M124</f>
        <v>811.28977287451016</v>
      </c>
      <c r="U145" s="3059">
        <f>O124</f>
        <v>770.43895961882345</v>
      </c>
      <c r="V145" s="3059">
        <f>Q124</f>
        <v>811.28977287451016</v>
      </c>
      <c r="W145" s="3868" t="e">
        <f>S124</f>
        <v>#REF!</v>
      </c>
      <c r="X145" s="3869">
        <f>U124</f>
        <v>155.90011420705878</v>
      </c>
      <c r="Y145" s="3035"/>
    </row>
    <row r="146" spans="1:25">
      <c r="A146" s="3035"/>
      <c r="B146" s="3035"/>
      <c r="C146" s="3048"/>
      <c r="D146" s="3048"/>
      <c r="E146" s="3048"/>
      <c r="F146" s="3048"/>
      <c r="G146" s="3048"/>
      <c r="H146" s="3043"/>
      <c r="I146" s="3044"/>
      <c r="J146" s="3032"/>
      <c r="K146" s="3032"/>
      <c r="L146" s="3032"/>
      <c r="M146" s="3032"/>
      <c r="N146" s="3032"/>
      <c r="O146" s="3032"/>
      <c r="P146" s="3032"/>
      <c r="Q146" s="3058" t="s">
        <v>1674</v>
      </c>
      <c r="R146" s="3059">
        <f>I125</f>
        <v>614.45198114234313</v>
      </c>
      <c r="S146" s="3059">
        <f>K125</f>
        <v>621.61529583060212</v>
      </c>
      <c r="T146" s="3059">
        <f>M125</f>
        <v>1256.6874172883092</v>
      </c>
      <c r="U146" s="3059">
        <f>O125</f>
        <v>1215.1503005154882</v>
      </c>
      <c r="V146" s="3059">
        <f>Q125</f>
        <v>1256.6874172883092</v>
      </c>
      <c r="W146" s="3868" t="e">
        <f>S125</f>
        <v>#REF!</v>
      </c>
      <c r="X146" s="3869">
        <f>U125</f>
        <v>606.68907325418616</v>
      </c>
      <c r="Y146" s="3032"/>
    </row>
    <row r="147" spans="1:25">
      <c r="A147" s="3035"/>
      <c r="B147" s="3035"/>
      <c r="C147" s="3048"/>
      <c r="D147" s="3048"/>
      <c r="E147" s="3048"/>
      <c r="F147" s="3048"/>
      <c r="G147" s="3048"/>
      <c r="H147" s="3043"/>
      <c r="I147" s="3044"/>
      <c r="J147" s="3032"/>
      <c r="K147" s="3032"/>
      <c r="L147" s="3032"/>
      <c r="M147" s="3032"/>
      <c r="N147" s="3032"/>
      <c r="O147" s="3032"/>
      <c r="P147" s="3032"/>
      <c r="Q147" s="3032"/>
      <c r="R147" s="3032"/>
      <c r="S147" s="3032"/>
      <c r="T147" s="3032"/>
      <c r="U147" s="3032"/>
      <c r="V147" s="3032"/>
      <c r="W147" s="3843"/>
      <c r="X147" s="3843"/>
      <c r="Y147" s="3035"/>
    </row>
    <row r="148" spans="1:25">
      <c r="A148" s="3035"/>
      <c r="B148" s="3035"/>
      <c r="C148" s="3048"/>
      <c r="D148" s="3048"/>
      <c r="E148" s="3048"/>
      <c r="F148" s="3048"/>
      <c r="G148" s="3048"/>
      <c r="H148" s="3043"/>
      <c r="I148" s="3044"/>
      <c r="J148" s="3032"/>
      <c r="K148" s="3032"/>
      <c r="L148" s="3032"/>
      <c r="M148" s="3032"/>
      <c r="N148" s="3032"/>
      <c r="O148" s="3032"/>
      <c r="P148" s="3032"/>
      <c r="Q148" s="3032"/>
      <c r="R148" s="3032"/>
      <c r="S148" s="3032"/>
      <c r="T148" s="3032"/>
      <c r="U148" s="3032"/>
      <c r="V148" s="3032"/>
      <c r="W148" s="3843"/>
      <c r="X148" s="3843"/>
      <c r="Y148" s="3035"/>
    </row>
    <row r="149" spans="1:25">
      <c r="A149" s="3035"/>
      <c r="C149" s="1154"/>
      <c r="D149" s="33"/>
      <c r="E149" s="33"/>
      <c r="F149" s="33"/>
      <c r="G149" s="33"/>
      <c r="O149" s="3032"/>
      <c r="P149" s="3032"/>
      <c r="Q149" s="3032"/>
      <c r="R149" s="3032"/>
      <c r="S149" s="3032"/>
      <c r="T149" s="3032"/>
      <c r="U149" s="3032"/>
      <c r="V149" s="3032"/>
      <c r="W149" s="3843"/>
      <c r="X149" s="3843"/>
      <c r="Y149" s="3035"/>
    </row>
    <row r="150" spans="1:25">
      <c r="A150" s="3035"/>
      <c r="C150" s="1154"/>
      <c r="D150" s="33"/>
      <c r="E150" s="33"/>
      <c r="F150" s="33"/>
      <c r="G150" s="33"/>
      <c r="O150" s="3032"/>
      <c r="P150" s="3032"/>
      <c r="Q150" s="3032"/>
      <c r="R150" s="3032"/>
      <c r="S150" s="3032"/>
      <c r="T150" s="3032"/>
      <c r="U150" s="3032"/>
      <c r="V150" s="3032"/>
      <c r="W150" s="3843"/>
      <c r="X150" s="3843"/>
      <c r="Y150" s="3035"/>
    </row>
    <row r="151" spans="1:25">
      <c r="A151" s="3035"/>
      <c r="C151" s="1154"/>
      <c r="D151" s="33"/>
      <c r="E151" s="33"/>
      <c r="F151" s="33"/>
      <c r="G151" s="33"/>
      <c r="O151" s="3032"/>
      <c r="P151" s="3032"/>
      <c r="Q151" s="3032"/>
      <c r="R151" s="3032"/>
      <c r="S151" s="3032"/>
      <c r="T151" s="3032"/>
      <c r="U151" s="3032"/>
      <c r="V151" s="3032"/>
      <c r="W151" s="3843"/>
      <c r="X151" s="3843"/>
      <c r="Y151" s="3035"/>
    </row>
    <row r="152" spans="1:25" ht="162.6" customHeight="1">
      <c r="A152" s="3035"/>
      <c r="C152" s="1154"/>
      <c r="D152" s="33"/>
      <c r="E152" s="33"/>
      <c r="F152" s="33"/>
      <c r="G152" s="33"/>
      <c r="O152" s="3032"/>
      <c r="P152" s="3032"/>
      <c r="Q152" s="3032"/>
      <c r="R152" s="3032"/>
      <c r="S152" s="3032"/>
      <c r="T152" s="3032"/>
      <c r="U152" s="3032"/>
      <c r="V152" s="3032"/>
      <c r="W152" s="3843"/>
      <c r="X152" s="3843"/>
      <c r="Y152" s="3035"/>
    </row>
    <row r="153" spans="1:25">
      <c r="A153" s="3035"/>
      <c r="C153" s="1154"/>
      <c r="D153" s="33"/>
      <c r="E153" s="33"/>
      <c r="F153" s="33"/>
      <c r="G153" s="33"/>
      <c r="O153" s="3032"/>
      <c r="P153" s="3032"/>
      <c r="Q153" s="3032"/>
      <c r="R153" s="3032"/>
      <c r="S153" s="3032"/>
      <c r="T153" s="3032"/>
      <c r="U153" s="3032"/>
      <c r="V153" s="3032"/>
      <c r="W153" s="3843"/>
      <c r="X153" s="3843"/>
      <c r="Y153" s="3035"/>
    </row>
    <row r="154" spans="1:25">
      <c r="A154" s="3035"/>
      <c r="C154" s="1154"/>
      <c r="D154" s="33"/>
      <c r="E154" s="33"/>
      <c r="F154" s="33"/>
      <c r="G154" s="33"/>
      <c r="O154" s="3032"/>
      <c r="P154" s="3032"/>
      <c r="Q154" s="3032"/>
      <c r="R154" s="3032"/>
      <c r="S154" s="3032"/>
      <c r="T154" s="3032"/>
      <c r="U154" s="3032"/>
      <c r="V154" s="3032"/>
      <c r="W154" s="3843"/>
      <c r="X154" s="3843"/>
      <c r="Y154" s="3035"/>
    </row>
    <row r="155" spans="1:25">
      <c r="A155" s="3035"/>
      <c r="C155" s="1154"/>
      <c r="D155" s="33"/>
      <c r="E155" s="33"/>
      <c r="F155" s="33"/>
      <c r="G155" s="33"/>
      <c r="O155" s="3032"/>
      <c r="P155" s="3032"/>
      <c r="Q155" s="3032"/>
      <c r="R155" s="3032"/>
      <c r="S155" s="3032"/>
      <c r="T155" s="3032"/>
      <c r="U155" s="3032"/>
      <c r="V155" s="3032"/>
      <c r="W155" s="3843"/>
      <c r="X155" s="3843"/>
      <c r="Y155" s="3035"/>
    </row>
    <row r="156" spans="1:25">
      <c r="A156" s="3035"/>
      <c r="C156" s="1154"/>
      <c r="D156" s="33"/>
      <c r="E156" s="33"/>
      <c r="F156" s="33"/>
      <c r="G156" s="33"/>
      <c r="O156" s="3032"/>
      <c r="P156" s="3032"/>
      <c r="Q156" s="3032"/>
      <c r="R156" s="3032"/>
      <c r="S156" s="3032"/>
      <c r="T156" s="3032"/>
      <c r="U156" s="3032"/>
      <c r="V156" s="3032"/>
      <c r="W156" s="3843"/>
      <c r="X156" s="3843"/>
      <c r="Y156" s="3035"/>
    </row>
    <row r="157" spans="1:25">
      <c r="A157" s="3035"/>
      <c r="C157" s="1154"/>
      <c r="D157" s="33"/>
      <c r="E157" s="33"/>
      <c r="F157" s="33"/>
      <c r="G157" s="33"/>
      <c r="O157" s="3032"/>
      <c r="P157" s="3032"/>
      <c r="Q157" s="3032"/>
      <c r="R157" s="3032"/>
      <c r="S157" s="3032"/>
      <c r="T157" s="3032"/>
      <c r="U157" s="3032"/>
      <c r="V157" s="3032"/>
      <c r="W157" s="3843"/>
      <c r="X157" s="3843"/>
      <c r="Y157" s="3035"/>
    </row>
    <row r="158" spans="1:25">
      <c r="A158" s="3035"/>
      <c r="C158" s="1154"/>
      <c r="D158" s="33"/>
      <c r="E158" s="33"/>
      <c r="F158" s="33"/>
      <c r="G158" s="33"/>
      <c r="O158" s="3032"/>
      <c r="P158" s="3032"/>
      <c r="Q158" s="3032"/>
      <c r="R158" s="3032"/>
      <c r="S158" s="3032"/>
      <c r="T158" s="3032"/>
      <c r="U158" s="3032"/>
      <c r="V158" s="3032"/>
      <c r="W158" s="3843"/>
      <c r="X158" s="3843"/>
      <c r="Y158" s="3035"/>
    </row>
    <row r="159" spans="1:25">
      <c r="A159" s="3035"/>
      <c r="C159" s="1154"/>
      <c r="D159" s="33"/>
      <c r="E159" s="33"/>
      <c r="F159" s="33"/>
      <c r="G159" s="33"/>
      <c r="O159" s="3032"/>
      <c r="P159" s="3032"/>
      <c r="Q159" s="3032"/>
      <c r="R159" s="3032"/>
      <c r="S159" s="3032"/>
      <c r="T159" s="3032"/>
      <c r="U159" s="3032"/>
      <c r="V159" s="3032"/>
      <c r="W159" s="3843"/>
      <c r="X159" s="3843"/>
      <c r="Y159" s="3035"/>
    </row>
    <row r="160" spans="1:25">
      <c r="A160" s="3035"/>
      <c r="C160" s="1154"/>
      <c r="D160" s="33"/>
      <c r="E160" s="33"/>
      <c r="F160" s="33"/>
      <c r="G160" s="33"/>
      <c r="O160" s="3032"/>
      <c r="P160" s="3032"/>
      <c r="Q160" s="3032"/>
      <c r="R160" s="3032"/>
      <c r="S160" s="3032"/>
      <c r="T160" s="3032"/>
      <c r="U160" s="3032"/>
      <c r="V160" s="3032"/>
      <c r="W160" s="3843"/>
      <c r="X160" s="3843"/>
      <c r="Y160" s="3035"/>
    </row>
    <row r="161" spans="1:25">
      <c r="A161" s="3035"/>
      <c r="C161" s="1154"/>
      <c r="D161" s="33"/>
      <c r="E161" s="33"/>
      <c r="F161" s="33"/>
      <c r="G161" s="33"/>
      <c r="O161" s="3032"/>
      <c r="P161" s="3032"/>
      <c r="Q161" s="3032"/>
      <c r="R161" s="3032"/>
      <c r="S161" s="3032"/>
      <c r="T161" s="3032"/>
      <c r="U161" s="3032"/>
      <c r="V161" s="3032"/>
      <c r="W161" s="3843"/>
      <c r="X161" s="3843"/>
      <c r="Y161" s="3035"/>
    </row>
    <row r="162" spans="1:25">
      <c r="A162" s="3035"/>
      <c r="C162" s="1154"/>
      <c r="D162" s="33"/>
      <c r="E162" s="33"/>
      <c r="F162" s="33"/>
      <c r="G162" s="33"/>
      <c r="O162" s="3032"/>
      <c r="P162" s="3032"/>
      <c r="Q162" s="3032"/>
      <c r="R162" s="3032"/>
      <c r="S162" s="3032"/>
      <c r="T162" s="3032"/>
      <c r="U162" s="3032"/>
      <c r="V162" s="3032"/>
      <c r="W162" s="3843"/>
      <c r="X162" s="3843"/>
      <c r="Y162" s="3035"/>
    </row>
    <row r="163" spans="1:25">
      <c r="A163" s="3035"/>
      <c r="C163" s="1154"/>
      <c r="D163" s="33"/>
      <c r="E163" s="33"/>
      <c r="F163" s="33"/>
      <c r="G163" s="33"/>
      <c r="O163" s="3032"/>
      <c r="P163" s="3032"/>
      <c r="Q163" s="3032"/>
      <c r="R163" s="3032"/>
      <c r="S163" s="3032"/>
      <c r="T163" s="3032"/>
      <c r="U163" s="3032"/>
      <c r="V163" s="3032"/>
      <c r="W163" s="3843"/>
      <c r="X163" s="3843"/>
      <c r="Y163" s="3035"/>
    </row>
    <row r="164" spans="1:25" ht="17.45" customHeight="1">
      <c r="A164" s="3035"/>
      <c r="C164" s="1154"/>
      <c r="D164" s="33"/>
      <c r="E164" s="33"/>
      <c r="F164" s="33"/>
      <c r="G164" s="33"/>
      <c r="O164" s="3032"/>
      <c r="P164" s="3032"/>
      <c r="Q164" s="3032"/>
      <c r="R164" s="3032"/>
      <c r="S164" s="3032"/>
      <c r="T164" s="3032"/>
      <c r="U164" s="3032"/>
      <c r="V164" s="3032"/>
      <c r="W164" s="3843"/>
      <c r="X164" s="3843"/>
      <c r="Y164" s="3035"/>
    </row>
    <row r="165" spans="1:25" ht="29.25" customHeight="1">
      <c r="B165" s="4733"/>
      <c r="C165" s="4733"/>
      <c r="D165" s="4733"/>
      <c r="E165" s="4733"/>
      <c r="F165" s="4733"/>
      <c r="G165" s="4733"/>
      <c r="H165" s="4733"/>
      <c r="I165" s="4733"/>
      <c r="J165" s="4733"/>
      <c r="K165" s="4733"/>
      <c r="L165" s="4733"/>
      <c r="M165" s="4733"/>
      <c r="N165" s="4733"/>
      <c r="O165" s="3034"/>
      <c r="P165" s="3032"/>
      <c r="Q165" s="3032"/>
      <c r="R165" s="3032"/>
      <c r="S165" s="3032"/>
      <c r="T165" s="3032"/>
      <c r="U165" s="3032"/>
      <c r="V165" s="3032"/>
      <c r="W165" s="3843"/>
      <c r="X165" s="3843"/>
      <c r="Y165" s="3035"/>
    </row>
    <row r="166" spans="1:25">
      <c r="C166" s="1154"/>
      <c r="D166" s="33"/>
      <c r="E166" s="33"/>
      <c r="F166" s="33"/>
      <c r="G166" s="33"/>
      <c r="O166" s="3032"/>
      <c r="P166" s="3035"/>
      <c r="Q166" s="3034"/>
      <c r="R166" s="3035"/>
      <c r="S166" s="3034"/>
      <c r="T166" s="3035"/>
      <c r="U166" s="3034"/>
      <c r="V166" s="3035"/>
      <c r="W166" s="3864"/>
      <c r="X166" s="3865"/>
      <c r="Y166" s="3035"/>
    </row>
    <row r="167" spans="1:25">
      <c r="C167" s="1154"/>
      <c r="D167" s="33"/>
      <c r="E167" s="33"/>
      <c r="F167" s="33"/>
      <c r="G167" s="33"/>
      <c r="O167" s="3032"/>
      <c r="P167" s="3032"/>
      <c r="Q167" s="3032"/>
      <c r="R167" s="3032"/>
      <c r="S167" s="3032"/>
      <c r="T167" s="3032"/>
      <c r="U167" s="3032"/>
      <c r="V167" s="3032"/>
      <c r="W167" s="3843"/>
      <c r="X167" s="3843"/>
      <c r="Y167" s="3035"/>
    </row>
    <row r="168" spans="1:25">
      <c r="C168" s="1154"/>
      <c r="D168" s="33"/>
      <c r="E168" s="33"/>
      <c r="F168" s="33"/>
      <c r="G168" s="33"/>
      <c r="O168" s="3032"/>
      <c r="P168" s="3032"/>
      <c r="Q168" s="3032"/>
      <c r="R168" s="3032"/>
      <c r="S168" s="3032"/>
      <c r="T168" s="3032"/>
      <c r="U168" s="3032"/>
      <c r="V168" s="3032"/>
      <c r="W168" s="3843"/>
      <c r="X168" s="3843"/>
      <c r="Y168" s="3035"/>
    </row>
    <row r="169" spans="1:25">
      <c r="C169" s="1154"/>
      <c r="D169" s="33"/>
      <c r="E169" s="33"/>
      <c r="F169" s="33"/>
      <c r="G169" s="33"/>
      <c r="O169" s="3032"/>
      <c r="P169" s="3032"/>
      <c r="Q169" s="3032"/>
      <c r="R169" s="3032"/>
      <c r="S169" s="3032"/>
      <c r="T169" s="3032"/>
      <c r="U169" s="3032"/>
      <c r="V169" s="3032"/>
      <c r="W169" s="3843"/>
      <c r="X169" s="3843"/>
      <c r="Y169" s="3035"/>
    </row>
    <row r="170" spans="1:25">
      <c r="A170" s="3035"/>
      <c r="B170" s="3035"/>
      <c r="C170" s="3048"/>
      <c r="D170" s="3048"/>
      <c r="E170" s="3048"/>
      <c r="F170" s="3048"/>
      <c r="G170" s="3048"/>
      <c r="H170" s="3043"/>
      <c r="I170" s="3044"/>
      <c r="J170" s="3032"/>
      <c r="K170" s="3032"/>
      <c r="L170" s="3032"/>
      <c r="M170" s="3032"/>
      <c r="N170" s="3032"/>
      <c r="O170" s="3032"/>
      <c r="P170" s="3032"/>
      <c r="Q170" s="3032"/>
      <c r="R170" s="3032"/>
      <c r="S170" s="3032"/>
      <c r="T170" s="3032"/>
      <c r="U170" s="3032"/>
      <c r="V170" s="3032"/>
      <c r="W170" s="3843"/>
      <c r="X170" s="3843"/>
      <c r="Y170" s="3035"/>
    </row>
    <row r="171" spans="1:25">
      <c r="A171" s="3035"/>
      <c r="B171" s="3035"/>
      <c r="C171" s="3048"/>
      <c r="D171" s="3048"/>
      <c r="E171" s="3048"/>
      <c r="F171" s="3048"/>
      <c r="G171" s="3048"/>
      <c r="H171" s="3043"/>
      <c r="I171" s="3044"/>
      <c r="J171" s="3032"/>
      <c r="K171" s="3032"/>
      <c r="L171" s="3032"/>
      <c r="M171" s="3032"/>
      <c r="N171" s="3032"/>
      <c r="O171" s="3032"/>
      <c r="P171" s="3032"/>
      <c r="Q171" s="3032"/>
      <c r="R171" s="3032"/>
      <c r="S171" s="3032"/>
      <c r="T171" s="3032"/>
      <c r="U171" s="3032"/>
      <c r="V171" s="3032"/>
      <c r="W171" s="3843"/>
      <c r="X171" s="3843"/>
      <c r="Y171" s="3035"/>
    </row>
    <row r="172" spans="1:25" ht="18.600000000000001" customHeight="1">
      <c r="A172" s="3035"/>
      <c r="B172" s="3035"/>
      <c r="C172" s="3048"/>
      <c r="D172" s="3048"/>
      <c r="E172" s="3048"/>
      <c r="F172" s="3048"/>
      <c r="G172" s="3048"/>
      <c r="H172" s="3043"/>
      <c r="I172" s="3044"/>
      <c r="J172" s="3032"/>
      <c r="K172" s="3032"/>
      <c r="L172" s="3032"/>
      <c r="M172" s="3032"/>
      <c r="N172" s="3032"/>
      <c r="O172" s="3032"/>
      <c r="P172" s="3032"/>
      <c r="Q172" s="3032"/>
      <c r="R172" s="3032"/>
      <c r="S172" s="3032"/>
      <c r="T172" s="3032"/>
      <c r="U172" s="3032"/>
      <c r="V172" s="3032"/>
      <c r="W172" s="3843"/>
      <c r="X172" s="3843"/>
      <c r="Y172" s="3035"/>
    </row>
    <row r="173" spans="1:25">
      <c r="A173" s="3035"/>
      <c r="B173" s="3035"/>
      <c r="C173" s="3048"/>
      <c r="D173" s="3048"/>
      <c r="E173" s="3048"/>
      <c r="F173" s="3048"/>
      <c r="G173" s="3048"/>
      <c r="H173" s="3043"/>
      <c r="I173" s="3044"/>
      <c r="J173" s="3032"/>
      <c r="K173" s="3032"/>
      <c r="L173" s="3032"/>
      <c r="M173" s="3032"/>
      <c r="N173" s="3032"/>
      <c r="O173" s="3032"/>
      <c r="P173" s="3032"/>
      <c r="Q173" s="3032"/>
      <c r="R173" s="3057" t="str">
        <f>$J$9&amp;"dt/ha"</f>
        <v>750dt/ha</v>
      </c>
      <c r="S173" s="3057" t="str">
        <f>$L$9&amp;"dt/ha"</f>
        <v>70dt/ha</v>
      </c>
      <c r="T173" s="3057" t="str">
        <f>$N$9&amp;"dt/ha"</f>
        <v>100dt/ha</v>
      </c>
      <c r="U173" s="3057" t="str">
        <f>$P$9&amp;"dt/ha"</f>
        <v>40dt/ha</v>
      </c>
      <c r="V173" s="3057" t="str">
        <f>$R$9&amp;"dt/ha"</f>
        <v>100dt/ha</v>
      </c>
      <c r="W173" s="3843" t="str">
        <f>$T$9&amp;"dt/ha"</f>
        <v>100dt/ha</v>
      </c>
      <c r="X173" s="3866" t="str">
        <f>$V$9&amp;"dt/ha"</f>
        <v>35dt/ha</v>
      </c>
      <c r="Y173" s="3035"/>
    </row>
    <row r="174" spans="1:25">
      <c r="A174" s="3035"/>
      <c r="B174" s="3035"/>
      <c r="C174" s="3035"/>
      <c r="D174" s="3041"/>
      <c r="E174" s="3042"/>
      <c r="F174" s="3032"/>
      <c r="G174" s="3032"/>
      <c r="H174" s="3043"/>
      <c r="I174" s="3044"/>
      <c r="J174" s="3032"/>
      <c r="K174" s="3032"/>
      <c r="L174" s="3032"/>
      <c r="M174" s="3032"/>
      <c r="N174" s="3032"/>
      <c r="O174" s="3032"/>
      <c r="P174" s="3032"/>
      <c r="Q174" s="3057"/>
      <c r="R174" s="3060" t="str">
        <f>$I$8</f>
        <v>mittel</v>
      </c>
      <c r="S174" s="3060" t="str">
        <f>$K$8</f>
        <v>mittel</v>
      </c>
      <c r="T174" s="3060" t="str">
        <f>$M$8</f>
        <v>mittel</v>
      </c>
      <c r="U174" s="3060" t="str">
        <f>$O$8</f>
        <v>mittel</v>
      </c>
      <c r="V174" s="3060" t="str">
        <f>$Q$8</f>
        <v>mittel</v>
      </c>
      <c r="W174" s="3866" t="str">
        <f>$S$8</f>
        <v>hoch</v>
      </c>
      <c r="X174" s="3867" t="str">
        <f>$U$8</f>
        <v>mittel</v>
      </c>
      <c r="Y174" s="3035"/>
    </row>
    <row r="175" spans="1:25">
      <c r="A175" s="3035"/>
      <c r="B175" s="3035"/>
      <c r="C175" s="3035"/>
      <c r="D175" s="3041"/>
      <c r="E175" s="3042"/>
      <c r="F175" s="3032"/>
      <c r="G175" s="3032"/>
      <c r="H175" s="3043"/>
      <c r="I175" s="3044"/>
      <c r="J175" s="3032"/>
      <c r="K175" s="3032"/>
      <c r="L175" s="3032"/>
      <c r="M175" s="3032"/>
      <c r="N175" s="3032"/>
      <c r="O175" s="3032"/>
      <c r="P175" s="3032"/>
      <c r="Q175" s="3057"/>
      <c r="R175" s="3057" t="str">
        <f>$I$2</f>
        <v xml:space="preserve">Zuckerrüben </v>
      </c>
      <c r="S175" s="3057" t="str">
        <f>$K$2</f>
        <v>Wintergerste</v>
      </c>
      <c r="T175" s="3057" t="str">
        <f>$M$2</f>
        <v xml:space="preserve">Körnermais </v>
      </c>
      <c r="U175" s="3057" t="str">
        <f>$O$2</f>
        <v>Winterraps</v>
      </c>
      <c r="V175" s="3057" t="str">
        <f>$Q$2</f>
        <v xml:space="preserve">Körnermais </v>
      </c>
      <c r="W175" s="3866" t="str">
        <f>$S$2</f>
        <v xml:space="preserve">Öko-Körnermais </v>
      </c>
      <c r="X175" s="3866" t="str">
        <f>$U$2</f>
        <v xml:space="preserve">Ackerbohnen </v>
      </c>
      <c r="Y175" s="3035"/>
    </row>
    <row r="176" spans="1:25">
      <c r="A176" s="3035"/>
      <c r="B176" s="3035"/>
      <c r="C176" s="3035"/>
      <c r="D176" s="3041"/>
      <c r="E176" s="3042"/>
      <c r="F176" s="3032"/>
      <c r="G176" s="3032"/>
      <c r="H176" s="3043"/>
      <c r="I176" s="3044"/>
      <c r="J176" s="3032"/>
      <c r="K176" s="3032"/>
      <c r="L176" s="3032"/>
      <c r="M176" s="3032"/>
      <c r="N176" s="3032"/>
      <c r="O176" s="3032"/>
      <c r="P176" s="3032"/>
      <c r="Q176" s="3058" t="s">
        <v>1675</v>
      </c>
      <c r="R176" s="3061">
        <f>J68</f>
        <v>3.5936648660150547</v>
      </c>
      <c r="S176" s="3062">
        <f>L68</f>
        <v>27.795238630991399</v>
      </c>
      <c r="T176" s="3061">
        <f>N68</f>
        <v>23.871125827116913</v>
      </c>
      <c r="U176" s="3062">
        <f>P68</f>
        <v>51.30022582044613</v>
      </c>
      <c r="V176" s="3061">
        <f>R68</f>
        <v>23.871125827116913</v>
      </c>
      <c r="W176" s="3868" t="e">
        <f>T68</f>
        <v>#REF!</v>
      </c>
      <c r="X176" s="3870">
        <f>V68</f>
        <v>43.120369335594674</v>
      </c>
      <c r="Y176" s="3035"/>
    </row>
    <row r="177" spans="1:25">
      <c r="A177" s="3035"/>
      <c r="B177" s="3035"/>
      <c r="C177" s="3035"/>
      <c r="D177" s="3041"/>
      <c r="E177" s="3042"/>
      <c r="F177" s="3032"/>
      <c r="G177" s="3032"/>
      <c r="H177" s="3043"/>
      <c r="I177" s="3044"/>
      <c r="J177" s="3032"/>
      <c r="K177" s="3032"/>
      <c r="L177" s="3032"/>
      <c r="M177" s="3032"/>
      <c r="N177" s="3032"/>
      <c r="O177" s="3032"/>
      <c r="P177" s="3032"/>
      <c r="Q177" s="3058" t="s">
        <v>1674</v>
      </c>
      <c r="R177" s="3061">
        <f>J71</f>
        <v>3.1068155509465618</v>
      </c>
      <c r="S177" s="3062">
        <f>L71</f>
        <v>21.289524345277115</v>
      </c>
      <c r="T177" s="3061">
        <f>N71</f>
        <v>19.317125827116914</v>
      </c>
      <c r="U177" s="3062">
        <f>P71</f>
        <v>39.915225820446132</v>
      </c>
      <c r="V177" s="3061">
        <f>R71</f>
        <v>19.317125827116914</v>
      </c>
      <c r="W177" s="3868" t="e">
        <f>T71</f>
        <v>#REF!</v>
      </c>
      <c r="X177" s="3870">
        <f>V71</f>
        <v>30.108940764166103</v>
      </c>
      <c r="Y177" s="3035"/>
    </row>
    <row r="178" spans="1:25">
      <c r="A178" s="3035"/>
      <c r="B178" s="3035"/>
      <c r="C178" s="3035"/>
      <c r="D178" s="3041"/>
      <c r="E178" s="3042"/>
      <c r="F178" s="3032"/>
      <c r="G178" s="3032"/>
      <c r="H178" s="3043"/>
      <c r="I178" s="3044"/>
      <c r="J178" s="3032"/>
      <c r="K178" s="3032"/>
      <c r="L178" s="3032"/>
      <c r="M178" s="3032"/>
      <c r="N178" s="3032"/>
      <c r="O178" s="3032"/>
      <c r="P178" s="3032"/>
      <c r="Q178" s="3032"/>
      <c r="R178" s="3032"/>
      <c r="S178" s="3032"/>
      <c r="T178" s="3032"/>
      <c r="U178" s="3032"/>
      <c r="V178" s="3032"/>
      <c r="W178" s="3843"/>
      <c r="X178" s="3843"/>
      <c r="Y178" s="3035"/>
    </row>
    <row r="179" spans="1:25">
      <c r="A179" s="3035"/>
      <c r="B179" s="3035"/>
      <c r="C179" s="3035"/>
      <c r="D179" s="3041"/>
      <c r="E179" s="3042"/>
      <c r="F179" s="3032"/>
      <c r="G179" s="3032"/>
      <c r="H179" s="3043"/>
      <c r="I179" s="3044"/>
      <c r="J179" s="3032"/>
      <c r="K179" s="3032"/>
      <c r="L179" s="3032"/>
      <c r="M179" s="3032"/>
      <c r="N179" s="3032"/>
      <c r="O179" s="3032"/>
      <c r="P179" s="3032"/>
      <c r="Q179" s="3032"/>
      <c r="R179" s="3032"/>
      <c r="S179" s="3032"/>
      <c r="T179" s="3032"/>
      <c r="U179" s="3032"/>
      <c r="V179" s="3032"/>
      <c r="W179" s="3843"/>
      <c r="X179" s="3843"/>
      <c r="Y179" s="3035"/>
    </row>
    <row r="180" spans="1:25">
      <c r="A180" s="3035"/>
      <c r="B180" s="3035"/>
      <c r="C180" s="3035"/>
      <c r="D180" s="3041"/>
      <c r="E180" s="3042"/>
      <c r="F180" s="3032"/>
      <c r="G180" s="3032"/>
      <c r="H180" s="3043"/>
      <c r="I180" s="3044"/>
      <c r="J180" s="3032"/>
      <c r="K180" s="3032"/>
      <c r="L180" s="3032"/>
      <c r="M180" s="3032"/>
      <c r="N180" s="3032"/>
      <c r="O180" s="3032"/>
      <c r="P180" s="3032"/>
      <c r="Q180" s="3032"/>
      <c r="R180" s="3032"/>
      <c r="S180" s="3032"/>
      <c r="T180" s="3032"/>
      <c r="U180" s="3032"/>
      <c r="V180" s="3032"/>
      <c r="W180" s="3843"/>
      <c r="X180" s="3843"/>
      <c r="Y180" s="3035"/>
    </row>
    <row r="181" spans="1:25">
      <c r="A181" s="3035"/>
      <c r="B181" s="3035"/>
      <c r="C181" s="3035"/>
      <c r="D181" s="3041"/>
      <c r="E181" s="3042"/>
      <c r="F181" s="3032"/>
      <c r="G181" s="3032"/>
      <c r="H181" s="3043"/>
      <c r="I181" s="3044"/>
      <c r="J181" s="3032"/>
      <c r="K181" s="3032"/>
      <c r="L181" s="3032"/>
      <c r="M181" s="3032"/>
      <c r="N181" s="3032"/>
      <c r="O181" s="3032"/>
      <c r="P181" s="3032"/>
      <c r="Q181" s="3032"/>
      <c r="R181" s="3032"/>
      <c r="S181" s="3032"/>
      <c r="T181" s="3032"/>
      <c r="U181" s="3032"/>
      <c r="V181" s="3032"/>
      <c r="W181" s="3843"/>
      <c r="X181" s="3843"/>
      <c r="Y181" s="3035"/>
    </row>
    <row r="182" spans="1:25">
      <c r="E182" s="126"/>
      <c r="O182" s="3032"/>
      <c r="P182" s="3032"/>
      <c r="Q182" s="3032"/>
      <c r="R182" s="3032"/>
      <c r="S182" s="3032"/>
      <c r="T182" s="3032"/>
      <c r="U182" s="3032"/>
      <c r="V182" s="3032"/>
      <c r="W182" s="3843"/>
      <c r="X182" s="3843"/>
      <c r="Y182" s="3035"/>
    </row>
    <row r="183" spans="1:25">
      <c r="E183" s="126"/>
      <c r="O183" s="3032"/>
      <c r="P183" s="3032"/>
      <c r="Q183" s="3032"/>
      <c r="R183" s="3032"/>
      <c r="S183" s="3032"/>
      <c r="T183" s="3032"/>
      <c r="U183" s="3032"/>
      <c r="V183" s="3032"/>
      <c r="W183" s="3843"/>
      <c r="X183" s="3843"/>
      <c r="Y183" s="3035"/>
    </row>
    <row r="184" spans="1:25">
      <c r="E184" s="126"/>
      <c r="O184" s="3032"/>
      <c r="P184" s="3032"/>
      <c r="Q184" s="3032"/>
      <c r="R184" s="3032"/>
      <c r="S184" s="3032"/>
      <c r="T184" s="3032"/>
      <c r="U184" s="3032"/>
      <c r="V184" s="3032"/>
      <c r="W184" s="3843"/>
      <c r="X184" s="3843"/>
      <c r="Y184" s="3035"/>
    </row>
    <row r="185" spans="1:25">
      <c r="E185" s="126"/>
      <c r="P185" s="3032"/>
      <c r="Q185" s="3032"/>
      <c r="R185" s="3032"/>
      <c r="S185" s="3032"/>
      <c r="T185" s="3032"/>
      <c r="U185" s="3032"/>
      <c r="V185" s="3032"/>
      <c r="W185" s="3843"/>
      <c r="X185" s="3843"/>
      <c r="Y185" s="3035"/>
    </row>
    <row r="186" spans="1:25">
      <c r="E186" s="126"/>
      <c r="R186" s="3032"/>
      <c r="S186" s="3032"/>
      <c r="T186" s="3032"/>
      <c r="U186" s="3032"/>
      <c r="V186" s="3032"/>
      <c r="X186" s="3843"/>
      <c r="Y186" s="3035"/>
    </row>
    <row r="187" spans="1:25">
      <c r="E187" s="126"/>
      <c r="R187" s="3032"/>
      <c r="S187" s="3032"/>
      <c r="T187" s="3032"/>
      <c r="U187" s="3032"/>
      <c r="V187" s="3032"/>
      <c r="X187" s="3843"/>
      <c r="Y187" s="3035"/>
    </row>
    <row r="188" spans="1:25">
      <c r="E188" s="126"/>
      <c r="R188" s="3032"/>
      <c r="S188" s="3032"/>
      <c r="T188" s="3032"/>
      <c r="U188" s="3032"/>
      <c r="V188" s="3032"/>
      <c r="X188" s="3843"/>
      <c r="Y188" s="3035"/>
    </row>
    <row r="189" spans="1:25">
      <c r="E189" s="126"/>
      <c r="R189" s="3032"/>
      <c r="S189" s="3032"/>
      <c r="T189" s="3032"/>
      <c r="U189" s="3032"/>
      <c r="V189" s="3032"/>
      <c r="X189" s="3843"/>
      <c r="Y189" s="3035"/>
    </row>
    <row r="190" spans="1:25">
      <c r="E190" s="126"/>
      <c r="R190" s="3032"/>
      <c r="S190" s="3032"/>
      <c r="T190" s="3032"/>
      <c r="U190" s="3032"/>
      <c r="V190" s="3032"/>
      <c r="X190" s="3843"/>
      <c r="Y190" s="3035"/>
    </row>
    <row r="191" spans="1:25">
      <c r="E191" s="126"/>
      <c r="R191" s="3032"/>
      <c r="S191" s="3032"/>
      <c r="T191" s="3032"/>
      <c r="U191" s="3032"/>
      <c r="V191" s="3032"/>
      <c r="X191" s="3843"/>
      <c r="Y191" s="3035"/>
    </row>
    <row r="192" spans="1:25">
      <c r="E192" s="126"/>
      <c r="R192" s="3032"/>
      <c r="S192" s="3032"/>
      <c r="T192" s="3032"/>
      <c r="U192" s="3032"/>
      <c r="V192" s="3032"/>
      <c r="X192" s="3843"/>
      <c r="Y192" s="3035"/>
    </row>
    <row r="193" spans="5:25">
      <c r="E193" s="126"/>
      <c r="R193" s="3032"/>
      <c r="S193" s="3032"/>
      <c r="T193" s="3032"/>
      <c r="U193" s="3032"/>
      <c r="V193" s="3032"/>
      <c r="X193" s="3843"/>
      <c r="Y193" s="3035"/>
    </row>
    <row r="194" spans="5:25">
      <c r="E194" s="126"/>
      <c r="R194" s="3032"/>
      <c r="S194" s="3032"/>
      <c r="T194" s="3032"/>
      <c r="U194" s="3032"/>
      <c r="V194" s="3032"/>
      <c r="X194" s="3843"/>
      <c r="Y194" s="3035"/>
    </row>
    <row r="195" spans="5:25">
      <c r="E195" s="126"/>
      <c r="R195" s="3032"/>
      <c r="S195" s="3032"/>
      <c r="T195" s="3032"/>
      <c r="U195" s="3032"/>
      <c r="V195" s="3032"/>
      <c r="X195" s="3843"/>
      <c r="Y195" s="3035"/>
    </row>
    <row r="196" spans="5:25">
      <c r="E196" s="126"/>
      <c r="R196" s="3032"/>
      <c r="S196" s="3032"/>
      <c r="T196" s="3032"/>
      <c r="U196" s="3032"/>
      <c r="V196" s="3032"/>
      <c r="X196" s="3843"/>
      <c r="Y196" s="3035"/>
    </row>
    <row r="197" spans="5:25">
      <c r="E197" s="126"/>
      <c r="R197" s="3032"/>
      <c r="S197" s="3032"/>
      <c r="T197" s="3032"/>
      <c r="U197" s="3032"/>
      <c r="V197" s="3032"/>
      <c r="X197" s="3843"/>
      <c r="Y197" s="3035"/>
    </row>
    <row r="198" spans="5:25">
      <c r="E198" s="126"/>
      <c r="R198" s="3032"/>
      <c r="S198" s="3032"/>
      <c r="T198" s="3032"/>
      <c r="U198" s="3032"/>
      <c r="V198" s="3032"/>
      <c r="X198" s="3843"/>
      <c r="Y198" s="3035"/>
    </row>
    <row r="199" spans="5:25">
      <c r="E199" s="126"/>
      <c r="R199" s="3032"/>
      <c r="S199" s="3032"/>
      <c r="T199" s="3032"/>
      <c r="U199" s="3032"/>
      <c r="V199" s="3032"/>
      <c r="X199" s="3843"/>
      <c r="Y199" s="3035"/>
    </row>
    <row r="200" spans="5:25">
      <c r="E200" s="126"/>
      <c r="R200" s="3032"/>
      <c r="S200" s="3032"/>
      <c r="T200" s="3032"/>
      <c r="U200" s="3032"/>
      <c r="V200" s="3032"/>
      <c r="X200" s="3843"/>
      <c r="Y200" s="3035"/>
    </row>
    <row r="201" spans="5:25">
      <c r="E201" s="126"/>
      <c r="R201" s="3032"/>
      <c r="S201" s="3032"/>
      <c r="T201" s="3032"/>
      <c r="U201" s="3032"/>
      <c r="V201" s="3032"/>
      <c r="X201" s="3843"/>
      <c r="Y201" s="3035"/>
    </row>
    <row r="202" spans="5:25">
      <c r="E202" s="126"/>
      <c r="R202" s="3032"/>
      <c r="S202" s="3032"/>
      <c r="T202" s="3032"/>
      <c r="U202" s="3032"/>
      <c r="V202" s="3032"/>
      <c r="X202" s="3843"/>
      <c r="Y202" s="3035"/>
    </row>
    <row r="203" spans="5:25">
      <c r="E203" s="126"/>
      <c r="R203" s="3032"/>
      <c r="S203" s="3032"/>
      <c r="T203" s="3032"/>
      <c r="U203" s="3032"/>
      <c r="V203" s="3032"/>
      <c r="X203" s="3843"/>
      <c r="Y203" s="3035"/>
    </row>
    <row r="204" spans="5:25">
      <c r="E204" s="126"/>
      <c r="R204" s="3032"/>
      <c r="S204" s="3032"/>
      <c r="T204" s="3032"/>
      <c r="U204" s="3032"/>
      <c r="V204" s="3032"/>
      <c r="X204" s="3843"/>
      <c r="Y204" s="3035"/>
    </row>
    <row r="205" spans="5:25">
      <c r="E205" s="126"/>
      <c r="R205" s="3032"/>
      <c r="S205" s="3032"/>
      <c r="T205" s="3032"/>
      <c r="U205" s="3032"/>
      <c r="V205" s="3032"/>
      <c r="X205" s="3843"/>
      <c r="Y205" s="3035"/>
    </row>
    <row r="206" spans="5:25">
      <c r="E206" s="126"/>
      <c r="R206" s="3032"/>
      <c r="S206" s="3032"/>
      <c r="T206" s="3032"/>
      <c r="U206" s="3032"/>
      <c r="V206" s="3032"/>
      <c r="X206" s="3843"/>
      <c r="Y206" s="3035"/>
    </row>
    <row r="207" spans="5:25">
      <c r="E207" s="126"/>
      <c r="R207" s="3032"/>
      <c r="S207" s="3032"/>
      <c r="T207" s="3032"/>
      <c r="U207" s="3032"/>
      <c r="V207" s="3032"/>
      <c r="X207" s="3843"/>
      <c r="Y207" s="3035"/>
    </row>
    <row r="208" spans="5:25">
      <c r="E208" s="126"/>
      <c r="R208" s="3032"/>
      <c r="S208" s="3032"/>
      <c r="T208" s="3032"/>
      <c r="U208" s="3032"/>
      <c r="V208" s="3032"/>
      <c r="X208" s="3843"/>
      <c r="Y208" s="3035"/>
    </row>
    <row r="209" spans="1:25">
      <c r="E209" s="126"/>
      <c r="R209" s="3032"/>
      <c r="S209" s="3032"/>
      <c r="T209" s="3032"/>
      <c r="U209" s="3032"/>
      <c r="V209" s="3032"/>
      <c r="X209" s="3843"/>
      <c r="Y209" s="3035"/>
    </row>
    <row r="210" spans="1:25">
      <c r="E210" s="126"/>
      <c r="R210" s="3032"/>
      <c r="S210" s="3032"/>
      <c r="T210" s="3032"/>
      <c r="U210" s="3032"/>
      <c r="V210" s="3032"/>
      <c r="X210" s="3843"/>
      <c r="Y210" s="3035"/>
    </row>
    <row r="211" spans="1:25">
      <c r="E211" s="126"/>
      <c r="R211" s="3032"/>
      <c r="S211" s="3032"/>
      <c r="T211" s="3032"/>
      <c r="U211" s="3032"/>
      <c r="V211" s="3032"/>
      <c r="X211" s="3843"/>
      <c r="Y211" s="3035"/>
    </row>
    <row r="212" spans="1:25">
      <c r="E212" s="126"/>
      <c r="R212" s="3032"/>
      <c r="S212" s="3032"/>
      <c r="T212" s="3032"/>
      <c r="U212" s="3032"/>
      <c r="V212" s="3032"/>
      <c r="X212" s="3843"/>
      <c r="Y212" s="3035"/>
    </row>
    <row r="213" spans="1:25">
      <c r="E213" s="126"/>
      <c r="R213" s="3032"/>
      <c r="S213" s="3032"/>
      <c r="T213" s="3032"/>
      <c r="U213" s="3032"/>
      <c r="V213" s="3032"/>
      <c r="X213" s="3843"/>
      <c r="Y213" s="3035"/>
    </row>
    <row r="214" spans="1:25">
      <c r="E214" s="126"/>
      <c r="R214" s="3032"/>
      <c r="S214" s="3032"/>
      <c r="T214" s="3032"/>
      <c r="U214" s="3032"/>
      <c r="V214" s="3032"/>
      <c r="X214" s="3843"/>
      <c r="Y214" s="3035"/>
    </row>
    <row r="215" spans="1:25">
      <c r="E215" s="126"/>
      <c r="R215" s="3032"/>
      <c r="S215" s="3032"/>
      <c r="T215" s="3032"/>
      <c r="U215" s="3032"/>
      <c r="V215" s="3032"/>
      <c r="X215" s="3843"/>
      <c r="Y215" s="3035"/>
    </row>
    <row r="216" spans="1:25">
      <c r="E216" s="126"/>
      <c r="R216" s="3032"/>
      <c r="S216" s="3032"/>
      <c r="T216" s="3032"/>
      <c r="U216" s="3032"/>
      <c r="V216" s="3032"/>
      <c r="X216" s="3843"/>
      <c r="Y216" s="3035"/>
    </row>
    <row r="217" spans="1:25">
      <c r="A217" s="3035"/>
      <c r="B217" s="3035"/>
      <c r="C217" s="3035"/>
      <c r="D217" s="3041"/>
      <c r="E217" s="3042"/>
      <c r="F217" s="3032"/>
      <c r="G217" s="3032"/>
      <c r="H217" s="3043"/>
      <c r="I217" s="3044"/>
      <c r="J217" s="3032"/>
      <c r="K217" s="3032"/>
      <c r="L217" s="3032"/>
      <c r="M217" s="3032"/>
      <c r="N217" s="3032"/>
      <c r="O217" s="3032"/>
      <c r="P217" s="3032"/>
      <c r="Q217" s="3032"/>
      <c r="R217" s="3032"/>
      <c r="S217" s="3032"/>
      <c r="T217" s="3032"/>
      <c r="U217" s="3032"/>
      <c r="V217" s="3032"/>
      <c r="W217" s="3843"/>
      <c r="X217" s="3843"/>
      <c r="Y217" s="3035"/>
    </row>
    <row r="218" spans="1:25">
      <c r="A218" s="3035"/>
      <c r="B218" s="3035"/>
      <c r="C218" s="3035"/>
      <c r="D218" s="3041"/>
      <c r="E218" s="3042"/>
      <c r="F218" s="3032"/>
      <c r="G218" s="3032"/>
      <c r="H218" s="3043"/>
      <c r="I218" s="3044"/>
      <c r="J218" s="3032"/>
      <c r="K218" s="3032"/>
      <c r="L218" s="3032"/>
      <c r="M218" s="3032"/>
      <c r="N218" s="3032"/>
      <c r="O218" s="3032"/>
      <c r="P218" s="3032"/>
      <c r="Q218" s="3032"/>
      <c r="R218" s="3032"/>
      <c r="S218" s="3032"/>
      <c r="T218" s="3032"/>
      <c r="U218" s="3032"/>
      <c r="V218" s="3032"/>
      <c r="W218" s="3843"/>
      <c r="X218" s="3843"/>
      <c r="Y218" s="3035"/>
    </row>
    <row r="219" spans="1:25">
      <c r="A219" s="3032"/>
      <c r="B219" s="3032"/>
      <c r="C219" s="3032"/>
      <c r="D219" s="3032"/>
      <c r="E219" s="3032"/>
      <c r="F219" s="3032"/>
      <c r="G219" s="3032"/>
      <c r="H219" s="3032"/>
      <c r="I219" s="3032"/>
      <c r="J219" s="3032"/>
      <c r="K219" s="3032"/>
      <c r="L219" s="3032"/>
      <c r="M219" s="3032"/>
      <c r="N219" s="3032"/>
      <c r="O219" s="3032"/>
      <c r="P219" s="3032"/>
      <c r="Q219" s="3032"/>
      <c r="R219" s="3032"/>
      <c r="S219" s="3032"/>
      <c r="T219" s="3032"/>
      <c r="U219" s="3032"/>
      <c r="V219" s="3032"/>
      <c r="W219" s="3843"/>
      <c r="X219" s="3843"/>
      <c r="Y219" s="3032"/>
    </row>
    <row r="220" spans="1:25">
      <c r="A220" s="3032"/>
      <c r="B220" s="3032"/>
      <c r="C220" s="3032"/>
      <c r="D220" s="3032"/>
      <c r="E220" s="3032"/>
      <c r="F220" s="3032"/>
      <c r="G220" s="3032"/>
      <c r="H220" s="3032"/>
      <c r="I220" s="3032"/>
      <c r="J220" s="3032"/>
      <c r="K220" s="3032"/>
      <c r="L220" s="3032"/>
      <c r="M220" s="3032"/>
      <c r="N220" s="3032"/>
      <c r="O220" s="3032"/>
      <c r="P220" s="3032"/>
      <c r="Q220" s="3032"/>
      <c r="R220" s="3032"/>
      <c r="S220" s="3032"/>
      <c r="T220" s="3032"/>
      <c r="U220" s="3032"/>
      <c r="V220" s="3032"/>
      <c r="W220" s="3843"/>
      <c r="X220" s="3843"/>
      <c r="Y220" s="3032"/>
    </row>
    <row r="221" spans="1:25">
      <c r="A221" s="3032"/>
      <c r="B221" s="3032"/>
      <c r="C221" s="3032"/>
      <c r="D221" s="3032"/>
      <c r="E221" s="3032"/>
      <c r="F221" s="3032"/>
      <c r="G221" s="3032"/>
      <c r="H221" s="3032"/>
      <c r="I221" s="3032"/>
      <c r="J221" s="3032"/>
      <c r="K221" s="3032"/>
      <c r="L221" s="3032"/>
      <c r="M221" s="3032"/>
      <c r="N221" s="3032"/>
      <c r="O221" s="3032"/>
      <c r="P221" s="3032"/>
      <c r="Q221" s="3032"/>
      <c r="R221" s="3032"/>
      <c r="S221" s="3032"/>
      <c r="T221" s="3032"/>
      <c r="U221" s="3032"/>
      <c r="V221" s="3032"/>
      <c r="W221" s="3843"/>
      <c r="X221" s="3843"/>
      <c r="Y221" s="3032"/>
    </row>
    <row r="222" spans="1:25">
      <c r="A222" s="3032"/>
      <c r="B222" s="3032"/>
      <c r="C222" s="3032"/>
      <c r="D222" s="3032"/>
      <c r="E222" s="3032"/>
      <c r="F222" s="3032"/>
      <c r="G222" s="3032"/>
      <c r="H222" s="3032"/>
      <c r="I222" s="3032"/>
      <c r="J222" s="3032"/>
      <c r="K222" s="3032"/>
      <c r="L222" s="3032"/>
      <c r="M222" s="3032"/>
      <c r="N222" s="3032"/>
      <c r="O222" s="3032"/>
      <c r="P222" s="3032"/>
      <c r="Q222" s="3032"/>
      <c r="R222" s="3032"/>
      <c r="S222" s="3032"/>
      <c r="T222" s="3032"/>
      <c r="U222" s="3032"/>
      <c r="V222" s="3032"/>
      <c r="W222" s="3843"/>
      <c r="X222" s="3843"/>
      <c r="Y222" s="3032"/>
    </row>
    <row r="223" spans="1:25">
      <c r="A223" s="3032"/>
      <c r="B223" s="3032"/>
      <c r="C223" s="3032"/>
      <c r="D223" s="3032"/>
      <c r="E223" s="3032"/>
      <c r="F223" s="3032"/>
      <c r="G223" s="3032"/>
      <c r="H223" s="3032"/>
      <c r="I223" s="3032"/>
      <c r="J223" s="3032"/>
      <c r="K223" s="3032"/>
      <c r="L223" s="3032"/>
      <c r="M223" s="3032"/>
      <c r="N223" s="3032"/>
      <c r="O223" s="3032"/>
      <c r="P223" s="3032"/>
      <c r="Q223" s="3032"/>
      <c r="R223" s="3032"/>
      <c r="S223" s="3032"/>
      <c r="T223" s="3032"/>
      <c r="U223" s="3032"/>
      <c r="V223" s="3032"/>
      <c r="W223" s="3843"/>
      <c r="X223" s="3843"/>
      <c r="Y223" s="3032"/>
    </row>
    <row r="224" spans="1:25">
      <c r="A224" s="3032"/>
      <c r="B224" s="3032"/>
      <c r="C224" s="3032"/>
      <c r="D224" s="3032"/>
      <c r="E224" s="3032"/>
      <c r="F224" s="3032"/>
      <c r="G224" s="3032"/>
      <c r="H224" s="3032"/>
      <c r="I224" s="3032"/>
      <c r="J224" s="3032"/>
      <c r="K224" s="3032"/>
      <c r="L224" s="3032"/>
      <c r="M224" s="3032"/>
      <c r="N224" s="3032"/>
      <c r="O224" s="3032"/>
      <c r="P224" s="3032"/>
      <c r="Q224" s="3032"/>
      <c r="R224" s="3032"/>
      <c r="S224" s="3032"/>
      <c r="T224" s="3032"/>
      <c r="U224" s="3032"/>
      <c r="V224" s="3032"/>
      <c r="W224" s="3843"/>
      <c r="X224" s="3843"/>
      <c r="Y224" s="3032"/>
    </row>
    <row r="226" spans="4:24">
      <c r="J226" s="1153"/>
    </row>
    <row r="227" spans="4:24" ht="19.899999999999999" customHeight="1">
      <c r="D227" s="1152"/>
      <c r="E227" s="30"/>
      <c r="F227" s="30"/>
      <c r="G227" s="30"/>
      <c r="H227" s="1149"/>
      <c r="I227" s="1148"/>
      <c r="J227" s="30"/>
      <c r="K227" s="30"/>
      <c r="L227" s="30"/>
      <c r="M227" s="30"/>
      <c r="N227" s="30"/>
      <c r="O227" s="30"/>
    </row>
    <row r="228" spans="4:24" ht="19.899999999999999" customHeight="1">
      <c r="E228" s="30"/>
      <c r="F228" s="30"/>
      <c r="G228" s="1148"/>
      <c r="H228" s="1147"/>
      <c r="I228" s="1146"/>
      <c r="J228" s="1151"/>
      <c r="K228" s="1146"/>
      <c r="L228" s="1151"/>
      <c r="M228" s="1146"/>
      <c r="N228" s="30"/>
      <c r="O228" s="1146"/>
      <c r="P228" s="30"/>
      <c r="Q228" s="30"/>
      <c r="R228" s="30"/>
      <c r="S228" s="30"/>
      <c r="T228" s="30"/>
      <c r="U228" s="30"/>
      <c r="V228" s="30"/>
      <c r="W228" s="3871"/>
      <c r="X228" s="3871"/>
    </row>
    <row r="229" spans="4:24" ht="19.899999999999999" customHeight="1">
      <c r="E229" s="30"/>
      <c r="F229" s="30"/>
      <c r="G229" s="1148"/>
      <c r="H229" s="1147"/>
      <c r="I229" s="1150"/>
      <c r="J229" s="30"/>
      <c r="K229" s="1150"/>
      <c r="L229" s="30"/>
      <c r="M229" s="1150"/>
      <c r="N229" s="30"/>
      <c r="O229" s="1150"/>
      <c r="P229" s="1151"/>
      <c r="Q229" s="1146"/>
      <c r="R229" s="30"/>
      <c r="S229" s="1146"/>
      <c r="T229" s="1151"/>
      <c r="U229" s="1146"/>
      <c r="V229" s="30"/>
      <c r="W229" s="1146"/>
      <c r="X229" s="3871"/>
    </row>
    <row r="230" spans="4:24" ht="19.899999999999999" customHeight="1">
      <c r="E230" s="30"/>
      <c r="F230" s="30"/>
      <c r="G230" s="1148"/>
      <c r="H230" s="1149"/>
      <c r="I230" s="1146"/>
      <c r="J230" s="30"/>
      <c r="K230" s="1146"/>
      <c r="L230" s="1146"/>
      <c r="M230" s="1146"/>
      <c r="N230" s="30"/>
      <c r="O230" s="1146"/>
      <c r="P230" s="30"/>
      <c r="Q230" s="1150"/>
      <c r="R230" s="30"/>
      <c r="S230" s="1150"/>
      <c r="T230" s="30"/>
      <c r="U230" s="1150"/>
      <c r="V230" s="30"/>
      <c r="W230" s="1150"/>
      <c r="X230" s="3871"/>
    </row>
    <row r="231" spans="4:24" ht="19.899999999999999" customHeight="1">
      <c r="E231" s="30"/>
      <c r="F231" s="30"/>
      <c r="G231" s="1148"/>
      <c r="H231" s="1147"/>
      <c r="I231" s="1146"/>
      <c r="J231" s="30"/>
      <c r="K231" s="1146"/>
      <c r="L231" s="30"/>
      <c r="M231" s="1146"/>
      <c r="N231" s="30"/>
      <c r="O231" s="1146"/>
      <c r="P231" s="1146"/>
      <c r="Q231" s="1146"/>
      <c r="R231" s="30"/>
      <c r="S231" s="1146"/>
      <c r="T231" s="1146"/>
      <c r="U231" s="1146"/>
      <c r="V231" s="30"/>
      <c r="W231" s="1146"/>
      <c r="X231" s="3871"/>
    </row>
    <row r="232" spans="4:24">
      <c r="P232" s="30"/>
      <c r="Q232" s="1146"/>
      <c r="R232" s="30"/>
      <c r="S232" s="1146"/>
      <c r="T232" s="30"/>
      <c r="U232" s="1146"/>
      <c r="V232" s="30"/>
      <c r="W232" s="1146"/>
      <c r="X232" s="3871"/>
    </row>
    <row r="233" spans="4:24" ht="16.149999999999999" customHeight="1">
      <c r="F233" s="1145"/>
      <c r="G233" s="1145">
        <v>1</v>
      </c>
    </row>
    <row r="234" spans="4:24" ht="16.149999999999999" customHeight="1">
      <c r="F234" s="1144" t="str">
        <f>'WW1'!$K$2</f>
        <v>Winterweizen (Futter-)</v>
      </c>
      <c r="G234" s="1143">
        <f>G233+1</f>
        <v>2</v>
      </c>
    </row>
    <row r="235" spans="4:24" ht="16.149999999999999" customHeight="1">
      <c r="F235" s="1144" t="str">
        <f>'WW2'!$K$2</f>
        <v>Winterweizen (Brot-)</v>
      </c>
      <c r="G235" s="1143">
        <f t="shared" ref="G235:G264" si="21">G234+1</f>
        <v>3</v>
      </c>
    </row>
    <row r="236" spans="4:24" ht="16.149999999999999" customHeight="1">
      <c r="F236" s="1144" t="str">
        <f>'WW3'!$K$2</f>
        <v>Winterweizen (Aufmisch-; A-Sort.)</v>
      </c>
      <c r="G236" s="1143">
        <f t="shared" si="21"/>
        <v>4</v>
      </c>
    </row>
    <row r="237" spans="4:24" ht="16.149999999999999" customHeight="1">
      <c r="F237" s="1144" t="str">
        <f>'WW4'!$K$2</f>
        <v>Winterweizen (Qualität-; E-Sorte)</v>
      </c>
      <c r="G237" s="1143">
        <f t="shared" si="21"/>
        <v>5</v>
      </c>
    </row>
    <row r="238" spans="4:24" ht="16.149999999999999" customHeight="1">
      <c r="F238" s="1144" t="str">
        <f>WRo!$K$2</f>
        <v>Winterroggen</v>
      </c>
      <c r="G238" s="1143">
        <f t="shared" si="21"/>
        <v>6</v>
      </c>
    </row>
    <row r="239" spans="4:24" ht="16.149999999999999" customHeight="1">
      <c r="F239" s="1144" t="str">
        <f>Tr!$K$2</f>
        <v>Triticale</v>
      </c>
      <c r="G239" s="1143">
        <f t="shared" si="21"/>
        <v>7</v>
      </c>
    </row>
    <row r="240" spans="4:24" ht="16.149999999999999" customHeight="1">
      <c r="F240" s="1144" t="str">
        <f>WG!$K$2</f>
        <v>Wintergerste</v>
      </c>
      <c r="G240" s="1143">
        <f t="shared" si="21"/>
        <v>8</v>
      </c>
    </row>
    <row r="241" spans="6:7" ht="16.149999999999999" customHeight="1">
      <c r="F241" s="1144" t="str">
        <f>Di!K2</f>
        <v>Dinkel</v>
      </c>
      <c r="G241" s="1143">
        <f t="shared" si="21"/>
        <v>9</v>
      </c>
    </row>
    <row r="242" spans="6:7" ht="16.149999999999999" customHeight="1">
      <c r="F242" s="1144" t="str">
        <f>SW!K2</f>
        <v xml:space="preserve">Sommerweizen </v>
      </c>
      <c r="G242" s="1143">
        <f t="shared" si="21"/>
        <v>10</v>
      </c>
    </row>
    <row r="243" spans="6:7" ht="16.149999999999999" customHeight="1">
      <c r="F243" s="1144" t="str">
        <f>'SG-Fu'!$K$2</f>
        <v xml:space="preserve">Sommerfuttergerste </v>
      </c>
      <c r="G243" s="1143">
        <f t="shared" si="21"/>
        <v>11</v>
      </c>
    </row>
    <row r="244" spans="6:7" ht="16.149999999999999" customHeight="1">
      <c r="F244" s="1144" t="str">
        <f>BG!$K$2</f>
        <v>Braugerste</v>
      </c>
      <c r="G244" s="1143">
        <f t="shared" si="21"/>
        <v>12</v>
      </c>
    </row>
    <row r="245" spans="6:7" ht="16.149999999999999" customHeight="1">
      <c r="F245" s="1144" t="str">
        <f>Ha!$K$2</f>
        <v xml:space="preserve">Hafer </v>
      </c>
      <c r="G245" s="1143">
        <f t="shared" si="21"/>
        <v>13</v>
      </c>
    </row>
    <row r="246" spans="6:7" ht="16.149999999999999" customHeight="1">
      <c r="F246" s="1144" t="str">
        <f>Du!$K$2</f>
        <v>Durum</v>
      </c>
      <c r="G246" s="1143">
        <f t="shared" si="21"/>
        <v>14</v>
      </c>
    </row>
    <row r="247" spans="6:7" ht="16.149999999999999" customHeight="1">
      <c r="F247" s="1144" t="str">
        <f>KöM!$K$2</f>
        <v xml:space="preserve">Körnermais </v>
      </c>
      <c r="G247" s="1143">
        <f t="shared" si="21"/>
        <v>15</v>
      </c>
    </row>
    <row r="248" spans="6:7" ht="16.149999999999999" customHeight="1">
      <c r="F248" s="1144" t="str">
        <f>KH!$K$2</f>
        <v>Körnerhirse (Lebens-/Futtermittel)</v>
      </c>
      <c r="G248" s="1143">
        <f t="shared" si="21"/>
        <v>16</v>
      </c>
    </row>
    <row r="249" spans="6:7" ht="16.149999999999999" customHeight="1">
      <c r="F249" s="1144" t="str">
        <f>WR!$K$2</f>
        <v>Winterraps</v>
      </c>
      <c r="G249" s="1143">
        <f t="shared" si="21"/>
        <v>17</v>
      </c>
    </row>
    <row r="250" spans="6:7" ht="16.149999999999999" customHeight="1">
      <c r="F250" s="1144" t="str">
        <f>SR!$K$2</f>
        <v xml:space="preserve">Sommerraps </v>
      </c>
      <c r="G250" s="1143">
        <f t="shared" si="21"/>
        <v>18</v>
      </c>
    </row>
    <row r="251" spans="6:7" ht="16.149999999999999" customHeight="1">
      <c r="F251" s="1144" t="str">
        <f>SoBl!$K$2</f>
        <v xml:space="preserve">Sonnenblumen </v>
      </c>
      <c r="G251" s="1143">
        <f t="shared" si="21"/>
        <v>19</v>
      </c>
    </row>
    <row r="252" spans="6:7" ht="16.149999999999999" customHeight="1">
      <c r="F252" s="1144" t="str">
        <f>Soja!K2</f>
        <v xml:space="preserve">Sojabohne </v>
      </c>
      <c r="G252" s="1143">
        <f t="shared" si="21"/>
        <v>20</v>
      </c>
    </row>
    <row r="253" spans="6:7" ht="16.149999999999999" customHeight="1">
      <c r="F253" s="1144" t="str">
        <f>Öl!K2</f>
        <v xml:space="preserve">Öllein (Industrie) </v>
      </c>
      <c r="G253" s="1143">
        <f t="shared" si="21"/>
        <v>21</v>
      </c>
    </row>
    <row r="254" spans="6:7" ht="16.149999999999999" customHeight="1">
      <c r="F254" s="1144" t="str">
        <f>FE!$K$2</f>
        <v xml:space="preserve">Futtererbsen </v>
      </c>
      <c r="G254" s="1143">
        <f t="shared" si="21"/>
        <v>22</v>
      </c>
    </row>
    <row r="255" spans="6:7" ht="16.149999999999999" customHeight="1">
      <c r="F255" s="1144" t="str">
        <f>AB!$K$2</f>
        <v xml:space="preserve">Ackerbohnen </v>
      </c>
      <c r="G255" s="1143">
        <f t="shared" si="21"/>
        <v>23</v>
      </c>
    </row>
    <row r="256" spans="6:7" ht="16.149999999999999" customHeight="1">
      <c r="F256" s="1144" t="str">
        <f>Lu!K2</f>
        <v xml:space="preserve">Blaue Lupine </v>
      </c>
      <c r="G256" s="1143">
        <f t="shared" si="21"/>
        <v>24</v>
      </c>
    </row>
    <row r="257" spans="6:9" ht="16.149999999999999" customHeight="1">
      <c r="F257" s="1144" t="str">
        <f>ZR!$K$2</f>
        <v xml:space="preserve">Zuckerrüben </v>
      </c>
      <c r="G257" s="1143">
        <f t="shared" si="21"/>
        <v>25</v>
      </c>
    </row>
    <row r="258" spans="6:9" ht="16.149999999999999" customHeight="1">
      <c r="F258" s="1144" t="str">
        <f>FrühKa!$K$2</f>
        <v>Frühkartoffeln</v>
      </c>
      <c r="G258" s="1143">
        <f t="shared" si="21"/>
        <v>26</v>
      </c>
    </row>
    <row r="259" spans="6:9" ht="16.149999999999999" customHeight="1">
      <c r="F259" s="1144" t="str">
        <f>FrühKaFolieBer!$K$2</f>
        <v>Frühkartoffeln, Folie, beregnet</v>
      </c>
      <c r="G259" s="1143">
        <f t="shared" si="21"/>
        <v>27</v>
      </c>
    </row>
    <row r="260" spans="6:9" ht="16.149999999999999" customHeight="1">
      <c r="F260" s="1144" t="str">
        <f>SpKa!$K$2</f>
        <v>Speisekartoffeln spät</v>
      </c>
      <c r="G260" s="1143">
        <f t="shared" si="21"/>
        <v>28</v>
      </c>
    </row>
    <row r="261" spans="6:9" ht="16.149999999999999" customHeight="1">
      <c r="F261" s="1144" t="str">
        <f>SpKaBer!$K$2</f>
        <v>Speisekartoffeln spät, beregnet</v>
      </c>
      <c r="G261" s="1143">
        <f t="shared" si="21"/>
        <v>29</v>
      </c>
    </row>
    <row r="262" spans="6:9" ht="16.149999999999999" customHeight="1">
      <c r="F262" s="1144" t="s">
        <v>23</v>
      </c>
      <c r="G262" s="1143">
        <f t="shared" si="21"/>
        <v>30</v>
      </c>
    </row>
    <row r="263" spans="6:9" ht="16.149999999999999" customHeight="1">
      <c r="F263" s="1144" t="str">
        <f>'FAKT-Brachebegrünung'!$K$2</f>
        <v>FAKT - Brachebegrünung</v>
      </c>
      <c r="G263" s="1143">
        <f t="shared" si="21"/>
        <v>31</v>
      </c>
    </row>
    <row r="264" spans="6:9" ht="16.149999999999999" customHeight="1">
      <c r="F264" s="1144" t="str">
        <f>Begr!$K$2</f>
        <v>Begrünung</v>
      </c>
      <c r="G264" s="1143">
        <f t="shared" si="21"/>
        <v>32</v>
      </c>
    </row>
    <row r="265" spans="6:9">
      <c r="F265" s="1144"/>
      <c r="G265" s="1143"/>
    </row>
    <row r="266" spans="6:9">
      <c r="F266" s="1144" t="str">
        <f>'Öko-KG1'!$K$2</f>
        <v xml:space="preserve">Kleegras einjährig (70:30) </v>
      </c>
      <c r="G266" s="1143">
        <v>33</v>
      </c>
    </row>
    <row r="267" spans="6:9">
      <c r="F267" s="1144" t="str">
        <f>'Öko-KG2'!$K$2</f>
        <v>Kleegras zweijährig (50:50)</v>
      </c>
      <c r="G267" s="1143">
        <f>G266+1</f>
        <v>34</v>
      </c>
    </row>
    <row r="268" spans="6:9">
      <c r="F268" s="1144" t="str">
        <f>'Öko-LU1'!$K$2</f>
        <v>Luzernegras einjährig (70:30)</v>
      </c>
      <c r="G268" s="1143">
        <f>G267+1</f>
        <v>35</v>
      </c>
    </row>
    <row r="269" spans="6:9">
      <c r="F269" s="1144" t="str">
        <f>'Öko-LU2'!$K$2</f>
        <v>Luzernegras zweijährig (50:50)</v>
      </c>
      <c r="G269" s="1143">
        <f>G268+1</f>
        <v>36</v>
      </c>
    </row>
    <row r="270" spans="6:9">
      <c r="F270" s="1144" t="str">
        <f>'Öko-WW-Futter'!$K$2</f>
        <v>Öko-Winterweizen (Futter)</v>
      </c>
      <c r="G270" s="1143">
        <f>G269+1</f>
        <v>37</v>
      </c>
    </row>
    <row r="271" spans="6:9">
      <c r="F271" s="1144" t="str">
        <f>'Öko-WW-Brot'!$K$2</f>
        <v>Öko-Winterweizen (Brot)</v>
      </c>
      <c r="G271" s="1143">
        <f>G270+1</f>
        <v>38</v>
      </c>
    </row>
    <row r="272" spans="6:9">
      <c r="F272" s="1144" t="str">
        <f>'Öko-Dinkel'!$K$2</f>
        <v>Öko-Dinkel</v>
      </c>
      <c r="G272" s="1143">
        <f t="shared" ref="G272:G287" si="22">G271+1</f>
        <v>39</v>
      </c>
      <c r="I272" s="3016"/>
    </row>
    <row r="273" spans="6:9">
      <c r="F273" s="1144" t="str">
        <f>'Öko-Dinkel,gegerbt'!$K$2</f>
        <v>Öko-Dinkel, entspelzt</v>
      </c>
      <c r="G273" s="1143">
        <f t="shared" si="22"/>
        <v>40</v>
      </c>
      <c r="I273" s="3016"/>
    </row>
    <row r="274" spans="6:9">
      <c r="F274" s="1144" t="str">
        <f>'Öko-Roggen'!$K$2</f>
        <v>Öko-Winterroggen (Brot)</v>
      </c>
      <c r="G274" s="1143">
        <f t="shared" si="22"/>
        <v>41</v>
      </c>
    </row>
    <row r="275" spans="6:9">
      <c r="F275" s="1144" t="str">
        <f>'Öko-Hafer'!$K$2</f>
        <v>Öko-Hafer</v>
      </c>
      <c r="G275" s="1143">
        <f t="shared" si="22"/>
        <v>42</v>
      </c>
    </row>
    <row r="276" spans="6:9">
      <c r="F276" s="1144" t="s">
        <v>2043</v>
      </c>
      <c r="G276" s="1143">
        <f t="shared" si="22"/>
        <v>43</v>
      </c>
      <c r="I276" s="3650"/>
    </row>
    <row r="277" spans="6:9">
      <c r="F277" s="1144" t="str">
        <f>'Öko-Braugerste'!$K$2</f>
        <v>Öko-Braugerste</v>
      </c>
      <c r="G277" s="1143">
        <f t="shared" si="22"/>
        <v>44</v>
      </c>
    </row>
    <row r="278" spans="6:9">
      <c r="F278" s="1144" t="str">
        <f>'Öko-Körnermais'!$K$2</f>
        <v xml:space="preserve">Öko-Körnermais </v>
      </c>
      <c r="G278" s="1143">
        <f t="shared" si="22"/>
        <v>45</v>
      </c>
    </row>
    <row r="279" spans="6:9">
      <c r="F279" s="1144" t="str">
        <f>'Öko-Ackerbohnen'!$K$2</f>
        <v xml:space="preserve">Öko-Ackerbohnen </v>
      </c>
      <c r="G279" s="1143">
        <f t="shared" si="22"/>
        <v>46</v>
      </c>
    </row>
    <row r="280" spans="6:9">
      <c r="F280" s="1144" t="str">
        <f>'Öko-Erbsen'!$K$2</f>
        <v>Öko-Futtererbsen</v>
      </c>
      <c r="G280" s="1143">
        <f t="shared" si="22"/>
        <v>47</v>
      </c>
    </row>
    <row r="281" spans="6:9">
      <c r="F281" s="1144" t="str">
        <f>'Öko-Sojabohnen'!$K$2</f>
        <v>Öko-Sojabohnen</v>
      </c>
      <c r="G281" s="1143">
        <f t="shared" si="22"/>
        <v>48</v>
      </c>
    </row>
    <row r="282" spans="6:9">
      <c r="F282" s="1144" t="str">
        <f>'Öko-Soblu'!$K$2</f>
        <v>Öko-Sonnenblumen</v>
      </c>
      <c r="G282" s="1143">
        <f t="shared" si="22"/>
        <v>49</v>
      </c>
    </row>
    <row r="283" spans="6:9">
      <c r="F283" s="1144" t="str">
        <f>'Öko-Raps'!$K$2</f>
        <v>Öko-Winterraps (Ölproduktion)</v>
      </c>
      <c r="G283" s="1143">
        <f t="shared" si="22"/>
        <v>50</v>
      </c>
    </row>
    <row r="284" spans="6:9">
      <c r="F284" s="1144" t="str">
        <f>'Öko-Kartoffel'!$K$2</f>
        <v>Öko-Speisekartoffeln spät</v>
      </c>
      <c r="G284" s="1143">
        <f t="shared" si="22"/>
        <v>51</v>
      </c>
    </row>
    <row r="285" spans="6:9">
      <c r="F285" s="1144"/>
      <c r="G285" s="1143">
        <f t="shared" si="22"/>
        <v>52</v>
      </c>
    </row>
    <row r="286" spans="6:9">
      <c r="F286" s="1144" t="str">
        <f>Begrün.!$K$2</f>
        <v>FAKT-Begrünung</v>
      </c>
      <c r="G286" s="1143">
        <f t="shared" si="22"/>
        <v>53</v>
      </c>
      <c r="H286" s="19"/>
      <c r="I286" s="4"/>
    </row>
    <row r="287" spans="6:9">
      <c r="F287" s="1144" t="str">
        <f>Blühm.!$K$2</f>
        <v xml:space="preserve">FAKT-Blühmischung </v>
      </c>
      <c r="G287" s="1143">
        <f t="shared" si="22"/>
        <v>54</v>
      </c>
      <c r="H287" s="19"/>
      <c r="I287" s="4"/>
    </row>
    <row r="288" spans="6:9">
      <c r="F288" s="1144"/>
      <c r="G288" s="1143"/>
      <c r="H288" s="19"/>
      <c r="I288" s="4"/>
    </row>
    <row r="289" spans="6:9">
      <c r="F289" s="1144"/>
      <c r="H289" s="19"/>
      <c r="I289" s="4"/>
    </row>
    <row r="290" spans="6:9">
      <c r="G290" s="1140"/>
      <c r="H290" s="19"/>
      <c r="I290" s="4"/>
    </row>
    <row r="291" spans="6:9">
      <c r="G291" s="1140"/>
      <c r="H291" s="19"/>
      <c r="I291" s="4"/>
    </row>
    <row r="292" spans="6:9">
      <c r="G292" s="1140"/>
      <c r="H292" s="19"/>
      <c r="I292" s="4"/>
    </row>
    <row r="293" spans="6:9">
      <c r="G293" s="1140"/>
      <c r="H293" s="19"/>
      <c r="I293" s="4"/>
    </row>
    <row r="294" spans="6:9">
      <c r="G294" s="1140"/>
      <c r="H294" s="19"/>
      <c r="I294" s="4"/>
    </row>
    <row r="295" spans="6:9">
      <c r="G295" s="1140"/>
      <c r="H295" s="19"/>
      <c r="I295" s="4"/>
    </row>
    <row r="296" spans="6:9">
      <c r="G296" s="1140"/>
      <c r="H296" s="19"/>
      <c r="I296" s="4"/>
    </row>
    <row r="297" spans="6:9">
      <c r="G297" s="1140"/>
      <c r="H297" s="19"/>
      <c r="I297" s="4"/>
    </row>
    <row r="298" spans="6:9">
      <c r="G298" s="1140"/>
    </row>
    <row r="299" spans="6:9">
      <c r="G299" s="1140"/>
    </row>
    <row r="300" spans="6:9">
      <c r="G300" s="1140"/>
    </row>
    <row r="301" spans="6:9">
      <c r="G301" s="1140"/>
    </row>
  </sheetData>
  <mergeCells count="523">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 ref="W137:X137"/>
    <mergeCell ref="W114:X114"/>
    <mergeCell ref="W115:X115"/>
    <mergeCell ref="W117:X117"/>
    <mergeCell ref="W118:X118"/>
    <mergeCell ref="W119:X119"/>
    <mergeCell ref="W120:X120"/>
    <mergeCell ref="W121:X121"/>
    <mergeCell ref="W122:X122"/>
    <mergeCell ref="W123:X123"/>
    <mergeCell ref="W124:X124"/>
    <mergeCell ref="W125:X125"/>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O48:P48"/>
    <mergeCell ref="O49:P49"/>
    <mergeCell ref="O50:P50"/>
    <mergeCell ref="O51:P51"/>
    <mergeCell ref="O52:P52"/>
    <mergeCell ref="O53:P53"/>
    <mergeCell ref="M61:N61"/>
    <mergeCell ref="M46:N46"/>
    <mergeCell ref="O62:P62"/>
    <mergeCell ref="M51:N51"/>
    <mergeCell ref="M49:N49"/>
    <mergeCell ref="M62:N62"/>
    <mergeCell ref="M64:N64"/>
    <mergeCell ref="O63:P63"/>
    <mergeCell ref="O114:P114"/>
    <mergeCell ref="O115:P115"/>
    <mergeCell ref="O117:P117"/>
    <mergeCell ref="O118:P118"/>
    <mergeCell ref="O119:P119"/>
    <mergeCell ref="O120:P120"/>
    <mergeCell ref="O64:P64"/>
    <mergeCell ref="M74:N74"/>
    <mergeCell ref="M75:N75"/>
    <mergeCell ref="M63:N63"/>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I8:J8"/>
    <mergeCell ref="K34:L34"/>
    <mergeCell ref="I17:J17"/>
    <mergeCell ref="I18:J18"/>
    <mergeCell ref="K18:L18"/>
    <mergeCell ref="I19:J19"/>
    <mergeCell ref="I34:J34"/>
    <mergeCell ref="G13:H13"/>
    <mergeCell ref="I43:J43"/>
    <mergeCell ref="I36:J36"/>
    <mergeCell ref="I15:J15"/>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U119:V119"/>
    <mergeCell ref="U120:V120"/>
    <mergeCell ref="U121:V121"/>
    <mergeCell ref="U122:V122"/>
    <mergeCell ref="U123:V123"/>
    <mergeCell ref="U124:V124"/>
    <mergeCell ref="U102:V102"/>
    <mergeCell ref="U106:V106"/>
    <mergeCell ref="U114:V114"/>
    <mergeCell ref="U115:V115"/>
    <mergeCell ref="U117:V117"/>
    <mergeCell ref="U118:V118"/>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S124:T124"/>
    <mergeCell ref="S125:T125"/>
    <mergeCell ref="S134:T134"/>
    <mergeCell ref="S135:T135"/>
    <mergeCell ref="S127:T127"/>
    <mergeCell ref="S128:T128"/>
    <mergeCell ref="S129:T129"/>
    <mergeCell ref="S130:T130"/>
    <mergeCell ref="S131:T131"/>
    <mergeCell ref="S132:T132"/>
  </mergeCells>
  <dataValidations count="5">
    <dataValidation type="list" allowBlank="1" showInputMessage="1" showErrorMessage="1" sqref="I8:V8">
      <formula1>"niedrig,mittel,hoch"</formula1>
    </dataValidation>
    <dataValidation type="list" allowBlank="1" showInputMessage="1" showErrorMessage="1" errorTitle="Produktionsverfahren" error="Bitte Produktionsverfahren aus Dropdownliste auswählen." sqref="F94">
      <formula1>$F$233:$F$264</formula1>
    </dataValidation>
    <dataValidation type="list" allowBlank="1" showInputMessage="1" showErrorMessage="1" errorTitle="Produktionsverfahren" error="Bitte Produktionsverfahren aus Dropdownliste auswählen." sqref="U2 I2:K2 S2 Q2 O2 M2">
      <formula1>$F$234:$F$288</formula1>
    </dataValidation>
    <dataValidation allowBlank="1" showDropDown="1" showInputMessage="1" showErrorMessage="1" errorTitle="Produktionsverfahren" error="Bitte Produktionsverfahren aus Dropdownliste auswählen." sqref="W2:X2"/>
    <dataValidation allowBlank="1" showDropDown="1" showInputMessage="1" showErrorMessage="1" sqref="W8:X8"/>
  </dataValidations>
  <printOptions horizontalCentered="1"/>
  <pageMargins left="0.59055118110236227" right="0.59055118110236227" top="0.59055118110236227" bottom="0.59055118110236227" header="0.39370078740157483" footer="0.39370078740157483"/>
  <pageSetup paperSize="9" scale="58" firstPageNumber="19" fitToHeight="0" orientation="portrait" r:id="rId1"/>
  <headerFooter alignWithMargins="0">
    <oddFooter>&amp;L&amp;11LEL Schwäbisch Gmünd&amp;C46&amp;R&amp;11&amp;F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FF0000"/>
    <pageSetUpPr fitToPage="1"/>
  </sheetPr>
  <dimension ref="A1:W130"/>
  <sheetViews>
    <sheetView showZeros="0" zoomScaleNormal="100" workbookViewId="0"/>
  </sheetViews>
  <sheetFormatPr baseColWidth="10" defaultColWidth="10.5" defaultRowHeight="12.75"/>
  <cols>
    <col min="1" max="1" width="1.5" style="77" customWidth="1"/>
    <col min="2" max="2" width="10.75" style="77" bestFit="1" customWidth="1"/>
    <col min="3" max="3" width="29.625" style="17" customWidth="1"/>
    <col min="4" max="4" width="11.375" style="17" customWidth="1"/>
    <col min="5" max="5" width="10.5" style="17" customWidth="1"/>
    <col min="6" max="6" width="10.5" style="17" hidden="1" customWidth="1"/>
    <col min="7" max="8" width="10.5" style="17" customWidth="1"/>
    <col min="9" max="9" width="10.5" style="17" hidden="1" customWidth="1"/>
    <col min="10" max="11" width="10.5" style="17" customWidth="1"/>
    <col min="12" max="12" width="10.25" style="33" customWidth="1"/>
    <col min="13" max="13" width="10.5" style="77"/>
    <col min="14" max="14" width="13.625" style="77" customWidth="1"/>
    <col min="15" max="16384" width="10.5" style="77"/>
  </cols>
  <sheetData>
    <row r="1" spans="1:23" ht="7.15" customHeight="1">
      <c r="A1" s="79"/>
    </row>
    <row r="2" spans="1:23" ht="30.4" customHeight="1">
      <c r="A2" s="112"/>
      <c r="C2" s="118" t="str">
        <f>"Übersicht Produktionsverfahren " &amp;'SDK1'!O8</f>
        <v>Übersicht Produktionsverfahren ohne MwSt.</v>
      </c>
      <c r="D2" s="1"/>
      <c r="E2" s="117"/>
      <c r="F2" s="77"/>
      <c r="H2" s="77"/>
      <c r="I2" s="77"/>
      <c r="J2" s="77"/>
      <c r="K2" s="113" t="s">
        <v>184</v>
      </c>
      <c r="M2" s="110"/>
      <c r="P2" s="109"/>
      <c r="Q2" s="109"/>
      <c r="R2" s="27"/>
      <c r="S2" s="17"/>
      <c r="T2" s="17"/>
      <c r="U2" s="108"/>
      <c r="V2" s="108"/>
      <c r="W2" s="108"/>
    </row>
    <row r="3" spans="1:23" ht="24" customHeight="1">
      <c r="A3" s="112"/>
      <c r="B3" s="109"/>
      <c r="C3" s="77"/>
      <c r="D3" s="77"/>
      <c r="E3" s="77"/>
      <c r="F3" s="77"/>
      <c r="G3" s="115"/>
      <c r="H3" s="114"/>
      <c r="I3" s="114"/>
      <c r="J3" s="77"/>
      <c r="K3" s="113">
        <f>'SDK1'!O3</f>
        <v>0</v>
      </c>
      <c r="M3" s="110"/>
      <c r="P3" s="109"/>
      <c r="Q3" s="109"/>
      <c r="R3" s="27"/>
      <c r="S3" s="17"/>
      <c r="T3" s="17"/>
      <c r="U3" s="108"/>
      <c r="V3" s="108"/>
      <c r="W3" s="108"/>
    </row>
    <row r="4" spans="1:23" ht="24" customHeight="1" thickBot="1">
      <c r="A4" s="112"/>
      <c r="B4" s="109"/>
      <c r="C4" s="77"/>
      <c r="D4" s="116"/>
      <c r="E4" s="77"/>
      <c r="F4" s="77"/>
      <c r="G4" s="115"/>
      <c r="H4" s="114"/>
      <c r="I4" s="114"/>
      <c r="J4" s="77"/>
      <c r="K4" s="113"/>
      <c r="M4" s="110"/>
      <c r="P4" s="109"/>
      <c r="Q4" s="109"/>
      <c r="R4" s="27"/>
      <c r="S4" s="17"/>
      <c r="T4" s="17"/>
      <c r="U4" s="108"/>
      <c r="V4" s="108"/>
      <c r="W4" s="108"/>
    </row>
    <row r="5" spans="1:23" ht="24" customHeight="1">
      <c r="A5" s="112"/>
      <c r="B5" s="3366" t="s">
        <v>183</v>
      </c>
      <c r="C5" s="3367" t="s">
        <v>182</v>
      </c>
      <c r="D5" s="3384" t="s">
        <v>181</v>
      </c>
      <c r="E5" s="3368"/>
      <c r="F5" s="111"/>
      <c r="G5" s="3368"/>
      <c r="H5" s="3368"/>
      <c r="I5" s="111"/>
      <c r="J5" s="3368"/>
      <c r="K5" s="3379"/>
      <c r="M5" s="110"/>
      <c r="P5" s="109"/>
      <c r="Q5" s="109"/>
      <c r="R5" s="27"/>
      <c r="S5" s="17"/>
      <c r="T5" s="17"/>
      <c r="U5" s="108"/>
      <c r="V5" s="108"/>
      <c r="W5" s="108"/>
    </row>
    <row r="6" spans="1:23" s="82" customFormat="1" ht="22.15" customHeight="1">
      <c r="B6" s="3366" t="s">
        <v>180</v>
      </c>
      <c r="C6" s="91"/>
      <c r="D6" s="105" t="s">
        <v>179</v>
      </c>
      <c r="E6" s="107"/>
      <c r="F6" s="107"/>
      <c r="G6" s="106" t="s">
        <v>152</v>
      </c>
      <c r="H6" s="106"/>
      <c r="I6" s="106"/>
      <c r="J6" s="107" t="s">
        <v>178</v>
      </c>
      <c r="K6" s="107"/>
      <c r="M6" s="96"/>
      <c r="O6" s="77"/>
    </row>
    <row r="7" spans="1:23" s="82" customFormat="1" ht="15" customHeight="1">
      <c r="B7" s="3366" t="s">
        <v>177</v>
      </c>
      <c r="C7" s="91"/>
      <c r="D7" s="102" t="s">
        <v>176</v>
      </c>
      <c r="E7" s="3369" t="s">
        <v>136</v>
      </c>
      <c r="F7" s="101"/>
      <c r="G7" s="103" t="s">
        <v>176</v>
      </c>
      <c r="H7" s="104" t="s">
        <v>136</v>
      </c>
      <c r="I7" s="103"/>
      <c r="J7" s="3380" t="s">
        <v>176</v>
      </c>
      <c r="K7" s="102" t="s">
        <v>136</v>
      </c>
      <c r="M7" s="96"/>
      <c r="O7" s="77"/>
    </row>
    <row r="8" spans="1:23" s="82" customFormat="1" ht="22.9" customHeight="1">
      <c r="B8" s="3370">
        <f>COUNTIF(B13:B64,"x")</f>
        <v>11</v>
      </c>
      <c r="C8" s="91"/>
      <c r="D8" s="99" t="s">
        <v>175</v>
      </c>
      <c r="E8" s="3369" t="s">
        <v>134</v>
      </c>
      <c r="F8" s="101"/>
      <c r="G8" s="3374" t="s">
        <v>175</v>
      </c>
      <c r="H8" s="3375" t="s">
        <v>134</v>
      </c>
      <c r="I8" s="100"/>
      <c r="J8" s="3381" t="s">
        <v>175</v>
      </c>
      <c r="K8" s="3369" t="s">
        <v>134</v>
      </c>
      <c r="M8" s="96"/>
      <c r="O8" s="77"/>
    </row>
    <row r="9" spans="1:23" s="82" customFormat="1" ht="25.15" customHeight="1">
      <c r="B9" s="3370"/>
      <c r="C9" s="91"/>
      <c r="D9" s="99"/>
      <c r="E9" s="3371" t="s">
        <v>174</v>
      </c>
      <c r="F9" s="98"/>
      <c r="G9" s="3374"/>
      <c r="H9" s="3376" t="s">
        <v>174</v>
      </c>
      <c r="I9" s="97"/>
      <c r="J9" s="3382"/>
      <c r="K9" s="3371" t="s">
        <v>174</v>
      </c>
      <c r="M9" s="96"/>
      <c r="O9" s="77"/>
    </row>
    <row r="10" spans="1:23" s="82" customFormat="1" ht="13.7" customHeight="1" thickBot="1">
      <c r="B10" s="3372" t="s">
        <v>173</v>
      </c>
      <c r="C10" s="89"/>
      <c r="D10" s="88" t="s">
        <v>172</v>
      </c>
      <c r="E10" s="3373" t="s">
        <v>171</v>
      </c>
      <c r="F10" s="95"/>
      <c r="G10" s="3377" t="s">
        <v>172</v>
      </c>
      <c r="H10" s="3378" t="s">
        <v>171</v>
      </c>
      <c r="I10" s="94"/>
      <c r="J10" s="3383" t="s">
        <v>172</v>
      </c>
      <c r="K10" s="3373" t="s">
        <v>171</v>
      </c>
      <c r="M10" s="93">
        <f>'E2'!O1</f>
        <v>2</v>
      </c>
      <c r="O10" s="77"/>
    </row>
    <row r="11" spans="1:23" s="82" customFormat="1" ht="0.6" customHeight="1">
      <c r="B11" s="92"/>
      <c r="C11" s="91"/>
      <c r="D11" s="3235"/>
      <c r="E11" s="3235"/>
      <c r="F11" s="3235"/>
      <c r="G11" s="3235"/>
      <c r="H11" s="3235"/>
      <c r="I11" s="3235"/>
      <c r="J11" s="3235"/>
      <c r="K11" s="3235"/>
      <c r="M11" s="90"/>
      <c r="O11" s="77"/>
    </row>
    <row r="12" spans="1:23" s="82" customFormat="1" ht="22.15" customHeight="1">
      <c r="B12" s="3398" t="s">
        <v>170</v>
      </c>
      <c r="C12" s="91"/>
      <c r="D12" s="3364"/>
      <c r="E12" s="80"/>
      <c r="F12" s="3235"/>
      <c r="G12" s="3235"/>
      <c r="H12" s="3235"/>
      <c r="I12" s="3235"/>
      <c r="J12" s="80"/>
      <c r="K12" s="3365"/>
      <c r="M12" s="3258"/>
      <c r="O12" s="77"/>
    </row>
    <row r="13" spans="1:23" s="82" customFormat="1" ht="19.899999999999999" hidden="1" customHeight="1">
      <c r="A13" s="83"/>
      <c r="B13" s="84"/>
      <c r="C13" s="78"/>
      <c r="D13" s="3364"/>
      <c r="E13" s="80"/>
      <c r="F13" s="80"/>
      <c r="G13" s="3236"/>
      <c r="H13" s="3236"/>
      <c r="I13" s="87"/>
      <c r="J13" s="80"/>
      <c r="K13" s="3365"/>
      <c r="M13" s="3236"/>
      <c r="O13" s="77"/>
    </row>
    <row r="14" spans="1:23" s="82" customFormat="1" ht="19.899999999999999" customHeight="1">
      <c r="B14" s="86" t="s">
        <v>168</v>
      </c>
      <c r="C14" s="85" t="str">
        <f>Kostenrechnung!F234</f>
        <v>Winterweizen (Futter-)</v>
      </c>
      <c r="D14" s="3364">
        <f>Daten!D$6</f>
        <v>65</v>
      </c>
      <c r="E14" s="80">
        <f>IF(Daten!D$12=0,0,Daten!D$22)</f>
        <v>579.4450880203924</v>
      </c>
      <c r="F14" s="80"/>
      <c r="G14" s="87">
        <f>Daten!AJ$6</f>
        <v>80</v>
      </c>
      <c r="H14" s="87">
        <f>IF(Daten!AJ$12=0,0,Daten!AJ$22)</f>
        <v>687.63063785098007</v>
      </c>
      <c r="I14" s="87"/>
      <c r="J14" s="80">
        <f>Daten!BP$6</f>
        <v>95</v>
      </c>
      <c r="K14" s="3365">
        <f>IF(Daten!BP$12=0,0,Daten!BP$22)</f>
        <v>937.09898597803976</v>
      </c>
      <c r="M14" s="3363">
        <f>IF($M$10=1,E14,IF($M$10=2,H14,K14))</f>
        <v>687.63063785098007</v>
      </c>
      <c r="O14" s="77"/>
    </row>
    <row r="15" spans="1:23" s="82" customFormat="1" ht="19.899999999999999" hidden="1" customHeight="1">
      <c r="B15" s="86"/>
      <c r="C15" s="85" t="str">
        <f>Kostenrechnung!F235</f>
        <v>Winterweizen (Brot-)</v>
      </c>
      <c r="D15" s="3364">
        <f>Daten!E$6</f>
        <v>60</v>
      </c>
      <c r="E15" s="80">
        <f>IF(Daten!E$12=0,0,Daten!$E$22)</f>
        <v>220.71631684862791</v>
      </c>
      <c r="F15" s="81"/>
      <c r="G15" s="87">
        <f>Daten!AK$6</f>
        <v>75</v>
      </c>
      <c r="H15" s="87">
        <f>IF(Daten!AK$12=0,0,Daten!AK$22)</f>
        <v>408.6329565145104</v>
      </c>
      <c r="I15" s="80"/>
      <c r="J15" s="80">
        <f>Daten!BQ$6</f>
        <v>90</v>
      </c>
      <c r="K15" s="3365">
        <f>IF(Daten!BQ$12=0,0,Daten!BQ$22)</f>
        <v>616.9995961803927</v>
      </c>
      <c r="M15" s="3363">
        <f t="shared" ref="M15:M43" si="0">IF($M$10=1,E15,IF($M$10=2,H15,K15))</f>
        <v>408.6329565145104</v>
      </c>
      <c r="O15" s="77"/>
    </row>
    <row r="16" spans="1:23" s="82" customFormat="1" ht="19.899999999999999" hidden="1" customHeight="1">
      <c r="B16" s="86"/>
      <c r="C16" s="85" t="str">
        <f>Kostenrechnung!F236</f>
        <v>Winterweizen (Aufmisch-; A-Sort.)</v>
      </c>
      <c r="D16" s="3364">
        <f>Daten!F$6</f>
        <v>55</v>
      </c>
      <c r="E16" s="80">
        <f>IF(Daten!F$12=0,0,Daten!$F$22)</f>
        <v>163.80496515451</v>
      </c>
      <c r="F16" s="81"/>
      <c r="G16" s="87">
        <f>Daten!AL$6</f>
        <v>70</v>
      </c>
      <c r="H16" s="87">
        <f>IF(Daten!AL$12=0,0,Daten!AL$22)</f>
        <v>387.36560482039226</v>
      </c>
      <c r="I16" s="80"/>
      <c r="J16" s="80">
        <f>Daten!BR$6</f>
        <v>85</v>
      </c>
      <c r="K16" s="3365">
        <f>IF(Daten!BR$12=0,0,Daten!BR$22)</f>
        <v>615.32624448627462</v>
      </c>
      <c r="M16" s="3363">
        <f t="shared" si="0"/>
        <v>387.36560482039226</v>
      </c>
      <c r="O16" s="77"/>
    </row>
    <row r="17" spans="1:15" s="82" customFormat="1" ht="19.899999999999999" hidden="1" customHeight="1">
      <c r="B17" s="86"/>
      <c r="C17" s="85" t="str">
        <f>Kostenrechnung!F237</f>
        <v>Winterweizen (Qualität-; E-Sorte)</v>
      </c>
      <c r="D17" s="3364">
        <f>Daten!G$6</f>
        <v>55</v>
      </c>
      <c r="E17" s="80">
        <f>IF(Daten!G$12=0,0,Daten!$G$22)</f>
        <v>198.17412515450997</v>
      </c>
      <c r="F17" s="80"/>
      <c r="G17" s="87">
        <f>Daten!AM$6</f>
        <v>65</v>
      </c>
      <c r="H17" s="87">
        <f>IF(Daten!AM$12=0,0,Daten!AM$22)</f>
        <v>359.23853312627443</v>
      </c>
      <c r="I17" s="87"/>
      <c r="J17" s="80">
        <f>Daten!BS$6</f>
        <v>75</v>
      </c>
      <c r="K17" s="3365">
        <f>IF(Daten!BS$12=0,0,Daten!BS$22)</f>
        <v>520.30294109803935</v>
      </c>
      <c r="M17" s="3363">
        <f t="shared" si="0"/>
        <v>359.23853312627443</v>
      </c>
      <c r="O17" s="77"/>
    </row>
    <row r="18" spans="1:15" s="82" customFormat="1" ht="19.899999999999999" customHeight="1">
      <c r="B18" s="86" t="s">
        <v>168</v>
      </c>
      <c r="C18" s="85" t="str">
        <f>Kostenrechnung!F238</f>
        <v>Winterroggen</v>
      </c>
      <c r="D18" s="3364">
        <f>Daten!H$6</f>
        <v>55</v>
      </c>
      <c r="E18" s="80">
        <f>IF(Daten!H$12=0,0,Daten!$H$22)</f>
        <v>193.0901668580392</v>
      </c>
      <c r="F18" s="80"/>
      <c r="G18" s="87">
        <f>Daten!AN$6</f>
        <v>65</v>
      </c>
      <c r="H18" s="87">
        <f>IF(Daten!AN$12=0,0,Daten!AN$22)</f>
        <v>324.94087024627447</v>
      </c>
      <c r="I18" s="87"/>
      <c r="J18" s="80">
        <f>Daten!BT$6</f>
        <v>75</v>
      </c>
      <c r="K18" s="3365">
        <f>IF(Daten!BT$12=0,0,Daten!BT$22)</f>
        <v>449.76295651450971</v>
      </c>
      <c r="M18" s="3363">
        <f t="shared" si="0"/>
        <v>324.94087024627447</v>
      </c>
      <c r="O18" s="77"/>
    </row>
    <row r="19" spans="1:15" s="82" customFormat="1" ht="19.899999999999999" hidden="1" customHeight="1">
      <c r="B19" s="86"/>
      <c r="C19" s="85" t="str">
        <f>Kostenrechnung!F239</f>
        <v>Triticale</v>
      </c>
      <c r="D19" s="3364">
        <f>Daten!I$6</f>
        <v>60</v>
      </c>
      <c r="E19" s="80">
        <f>IF(Daten!I$12=0,0,Daten!$I$22)</f>
        <v>186.4893335247059</v>
      </c>
      <c r="F19" s="80"/>
      <c r="G19" s="87">
        <f>Daten!AO$6</f>
        <v>75</v>
      </c>
      <c r="H19" s="87">
        <f>IF(Daten!AO$12=0,0,Daten!AO$22)</f>
        <v>378.51538860705864</v>
      </c>
      <c r="I19" s="87"/>
      <c r="J19" s="80">
        <f>Daten!BU$6</f>
        <v>90</v>
      </c>
      <c r="K19" s="3365">
        <f>IF(Daten!BU$12=0,0,Daten!BU$22)</f>
        <v>566.36621330039202</v>
      </c>
      <c r="M19" s="3363">
        <f t="shared" si="0"/>
        <v>378.51538860705864</v>
      </c>
      <c r="O19" s="77"/>
    </row>
    <row r="20" spans="1:15" s="82" customFormat="1" ht="19.899999999999999" hidden="1" customHeight="1">
      <c r="B20" s="86"/>
      <c r="C20" s="85" t="str">
        <f>Kostenrechnung!F240</f>
        <v>Wintergerste</v>
      </c>
      <c r="D20" s="3364">
        <f>Daten!J$6</f>
        <v>55</v>
      </c>
      <c r="E20" s="80">
        <f>IF(Daten!J$12=0,0,Daten!$J$22)</f>
        <v>-3.1263681788234408</v>
      </c>
      <c r="F20" s="81"/>
      <c r="G20" s="87">
        <f>Daten!AP$6</f>
        <v>70</v>
      </c>
      <c r="H20" s="87">
        <f>IF(Daten!AP$12=0,0,Daten!AP$22)</f>
        <v>176.10768690352961</v>
      </c>
      <c r="I20" s="80"/>
      <c r="J20" s="80">
        <f>Daten!BV$6</f>
        <v>85</v>
      </c>
      <c r="K20" s="3365">
        <f>IF(Daten!BV$12=0,0,Daten!BV$22)</f>
        <v>334.08032656941191</v>
      </c>
      <c r="M20" s="3363">
        <f t="shared" si="0"/>
        <v>176.10768690352961</v>
      </c>
      <c r="O20" s="77"/>
    </row>
    <row r="21" spans="1:15" s="82" customFormat="1" ht="19.899999999999999" customHeight="1">
      <c r="B21" s="86" t="s">
        <v>168</v>
      </c>
      <c r="C21" s="85" t="str">
        <f>Kostenrechnung!F241</f>
        <v>Dinkel</v>
      </c>
      <c r="D21" s="3364">
        <f>Daten!K$6</f>
        <v>50</v>
      </c>
      <c r="E21" s="80">
        <f>IF(Daten!K$12=0,0,Daten!$K$22)</f>
        <v>54.260613460392278</v>
      </c>
      <c r="F21" s="81"/>
      <c r="G21" s="87">
        <f>Daten!AQ$6</f>
        <v>60</v>
      </c>
      <c r="H21" s="87">
        <f>IF(Daten!AQ$12=0,0,Daten!AQ$22)</f>
        <v>181.83490143215704</v>
      </c>
      <c r="I21" s="80"/>
      <c r="J21" s="80">
        <f>Daten!BW$6</f>
        <v>70</v>
      </c>
      <c r="K21" s="3365">
        <f>IF(Daten!BW$12=0,0,Daten!BW$22)</f>
        <v>331.85060482039239</v>
      </c>
      <c r="M21" s="3363">
        <f t="shared" si="0"/>
        <v>181.83490143215704</v>
      </c>
      <c r="O21" s="77"/>
    </row>
    <row r="22" spans="1:15" s="82" customFormat="1" ht="19.899999999999999" hidden="1" customHeight="1">
      <c r="B22" s="86"/>
      <c r="C22" s="85" t="str">
        <f>Kostenrechnung!F242</f>
        <v xml:space="preserve">Sommerweizen </v>
      </c>
      <c r="D22" s="3364">
        <f>Daten!L$6</f>
        <v>55</v>
      </c>
      <c r="E22" s="80">
        <f>IF(Daten!L$12=0,0,Daten!$L$22)</f>
        <v>324.03835188549056</v>
      </c>
      <c r="F22" s="80"/>
      <c r="G22" s="87">
        <f>Daten!AR$6</f>
        <v>65</v>
      </c>
      <c r="H22" s="87">
        <f>IF(Daten!AR$12=0,0,Daten!AR$22)</f>
        <v>369.78968521882393</v>
      </c>
      <c r="I22" s="87"/>
      <c r="J22" s="80">
        <f>Daten!BX$6</f>
        <v>75</v>
      </c>
      <c r="K22" s="3365">
        <f>IF(Daten!BX$12=0,0,Daten!BX$22)</f>
        <v>650.1910185521574</v>
      </c>
      <c r="M22" s="3363">
        <f t="shared" si="0"/>
        <v>369.78968521882393</v>
      </c>
      <c r="O22" s="77"/>
    </row>
    <row r="23" spans="1:15" s="82" customFormat="1" ht="19.899999999999999" hidden="1" customHeight="1">
      <c r="B23" s="86"/>
      <c r="C23" s="85" t="str">
        <f>Kostenrechnung!F243</f>
        <v xml:space="preserve">Sommerfuttergerste </v>
      </c>
      <c r="D23" s="3364">
        <f>Daten!M$6</f>
        <v>50</v>
      </c>
      <c r="E23" s="80">
        <f>IF(Daten!M$12=0,0,Daten!$M$22)</f>
        <v>1.0161484972551307</v>
      </c>
      <c r="F23" s="80"/>
      <c r="G23" s="87">
        <f>Daten!AS$6</f>
        <v>60</v>
      </c>
      <c r="H23" s="87">
        <f>IF(Daten!AS$12=0,0,Daten!AS$22)</f>
        <v>120.50551855215679</v>
      </c>
      <c r="I23" s="87"/>
      <c r="J23" s="80">
        <f>Daten!BY$6</f>
        <v>70</v>
      </c>
      <c r="K23" s="3365">
        <f>IF(Daten!BY$12=0,0,Daten!BY$22)</f>
        <v>239.99488860705878</v>
      </c>
      <c r="M23" s="3363">
        <f t="shared" si="0"/>
        <v>120.50551855215679</v>
      </c>
      <c r="O23" s="77"/>
    </row>
    <row r="24" spans="1:15" s="82" customFormat="1" ht="19.899999999999999" customHeight="1">
      <c r="A24" s="83"/>
      <c r="B24" s="86" t="s">
        <v>168</v>
      </c>
      <c r="C24" s="85" t="str">
        <f>Kostenrechnung!F244</f>
        <v>Braugerste</v>
      </c>
      <c r="D24" s="3364">
        <f>Daten!N$6</f>
        <v>40</v>
      </c>
      <c r="E24" s="80">
        <f>IF(Daten!N$12=0,0,Daten!$N$22)</f>
        <v>209.03696346980382</v>
      </c>
      <c r="F24" s="80"/>
      <c r="G24" s="87">
        <f>Daten!AT$6</f>
        <v>49</v>
      </c>
      <c r="H24" s="87">
        <f>IF(Daten!AT$12=0,0,Daten!AT$22)</f>
        <v>391.77840019137273</v>
      </c>
      <c r="I24" s="87"/>
      <c r="J24" s="80">
        <f>Daten!BZ$6</f>
        <v>58</v>
      </c>
      <c r="K24" s="3365">
        <f>IF(Daten!BZ$12=0,0,Daten!BZ$22)</f>
        <v>574.51983691294129</v>
      </c>
      <c r="M24" s="3363">
        <f t="shared" si="0"/>
        <v>391.77840019137273</v>
      </c>
      <c r="O24" s="77"/>
    </row>
    <row r="25" spans="1:15" s="82" customFormat="1" ht="19.899999999999999" hidden="1" customHeight="1">
      <c r="B25" s="86"/>
      <c r="C25" s="85" t="str">
        <f>Kostenrechnung!F245</f>
        <v xml:space="preserve">Hafer </v>
      </c>
      <c r="D25" s="3364">
        <f>Daten!O$6</f>
        <v>45</v>
      </c>
      <c r="E25" s="80">
        <f>IF(Daten!O$12=0,0,Daten!$O$22)</f>
        <v>123.91566517333342</v>
      </c>
      <c r="F25" s="81"/>
      <c r="G25" s="87">
        <f>Daten!AU$6</f>
        <v>55</v>
      </c>
      <c r="H25" s="87">
        <f>IF(Daten!AU$12=0,0,Daten!AU$22)</f>
        <v>238.7971668580393</v>
      </c>
      <c r="I25" s="80"/>
      <c r="J25" s="80">
        <f>Daten!CA$6</f>
        <v>65</v>
      </c>
      <c r="K25" s="3365">
        <f>IF(Daten!CA$12=0,0,Daten!CA$22)</f>
        <v>367.69587024627481</v>
      </c>
      <c r="M25" s="3363">
        <f t="shared" si="0"/>
        <v>238.7971668580393</v>
      </c>
      <c r="O25" s="77"/>
    </row>
    <row r="26" spans="1:15" s="82" customFormat="1" ht="19.899999999999999" hidden="1" customHeight="1">
      <c r="B26" s="86"/>
      <c r="C26" s="85" t="str">
        <f>Kostenrechnung!F246</f>
        <v>Durum</v>
      </c>
      <c r="D26" s="3364">
        <f>Daten!P$6</f>
        <v>40</v>
      </c>
      <c r="E26" s="80">
        <f>IF(Daten!P$12=0,0,Daten!$P$22)</f>
        <v>223.76089380392182</v>
      </c>
      <c r="F26" s="81"/>
      <c r="G26" s="87">
        <f>Daten!AV$6</f>
        <v>55</v>
      </c>
      <c r="H26" s="87">
        <f>IF(Daten!AV$12=0,0,Daten!AV$22)</f>
        <v>576.19144888627488</v>
      </c>
      <c r="I26" s="80"/>
      <c r="J26" s="80">
        <f>Daten!CB$6</f>
        <v>60</v>
      </c>
      <c r="K26" s="3365">
        <f>IF(Daten!CB$12=0,0,Daten!CB$22)</f>
        <v>693.66830058039227</v>
      </c>
      <c r="M26" s="3363">
        <f t="shared" si="0"/>
        <v>576.19144888627488</v>
      </c>
      <c r="O26" s="77"/>
    </row>
    <row r="27" spans="1:15" s="82" customFormat="1" ht="19.899999999999999" customHeight="1">
      <c r="B27" s="86" t="s">
        <v>168</v>
      </c>
      <c r="C27" s="85" t="str">
        <f>Kostenrechnung!F247</f>
        <v xml:space="preserve">Körnermais </v>
      </c>
      <c r="D27" s="3364">
        <f>Daten!Q$6</f>
        <v>80</v>
      </c>
      <c r="E27" s="80">
        <f>IF(Daten!Q$12=0,0,Daten!$Q$22)</f>
        <v>523.28536609803973</v>
      </c>
      <c r="F27" s="80"/>
      <c r="G27" s="87">
        <f>Daten!AW$6</f>
        <v>100</v>
      </c>
      <c r="H27" s="87">
        <f>IF(Daten!AW$12=0,0,Daten!AW$22)</f>
        <v>811.28977287451016</v>
      </c>
      <c r="I27" s="87"/>
      <c r="J27" s="80">
        <f>Daten!CC$6</f>
        <v>120</v>
      </c>
      <c r="K27" s="3365">
        <f>IF(Daten!CC$12=0,0,Daten!CC$22)</f>
        <v>1099.2941796509808</v>
      </c>
      <c r="M27" s="3363">
        <f t="shared" si="0"/>
        <v>811.28977287451016</v>
      </c>
      <c r="O27" s="77"/>
    </row>
    <row r="28" spans="1:15" s="82" customFormat="1" ht="19.7" hidden="1" customHeight="1">
      <c r="B28" s="86"/>
      <c r="C28" s="85" t="str">
        <f>Kostenrechnung!F248</f>
        <v>Körnerhirse (Lebens-/Futtermittel)</v>
      </c>
      <c r="D28" s="3364">
        <f>Daten!R$6</f>
        <v>80</v>
      </c>
      <c r="E28" s="80">
        <f>IF(Daten!R$12=0,0,Daten!$R$22)</f>
        <v>-182.82720630117637</v>
      </c>
      <c r="F28" s="80"/>
      <c r="G28" s="87">
        <f>Daten!AX$6</f>
        <v>90</v>
      </c>
      <c r="H28" s="87">
        <f>IF(Daten!AX$12=0,0,Daten!AX$22)</f>
        <v>-146.95766957960768</v>
      </c>
      <c r="I28" s="87"/>
      <c r="J28" s="80">
        <f>Daten!CE$6</f>
        <v>50</v>
      </c>
      <c r="K28" s="3365">
        <f>IF(Daten!CE$12=0,0,Daten!CE$22)</f>
        <v>1132.8603296737253</v>
      </c>
      <c r="M28" s="3363">
        <f t="shared" si="0"/>
        <v>-146.95766957960768</v>
      </c>
      <c r="O28" s="77"/>
    </row>
    <row r="29" spans="1:15" s="82" customFormat="1" ht="18.399999999999999" hidden="1" customHeight="1">
      <c r="B29" s="86"/>
      <c r="C29" s="85" t="str">
        <f>Kostenrechnung!F249</f>
        <v>Winterraps</v>
      </c>
      <c r="D29" s="3364">
        <f>Daten!S$6</f>
        <v>30</v>
      </c>
      <c r="E29" s="80">
        <f>IF(Daten!S$12=0,0,Daten!$S$22)</f>
        <v>432.60479126745099</v>
      </c>
      <c r="F29" s="81"/>
      <c r="G29" s="87">
        <f>Daten!AY$6</f>
        <v>40</v>
      </c>
      <c r="H29" s="87">
        <f>IF(Daten!AY$12=0,0,Daten!AY$22)</f>
        <v>770.43895961882345</v>
      </c>
      <c r="I29" s="80"/>
      <c r="J29" s="80">
        <f>Daten!CD$6</f>
        <v>100</v>
      </c>
      <c r="K29" s="3365">
        <f>IF(Daten!CD$12=0,0,Daten!CD$22)</f>
        <v>-111.08813285803899</v>
      </c>
      <c r="M29" s="3363">
        <f t="shared" si="0"/>
        <v>770.43895961882345</v>
      </c>
      <c r="O29" s="77"/>
    </row>
    <row r="30" spans="1:15" s="82" customFormat="1" ht="19.899999999999999" customHeight="1">
      <c r="B30" s="86" t="s">
        <v>168</v>
      </c>
      <c r="C30" s="85" t="str">
        <f>Kostenrechnung!F250</f>
        <v xml:space="preserve">Sommerraps </v>
      </c>
      <c r="D30" s="3364">
        <f>Daten!T$6</f>
        <v>20</v>
      </c>
      <c r="E30" s="80">
        <f>IF(Daten!T$12=0,0,Daten!$T$22)</f>
        <v>-34.591637381960936</v>
      </c>
      <c r="F30" s="80"/>
      <c r="G30" s="87">
        <f>Daten!AZ$6</f>
        <v>25</v>
      </c>
      <c r="H30" s="87">
        <f>IF(Daten!AZ$12=0,0,Daten!AZ$22)</f>
        <v>115.25308294745082</v>
      </c>
      <c r="I30" s="87"/>
      <c r="J30" s="80">
        <f>Daten!CF$6</f>
        <v>30</v>
      </c>
      <c r="K30" s="3365">
        <f>IF(Daten!CF$12=0,0,Daten!CF$22)</f>
        <v>289.68500498039225</v>
      </c>
      <c r="M30" s="3363">
        <f t="shared" si="0"/>
        <v>115.25308294745082</v>
      </c>
      <c r="O30" s="77"/>
    </row>
    <row r="31" spans="1:15" s="82" customFormat="1" ht="19.899999999999999" customHeight="1">
      <c r="B31" s="86" t="s">
        <v>168</v>
      </c>
      <c r="C31" s="85" t="str">
        <f>Kostenrechnung!F251</f>
        <v xml:space="preserve">Sonnenblumen </v>
      </c>
      <c r="D31" s="3364">
        <f>Daten!U$6</f>
        <v>25</v>
      </c>
      <c r="E31" s="80">
        <f>IF(Daten!U$12=0,0,Daten!$U$22)</f>
        <v>172.1075365349019</v>
      </c>
      <c r="F31" s="81"/>
      <c r="G31" s="87">
        <f>Daten!BA$6</f>
        <v>30</v>
      </c>
      <c r="H31" s="87">
        <f>IF(Daten!BA$12=0,0,Daten!BA$22)</f>
        <v>316.19022156235269</v>
      </c>
      <c r="I31" s="80"/>
      <c r="J31" s="80">
        <f>Daten!CG$6</f>
        <v>35</v>
      </c>
      <c r="K31" s="3365">
        <f>IF(Daten!CG$12=0,0,Daten!CG$22)</f>
        <v>460.2729065898036</v>
      </c>
      <c r="M31" s="3363">
        <f t="shared" si="0"/>
        <v>316.19022156235269</v>
      </c>
      <c r="O31" s="77"/>
    </row>
    <row r="32" spans="1:15" s="82" customFormat="1" ht="19.899999999999999" hidden="1" customHeight="1">
      <c r="B32" s="86"/>
      <c r="C32" s="85" t="str">
        <f>Kostenrechnung!F252</f>
        <v xml:space="preserve">Sojabohne </v>
      </c>
      <c r="D32" s="3364">
        <f>Daten!V$6</f>
        <v>20</v>
      </c>
      <c r="E32" s="80">
        <f>IF(Daten!V$12=0,0,Daten!$V$22)</f>
        <v>110.83044810823515</v>
      </c>
      <c r="F32" s="81"/>
      <c r="G32" s="87">
        <f>Daten!BB$6</f>
        <v>27</v>
      </c>
      <c r="H32" s="87">
        <f>IF(Daten!BB$12=0,0,Daten!BB$22)</f>
        <v>410.60435217411748</v>
      </c>
      <c r="I32" s="80"/>
      <c r="J32" s="80">
        <f>Daten!CH$6</f>
        <v>34</v>
      </c>
      <c r="K32" s="3365">
        <f>IF(Daten!CH$12=0,0,Daten!CH$22)</f>
        <v>710.3782562399997</v>
      </c>
      <c r="M32" s="3363">
        <f t="shared" si="0"/>
        <v>410.60435217411748</v>
      </c>
      <c r="O32" s="77"/>
    </row>
    <row r="33" spans="1:21" s="82" customFormat="1" ht="19.5" hidden="1" customHeight="1">
      <c r="B33" s="86"/>
      <c r="C33" s="85" t="str">
        <f>Kostenrechnung!F253</f>
        <v xml:space="preserve">Öllein (Industrie) </v>
      </c>
      <c r="D33" s="3364">
        <f>Daten!W$6</f>
        <v>15</v>
      </c>
      <c r="E33" s="80">
        <f>IF(Daten!W$12=0,0,Daten!$W$22)</f>
        <v>-410.47007818352927</v>
      </c>
      <c r="F33" s="80"/>
      <c r="G33" s="87">
        <f>Daten!BC$6</f>
        <v>20</v>
      </c>
      <c r="H33" s="87">
        <f>IF(Daten!BC$12=0,0,Daten!BC$22)</f>
        <v>-331.02539315607828</v>
      </c>
      <c r="I33" s="87"/>
      <c r="J33" s="80">
        <f>Daten!CI$6</f>
        <v>25</v>
      </c>
      <c r="K33" s="3365">
        <f>IF(Daten!CI$12=0,0,Daten!CI$22)</f>
        <v>-251.58070812862763</v>
      </c>
      <c r="M33" s="3363">
        <f t="shared" si="0"/>
        <v>-331.02539315607828</v>
      </c>
      <c r="O33" s="77"/>
    </row>
    <row r="34" spans="1:21" s="82" customFormat="1" ht="19.899999999999999" hidden="1" customHeight="1">
      <c r="B34" s="86"/>
      <c r="C34" s="85" t="str">
        <f>Kostenrechnung!F254</f>
        <v xml:space="preserve">Futtererbsen </v>
      </c>
      <c r="D34" s="3364">
        <f>Daten!X$6</f>
        <v>20</v>
      </c>
      <c r="E34" s="80">
        <f>IF(Daten!X$12=0,0,Daten!$X$22)</f>
        <v>-138.87555245960795</v>
      </c>
      <c r="F34" s="80"/>
      <c r="G34" s="87">
        <f>Daten!BD$6</f>
        <v>35</v>
      </c>
      <c r="H34" s="87">
        <f>IF(Daten!BD$12=0,0,Daten!BD$22)</f>
        <v>144.94044754039226</v>
      </c>
      <c r="I34" s="87"/>
      <c r="J34" s="80">
        <f>Daten!CJ$6</f>
        <v>50</v>
      </c>
      <c r="K34" s="3365">
        <f>IF(Daten!CJ$12=0,0,Daten!CJ$22)</f>
        <v>427.37929160627448</v>
      </c>
      <c r="M34" s="3363">
        <f t="shared" si="0"/>
        <v>144.94044754039226</v>
      </c>
      <c r="O34" s="77"/>
    </row>
    <row r="35" spans="1:21" s="82" customFormat="1" ht="19.5" hidden="1" customHeight="1">
      <c r="B35" s="86"/>
      <c r="C35" s="85" t="str">
        <f>Kostenrechnung!F255</f>
        <v xml:space="preserve">Ackerbohnen </v>
      </c>
      <c r="D35" s="3364">
        <f>Daten!Y$6</f>
        <v>20</v>
      </c>
      <c r="E35" s="80">
        <f>IF(Daten!Y$12=0,0,Daten!$Y$22)</f>
        <v>-124.72430782588253</v>
      </c>
      <c r="F35" s="81"/>
      <c r="G35" s="87">
        <f>Daten!BE$6</f>
        <v>35</v>
      </c>
      <c r="H35" s="87">
        <f>IF(Daten!BE$12=0,0,Daten!BE$22)</f>
        <v>155.90011420705878</v>
      </c>
      <c r="I35" s="80"/>
      <c r="J35" s="80">
        <f>Daten!CK$6</f>
        <v>50</v>
      </c>
      <c r="K35" s="3365">
        <f>IF(Daten!CK$12=0,0,Daten!CK$22)</f>
        <v>435.83595827294107</v>
      </c>
      <c r="M35" s="3363">
        <f t="shared" si="0"/>
        <v>155.90011420705878</v>
      </c>
      <c r="O35" s="77"/>
    </row>
    <row r="36" spans="1:21" s="82" customFormat="1" ht="19.899999999999999" hidden="1" customHeight="1">
      <c r="A36" s="83"/>
      <c r="B36" s="86"/>
      <c r="C36" s="85" t="str">
        <f>Kostenrechnung!F256</f>
        <v xml:space="preserve">Blaue Lupine </v>
      </c>
      <c r="D36" s="3364">
        <f>Daten!Z$6</f>
        <v>10</v>
      </c>
      <c r="E36" s="80">
        <f>IF(Daten!Z$12=0,0,Daten!$Z$22)</f>
        <v>-396.94504793568626</v>
      </c>
      <c r="F36" s="80"/>
      <c r="G36" s="87">
        <f>Daten!BF$6</f>
        <v>25</v>
      </c>
      <c r="H36" s="87">
        <f>IF(Daten!BF$12=0,0,Daten!BF$22)</f>
        <v>-90.9144928533334</v>
      </c>
      <c r="I36" s="87"/>
      <c r="J36" s="80">
        <f>Daten!CL$6</f>
        <v>40</v>
      </c>
      <c r="K36" s="3365">
        <f>IF(Daten!CL$12=0,0,Daten!CL$22)</f>
        <v>215.11606222901946</v>
      </c>
      <c r="M36" s="3363">
        <f t="shared" si="0"/>
        <v>-90.9144928533334</v>
      </c>
      <c r="O36" s="77"/>
    </row>
    <row r="37" spans="1:21" s="82" customFormat="1" ht="19.899999999999999" hidden="1" customHeight="1">
      <c r="B37" s="86"/>
      <c r="C37" s="85" t="str">
        <f>Kostenrechnung!F257</f>
        <v xml:space="preserve">Zuckerrüben </v>
      </c>
      <c r="D37" s="3364">
        <f>Daten!AA$6</f>
        <v>350</v>
      </c>
      <c r="E37" s="80">
        <f>IF(Daten!AA$12=0,0,Daten!$AA$22)</f>
        <v>-248.78371066599448</v>
      </c>
      <c r="F37" s="81"/>
      <c r="G37" s="87">
        <f>Daten!BG$6</f>
        <v>730</v>
      </c>
      <c r="H37" s="87">
        <f>IF(Daten!BG$12=0,0,Daten!BG$22)</f>
        <v>270.48002266733897</v>
      </c>
      <c r="I37" s="80"/>
      <c r="J37" s="80">
        <f>Daten!CM$6</f>
        <v>850</v>
      </c>
      <c r="K37" s="3365">
        <f>IF(Daten!CM$12=0,0,Daten!CM$22)</f>
        <v>439.71442096380974</v>
      </c>
      <c r="M37" s="3363">
        <f t="shared" si="0"/>
        <v>270.48002266733897</v>
      </c>
      <c r="O37" s="77"/>
      <c r="U37" s="82" t="s">
        <v>169</v>
      </c>
    </row>
    <row r="38" spans="1:21" s="82" customFormat="1" ht="19.899999999999999" hidden="1" customHeight="1">
      <c r="B38" s="86"/>
      <c r="C38" s="85" t="str">
        <f>Kostenrechnung!F258</f>
        <v>Frühkartoffeln</v>
      </c>
      <c r="D38" s="3364">
        <f>Daten!AB$6</f>
        <v>250</v>
      </c>
      <c r="E38" s="80">
        <f>IF(Daten!AB$12=0,0,Daten!$AB$22)</f>
        <v>1455.8668123829684</v>
      </c>
      <c r="F38" s="81"/>
      <c r="G38" s="87">
        <f>Daten!BH$6</f>
        <v>300</v>
      </c>
      <c r="H38" s="87">
        <f>IF(Daten!BH$12=0,0,Daten!BH$22)</f>
        <v>3030.2536819067782</v>
      </c>
      <c r="I38" s="80"/>
      <c r="J38" s="80">
        <f>Daten!CN$6</f>
        <v>350</v>
      </c>
      <c r="K38" s="3365">
        <f>IF(Daten!CN$12=0,0,Daten!CN$22)</f>
        <v>4604.640551430587</v>
      </c>
      <c r="M38" s="3363">
        <f t="shared" si="0"/>
        <v>3030.2536819067782</v>
      </c>
      <c r="O38" s="77"/>
    </row>
    <row r="39" spans="1:21" s="82" customFormat="1" ht="19.899999999999999" hidden="1" customHeight="1">
      <c r="B39" s="86"/>
      <c r="C39" s="85" t="str">
        <f>Kostenrechnung!F259</f>
        <v>Frühkartoffeln, Folie, beregnet</v>
      </c>
      <c r="D39" s="3364">
        <f>Daten!AC$6</f>
        <v>300</v>
      </c>
      <c r="E39" s="80">
        <f>IF(Daten!AC$12=0,0,Daten!$AC$22)</f>
        <v>1324.9554745812893</v>
      </c>
      <c r="F39" s="80"/>
      <c r="G39" s="87">
        <f>Daten!BI$6</f>
        <v>350</v>
      </c>
      <c r="H39" s="87">
        <f>IF(Daten!BI$12=0,0,Daten!BI$22)</f>
        <v>2905.1095458086274</v>
      </c>
      <c r="I39" s="87"/>
      <c r="J39" s="80">
        <f>Daten!CO$6</f>
        <v>400</v>
      </c>
      <c r="K39" s="3365">
        <f>IF(Daten!CO$12=0,0,Daten!CO$22)</f>
        <v>4473.729213628907</v>
      </c>
      <c r="M39" s="3363">
        <f t="shared" si="0"/>
        <v>2905.1095458086274</v>
      </c>
      <c r="O39" s="77"/>
    </row>
    <row r="40" spans="1:21" s="82" customFormat="1" ht="19.899999999999999" hidden="1" customHeight="1">
      <c r="B40" s="86"/>
      <c r="C40" s="85" t="str">
        <f>Kostenrechnung!F260</f>
        <v>Speisekartoffeln spät</v>
      </c>
      <c r="D40" s="3364">
        <f>Daten!AD$6</f>
        <v>365</v>
      </c>
      <c r="E40" s="80">
        <f>IF(Daten!AD$12=0,0,Daten!$AD$22)</f>
        <v>226.87445313714215</v>
      </c>
      <c r="F40" s="81"/>
      <c r="G40" s="87">
        <f>Daten!BJ$6</f>
        <v>366</v>
      </c>
      <c r="H40" s="87">
        <f>IF(Daten!BJ$12=0,0,Daten!BJ$22)</f>
        <v>210.15798932761936</v>
      </c>
      <c r="I40" s="80"/>
      <c r="J40" s="80">
        <f>Daten!CP$6</f>
        <v>400</v>
      </c>
      <c r="K40" s="3365">
        <f>IF(Daten!CP$12=0,0,Daten!CP$22)</f>
        <v>778.5315255180949</v>
      </c>
      <c r="M40" s="3363">
        <f t="shared" si="0"/>
        <v>210.15798932761936</v>
      </c>
      <c r="O40" s="77"/>
    </row>
    <row r="41" spans="1:21" s="82" customFormat="1" ht="19.899999999999999" hidden="1" customHeight="1">
      <c r="B41" s="86"/>
      <c r="C41" s="85" t="str">
        <f>Kostenrechnung!F261</f>
        <v>Speisekartoffeln spät, beregnet</v>
      </c>
      <c r="D41" s="3364">
        <f>Daten!AE$6</f>
        <v>383</v>
      </c>
      <c r="E41" s="80">
        <f>IF(Daten!AE$12=0,0,Daten!$AE$22)</f>
        <v>32.11980368728382</v>
      </c>
      <c r="F41" s="81"/>
      <c r="G41" s="87">
        <f>Daten!BK$6</f>
        <v>425</v>
      </c>
      <c r="H41" s="87">
        <f>IF(Daten!BK$12=0,0,Daten!BK$22)</f>
        <v>744.88770742061661</v>
      </c>
      <c r="I41" s="80"/>
      <c r="J41" s="80">
        <f>Daten!CQ$6</f>
        <v>466</v>
      </c>
      <c r="K41" s="3365">
        <f>IF(Daten!CQ$12=0,0,Daten!CQ$22)</f>
        <v>1440.2449070968078</v>
      </c>
      <c r="L41" s="77"/>
      <c r="M41" s="3363">
        <f t="shared" si="0"/>
        <v>744.88770742061661</v>
      </c>
      <c r="O41" s="77"/>
    </row>
    <row r="42" spans="1:21" ht="19.899999999999999" hidden="1" customHeight="1">
      <c r="B42" s="86"/>
      <c r="C42" s="85" t="str">
        <f>Kostenrechnung!F262</f>
        <v>Kultur A</v>
      </c>
      <c r="D42" s="3364">
        <f>Daten!AF$6</f>
        <v>0</v>
      </c>
      <c r="E42" s="80">
        <f>IF(Daten!AF$12=0,0,Daten!$AF$22)</f>
        <v>0</v>
      </c>
      <c r="F42" s="81"/>
      <c r="G42" s="87">
        <f>Daten!BL$6</f>
        <v>0</v>
      </c>
      <c r="H42" s="87">
        <f>IF(Daten!BL$12=0,0,Daten!BL$22)</f>
        <v>0</v>
      </c>
      <c r="I42" s="80"/>
      <c r="J42" s="80">
        <f>Daten!CR$6</f>
        <v>0</v>
      </c>
      <c r="K42" s="3365">
        <f>IF(Daten!CR$12=0,0,Daten!CR$22)</f>
        <v>0</v>
      </c>
      <c r="L42" s="77"/>
      <c r="M42" s="3363">
        <f t="shared" si="0"/>
        <v>0</v>
      </c>
    </row>
    <row r="43" spans="1:21" ht="19.899999999999999" hidden="1" customHeight="1">
      <c r="A43" s="79"/>
      <c r="B43" s="86"/>
      <c r="C43" s="85" t="str">
        <f>Kostenrechnung!F263</f>
        <v>FAKT - Brachebegrünung</v>
      </c>
      <c r="D43" s="3364">
        <f>Daten!AH$6</f>
        <v>1</v>
      </c>
      <c r="E43" s="80">
        <f>IF(Daten!AH$12=0,0,Daten!$AH$22)</f>
        <v>-186.72837006823531</v>
      </c>
      <c r="F43" s="81"/>
      <c r="G43" s="87">
        <f>Daten!BN$6</f>
        <v>1</v>
      </c>
      <c r="H43" s="87">
        <f>IF(Daten!BN$12=0,0,Daten!BN$22)</f>
        <v>-186.72837006823531</v>
      </c>
      <c r="I43" s="80"/>
      <c r="J43" s="80">
        <f>Daten!CT$6</f>
        <v>1</v>
      </c>
      <c r="K43" s="3365">
        <f>IF(Daten!CT$12=0,0,Daten!CT$22)</f>
        <v>-186.72837006823531</v>
      </c>
      <c r="L43" s="77"/>
      <c r="M43" s="3363">
        <f t="shared" si="0"/>
        <v>-186.72837006823531</v>
      </c>
    </row>
    <row r="44" spans="1:21" ht="9" hidden="1" customHeight="1">
      <c r="A44" s="79"/>
      <c r="B44" s="17"/>
      <c r="L44" s="17"/>
      <c r="M44" s="17"/>
    </row>
    <row r="45" spans="1:21" ht="21.4" hidden="1" customHeight="1">
      <c r="B45" s="86"/>
      <c r="C45" s="78" t="str">
        <f>Kostenrechnung!F266</f>
        <v xml:space="preserve">Kleegras einjährig (70:30) </v>
      </c>
      <c r="D45" s="3364">
        <f ca="1">HLOOKUP(C45,Daten!$CX$4:$DS$5,2)</f>
        <v>300</v>
      </c>
      <c r="E45" s="80">
        <f ca="1">IF(Daten!CX12=0,0,HLOOKUP(C45,Daten!$CX$4:$DS$22,19))</f>
        <v>81.266591265098015</v>
      </c>
      <c r="F45" s="80"/>
      <c r="G45" s="87">
        <f ca="1">HLOOKUP(C45,Daten!$DU$4:$EP$5,2)</f>
        <v>400</v>
      </c>
      <c r="H45" s="87">
        <f ca="1">IF(Daten!DU$12=0,0,HLOOKUP(C45,Daten!$DU$4:$EP$22,19))</f>
        <v>262.59992459843136</v>
      </c>
      <c r="I45" s="87"/>
      <c r="J45" s="80">
        <f ca="1">HLOOKUP(C45,Daten!$ER$4:$FM$5,2)</f>
        <v>500</v>
      </c>
      <c r="K45" s="3365" t="e">
        <f ca="1">IF(Daten!ER$12=0,0,HLOOKUP(C45,Daten!$ER$4:$FL$22,19))</f>
        <v>#REF!</v>
      </c>
      <c r="L45" s="77"/>
      <c r="M45" s="3363">
        <f ca="1">IF($M$10=1,E45,IF($M$10=2,H45,K45))</f>
        <v>262.59992459843136</v>
      </c>
    </row>
    <row r="46" spans="1:21" ht="21.4" hidden="1" customHeight="1">
      <c r="B46" s="86"/>
      <c r="C46" s="78" t="str">
        <f>Kostenrechnung!F267</f>
        <v>Kleegras zweijährig (50:50)</v>
      </c>
      <c r="D46" s="3364">
        <f ca="1">HLOOKUP(C46,Daten!$CX$4:$DS$5,2,FALSE)</f>
        <v>400</v>
      </c>
      <c r="E46" s="80">
        <f ca="1">IF(Daten!CY12=0,0,HLOOKUP(C46,Daten!$CX$4:$DS$22,19,FALSE))</f>
        <v>203.08165836705882</v>
      </c>
      <c r="F46" s="81"/>
      <c r="G46" s="87">
        <f ca="1">HLOOKUP(C46,Daten!$DU$4:$EP$5,2,FALSE)</f>
        <v>500</v>
      </c>
      <c r="H46" s="87">
        <f ca="1">IF(Daten!DV$12=0,0,HLOOKUP(C46,Daten!$DU$4:$EP$22,19,FALSE))</f>
        <v>327.74832503372545</v>
      </c>
      <c r="I46" s="80"/>
      <c r="J46" s="80">
        <f ca="1">HLOOKUP(C46,Daten!$ER$4:$FM$5,2,FALSE)</f>
        <v>600</v>
      </c>
      <c r="K46" s="3365" t="e">
        <f ca="1">IF(Daten!ES$12=0,0,HLOOKUP(C46,Daten!$ER$4:$FL$22,19,FALSE))</f>
        <v>#REF!</v>
      </c>
      <c r="L46" s="77"/>
      <c r="M46" s="3363">
        <f t="shared" ref="M46:M64" ca="1" si="1">IF($M$10=1,E46,IF($M$10=2,H46,K46))</f>
        <v>327.74832503372545</v>
      </c>
    </row>
    <row r="47" spans="1:21" ht="21.4" hidden="1" customHeight="1">
      <c r="B47" s="86"/>
      <c r="C47" s="78" t="str">
        <f>Kostenrechnung!F268</f>
        <v>Luzernegras einjährig (70:30)</v>
      </c>
      <c r="D47" s="3364">
        <f ca="1">HLOOKUP(C47,Daten!$CX$4:$DS$5,2,FALSE)</f>
        <v>300</v>
      </c>
      <c r="E47" s="80">
        <f ca="1">IF(Daten!CZ$12=0,0,HLOOKUP(C47,Daten!$CX$4:$DS$22,19,FALSE))</f>
        <v>116.26659126509801</v>
      </c>
      <c r="F47" s="81"/>
      <c r="G47" s="87">
        <f ca="1">HLOOKUP(C47,Daten!$DU$4:$EP$5,2,FALSE)</f>
        <v>400</v>
      </c>
      <c r="H47" s="87">
        <f ca="1">IF(Daten!DW$12=0,0,HLOOKUP(C47,Daten!$DU$4:$EP$22,19,FALSE))</f>
        <v>297.59992459843136</v>
      </c>
      <c r="I47" s="80"/>
      <c r="J47" s="80">
        <f ca="1">HLOOKUP(C47,Daten!$ER$4:$FM$5,2,FALSE)</f>
        <v>500</v>
      </c>
      <c r="K47" s="3365" t="e">
        <f ca="1">IF(Daten!ET13=0,0,HLOOKUP(C47,Daten!$ER$4:$FL$22,19,FALSE))</f>
        <v>#REF!</v>
      </c>
      <c r="L47" s="77"/>
      <c r="M47" s="3363">
        <f t="shared" ca="1" si="1"/>
        <v>297.59992459843136</v>
      </c>
    </row>
    <row r="48" spans="1:21" ht="21.4" hidden="1" customHeight="1">
      <c r="B48" s="86"/>
      <c r="C48" s="78" t="str">
        <f>Kostenrechnung!F269</f>
        <v>Luzernegras zweijährig (50:50)</v>
      </c>
      <c r="D48" s="3364">
        <f ca="1">HLOOKUP(C48,Daten!$CX$4:$DS$5,2,FALSE)</f>
        <v>350</v>
      </c>
      <c r="E48" s="80">
        <f ca="1">IF(Daten!DA$12=0,0,HLOOKUP(C48,Daten!$CX$4:$DS$22,19,FALSE))</f>
        <v>148.24832503372551</v>
      </c>
      <c r="F48" s="80"/>
      <c r="G48" s="87">
        <f ca="1">HLOOKUP(C48,Daten!$DU$4:$EP$5,2,FALSE)</f>
        <v>450</v>
      </c>
      <c r="H48" s="87">
        <f ca="1">IF(Daten!DX$12=0,0,HLOOKUP(C48,Daten!$DU$4:$EP$22,19,FALSE))</f>
        <v>272.91499170039214</v>
      </c>
      <c r="I48" s="87"/>
      <c r="J48" s="80">
        <f ca="1">HLOOKUP(C48,Daten!$ER$4:$FM$5,2,FALSE)</f>
        <v>550</v>
      </c>
      <c r="K48" s="3365" t="e">
        <f ca="1">IF(Daten!EU$12=0,0,HLOOKUP(C48,Daten!$ER$4:$FL$22,19,FALSE))</f>
        <v>#REF!</v>
      </c>
      <c r="L48" s="77"/>
      <c r="M48" s="3363">
        <f t="shared" ca="1" si="1"/>
        <v>272.91499170039214</v>
      </c>
    </row>
    <row r="49" spans="2:13" ht="21.4" customHeight="1">
      <c r="B49" s="86" t="s">
        <v>168</v>
      </c>
      <c r="C49" s="78" t="str">
        <f>Kostenrechnung!F270</f>
        <v>Öko-Winterweizen (Futter)</v>
      </c>
      <c r="D49" s="3364">
        <f ca="1">HLOOKUP(C49,Daten!$CX$4:$DS$5,2,FALSE)</f>
        <v>30</v>
      </c>
      <c r="E49" s="80">
        <f ca="1">IF(Daten!DB$12=0,0,HLOOKUP(C49,Daten!$CX$4:$DS$22,19,FALSE))</f>
        <v>371.58191977434194</v>
      </c>
      <c r="F49" s="80"/>
      <c r="G49" s="87">
        <f ca="1">HLOOKUP(C49,Daten!$DU$4:$EP$5,2,FALSE)</f>
        <v>40</v>
      </c>
      <c r="H49" s="87">
        <f ca="1">IF(Daten!DY$12=0,0,HLOOKUP(C49,Daten!$DU$4:$EP$22,19,FALSE))</f>
        <v>670.5062959973111</v>
      </c>
      <c r="I49" s="87"/>
      <c r="J49" s="80">
        <f ca="1">HLOOKUP(C49,Daten!$ER$4:$FM$5,2,FALSE)</f>
        <v>69</v>
      </c>
      <c r="K49" s="3365" t="e">
        <f ca="1">IF(Daten!EV$12=0,0,HLOOKUP(C49,Daten!$ER$4:$FL$22,19,FALSE))</f>
        <v>#REF!</v>
      </c>
      <c r="L49" s="77"/>
      <c r="M49" s="3363">
        <f t="shared" ca="1" si="1"/>
        <v>670.5062959973111</v>
      </c>
    </row>
    <row r="50" spans="2:13" ht="21.4" hidden="1" customHeight="1">
      <c r="B50" s="86"/>
      <c r="C50" s="78" t="str">
        <f>Kostenrechnung!F271</f>
        <v>Öko-Winterweizen (Brot)</v>
      </c>
      <c r="D50" s="3364">
        <f ca="1">HLOOKUP(C50,Daten!$CX$4:$DS$5,2,FALSE)</f>
        <v>30</v>
      </c>
      <c r="E50" s="80">
        <f ca="1">IF(Daten!DC$12=0,0,HLOOKUP(C50,Daten!$CX$4:$DS$22,19,FALSE))</f>
        <v>662.446104715518</v>
      </c>
      <c r="F50" s="80"/>
      <c r="G50" s="87">
        <f ca="1">HLOOKUP(C50,Daten!$DU$4:$EP$5,2,FALSE)</f>
        <v>40</v>
      </c>
      <c r="H50" s="87">
        <f ca="1">IF(Daten!DZ$12=0,0,HLOOKUP(C50,Daten!$DU$4:$EP$22,19,FALSE))</f>
        <v>1050.117792522801</v>
      </c>
      <c r="I50" s="87"/>
      <c r="J50" s="80">
        <f ca="1">HLOOKUP(C50,Daten!$ER$4:$FM$5,2,FALSE)</f>
        <v>60</v>
      </c>
      <c r="K50" s="3365" t="e">
        <f ca="1">IF(Daten!EW$12=0,0,HLOOKUP(C50,Daten!$ER$4:$FL$22,19,FALSE))</f>
        <v>#REF!</v>
      </c>
      <c r="L50" s="77"/>
      <c r="M50" s="3363">
        <f t="shared" ca="1" si="1"/>
        <v>1050.117792522801</v>
      </c>
    </row>
    <row r="51" spans="2:13" ht="21.4" customHeight="1">
      <c r="B51" s="86" t="s">
        <v>168</v>
      </c>
      <c r="C51" s="78" t="str">
        <f>Kostenrechnung!F272</f>
        <v>Öko-Dinkel</v>
      </c>
      <c r="D51" s="3364">
        <f ca="1">HLOOKUP(C51,Daten!$CX$4:$DS$5,2,FALSE)</f>
        <v>26.25</v>
      </c>
      <c r="E51" s="80">
        <f ca="1">IF(Daten!DD$12=0,0,HLOOKUP(C51,Daten!$CX$4:$DS$22,19,FALSE))</f>
        <v>515.34407869072834</v>
      </c>
      <c r="F51" s="81"/>
      <c r="G51" s="87">
        <f ca="1">HLOOKUP(C51,Daten!$DU$4:$EP$5,2,FALSE)</f>
        <v>35</v>
      </c>
      <c r="H51" s="87">
        <f ca="1">IF(Daten!EA$12=0,0,HLOOKUP(C51,Daten!$DU$4:$EP$22,19,FALSE))</f>
        <v>899.65584121916004</v>
      </c>
      <c r="I51" s="80"/>
      <c r="J51" s="80">
        <f ca="1">HLOOKUP(C51,Daten!$ER$4:$FM$5,2,FALSE)</f>
        <v>45</v>
      </c>
      <c r="K51" s="3365" t="e">
        <f ca="1">IF(Daten!EX$12=0,0,HLOOKUP(C51,Daten!$ER$4:$FL$22,19,FALSE))</f>
        <v>#REF!</v>
      </c>
      <c r="L51" s="77"/>
      <c r="M51" s="3363">
        <f t="shared" ca="1" si="1"/>
        <v>899.65584121916004</v>
      </c>
    </row>
    <row r="52" spans="2:13" ht="21.4" hidden="1" customHeight="1">
      <c r="B52" s="86"/>
      <c r="C52" s="78" t="str">
        <f>Kostenrechnung!F273</f>
        <v>Öko-Dinkel, entspelzt</v>
      </c>
      <c r="D52" s="3364">
        <f ca="1">HLOOKUP(C52,Daten!$CX$4:$DS$5,2,FALSE)</f>
        <v>26.25</v>
      </c>
      <c r="E52" s="80">
        <f ca="1">IF(Daten!DE$12=0,0,HLOOKUP(C52,Daten!$CX$4:$DS$22,19,FALSE))</f>
        <v>683.26322869072897</v>
      </c>
      <c r="F52" s="81"/>
      <c r="G52" s="87">
        <f ca="1">HLOOKUP(C52,Daten!$DU$4:$EP$5,2,FALSE)</f>
        <v>35</v>
      </c>
      <c r="H52" s="87">
        <f ca="1">IF(Daten!EB$12=0,0,HLOOKUP(C52,Daten!$DU$4:$EP$22,19,FALSE))</f>
        <v>1123.5480412191603</v>
      </c>
      <c r="I52" s="80"/>
      <c r="J52" s="80">
        <f ca="1">HLOOKUP(C52,Daten!$ER$4:$FM$5,2,FALSE)</f>
        <v>43.75</v>
      </c>
      <c r="K52" s="3365" t="e">
        <f ca="1">IF(Daten!EY$12=0,0,HLOOKUP(C52,Daten!$ER$4:$FL$22,19,FALSE))</f>
        <v>#REF!</v>
      </c>
      <c r="L52" s="77"/>
      <c r="M52" s="3363">
        <f t="shared" ca="1" si="1"/>
        <v>1123.5480412191603</v>
      </c>
    </row>
    <row r="53" spans="2:13" ht="21.4" hidden="1" customHeight="1">
      <c r="B53" s="86"/>
      <c r="C53" s="78" t="str">
        <f>Kostenrechnung!F274</f>
        <v>Öko-Winterroggen (Brot)</v>
      </c>
      <c r="D53" s="3364">
        <f ca="1">HLOOKUP(C53,Daten!$CX$4:$DS$5,2,FALSE)</f>
        <v>30</v>
      </c>
      <c r="E53" s="80">
        <f ca="1">IF(Daten!DF$12=0,0,HLOOKUP(C53,Daten!$CX$4:$DS$22,19,FALSE))</f>
        <v>446.48235397972007</v>
      </c>
      <c r="F53" s="80"/>
      <c r="G53" s="87">
        <f ca="1">HLOOKUP(C53,Daten!$DU$4:$EP$5,2,FALSE)</f>
        <v>40</v>
      </c>
      <c r="H53" s="87">
        <f ca="1">IF(Daten!EC$12=0,0,HLOOKUP(C53,Daten!$DU$4:$EP$22,19,FALSE))</f>
        <v>760.22757451193297</v>
      </c>
      <c r="I53" s="87"/>
      <c r="J53" s="80">
        <f ca="1">HLOOKUP(C53,Daten!$ER$4:$FM$5,2,FALSE)</f>
        <v>50</v>
      </c>
      <c r="K53" s="3365" t="e">
        <f ca="1">IF(Daten!EZ$12=0,0,HLOOKUP(C53,Daten!$ER$4:$FL$22,19,FALSE))</f>
        <v>#REF!</v>
      </c>
      <c r="L53" s="77"/>
      <c r="M53" s="3363">
        <f t="shared" ca="1" si="1"/>
        <v>760.22757451193297</v>
      </c>
    </row>
    <row r="54" spans="2:13" ht="21.4" customHeight="1">
      <c r="B54" s="86" t="s">
        <v>168</v>
      </c>
      <c r="C54" s="78" t="str">
        <f>Kostenrechnung!F275</f>
        <v>Öko-Hafer</v>
      </c>
      <c r="D54" s="3364">
        <f ca="1">HLOOKUP(C54,Daten!$CX$4:$DS$5,2,FALSE)</f>
        <v>30</v>
      </c>
      <c r="E54" s="80">
        <f ca="1">IF(Daten!DG$12=0,0,HLOOKUP(C54,Daten!$CX$4:$DS$22,19,FALSE))</f>
        <v>548.25497071736686</v>
      </c>
      <c r="F54" s="80"/>
      <c r="G54" s="87">
        <f ca="1">HLOOKUP(C54,Daten!$DU$4:$EP$5,2,FALSE)</f>
        <v>40</v>
      </c>
      <c r="H54" s="87">
        <f ca="1">IF(Daten!ED$12=0,0,HLOOKUP(C54,Daten!$DU$4:$EP$22,19,FALSE))</f>
        <v>894.59106349546232</v>
      </c>
      <c r="I54" s="87"/>
      <c r="J54" s="80">
        <f ca="1">HLOOKUP(C54,Daten!$ER$4:$FM$5,2,FALSE)</f>
        <v>50</v>
      </c>
      <c r="K54" s="3365" t="e">
        <f ca="1">IF(Daten!FA$12=0,0,HLOOKUP(C54,Daten!$ER$4:$FL$22,19,FALSE))</f>
        <v>#REF!</v>
      </c>
      <c r="L54" s="77"/>
      <c r="M54" s="3363">
        <f t="shared" ca="1" si="1"/>
        <v>894.59106349546232</v>
      </c>
    </row>
    <row r="55" spans="2:13" ht="21.4" hidden="1" customHeight="1">
      <c r="B55" s="86"/>
      <c r="C55" s="78" t="str">
        <f>Kostenrechnung!F277</f>
        <v>Öko-Braugerste</v>
      </c>
      <c r="D55" s="3364">
        <f ca="1">HLOOKUP(C55,Daten!$CX$4:$DS$5,2,FALSE)</f>
        <v>26.25</v>
      </c>
      <c r="E55" s="80">
        <f ca="1">IF(Daten!DI$12=0,0,HLOOKUP(C55,Daten!$CX$4:$DS$22,19,FALSE))</f>
        <v>611.41820684661047</v>
      </c>
      <c r="F55" s="80"/>
      <c r="G55" s="87">
        <f ca="1">HLOOKUP(C55,Daten!$DU$4:$EP$5,2,FALSE)</f>
        <v>35</v>
      </c>
      <c r="H55" s="87">
        <f ca="1">IF(Daten!EF$12=0,0,HLOOKUP(C55,Daten!$DU$4:$EP$22,19,FALSE))</f>
        <v>985.5880120936697</v>
      </c>
      <c r="I55" s="87"/>
      <c r="J55" s="80">
        <f ca="1">HLOOKUP(C55,Daten!$ER$4:$FM$5,2,FALSE)</f>
        <v>43.75</v>
      </c>
      <c r="K55" s="3365" t="e">
        <f ca="1">IF(Daten!FC$12=0,0,HLOOKUP(C55,Daten!$ER$4:$FL$22,19,FALSE))</f>
        <v>#REF!</v>
      </c>
      <c r="L55" s="77"/>
      <c r="M55" s="3363">
        <f t="shared" ca="1" si="1"/>
        <v>985.5880120936697</v>
      </c>
    </row>
    <row r="56" spans="2:13" ht="21.4" customHeight="1">
      <c r="B56" s="86" t="s">
        <v>168</v>
      </c>
      <c r="C56" s="78" t="str">
        <f>Kostenrechnung!F278</f>
        <v xml:space="preserve">Öko-Körnermais </v>
      </c>
      <c r="D56" s="3364">
        <f ca="1">HLOOKUP(C56,Daten!$CX$4:$DS$5,2,FALSE)</f>
        <v>60</v>
      </c>
      <c r="E56" s="80">
        <f ca="1">IF(Daten!DJ$12=0,0,HLOOKUP(C56,Daten!$CX$4:$DS$22,19,FALSE))</f>
        <v>815.91017863778666</v>
      </c>
      <c r="F56" s="81"/>
      <c r="G56" s="87">
        <f ca="1">HLOOKUP(C56,Daten!$DU$4:$EP$5,2,FALSE)</f>
        <v>80</v>
      </c>
      <c r="H56" s="87">
        <f ca="1">IF(Daten!EG$12=0,0,HLOOKUP(C56,Daten!$DU$4:$EP$22,19,FALSE))</f>
        <v>1307.1291196301397</v>
      </c>
      <c r="I56" s="80"/>
      <c r="J56" s="80">
        <f ca="1">HLOOKUP(C56,Daten!$ER$4:$FM$5,2,FALSE)</f>
        <v>100</v>
      </c>
      <c r="K56" s="3365" t="e">
        <f ca="1">IF(Daten!FD$12=0,0,HLOOKUP(C56,Daten!$ER$4:$FL$22,19,FALSE))</f>
        <v>#REF!</v>
      </c>
      <c r="L56" s="77"/>
      <c r="M56" s="3363">
        <f t="shared" ca="1" si="1"/>
        <v>1307.1291196301397</v>
      </c>
    </row>
    <row r="57" spans="2:13" ht="21.4" hidden="1" customHeight="1">
      <c r="B57" s="86"/>
      <c r="C57" s="78" t="str">
        <f>Kostenrechnung!F279</f>
        <v xml:space="preserve">Öko-Ackerbohnen </v>
      </c>
      <c r="D57" s="3364">
        <f ca="1">HLOOKUP(C57,Daten!$CX$4:$DS$5,2,FALSE)</f>
        <v>26.25</v>
      </c>
      <c r="E57" s="80">
        <f ca="1">IF(Daten!DK$12=0,0,HLOOKUP(C57,Daten!$CX$4:$DS$22,19,FALSE))</f>
        <v>733.15175851647075</v>
      </c>
      <c r="F57" s="81"/>
      <c r="G57" s="87">
        <f ca="1">HLOOKUP(C57,Daten!$DU$4:$EP$5,2,FALSE)</f>
        <v>35</v>
      </c>
      <c r="H57" s="87">
        <f ca="1">IF(Daten!EH$12=0,0,HLOOKUP(C57,Daten!$DU$4:$EP$22,19,FALSE))</f>
        <v>1092.6267303364712</v>
      </c>
      <c r="I57" s="80"/>
      <c r="J57" s="80">
        <f ca="1">HLOOKUP(C57,Daten!$ER$4:$FM$5,2,FALSE)</f>
        <v>43.75</v>
      </c>
      <c r="K57" s="3365" t="e">
        <f ca="1">IF(Daten!FE$12=0,0,HLOOKUP(C57,Daten!$ER$4:$FL$22,19,FALSE))</f>
        <v>#REF!</v>
      </c>
      <c r="L57" s="77"/>
      <c r="M57" s="3363">
        <f t="shared" ca="1" si="1"/>
        <v>1092.6267303364712</v>
      </c>
    </row>
    <row r="58" spans="2:13" ht="21.4" hidden="1" customHeight="1">
      <c r="B58" s="86"/>
      <c r="C58" s="78" t="str">
        <f>Kostenrechnung!F280</f>
        <v>Öko-Futtererbsen</v>
      </c>
      <c r="D58" s="3364">
        <f ca="1">HLOOKUP(C58,Daten!$CX$4:$DS$5,2,FALSE)</f>
        <v>22.5</v>
      </c>
      <c r="E58" s="80">
        <f ca="1">IF(Daten!DL$12=0,0,HLOOKUP(C58,Daten!$CX$4:$DS$22,19,FALSE))</f>
        <v>526.56942960823494</v>
      </c>
      <c r="F58" s="80"/>
      <c r="G58" s="87">
        <f ca="1">HLOOKUP(C58,Daten!$DU$4:$EP$5,2,FALSE)</f>
        <v>30</v>
      </c>
      <c r="H58" s="87">
        <f ca="1">IF(Daten!EI$12=0,0,HLOOKUP(C58,Daten!$DU$4:$EP$22,19,FALSE))</f>
        <v>886.71254591999946</v>
      </c>
      <c r="I58" s="87"/>
      <c r="J58" s="80">
        <f ca="1">HLOOKUP(C58,Daten!$ER$4:$FM$5,2,FALSE)</f>
        <v>37.5</v>
      </c>
      <c r="K58" s="3365" t="e">
        <f ca="1">IF(Daten!FF$12=0,0,HLOOKUP(C58,Daten!$ER$4:$FL$22,19,FALSE))</f>
        <v>#REF!</v>
      </c>
      <c r="L58" s="77"/>
      <c r="M58" s="3363">
        <f t="shared" ca="1" si="1"/>
        <v>886.71254591999946</v>
      </c>
    </row>
    <row r="59" spans="2:13" ht="21.4" hidden="1" customHeight="1">
      <c r="B59" s="86"/>
      <c r="C59" s="78" t="str">
        <f>Kostenrechnung!F281</f>
        <v>Öko-Sojabohnen</v>
      </c>
      <c r="D59" s="3364">
        <f ca="1">HLOOKUP(C59,Daten!$CX$4:$DS$5,2,FALSE)</f>
        <v>25.5</v>
      </c>
      <c r="E59" s="80">
        <f ca="1">IF(Daten!DM$12=0,0,HLOOKUP(C59,Daten!$CX$4:$DS$22,19,FALSE))</f>
        <v>1396.9352653507062</v>
      </c>
      <c r="F59" s="80"/>
      <c r="G59" s="87">
        <f ca="1">HLOOKUP(C59,Daten!$DU$4:$EP$5,2,FALSE)</f>
        <v>30</v>
      </c>
      <c r="H59" s="87">
        <f ca="1">IF(Daten!EJ$12=0,0,HLOOKUP(C59,Daten!$DU$4:$EP$22,19,FALSE))</f>
        <v>1753.7835668541179</v>
      </c>
      <c r="I59" s="87"/>
      <c r="J59" s="80">
        <f ca="1">HLOOKUP(C59,Daten!$ER$4:$FM$5,2,FALSE)</f>
        <v>34.5</v>
      </c>
      <c r="K59" s="3365" t="e">
        <f ca="1">IF(Daten!FG$12=0,0,HLOOKUP(C59,Daten!$ER$4:$FL$22,19,FALSE))</f>
        <v>#REF!</v>
      </c>
      <c r="L59" s="77"/>
      <c r="M59" s="3363">
        <f t="shared" ca="1" si="1"/>
        <v>1753.7835668541179</v>
      </c>
    </row>
    <row r="60" spans="2:13" ht="21.4" hidden="1" customHeight="1">
      <c r="B60" s="86"/>
      <c r="C60" s="78" t="str">
        <f>Kostenrechnung!F282</f>
        <v>Öko-Sonnenblumen</v>
      </c>
      <c r="D60" s="3364">
        <f ca="1">HLOOKUP(C60,Daten!$CX$4:$DS$5,2,FALSE)</f>
        <v>20</v>
      </c>
      <c r="E60" s="80">
        <f ca="1">IF(Daten!DN$12=0,0,HLOOKUP(C60,Daten!$CX$4:$DS$22,19,FALSE))</f>
        <v>522.11517858028037</v>
      </c>
      <c r="F60" s="81"/>
      <c r="G60" s="87">
        <f ca="1">HLOOKUP(C60,Daten!$DU$4:$EP$5,2,FALSE)</f>
        <v>30</v>
      </c>
      <c r="H60" s="87">
        <f ca="1">IF(Daten!EK$12=0,0,HLOOKUP(C60,Daten!$DU$4:$EP$22,19,FALSE))</f>
        <v>996.40826699596641</v>
      </c>
      <c r="I60" s="80"/>
      <c r="J60" s="80">
        <f ca="1">HLOOKUP(C60,Daten!$ER$4:$FM$5,2,FALSE)</f>
        <v>40</v>
      </c>
      <c r="K60" s="3365" t="e">
        <f ca="1">IF(Daten!FH$12=0,0,HLOOKUP(C60,Daten!$ER$4:$FL$22,19,FALSE))</f>
        <v>#REF!</v>
      </c>
      <c r="L60" s="77"/>
      <c r="M60" s="3363">
        <f t="shared" ca="1" si="1"/>
        <v>996.40826699596641</v>
      </c>
    </row>
    <row r="61" spans="2:13" ht="21.4" hidden="1" customHeight="1">
      <c r="B61" s="86"/>
      <c r="C61" s="78" t="str">
        <f>Kostenrechnung!F283</f>
        <v>Öko-Winterraps (Ölproduktion)</v>
      </c>
      <c r="D61" s="3364">
        <f ca="1">HLOOKUP(C61,Daten!$CX$4:$DS$5,2,FALSE)</f>
        <v>10</v>
      </c>
      <c r="E61" s="80">
        <f ca="1">IF(Daten!DO$12=0,0,HLOOKUP(C61,Daten!$CX$4:$DS$22,19,FALSE))</f>
        <v>213.37500947137255</v>
      </c>
      <c r="F61" s="80"/>
      <c r="G61" s="87">
        <f ca="1">HLOOKUP(C61,Daten!$DU$4:$EP$5,2,FALSE)</f>
        <v>19</v>
      </c>
      <c r="H61" s="87">
        <f ca="1">IF(Daten!EL$12=0,0,HLOOKUP(C61,Daten!$DU$4:$EP$22,19,FALSE))</f>
        <v>839.06938904549008</v>
      </c>
      <c r="I61" s="87"/>
      <c r="J61" s="80">
        <f ca="1">HLOOKUP(C61,Daten!$ER$4:$FM$5,2,FALSE)</f>
        <v>26</v>
      </c>
      <c r="K61" s="3365" t="e">
        <f ca="1">IF(Daten!FI$12=0,0,HLOOKUP(C61,Daten!$ER$4:$FL$22,19,FALSE))</f>
        <v>#REF!</v>
      </c>
      <c r="L61" s="77"/>
      <c r="M61" s="3363">
        <f t="shared" ca="1" si="1"/>
        <v>839.06938904549008</v>
      </c>
    </row>
    <row r="62" spans="2:13" ht="21.4" hidden="1" customHeight="1">
      <c r="B62" s="86"/>
      <c r="C62" s="78" t="str">
        <f>Kostenrechnung!F284</f>
        <v>Öko-Speisekartoffeln spät</v>
      </c>
      <c r="D62" s="3364">
        <f ca="1">HLOOKUP(C62,Daten!$CX$4:$DS$5,2,FALSE)</f>
        <v>200</v>
      </c>
      <c r="E62" s="80">
        <f ca="1">IF(Daten!DP$12=0,0,HLOOKUP(C62,Daten!$CX$4:$DS$22,19,FALSE))</f>
        <v>4996.4487990403341</v>
      </c>
      <c r="F62" s="81"/>
      <c r="G62" s="87">
        <f ca="1">HLOOKUP(C62,Daten!$DU$4:$EP$5,2,FALSE)</f>
        <v>250</v>
      </c>
      <c r="H62" s="87">
        <f ca="1">IF(Daten!EM$12=0,0,HLOOKUP(C62,Daten!$DU$4:$EP$22,19,FALSE))</f>
        <v>7031.4615986387662</v>
      </c>
      <c r="I62" s="80"/>
      <c r="J62" s="80">
        <f ca="1">HLOOKUP(C62,Daten!$ER$4:$FM$5,2,FALSE)</f>
        <v>300</v>
      </c>
      <c r="K62" s="3365" t="e">
        <f ca="1">IF(Daten!FJ$12=0,0,HLOOKUP(C62,Daten!$ER$4:$FL$22,19,FALSE))</f>
        <v>#REF!</v>
      </c>
      <c r="L62" s="77"/>
      <c r="M62" s="3363">
        <f t="shared" ca="1" si="1"/>
        <v>7031.4615986387662</v>
      </c>
    </row>
    <row r="63" spans="2:13" ht="21.4" hidden="1" customHeight="1">
      <c r="B63" s="86"/>
      <c r="C63" s="78" t="str">
        <f>Kostenrechnung!F286</f>
        <v>FAKT-Begrünung</v>
      </c>
      <c r="D63" s="3364">
        <f ca="1">HLOOKUP(C63,Daten!$CX$4:$DS$5,2,FALSE)</f>
        <v>0</v>
      </c>
      <c r="E63" s="80">
        <f ca="1">IF(Daten!DR$12=0,0,HLOOKUP(C63,Daten!$CX$4:$DS$22,19,FALSE))</f>
        <v>-318.44866632941176</v>
      </c>
      <c r="F63" s="80"/>
      <c r="G63" s="87">
        <f ca="1">HLOOKUP(C63,Daten!$DU$4:$EP$5,2,FALSE)</f>
        <v>0</v>
      </c>
      <c r="H63" s="87">
        <f ca="1">IF(Daten!EO$12=0,0,HLOOKUP(C63,Daten!$DU$4:$EP$22,19,FALSE))</f>
        <v>-318.44866632941176</v>
      </c>
      <c r="I63" s="87"/>
      <c r="J63" s="80">
        <f ca="1">HLOOKUP(C63,Daten!$ER$4:$FM$5,2,FALSE)</f>
        <v>0</v>
      </c>
      <c r="K63" s="3365" t="e">
        <f ca="1">IF(Daten!FL$12=0,0,HLOOKUP(C63,Daten!$ER$4:$FL$22,19,FALSE))</f>
        <v>#REF!</v>
      </c>
      <c r="L63" s="77"/>
      <c r="M63" s="3363">
        <f t="shared" ca="1" si="1"/>
        <v>-318.44866632941176</v>
      </c>
    </row>
    <row r="64" spans="2:13" ht="21.4" hidden="1" customHeight="1">
      <c r="B64" s="86"/>
      <c r="C64" s="78" t="str">
        <f>Kostenrechnung!F287</f>
        <v xml:space="preserve">FAKT-Blühmischung </v>
      </c>
      <c r="D64" s="3364">
        <f ca="1">HLOOKUP(C64,Daten!$CX$4:$DS$5,2,FALSE)</f>
        <v>0</v>
      </c>
      <c r="E64" s="80">
        <f ca="1">IF(Daten!DS$12=0,0,HLOOKUP(C64,Daten!$CX$4:$DS$22,19,FALSE))</f>
        <v>-219.22948032705884</v>
      </c>
      <c r="F64" s="80"/>
      <c r="G64" s="87">
        <f ca="1">HLOOKUP(C64,Daten!$DU$4:$EP$5,2,FALSE)</f>
        <v>0</v>
      </c>
      <c r="H64" s="87">
        <f ca="1">IF(Daten!EP$12=0,0,HLOOKUP(C64,Daten!$DU$4:$EP$22,19,FALSE))</f>
        <v>-219.22948032705884</v>
      </c>
      <c r="I64" s="87"/>
      <c r="J64" s="80">
        <f ca="1">HLOOKUP(C64,Daten!$ER$4:$FM$5,2,FALSE)</f>
        <v>0</v>
      </c>
      <c r="K64" s="3365" t="e">
        <f ca="1">IF(Daten!FM$12=0,0,HLOOKUP(C64,Daten!$ER$4:$FM$22,19,FALSE))</f>
        <v>#REF!</v>
      </c>
      <c r="L64" s="77"/>
      <c r="M64" s="3363">
        <f t="shared" ca="1" si="1"/>
        <v>-219.22948032705884</v>
      </c>
    </row>
    <row r="65" spans="3:12" ht="14.25">
      <c r="C65" s="78"/>
      <c r="L65" s="77"/>
    </row>
    <row r="66" spans="3:12" ht="14.25">
      <c r="C66" s="78"/>
      <c r="L66" s="77"/>
    </row>
    <row r="67" spans="3:12" ht="14.25">
      <c r="C67" s="4073"/>
      <c r="L67" s="77"/>
    </row>
    <row r="68" spans="3:12" ht="14.25">
      <c r="C68" s="78"/>
      <c r="L68" s="77"/>
    </row>
    <row r="69" spans="3:12" ht="14.25">
      <c r="C69" s="78"/>
      <c r="L69" s="77"/>
    </row>
    <row r="70" spans="3:12" ht="14.25">
      <c r="C70" s="78"/>
      <c r="L70" s="77"/>
    </row>
    <row r="71" spans="3:12" ht="14.25">
      <c r="C71" s="78"/>
      <c r="L71" s="77"/>
    </row>
    <row r="72" spans="3:12" ht="14.25">
      <c r="C72" s="78"/>
      <c r="L72" s="77"/>
    </row>
    <row r="73" spans="3:12" ht="14.25">
      <c r="C73" s="78"/>
      <c r="L73" s="77"/>
    </row>
    <row r="74" spans="3:12" ht="14.25">
      <c r="C74" s="78"/>
      <c r="L74" s="77"/>
    </row>
    <row r="75" spans="3:12" ht="14.25">
      <c r="C75" s="78"/>
      <c r="L75" s="77"/>
    </row>
    <row r="76" spans="3:12" ht="14.25">
      <c r="C76" s="78"/>
      <c r="L76" s="77"/>
    </row>
    <row r="77" spans="3:12" ht="14.25">
      <c r="C77" s="78"/>
      <c r="L77" s="77"/>
    </row>
    <row r="78" spans="3:12" ht="14.25">
      <c r="C78" s="78"/>
      <c r="L78" s="77"/>
    </row>
    <row r="79" spans="3:12" ht="14.25">
      <c r="C79" s="78"/>
      <c r="L79" s="77"/>
    </row>
    <row r="80" spans="3:12" ht="14.25">
      <c r="C80" s="78"/>
      <c r="L80" s="77"/>
    </row>
    <row r="81" spans="3:12" ht="14.25">
      <c r="C81" s="78"/>
      <c r="L81" s="77"/>
    </row>
    <row r="82" spans="3:12" ht="14.25">
      <c r="C82" s="78"/>
      <c r="L82" s="77"/>
    </row>
    <row r="83" spans="3:12" ht="14.25">
      <c r="C83" s="78"/>
      <c r="L83" s="77"/>
    </row>
    <row r="84" spans="3:12" ht="14.25">
      <c r="C84" s="78"/>
      <c r="L84" s="77"/>
    </row>
    <row r="85" spans="3:12" ht="14.25">
      <c r="C85" s="78"/>
      <c r="L85" s="77"/>
    </row>
    <row r="86" spans="3:12" ht="14.25">
      <c r="C86" s="78"/>
      <c r="L86" s="77"/>
    </row>
    <row r="87" spans="3:12" ht="14.25">
      <c r="C87" s="78"/>
      <c r="L87" s="77"/>
    </row>
    <row r="88" spans="3:12" ht="14.25">
      <c r="C88" s="78"/>
      <c r="L88" s="77"/>
    </row>
    <row r="89" spans="3:12" ht="14.25">
      <c r="C89" s="78"/>
      <c r="L89" s="77"/>
    </row>
    <row r="90" spans="3:12" ht="14.25">
      <c r="C90" s="78"/>
      <c r="L90" s="77"/>
    </row>
    <row r="91" spans="3:12" ht="14.25">
      <c r="C91" s="78"/>
      <c r="L91" s="77"/>
    </row>
    <row r="92" spans="3:12" ht="14.25">
      <c r="C92" s="78"/>
      <c r="L92" s="77"/>
    </row>
    <row r="93" spans="3:12" ht="14.25">
      <c r="C93" s="78"/>
      <c r="L93" s="77"/>
    </row>
    <row r="94" spans="3:12" ht="14.25">
      <c r="C94" s="78"/>
      <c r="L94" s="77"/>
    </row>
    <row r="95" spans="3:12" ht="14.25">
      <c r="C95" s="78"/>
      <c r="L95" s="77"/>
    </row>
    <row r="96" spans="3:12" ht="14.25">
      <c r="C96" s="78"/>
      <c r="L96" s="77"/>
    </row>
    <row r="97" spans="3:12" ht="14.25">
      <c r="C97" s="78"/>
      <c r="L97" s="77"/>
    </row>
    <row r="98" spans="3:12" ht="14.25">
      <c r="C98" s="78"/>
      <c r="L98" s="77"/>
    </row>
    <row r="99" spans="3:12" ht="14.25">
      <c r="C99" s="78"/>
      <c r="L99" s="77"/>
    </row>
    <row r="100" spans="3:12" ht="14.25">
      <c r="C100" s="78"/>
      <c r="L100" s="77"/>
    </row>
    <row r="101" spans="3:12" ht="14.25">
      <c r="C101" s="78"/>
      <c r="L101" s="77"/>
    </row>
    <row r="102" spans="3:12" ht="14.25">
      <c r="C102" s="78"/>
      <c r="L102" s="77"/>
    </row>
    <row r="103" spans="3:12" ht="14.25">
      <c r="C103" s="78"/>
      <c r="L103" s="77"/>
    </row>
    <row r="104" spans="3:12" ht="14.25">
      <c r="C104" s="78"/>
      <c r="L104" s="77"/>
    </row>
    <row r="105" spans="3:12" ht="14.25">
      <c r="C105" s="78"/>
      <c r="L105" s="77"/>
    </row>
    <row r="106" spans="3:12" ht="14.25">
      <c r="C106" s="78"/>
      <c r="L106" s="77"/>
    </row>
    <row r="107" spans="3:12" ht="14.25">
      <c r="C107" s="78"/>
      <c r="L107" s="77"/>
    </row>
    <row r="108" spans="3:12" ht="14.25">
      <c r="C108" s="78"/>
      <c r="L108" s="77"/>
    </row>
    <row r="109" spans="3:12" ht="14.25">
      <c r="C109" s="78"/>
      <c r="L109" s="77"/>
    </row>
    <row r="110" spans="3:12" ht="14.25">
      <c r="C110" s="78"/>
      <c r="L110" s="77"/>
    </row>
    <row r="111" spans="3:12" ht="14.25">
      <c r="C111" s="78"/>
      <c r="L111" s="77"/>
    </row>
    <row r="112" spans="3:12" ht="14.25">
      <c r="C112" s="78"/>
      <c r="L112" s="77"/>
    </row>
    <row r="113" spans="3:12" ht="14.25">
      <c r="C113" s="78"/>
      <c r="L113" s="77"/>
    </row>
    <row r="114" spans="3:12" ht="14.25">
      <c r="C114" s="78"/>
      <c r="L114" s="77"/>
    </row>
    <row r="115" spans="3:12" ht="14.25">
      <c r="C115" s="78"/>
      <c r="L115" s="77"/>
    </row>
    <row r="116" spans="3:12" ht="14.25">
      <c r="C116" s="78"/>
      <c r="L116" s="77"/>
    </row>
    <row r="117" spans="3:12" ht="14.25">
      <c r="C117" s="78"/>
      <c r="L117" s="77"/>
    </row>
    <row r="118" spans="3:12" ht="14.25">
      <c r="C118" s="78"/>
      <c r="L118" s="77"/>
    </row>
    <row r="119" spans="3:12" ht="14.25">
      <c r="C119" s="78"/>
      <c r="L119" s="77"/>
    </row>
    <row r="120" spans="3:12" ht="14.25">
      <c r="C120" s="78"/>
      <c r="L120" s="77"/>
    </row>
    <row r="121" spans="3:12" ht="14.25">
      <c r="C121" s="78"/>
      <c r="L121" s="77"/>
    </row>
    <row r="122" spans="3:12" ht="14.25">
      <c r="C122" s="78"/>
      <c r="L122" s="77"/>
    </row>
    <row r="123" spans="3:12" ht="14.25">
      <c r="C123" s="78"/>
      <c r="L123" s="77"/>
    </row>
    <row r="124" spans="3:12" ht="14.25">
      <c r="C124" s="78"/>
      <c r="L124" s="77"/>
    </row>
    <row r="125" spans="3:12" ht="14.25">
      <c r="C125" s="78"/>
      <c r="L125" s="77"/>
    </row>
    <row r="126" spans="3:12" ht="14.25">
      <c r="C126" s="78"/>
      <c r="L126" s="77"/>
    </row>
    <row r="127" spans="3:12" ht="14.25">
      <c r="C127" s="78"/>
      <c r="L127" s="77"/>
    </row>
    <row r="128" spans="3:12" ht="14.25">
      <c r="C128" s="78"/>
      <c r="L128" s="77"/>
    </row>
    <row r="129" spans="3:12" ht="14.25">
      <c r="C129" s="78"/>
      <c r="L129" s="77"/>
    </row>
    <row r="130" spans="3:12" ht="14.25">
      <c r="C130" s="78"/>
      <c r="L130" s="77"/>
    </row>
  </sheetData>
  <autoFilter ref="B12:B64">
    <filterColumn colId="0">
      <customFilters>
        <customFilter operator="notEqual" val=" "/>
      </customFilters>
    </filterColumn>
  </autoFilter>
  <printOptions horizontalCentered="1"/>
  <pageMargins left="0.59055118110236227" right="0.59055118110236227" top="0.59055118110236227" bottom="0.59055118110236227" header="0.39370078740157483" footer="0.39370078740157483"/>
  <pageSetup paperSize="9" scale="89" firstPageNumber="84" fitToHeight="0" orientation="portrait" r:id="rId1"/>
  <headerFooter alignWithMargins="0">
    <oddFooter>&amp;L&amp;11LEL Schwäbisch Gmünd&amp;C&amp;P&amp;R&amp;11&amp;F</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FO87"/>
  <sheetViews>
    <sheetView showZeros="0" zoomScaleNormal="100" workbookViewId="0">
      <pane xSplit="3" ySplit="4" topLeftCell="D47" activePane="bottomRight" state="frozen"/>
      <selection activeCell="AF19" sqref="AF19"/>
      <selection pane="topRight" activeCell="AF19" sqref="AF19"/>
      <selection pane="bottomLeft" activeCell="AF19" sqref="AF19"/>
      <selection pane="bottomRight"/>
    </sheetView>
  </sheetViews>
  <sheetFormatPr baseColWidth="10" defaultColWidth="10.5" defaultRowHeight="8.25"/>
  <cols>
    <col min="1" max="1" width="2.375" style="1455" customWidth="1"/>
    <col min="2" max="2" width="23.75" style="1457" customWidth="1"/>
    <col min="3" max="4" width="6.625" style="1456" bestFit="1" customWidth="1"/>
    <col min="5" max="5" width="6.625" style="1456" customWidth="1"/>
    <col min="6" max="32" width="5.5" style="1456" customWidth="1"/>
    <col min="33" max="33" width="6.25" style="1456" customWidth="1"/>
    <col min="34" max="35" width="5.5" style="1456" customWidth="1"/>
    <col min="36" max="101" width="5.5" style="1455" customWidth="1"/>
    <col min="102" max="102" width="6.625" style="1456" bestFit="1" customWidth="1"/>
    <col min="103" max="124" width="5.5" style="1455" customWidth="1"/>
    <col min="125" max="125" width="6" style="1455" customWidth="1"/>
    <col min="126" max="169" width="5.5" style="1455" customWidth="1"/>
    <col min="170" max="16384" width="10.5" style="1455"/>
  </cols>
  <sheetData>
    <row r="1" spans="1:169">
      <c r="A1" s="1463">
        <f>ROWS($A1:A$1)</f>
        <v>1</v>
      </c>
      <c r="D1" s="1456">
        <v>202</v>
      </c>
      <c r="E1" s="1456">
        <v>203</v>
      </c>
      <c r="F1" s="1456">
        <v>204</v>
      </c>
      <c r="G1" s="1456">
        <v>205</v>
      </c>
      <c r="H1" s="1456">
        <v>206</v>
      </c>
      <c r="I1" s="1456">
        <v>207</v>
      </c>
      <c r="J1" s="1456">
        <v>208</v>
      </c>
      <c r="K1" s="1456">
        <v>209</v>
      </c>
      <c r="L1" s="1456">
        <v>210</v>
      </c>
      <c r="M1" s="1456">
        <v>211</v>
      </c>
      <c r="N1" s="1456">
        <v>212</v>
      </c>
      <c r="O1" s="1456">
        <v>213</v>
      </c>
      <c r="P1" s="1456">
        <v>214</v>
      </c>
      <c r="Q1" s="1456">
        <v>215</v>
      </c>
      <c r="R1" s="1456">
        <v>216</v>
      </c>
      <c r="S1" s="1456">
        <v>217</v>
      </c>
      <c r="T1" s="1456">
        <v>218</v>
      </c>
      <c r="U1" s="1456">
        <v>219</v>
      </c>
      <c r="V1" s="1456">
        <v>220</v>
      </c>
      <c r="W1" s="1456">
        <v>221</v>
      </c>
      <c r="X1" s="1456">
        <v>222</v>
      </c>
      <c r="Y1" s="1456">
        <v>223</v>
      </c>
      <c r="Z1" s="1456">
        <v>224</v>
      </c>
      <c r="AA1" s="1456">
        <v>225</v>
      </c>
      <c r="AB1" s="1456">
        <v>226</v>
      </c>
      <c r="AC1" s="1456">
        <v>227</v>
      </c>
      <c r="AD1" s="1456">
        <v>228</v>
      </c>
      <c r="AE1" s="1456">
        <v>229</v>
      </c>
      <c r="AF1" s="1456">
        <v>230</v>
      </c>
      <c r="AG1" s="1456">
        <v>231</v>
      </c>
      <c r="AH1" s="1456">
        <v>232</v>
      </c>
      <c r="AI1" s="1456">
        <v>233</v>
      </c>
      <c r="AJ1" s="1576">
        <v>302</v>
      </c>
      <c r="AK1" s="1456">
        <v>303</v>
      </c>
      <c r="AL1" s="1456">
        <v>304</v>
      </c>
      <c r="AM1" s="1456">
        <v>305</v>
      </c>
      <c r="AN1" s="1456">
        <v>306</v>
      </c>
      <c r="AO1" s="1456">
        <v>307</v>
      </c>
      <c r="AP1" s="1456">
        <v>308</v>
      </c>
      <c r="AQ1" s="1456">
        <v>309</v>
      </c>
      <c r="AR1" s="1456">
        <v>310</v>
      </c>
      <c r="AS1" s="1456">
        <v>311</v>
      </c>
      <c r="AT1" s="1456">
        <v>312</v>
      </c>
      <c r="AU1" s="1456">
        <v>313</v>
      </c>
      <c r="AV1" s="1456">
        <v>314</v>
      </c>
      <c r="AW1" s="1456">
        <v>315</v>
      </c>
      <c r="AX1" s="1456">
        <v>316</v>
      </c>
      <c r="AY1" s="1456">
        <v>317</v>
      </c>
      <c r="AZ1" s="1456">
        <v>318</v>
      </c>
      <c r="BA1" s="1456">
        <v>319</v>
      </c>
      <c r="BB1" s="1456">
        <v>320</v>
      </c>
      <c r="BC1" s="1456">
        <v>321</v>
      </c>
      <c r="BD1" s="1456">
        <v>322</v>
      </c>
      <c r="BE1" s="1456">
        <v>323</v>
      </c>
      <c r="BF1" s="1456">
        <v>324</v>
      </c>
      <c r="BG1" s="1456">
        <v>325</v>
      </c>
      <c r="BH1" s="1456">
        <v>326</v>
      </c>
      <c r="BI1" s="1456">
        <v>327</v>
      </c>
      <c r="BJ1" s="1456">
        <v>328</v>
      </c>
      <c r="BK1" s="1456">
        <v>329</v>
      </c>
      <c r="BL1" s="1456">
        <v>330</v>
      </c>
      <c r="BM1" s="1456">
        <v>331</v>
      </c>
      <c r="BN1" s="1456">
        <v>332</v>
      </c>
      <c r="BO1" s="1456">
        <v>333</v>
      </c>
      <c r="BP1" s="1576">
        <v>402</v>
      </c>
      <c r="BQ1" s="1456">
        <v>403</v>
      </c>
      <c r="BR1" s="1456">
        <v>404</v>
      </c>
      <c r="BS1" s="1456">
        <v>405</v>
      </c>
      <c r="BT1" s="1456">
        <v>406</v>
      </c>
      <c r="BU1" s="1456">
        <v>407</v>
      </c>
      <c r="BV1" s="1456">
        <v>408</v>
      </c>
      <c r="BW1" s="1456">
        <v>409</v>
      </c>
      <c r="BX1" s="1456">
        <v>410</v>
      </c>
      <c r="BY1" s="1456">
        <v>411</v>
      </c>
      <c r="BZ1" s="1456">
        <v>412</v>
      </c>
      <c r="CA1" s="1456">
        <v>413</v>
      </c>
      <c r="CB1" s="1456">
        <v>414</v>
      </c>
      <c r="CC1" s="1456">
        <v>415</v>
      </c>
      <c r="CD1" s="1456">
        <v>416</v>
      </c>
      <c r="CE1" s="1456">
        <v>417</v>
      </c>
      <c r="CF1" s="1456">
        <v>418</v>
      </c>
      <c r="CG1" s="1456">
        <v>419</v>
      </c>
      <c r="CH1" s="1456">
        <v>420</v>
      </c>
      <c r="CI1" s="1456">
        <v>421</v>
      </c>
      <c r="CJ1" s="1456">
        <v>422</v>
      </c>
      <c r="CK1" s="1456">
        <v>423</v>
      </c>
      <c r="CL1" s="1456">
        <v>424</v>
      </c>
      <c r="CM1" s="1456">
        <v>425</v>
      </c>
      <c r="CN1" s="1456">
        <v>426</v>
      </c>
      <c r="CO1" s="1456">
        <v>427</v>
      </c>
      <c r="CP1" s="1456">
        <v>428</v>
      </c>
      <c r="CQ1" s="1456">
        <v>429</v>
      </c>
      <c r="CR1" s="1456">
        <v>430</v>
      </c>
      <c r="CS1" s="1456">
        <v>431</v>
      </c>
      <c r="CT1" s="1456">
        <v>432</v>
      </c>
      <c r="CV1" s="3657"/>
      <c r="CW1" s="3658"/>
      <c r="CX1" s="1456">
        <f t="shared" ref="CX1:DS1" si="0">200+CX2</f>
        <v>233</v>
      </c>
      <c r="CY1" s="3659">
        <f t="shared" si="0"/>
        <v>234</v>
      </c>
      <c r="CZ1" s="3659">
        <f t="shared" si="0"/>
        <v>235</v>
      </c>
      <c r="DA1" s="3659">
        <f t="shared" si="0"/>
        <v>236</v>
      </c>
      <c r="DB1" s="3659">
        <f t="shared" si="0"/>
        <v>237</v>
      </c>
      <c r="DC1" s="3659">
        <f t="shared" si="0"/>
        <v>238</v>
      </c>
      <c r="DD1" s="3659">
        <f t="shared" si="0"/>
        <v>239</v>
      </c>
      <c r="DE1" s="3659">
        <f t="shared" si="0"/>
        <v>240</v>
      </c>
      <c r="DF1" s="3659">
        <f t="shared" si="0"/>
        <v>241</v>
      </c>
      <c r="DG1" s="3659">
        <f t="shared" si="0"/>
        <v>242</v>
      </c>
      <c r="DH1" s="3659">
        <f t="shared" si="0"/>
        <v>243</v>
      </c>
      <c r="DI1" s="3659">
        <f t="shared" si="0"/>
        <v>244</v>
      </c>
      <c r="DJ1" s="3659">
        <f t="shared" si="0"/>
        <v>245</v>
      </c>
      <c r="DK1" s="3659">
        <f t="shared" si="0"/>
        <v>246</v>
      </c>
      <c r="DL1" s="3659">
        <f t="shared" si="0"/>
        <v>247</v>
      </c>
      <c r="DM1" s="3659">
        <f t="shared" si="0"/>
        <v>248</v>
      </c>
      <c r="DN1" s="3659">
        <f t="shared" si="0"/>
        <v>249</v>
      </c>
      <c r="DO1" s="3659">
        <f t="shared" si="0"/>
        <v>250</v>
      </c>
      <c r="DP1" s="3659">
        <f t="shared" si="0"/>
        <v>251</v>
      </c>
      <c r="DQ1" s="3659">
        <f t="shared" si="0"/>
        <v>252</v>
      </c>
      <c r="DR1" s="3659">
        <f t="shared" si="0"/>
        <v>221</v>
      </c>
      <c r="DS1" s="3659">
        <f t="shared" si="0"/>
        <v>222</v>
      </c>
      <c r="DT1" s="3659"/>
      <c r="DU1" s="3659">
        <f>300+DU2</f>
        <v>333</v>
      </c>
      <c r="DV1" s="3659">
        <f t="shared" ref="DV1:EP1" si="1">300+DV2</f>
        <v>334</v>
      </c>
      <c r="DW1" s="3659">
        <f t="shared" si="1"/>
        <v>335</v>
      </c>
      <c r="DX1" s="3659">
        <f t="shared" si="1"/>
        <v>336</v>
      </c>
      <c r="DY1" s="3659">
        <f t="shared" si="1"/>
        <v>337</v>
      </c>
      <c r="DZ1" s="3659">
        <f t="shared" si="1"/>
        <v>338</v>
      </c>
      <c r="EA1" s="3659">
        <f t="shared" si="1"/>
        <v>339</v>
      </c>
      <c r="EB1" s="3659">
        <f t="shared" si="1"/>
        <v>340</v>
      </c>
      <c r="EC1" s="3659">
        <f t="shared" si="1"/>
        <v>341</v>
      </c>
      <c r="ED1" s="3659">
        <f t="shared" si="1"/>
        <v>342</v>
      </c>
      <c r="EE1" s="3659">
        <f t="shared" si="1"/>
        <v>343</v>
      </c>
      <c r="EF1" s="3659">
        <f t="shared" si="1"/>
        <v>344</v>
      </c>
      <c r="EG1" s="3659">
        <f t="shared" si="1"/>
        <v>345</v>
      </c>
      <c r="EH1" s="3659">
        <f t="shared" si="1"/>
        <v>346</v>
      </c>
      <c r="EI1" s="3659">
        <f t="shared" si="1"/>
        <v>347</v>
      </c>
      <c r="EJ1" s="3659">
        <f t="shared" si="1"/>
        <v>348</v>
      </c>
      <c r="EK1" s="3659">
        <f t="shared" si="1"/>
        <v>349</v>
      </c>
      <c r="EL1" s="3659">
        <f t="shared" si="1"/>
        <v>350</v>
      </c>
      <c r="EM1" s="3659">
        <f t="shared" si="1"/>
        <v>351</v>
      </c>
      <c r="EN1" s="3659">
        <f t="shared" si="1"/>
        <v>352</v>
      </c>
      <c r="EO1" s="3659">
        <f t="shared" si="1"/>
        <v>353</v>
      </c>
      <c r="EP1" s="3659">
        <f t="shared" si="1"/>
        <v>354</v>
      </c>
      <c r="EQ1" s="3659"/>
      <c r="ER1" s="3659">
        <f>400+ER2</f>
        <v>433</v>
      </c>
      <c r="ES1" s="3659">
        <f t="shared" ref="ES1:FM1" si="2">400+ES2</f>
        <v>434</v>
      </c>
      <c r="ET1" s="3659">
        <f t="shared" si="2"/>
        <v>435</v>
      </c>
      <c r="EU1" s="3659">
        <f t="shared" si="2"/>
        <v>436</v>
      </c>
      <c r="EV1" s="3659">
        <f t="shared" si="2"/>
        <v>437</v>
      </c>
      <c r="EW1" s="3659">
        <f t="shared" si="2"/>
        <v>438</v>
      </c>
      <c r="EX1" s="3659">
        <f t="shared" si="2"/>
        <v>439</v>
      </c>
      <c r="EY1" s="3659">
        <f t="shared" si="2"/>
        <v>440</v>
      </c>
      <c r="EZ1" s="3659">
        <f t="shared" si="2"/>
        <v>441</v>
      </c>
      <c r="FA1" s="3659">
        <f t="shared" si="2"/>
        <v>442</v>
      </c>
      <c r="FB1" s="3659">
        <f t="shared" si="2"/>
        <v>443</v>
      </c>
      <c r="FC1" s="3659">
        <f t="shared" si="2"/>
        <v>444</v>
      </c>
      <c r="FD1" s="3659">
        <f t="shared" si="2"/>
        <v>445</v>
      </c>
      <c r="FE1" s="3659">
        <f t="shared" si="2"/>
        <v>446</v>
      </c>
      <c r="FF1" s="3659">
        <f t="shared" si="2"/>
        <v>447</v>
      </c>
      <c r="FG1" s="3659">
        <f t="shared" si="2"/>
        <v>448</v>
      </c>
      <c r="FH1" s="3659">
        <f t="shared" si="2"/>
        <v>449</v>
      </c>
      <c r="FI1" s="3659">
        <f t="shared" si="2"/>
        <v>450</v>
      </c>
      <c r="FJ1" s="3659">
        <f t="shared" si="2"/>
        <v>451</v>
      </c>
      <c r="FK1" s="3659">
        <f t="shared" si="2"/>
        <v>452</v>
      </c>
      <c r="FL1" s="3659">
        <f t="shared" si="2"/>
        <v>453</v>
      </c>
      <c r="FM1" s="3659">
        <f t="shared" si="2"/>
        <v>454</v>
      </c>
    </row>
    <row r="2" spans="1:169" ht="19.5" customHeight="1">
      <c r="A2" s="1463">
        <f>ROWS($A$1:A2)</f>
        <v>2</v>
      </c>
      <c r="B2" s="1577" t="s">
        <v>100</v>
      </c>
      <c r="C2" s="1455"/>
      <c r="D2" s="1455">
        <v>2</v>
      </c>
      <c r="E2" s="1455">
        <v>3</v>
      </c>
      <c r="F2" s="1455">
        <v>4</v>
      </c>
      <c r="G2" s="1455">
        <v>5</v>
      </c>
      <c r="H2" s="1455">
        <v>6</v>
      </c>
      <c r="I2" s="1455">
        <v>7</v>
      </c>
      <c r="J2" s="1455">
        <v>8</v>
      </c>
      <c r="K2" s="1455">
        <v>9</v>
      </c>
      <c r="L2" s="1455">
        <v>10</v>
      </c>
      <c r="M2" s="1455">
        <v>11</v>
      </c>
      <c r="N2" s="1455">
        <v>12</v>
      </c>
      <c r="O2" s="1455">
        <v>13</v>
      </c>
      <c r="P2" s="1455">
        <v>14</v>
      </c>
      <c r="Q2" s="1455">
        <v>15</v>
      </c>
      <c r="R2" s="1455">
        <v>16</v>
      </c>
      <c r="S2" s="1455">
        <v>17</v>
      </c>
      <c r="T2" s="1455">
        <v>18</v>
      </c>
      <c r="U2" s="1455">
        <v>19</v>
      </c>
      <c r="V2" s="1455">
        <v>20</v>
      </c>
      <c r="W2" s="1455">
        <v>21</v>
      </c>
      <c r="X2" s="1455">
        <v>22</v>
      </c>
      <c r="Y2" s="1455">
        <v>23</v>
      </c>
      <c r="Z2" s="1455">
        <v>24</v>
      </c>
      <c r="AA2" s="1455">
        <v>25</v>
      </c>
      <c r="AB2" s="1455">
        <v>26</v>
      </c>
      <c r="AC2" s="1455">
        <v>27</v>
      </c>
      <c r="AD2" s="1455">
        <v>28</v>
      </c>
      <c r="AE2" s="1455">
        <v>29</v>
      </c>
      <c r="AF2" s="1455">
        <v>30</v>
      </c>
      <c r="AG2" s="1455">
        <v>31</v>
      </c>
      <c r="AH2" s="1455">
        <v>32</v>
      </c>
      <c r="AI2" s="1455"/>
      <c r="AJ2" s="1576">
        <v>2</v>
      </c>
      <c r="AK2" s="1456">
        <v>3</v>
      </c>
      <c r="AL2" s="1456">
        <v>4</v>
      </c>
      <c r="AM2" s="1456">
        <v>5</v>
      </c>
      <c r="AN2" s="1456">
        <v>6</v>
      </c>
      <c r="AO2" s="1456">
        <v>7</v>
      </c>
      <c r="AP2" s="1456">
        <v>8</v>
      </c>
      <c r="AQ2" s="1456">
        <v>9</v>
      </c>
      <c r="AR2" s="1456">
        <v>10</v>
      </c>
      <c r="AS2" s="1456">
        <v>11</v>
      </c>
      <c r="AT2" s="1456">
        <v>12</v>
      </c>
      <c r="AU2" s="1456">
        <v>13</v>
      </c>
      <c r="AV2" s="1456">
        <v>14</v>
      </c>
      <c r="AW2" s="1456">
        <v>15</v>
      </c>
      <c r="AX2" s="1456">
        <v>16</v>
      </c>
      <c r="AY2" s="1456">
        <v>17</v>
      </c>
      <c r="AZ2" s="1456">
        <v>18</v>
      </c>
      <c r="BA2" s="1456">
        <v>19</v>
      </c>
      <c r="BB2" s="1456">
        <v>20</v>
      </c>
      <c r="BC2" s="1456">
        <v>21</v>
      </c>
      <c r="BD2" s="1456">
        <v>22</v>
      </c>
      <c r="BE2" s="1456">
        <v>23</v>
      </c>
      <c r="BF2" s="1456">
        <v>24</v>
      </c>
      <c r="BG2" s="1456">
        <v>25</v>
      </c>
      <c r="BH2" s="1456">
        <v>26</v>
      </c>
      <c r="BI2" s="1456">
        <v>27</v>
      </c>
      <c r="BJ2" s="1456">
        <v>28</v>
      </c>
      <c r="BK2" s="1456">
        <v>29</v>
      </c>
      <c r="BL2" s="1456">
        <v>30</v>
      </c>
      <c r="BM2" s="1456">
        <v>31</v>
      </c>
      <c r="BN2" s="1456">
        <v>32</v>
      </c>
      <c r="BO2" s="1456"/>
      <c r="BP2" s="1576">
        <v>2</v>
      </c>
      <c r="BQ2" s="1456">
        <v>3</v>
      </c>
      <c r="BR2" s="1456">
        <v>4</v>
      </c>
      <c r="BS2" s="1456">
        <v>5</v>
      </c>
      <c r="BT2" s="1456">
        <v>6</v>
      </c>
      <c r="BU2" s="1456">
        <v>7</v>
      </c>
      <c r="BV2" s="1456">
        <v>8</v>
      </c>
      <c r="BW2" s="1456">
        <v>9</v>
      </c>
      <c r="BX2" s="1456">
        <v>10</v>
      </c>
      <c r="BY2" s="1456">
        <v>11</v>
      </c>
      <c r="BZ2" s="1456">
        <v>12</v>
      </c>
      <c r="CA2" s="1456">
        <v>13</v>
      </c>
      <c r="CB2" s="1456">
        <v>14</v>
      </c>
      <c r="CC2" s="1456">
        <v>15</v>
      </c>
      <c r="CD2" s="1456">
        <v>16</v>
      </c>
      <c r="CE2" s="1456">
        <v>17</v>
      </c>
      <c r="CF2" s="1456">
        <v>18</v>
      </c>
      <c r="CG2" s="1456">
        <v>19</v>
      </c>
      <c r="CH2" s="1456">
        <v>20</v>
      </c>
      <c r="CI2" s="1456">
        <v>21</v>
      </c>
      <c r="CJ2" s="1456">
        <v>22</v>
      </c>
      <c r="CK2" s="1456">
        <v>23</v>
      </c>
      <c r="CL2" s="1456">
        <v>24</v>
      </c>
      <c r="CM2" s="1456">
        <v>25</v>
      </c>
      <c r="CN2" s="1456">
        <v>26</v>
      </c>
      <c r="CO2" s="1456">
        <v>27</v>
      </c>
      <c r="CP2" s="1456">
        <v>28</v>
      </c>
      <c r="CQ2" s="1456">
        <v>29</v>
      </c>
      <c r="CR2" s="1456">
        <v>30</v>
      </c>
      <c r="CS2" s="1456">
        <v>31</v>
      </c>
      <c r="CT2" s="1456">
        <v>32</v>
      </c>
      <c r="CV2" s="3238"/>
      <c r="CX2" s="1455">
        <f>AH2+1</f>
        <v>33</v>
      </c>
      <c r="CY2" s="1455">
        <f>CX2+1</f>
        <v>34</v>
      </c>
      <c r="CZ2" s="1455">
        <f>CY2+1</f>
        <v>35</v>
      </c>
      <c r="DA2" s="1455">
        <f t="shared" ref="DA2:DF2" si="3">CZ2+1</f>
        <v>36</v>
      </c>
      <c r="DB2" s="1455">
        <f t="shared" si="3"/>
        <v>37</v>
      </c>
      <c r="DC2" s="1455">
        <f t="shared" si="3"/>
        <v>38</v>
      </c>
      <c r="DD2" s="1455">
        <f t="shared" si="3"/>
        <v>39</v>
      </c>
      <c r="DE2" s="1455">
        <f t="shared" si="3"/>
        <v>40</v>
      </c>
      <c r="DF2" s="1455">
        <f t="shared" si="3"/>
        <v>41</v>
      </c>
      <c r="DG2" s="1455">
        <f t="shared" ref="DG2:DQ2" si="4">DF2+1</f>
        <v>42</v>
      </c>
      <c r="DH2" s="1455">
        <f t="shared" si="4"/>
        <v>43</v>
      </c>
      <c r="DI2" s="1455">
        <f t="shared" si="4"/>
        <v>44</v>
      </c>
      <c r="DJ2" s="1455">
        <f t="shared" si="4"/>
        <v>45</v>
      </c>
      <c r="DK2" s="1455">
        <f t="shared" si="4"/>
        <v>46</v>
      </c>
      <c r="DL2" s="1455">
        <f t="shared" si="4"/>
        <v>47</v>
      </c>
      <c r="DM2" s="1455">
        <f t="shared" si="4"/>
        <v>48</v>
      </c>
      <c r="DN2" s="1455">
        <f t="shared" si="4"/>
        <v>49</v>
      </c>
      <c r="DO2" s="1455">
        <f t="shared" si="4"/>
        <v>50</v>
      </c>
      <c r="DP2" s="1455">
        <f t="shared" si="4"/>
        <v>51</v>
      </c>
      <c r="DQ2" s="1455">
        <f t="shared" si="4"/>
        <v>52</v>
      </c>
      <c r="DR2" s="2385">
        <f>BB2+1</f>
        <v>21</v>
      </c>
      <c r="DS2" s="1455">
        <f>DR2+1</f>
        <v>22</v>
      </c>
      <c r="DU2" s="1455">
        <f>BN2+1</f>
        <v>33</v>
      </c>
      <c r="DV2" s="1455">
        <f t="shared" ref="DV2:EP2" si="5">DU2+1</f>
        <v>34</v>
      </c>
      <c r="DW2" s="1455">
        <f t="shared" si="5"/>
        <v>35</v>
      </c>
      <c r="DX2" s="1455">
        <f t="shared" si="5"/>
        <v>36</v>
      </c>
      <c r="DY2" s="1455">
        <f t="shared" si="5"/>
        <v>37</v>
      </c>
      <c r="DZ2" s="1455">
        <f t="shared" si="5"/>
        <v>38</v>
      </c>
      <c r="EA2" s="1455">
        <f t="shared" si="5"/>
        <v>39</v>
      </c>
      <c r="EB2" s="1455">
        <f t="shared" si="5"/>
        <v>40</v>
      </c>
      <c r="EC2" s="1455">
        <f t="shared" si="5"/>
        <v>41</v>
      </c>
      <c r="ED2" s="1455">
        <f t="shared" si="5"/>
        <v>42</v>
      </c>
      <c r="EE2" s="1455">
        <f t="shared" si="5"/>
        <v>43</v>
      </c>
      <c r="EF2" s="1455">
        <f t="shared" si="5"/>
        <v>44</v>
      </c>
      <c r="EG2" s="1455">
        <f t="shared" si="5"/>
        <v>45</v>
      </c>
      <c r="EH2" s="1455">
        <f t="shared" si="5"/>
        <v>46</v>
      </c>
      <c r="EI2" s="1455">
        <f t="shared" si="5"/>
        <v>47</v>
      </c>
      <c r="EJ2" s="1455">
        <f t="shared" si="5"/>
        <v>48</v>
      </c>
      <c r="EK2" s="1455">
        <f t="shared" si="5"/>
        <v>49</v>
      </c>
      <c r="EL2" s="1455">
        <f t="shared" si="5"/>
        <v>50</v>
      </c>
      <c r="EM2" s="1455">
        <f t="shared" si="5"/>
        <v>51</v>
      </c>
      <c r="EN2" s="1455">
        <f t="shared" si="5"/>
        <v>52</v>
      </c>
      <c r="EO2" s="1455">
        <f t="shared" si="5"/>
        <v>53</v>
      </c>
      <c r="EP2" s="1455">
        <f t="shared" si="5"/>
        <v>54</v>
      </c>
      <c r="ER2" s="2387">
        <f>CT2+1</f>
        <v>33</v>
      </c>
      <c r="ES2" s="2385">
        <f>ER2+1</f>
        <v>34</v>
      </c>
      <c r="ET2" s="2385">
        <f>ES2+1</f>
        <v>35</v>
      </c>
      <c r="EU2" s="2385">
        <f t="shared" ref="EU2:FB2" si="6">ET2+1</f>
        <v>36</v>
      </c>
      <c r="EV2" s="2385">
        <f t="shared" si="6"/>
        <v>37</v>
      </c>
      <c r="EW2" s="2385">
        <f t="shared" si="6"/>
        <v>38</v>
      </c>
      <c r="EX2" s="2385">
        <f t="shared" si="6"/>
        <v>39</v>
      </c>
      <c r="EY2" s="2385">
        <f t="shared" si="6"/>
        <v>40</v>
      </c>
      <c r="EZ2" s="2385">
        <f t="shared" si="6"/>
        <v>41</v>
      </c>
      <c r="FA2" s="2385">
        <f t="shared" si="6"/>
        <v>42</v>
      </c>
      <c r="FB2" s="2385">
        <f t="shared" si="6"/>
        <v>43</v>
      </c>
      <c r="FC2" s="2385">
        <f t="shared" ref="FC2:FM2" si="7">FB2+1</f>
        <v>44</v>
      </c>
      <c r="FD2" s="2385">
        <f t="shared" si="7"/>
        <v>45</v>
      </c>
      <c r="FE2" s="2385">
        <f t="shared" si="7"/>
        <v>46</v>
      </c>
      <c r="FF2" s="2385">
        <f t="shared" si="7"/>
        <v>47</v>
      </c>
      <c r="FG2" s="2385">
        <f t="shared" si="7"/>
        <v>48</v>
      </c>
      <c r="FH2" s="2385">
        <f t="shared" si="7"/>
        <v>49</v>
      </c>
      <c r="FI2" s="2385">
        <f t="shared" si="7"/>
        <v>50</v>
      </c>
      <c r="FJ2" s="2385">
        <f t="shared" si="7"/>
        <v>51</v>
      </c>
      <c r="FK2" s="2385">
        <f t="shared" si="7"/>
        <v>52</v>
      </c>
      <c r="FL2" s="2385">
        <f t="shared" si="7"/>
        <v>53</v>
      </c>
      <c r="FM2" s="2385">
        <f t="shared" si="7"/>
        <v>54</v>
      </c>
    </row>
    <row r="3" spans="1:169" ht="40.15" customHeight="1" thickBot="1">
      <c r="A3" s="1463">
        <f>ROWS($A$1:A3)</f>
        <v>3</v>
      </c>
      <c r="B3" s="1575">
        <f>'SDK1'!D5</f>
        <v>44917</v>
      </c>
      <c r="C3" s="1455"/>
      <c r="D3" s="1573" t="str">
        <f t="shared" ref="D3:AH3" si="8">D2&amp;"n"</f>
        <v>2n</v>
      </c>
      <c r="E3" s="1573" t="str">
        <f t="shared" si="8"/>
        <v>3n</v>
      </c>
      <c r="F3" s="1573" t="str">
        <f t="shared" si="8"/>
        <v>4n</v>
      </c>
      <c r="G3" s="1573" t="str">
        <f t="shared" si="8"/>
        <v>5n</v>
      </c>
      <c r="H3" s="1573" t="str">
        <f t="shared" si="8"/>
        <v>6n</v>
      </c>
      <c r="I3" s="1573" t="str">
        <f t="shared" si="8"/>
        <v>7n</v>
      </c>
      <c r="J3" s="1573" t="str">
        <f t="shared" si="8"/>
        <v>8n</v>
      </c>
      <c r="K3" s="1573" t="str">
        <f t="shared" si="8"/>
        <v>9n</v>
      </c>
      <c r="L3" s="1573" t="str">
        <f t="shared" si="8"/>
        <v>10n</v>
      </c>
      <c r="M3" s="1573" t="str">
        <f t="shared" si="8"/>
        <v>11n</v>
      </c>
      <c r="N3" s="1573" t="str">
        <f t="shared" si="8"/>
        <v>12n</v>
      </c>
      <c r="O3" s="1573" t="str">
        <f t="shared" si="8"/>
        <v>13n</v>
      </c>
      <c r="P3" s="1573" t="str">
        <f t="shared" si="8"/>
        <v>14n</v>
      </c>
      <c r="Q3" s="1573" t="str">
        <f t="shared" si="8"/>
        <v>15n</v>
      </c>
      <c r="R3" s="1573" t="str">
        <f t="shared" si="8"/>
        <v>16n</v>
      </c>
      <c r="S3" s="1573" t="str">
        <f t="shared" si="8"/>
        <v>17n</v>
      </c>
      <c r="T3" s="1573" t="str">
        <f t="shared" si="8"/>
        <v>18n</v>
      </c>
      <c r="U3" s="1573" t="str">
        <f t="shared" si="8"/>
        <v>19n</v>
      </c>
      <c r="V3" s="1573" t="str">
        <f t="shared" si="8"/>
        <v>20n</v>
      </c>
      <c r="W3" s="1573" t="str">
        <f t="shared" si="8"/>
        <v>21n</v>
      </c>
      <c r="X3" s="1573" t="str">
        <f t="shared" si="8"/>
        <v>22n</v>
      </c>
      <c r="Y3" s="1573" t="str">
        <f t="shared" si="8"/>
        <v>23n</v>
      </c>
      <c r="Z3" s="1573" t="str">
        <f t="shared" si="8"/>
        <v>24n</v>
      </c>
      <c r="AA3" s="1573" t="str">
        <f t="shared" si="8"/>
        <v>25n</v>
      </c>
      <c r="AB3" s="1573" t="str">
        <f t="shared" si="8"/>
        <v>26n</v>
      </c>
      <c r="AC3" s="1573" t="str">
        <f t="shared" si="8"/>
        <v>27n</v>
      </c>
      <c r="AD3" s="1573" t="str">
        <f t="shared" si="8"/>
        <v>28n</v>
      </c>
      <c r="AE3" s="1573" t="str">
        <f t="shared" si="8"/>
        <v>29n</v>
      </c>
      <c r="AF3" s="1573" t="str">
        <f t="shared" si="8"/>
        <v>30n</v>
      </c>
      <c r="AG3" s="1573" t="str">
        <f t="shared" si="8"/>
        <v>31n</v>
      </c>
      <c r="AH3" s="1573" t="str">
        <f t="shared" si="8"/>
        <v>32n</v>
      </c>
      <c r="AI3" s="1574"/>
      <c r="AJ3" s="1573" t="str">
        <f t="shared" ref="AJ3:BN3" si="9">AJ2&amp; "m"</f>
        <v>2m</v>
      </c>
      <c r="AK3" s="1573" t="str">
        <f t="shared" si="9"/>
        <v>3m</v>
      </c>
      <c r="AL3" s="1573" t="str">
        <f t="shared" si="9"/>
        <v>4m</v>
      </c>
      <c r="AM3" s="1573" t="str">
        <f t="shared" si="9"/>
        <v>5m</v>
      </c>
      <c r="AN3" s="1573" t="str">
        <f t="shared" si="9"/>
        <v>6m</v>
      </c>
      <c r="AO3" s="1573" t="str">
        <f t="shared" si="9"/>
        <v>7m</v>
      </c>
      <c r="AP3" s="1573" t="str">
        <f t="shared" si="9"/>
        <v>8m</v>
      </c>
      <c r="AQ3" s="1573" t="str">
        <f t="shared" si="9"/>
        <v>9m</v>
      </c>
      <c r="AR3" s="1573" t="str">
        <f t="shared" si="9"/>
        <v>10m</v>
      </c>
      <c r="AS3" s="1573" t="str">
        <f t="shared" si="9"/>
        <v>11m</v>
      </c>
      <c r="AT3" s="1573" t="str">
        <f t="shared" si="9"/>
        <v>12m</v>
      </c>
      <c r="AU3" s="1573" t="str">
        <f t="shared" si="9"/>
        <v>13m</v>
      </c>
      <c r="AV3" s="1573" t="str">
        <f t="shared" si="9"/>
        <v>14m</v>
      </c>
      <c r="AW3" s="1573" t="str">
        <f t="shared" si="9"/>
        <v>15m</v>
      </c>
      <c r="AX3" s="1573" t="str">
        <f t="shared" si="9"/>
        <v>16m</v>
      </c>
      <c r="AY3" s="1573" t="str">
        <f t="shared" si="9"/>
        <v>17m</v>
      </c>
      <c r="AZ3" s="1573" t="str">
        <f t="shared" si="9"/>
        <v>18m</v>
      </c>
      <c r="BA3" s="1573" t="str">
        <f t="shared" si="9"/>
        <v>19m</v>
      </c>
      <c r="BB3" s="1573" t="str">
        <f t="shared" si="9"/>
        <v>20m</v>
      </c>
      <c r="BC3" s="1573" t="str">
        <f t="shared" si="9"/>
        <v>21m</v>
      </c>
      <c r="BD3" s="1573" t="str">
        <f t="shared" si="9"/>
        <v>22m</v>
      </c>
      <c r="BE3" s="1573" t="str">
        <f t="shared" si="9"/>
        <v>23m</v>
      </c>
      <c r="BF3" s="1573" t="str">
        <f t="shared" si="9"/>
        <v>24m</v>
      </c>
      <c r="BG3" s="1573" t="str">
        <f t="shared" si="9"/>
        <v>25m</v>
      </c>
      <c r="BH3" s="1573" t="str">
        <f t="shared" si="9"/>
        <v>26m</v>
      </c>
      <c r="BI3" s="1573" t="str">
        <f t="shared" si="9"/>
        <v>27m</v>
      </c>
      <c r="BJ3" s="1573" t="str">
        <f t="shared" si="9"/>
        <v>28m</v>
      </c>
      <c r="BK3" s="1573" t="str">
        <f t="shared" si="9"/>
        <v>29m</v>
      </c>
      <c r="BL3" s="1573" t="str">
        <f t="shared" si="9"/>
        <v>30m</v>
      </c>
      <c r="BM3" s="1573" t="str">
        <f t="shared" si="9"/>
        <v>31m</v>
      </c>
      <c r="BN3" s="1573" t="str">
        <f t="shared" si="9"/>
        <v>32m</v>
      </c>
      <c r="BO3" s="1574"/>
      <c r="BP3" s="1573" t="str">
        <f t="shared" ref="BP3:CT3" si="10">BP2&amp; "h"</f>
        <v>2h</v>
      </c>
      <c r="BQ3" s="1573" t="str">
        <f t="shared" si="10"/>
        <v>3h</v>
      </c>
      <c r="BR3" s="1573" t="str">
        <f t="shared" si="10"/>
        <v>4h</v>
      </c>
      <c r="BS3" s="1573" t="str">
        <f t="shared" si="10"/>
        <v>5h</v>
      </c>
      <c r="BT3" s="1573" t="str">
        <f t="shared" si="10"/>
        <v>6h</v>
      </c>
      <c r="BU3" s="1573" t="str">
        <f t="shared" si="10"/>
        <v>7h</v>
      </c>
      <c r="BV3" s="1573" t="str">
        <f t="shared" si="10"/>
        <v>8h</v>
      </c>
      <c r="BW3" s="1573" t="str">
        <f t="shared" si="10"/>
        <v>9h</v>
      </c>
      <c r="BX3" s="1573" t="str">
        <f t="shared" si="10"/>
        <v>10h</v>
      </c>
      <c r="BY3" s="1573" t="str">
        <f t="shared" si="10"/>
        <v>11h</v>
      </c>
      <c r="BZ3" s="1573" t="str">
        <f t="shared" si="10"/>
        <v>12h</v>
      </c>
      <c r="CA3" s="1573" t="str">
        <f t="shared" si="10"/>
        <v>13h</v>
      </c>
      <c r="CB3" s="1573" t="str">
        <f t="shared" si="10"/>
        <v>14h</v>
      </c>
      <c r="CC3" s="1573" t="str">
        <f t="shared" si="10"/>
        <v>15h</v>
      </c>
      <c r="CD3" s="1573" t="str">
        <f t="shared" si="10"/>
        <v>16h</v>
      </c>
      <c r="CE3" s="1573" t="str">
        <f t="shared" si="10"/>
        <v>17h</v>
      </c>
      <c r="CF3" s="1573" t="str">
        <f t="shared" si="10"/>
        <v>18h</v>
      </c>
      <c r="CG3" s="1573" t="str">
        <f t="shared" si="10"/>
        <v>19h</v>
      </c>
      <c r="CH3" s="1573" t="str">
        <f t="shared" si="10"/>
        <v>20h</v>
      </c>
      <c r="CI3" s="1573" t="str">
        <f t="shared" si="10"/>
        <v>21h</v>
      </c>
      <c r="CJ3" s="1573" t="str">
        <f t="shared" si="10"/>
        <v>22h</v>
      </c>
      <c r="CK3" s="1573" t="str">
        <f t="shared" si="10"/>
        <v>23h</v>
      </c>
      <c r="CL3" s="1573" t="str">
        <f t="shared" si="10"/>
        <v>24h</v>
      </c>
      <c r="CM3" s="1573" t="str">
        <f t="shared" si="10"/>
        <v>25h</v>
      </c>
      <c r="CN3" s="1573" t="str">
        <f t="shared" si="10"/>
        <v>26h</v>
      </c>
      <c r="CO3" s="1573" t="str">
        <f t="shared" si="10"/>
        <v>27h</v>
      </c>
      <c r="CP3" s="1573" t="str">
        <f t="shared" si="10"/>
        <v>28h</v>
      </c>
      <c r="CQ3" s="1573" t="str">
        <f t="shared" si="10"/>
        <v>29h</v>
      </c>
      <c r="CR3" s="1573" t="str">
        <f t="shared" si="10"/>
        <v>30h</v>
      </c>
      <c r="CS3" s="1573" t="str">
        <f t="shared" si="10"/>
        <v>31h</v>
      </c>
      <c r="CT3" s="1573" t="str">
        <f t="shared" si="10"/>
        <v>32h</v>
      </c>
      <c r="CV3" s="3239"/>
      <c r="CW3" s="2386"/>
      <c r="CX3" s="1573" t="str">
        <f>CX2&amp;"n"</f>
        <v>33n</v>
      </c>
      <c r="CY3" s="1573" t="str">
        <f>CY2&amp;"n"</f>
        <v>34n</v>
      </c>
      <c r="CZ3" s="1573" t="str">
        <f t="shared" ref="CZ3:DF3" si="11">CZ2&amp;"n"</f>
        <v>35n</v>
      </c>
      <c r="DA3" s="1573" t="str">
        <f t="shared" si="11"/>
        <v>36n</v>
      </c>
      <c r="DB3" s="1573" t="str">
        <f t="shared" si="11"/>
        <v>37n</v>
      </c>
      <c r="DC3" s="1573" t="str">
        <f t="shared" si="11"/>
        <v>38n</v>
      </c>
      <c r="DD3" s="1573" t="str">
        <f t="shared" si="11"/>
        <v>39n</v>
      </c>
      <c r="DE3" s="1573" t="str">
        <f t="shared" si="11"/>
        <v>40n</v>
      </c>
      <c r="DF3" s="1573" t="str">
        <f t="shared" si="11"/>
        <v>41n</v>
      </c>
      <c r="DG3" s="1573" t="str">
        <f t="shared" ref="DG3:DS3" si="12">DG2&amp;"n"</f>
        <v>42n</v>
      </c>
      <c r="DH3" s="1573" t="str">
        <f t="shared" si="12"/>
        <v>43n</v>
      </c>
      <c r="DI3" s="1573" t="str">
        <f t="shared" si="12"/>
        <v>44n</v>
      </c>
      <c r="DJ3" s="1573" t="str">
        <f t="shared" si="12"/>
        <v>45n</v>
      </c>
      <c r="DK3" s="1573" t="str">
        <f t="shared" si="12"/>
        <v>46n</v>
      </c>
      <c r="DL3" s="1573" t="str">
        <f t="shared" si="12"/>
        <v>47n</v>
      </c>
      <c r="DM3" s="1573" t="str">
        <f t="shared" si="12"/>
        <v>48n</v>
      </c>
      <c r="DN3" s="1573" t="str">
        <f t="shared" si="12"/>
        <v>49n</v>
      </c>
      <c r="DO3" s="1573" t="str">
        <f t="shared" si="12"/>
        <v>50n</v>
      </c>
      <c r="DP3" s="1573" t="str">
        <f t="shared" si="12"/>
        <v>51n</v>
      </c>
      <c r="DQ3" s="1573" t="str">
        <f t="shared" si="12"/>
        <v>52n</v>
      </c>
      <c r="DR3" s="1573" t="str">
        <f t="shared" si="12"/>
        <v>21n</v>
      </c>
      <c r="DS3" s="1573" t="str">
        <f t="shared" si="12"/>
        <v>22n</v>
      </c>
      <c r="DT3" s="3017"/>
      <c r="DU3" s="1573" t="str">
        <f>DU2&amp;"m"</f>
        <v>33m</v>
      </c>
      <c r="DV3" s="1573" t="str">
        <f>DV2&amp;"m"</f>
        <v>34m</v>
      </c>
      <c r="DW3" s="1573" t="str">
        <f t="shared" ref="DW3:EP3" si="13">DW2&amp;"m"</f>
        <v>35m</v>
      </c>
      <c r="DX3" s="1573" t="str">
        <f>DX2&amp;"m"</f>
        <v>36m</v>
      </c>
      <c r="DY3" s="1573" t="str">
        <f>DY2&amp;"m"</f>
        <v>37m</v>
      </c>
      <c r="DZ3" s="1573" t="str">
        <f>DZ2&amp;"m"</f>
        <v>38m</v>
      </c>
      <c r="EA3" s="1573" t="str">
        <f t="shared" si="13"/>
        <v>39m</v>
      </c>
      <c r="EB3" s="1573" t="str">
        <f t="shared" si="13"/>
        <v>40m</v>
      </c>
      <c r="EC3" s="1573" t="str">
        <f t="shared" si="13"/>
        <v>41m</v>
      </c>
      <c r="ED3" s="1573" t="str">
        <f t="shared" si="13"/>
        <v>42m</v>
      </c>
      <c r="EE3" s="1573" t="str">
        <f t="shared" si="13"/>
        <v>43m</v>
      </c>
      <c r="EF3" s="1573" t="str">
        <f t="shared" si="13"/>
        <v>44m</v>
      </c>
      <c r="EG3" s="1573" t="str">
        <f t="shared" si="13"/>
        <v>45m</v>
      </c>
      <c r="EH3" s="1573" t="str">
        <f t="shared" si="13"/>
        <v>46m</v>
      </c>
      <c r="EI3" s="1573" t="str">
        <f t="shared" si="13"/>
        <v>47m</v>
      </c>
      <c r="EJ3" s="1573" t="str">
        <f t="shared" si="13"/>
        <v>48m</v>
      </c>
      <c r="EK3" s="1573" t="str">
        <f t="shared" si="13"/>
        <v>49m</v>
      </c>
      <c r="EL3" s="1573" t="str">
        <f t="shared" si="13"/>
        <v>50m</v>
      </c>
      <c r="EM3" s="1573" t="str">
        <f t="shared" si="13"/>
        <v>51m</v>
      </c>
      <c r="EN3" s="1573" t="str">
        <f t="shared" si="13"/>
        <v>52m</v>
      </c>
      <c r="EO3" s="1573" t="str">
        <f t="shared" si="13"/>
        <v>53m</v>
      </c>
      <c r="EP3" s="1573" t="str">
        <f t="shared" si="13"/>
        <v>54m</v>
      </c>
      <c r="EQ3" s="3017"/>
      <c r="ER3" s="1573" t="str">
        <f>ER2&amp;"h"</f>
        <v>33h</v>
      </c>
      <c r="ES3" s="1573" t="str">
        <f t="shared" ref="ES3:FM3" si="14">ES2&amp;"h"</f>
        <v>34h</v>
      </c>
      <c r="ET3" s="1573" t="str">
        <f t="shared" si="14"/>
        <v>35h</v>
      </c>
      <c r="EU3" s="1573" t="str">
        <f t="shared" si="14"/>
        <v>36h</v>
      </c>
      <c r="EV3" s="1573" t="str">
        <f t="shared" si="14"/>
        <v>37h</v>
      </c>
      <c r="EW3" s="1573" t="str">
        <f t="shared" si="14"/>
        <v>38h</v>
      </c>
      <c r="EX3" s="1573" t="str">
        <f t="shared" si="14"/>
        <v>39h</v>
      </c>
      <c r="EY3" s="1573" t="str">
        <f t="shared" si="14"/>
        <v>40h</v>
      </c>
      <c r="EZ3" s="1573" t="str">
        <f t="shared" si="14"/>
        <v>41h</v>
      </c>
      <c r="FA3" s="1573" t="str">
        <f t="shared" si="14"/>
        <v>42h</v>
      </c>
      <c r="FB3" s="1573" t="str">
        <f t="shared" si="14"/>
        <v>43h</v>
      </c>
      <c r="FC3" s="1573" t="str">
        <f t="shared" si="14"/>
        <v>44h</v>
      </c>
      <c r="FD3" s="1573" t="str">
        <f t="shared" si="14"/>
        <v>45h</v>
      </c>
      <c r="FE3" s="1573" t="str">
        <f t="shared" si="14"/>
        <v>46h</v>
      </c>
      <c r="FF3" s="1573" t="str">
        <f t="shared" si="14"/>
        <v>47h</v>
      </c>
      <c r="FG3" s="1573" t="str">
        <f t="shared" si="14"/>
        <v>48h</v>
      </c>
      <c r="FH3" s="1573" t="str">
        <f t="shared" si="14"/>
        <v>49h</v>
      </c>
      <c r="FI3" s="1573" t="str">
        <f t="shared" si="14"/>
        <v>50h</v>
      </c>
      <c r="FJ3" s="1573" t="str">
        <f t="shared" si="14"/>
        <v>51h</v>
      </c>
      <c r="FK3" s="1573" t="str">
        <f t="shared" si="14"/>
        <v>52h</v>
      </c>
      <c r="FL3" s="1573" t="str">
        <f t="shared" si="14"/>
        <v>53h</v>
      </c>
      <c r="FM3" s="1573" t="str">
        <f t="shared" si="14"/>
        <v>54h</v>
      </c>
    </row>
    <row r="4" spans="1:169" s="1569" customFormat="1" ht="30.4" customHeight="1">
      <c r="A4" s="1463">
        <f>ROWS($A$1:A4)</f>
        <v>4</v>
      </c>
      <c r="B4" s="1572" t="s">
        <v>1207</v>
      </c>
      <c r="C4" s="1571"/>
      <c r="D4" s="1570" t="str">
        <f>'WW1'!$K$2</f>
        <v>Winterweizen (Futter-)</v>
      </c>
      <c r="E4" s="1570" t="str">
        <f ca="1">INDIRECT("'"&amp;E65&amp;"'!$K$2")</f>
        <v>Winterweizen (Brot-)</v>
      </c>
      <c r="F4" s="1570" t="str">
        <f t="shared" ref="F4:BQ4" ca="1" si="15">INDIRECT("'"&amp;F65&amp;"'!$K$2")</f>
        <v>Winterweizen (Aufmisch-; A-Sort.)</v>
      </c>
      <c r="G4" s="1570" t="str">
        <f t="shared" ca="1" si="15"/>
        <v>Winterweizen (Qualität-; E-Sorte)</v>
      </c>
      <c r="H4" s="1570" t="str">
        <f t="shared" ca="1" si="15"/>
        <v>Winterroggen</v>
      </c>
      <c r="I4" s="1570" t="str">
        <f t="shared" ca="1" si="15"/>
        <v>Triticale</v>
      </c>
      <c r="J4" s="1570" t="str">
        <f t="shared" ca="1" si="15"/>
        <v>Wintergerste</v>
      </c>
      <c r="K4" s="1570" t="str">
        <f t="shared" ca="1" si="15"/>
        <v>Dinkel</v>
      </c>
      <c r="L4" s="1570" t="str">
        <f t="shared" ca="1" si="15"/>
        <v xml:space="preserve">Sommerweizen </v>
      </c>
      <c r="M4" s="1570" t="str">
        <f t="shared" ca="1" si="15"/>
        <v xml:space="preserve">Sommerfuttergerste </v>
      </c>
      <c r="N4" s="1570" t="str">
        <f t="shared" ca="1" si="15"/>
        <v>Braugerste</v>
      </c>
      <c r="O4" s="1570" t="str">
        <f t="shared" ca="1" si="15"/>
        <v xml:space="preserve">Hafer </v>
      </c>
      <c r="P4" s="1570" t="str">
        <f t="shared" ca="1" si="15"/>
        <v>Durum</v>
      </c>
      <c r="Q4" s="1570" t="str">
        <f t="shared" ca="1" si="15"/>
        <v xml:space="preserve">Körnermais </v>
      </c>
      <c r="R4" s="1570" t="str">
        <f t="shared" ca="1" si="15"/>
        <v>Körnerhirse (Lebens-/Futtermittel)</v>
      </c>
      <c r="S4" s="1570" t="str">
        <f t="shared" ca="1" si="15"/>
        <v>Winterraps</v>
      </c>
      <c r="T4" s="1570" t="str">
        <f t="shared" ca="1" si="15"/>
        <v xml:space="preserve">Sommerraps </v>
      </c>
      <c r="U4" s="1570" t="str">
        <f ca="1">INDIRECT("'"&amp;U65&amp;"'!$K$2")</f>
        <v xml:space="preserve">Sonnenblumen </v>
      </c>
      <c r="V4" s="1570" t="str">
        <f t="shared" ca="1" si="15"/>
        <v xml:space="preserve">Sojabohne </v>
      </c>
      <c r="W4" s="1570" t="str">
        <f t="shared" ca="1" si="15"/>
        <v xml:space="preserve">Öllein (Industrie) </v>
      </c>
      <c r="X4" s="1570" t="str">
        <f t="shared" ca="1" si="15"/>
        <v xml:space="preserve">Futtererbsen </v>
      </c>
      <c r="Y4" s="1570" t="str">
        <f t="shared" ca="1" si="15"/>
        <v xml:space="preserve">Ackerbohnen </v>
      </c>
      <c r="Z4" s="1570" t="str">
        <f t="shared" ca="1" si="15"/>
        <v xml:space="preserve">Blaue Lupine </v>
      </c>
      <c r="AA4" s="1570" t="str">
        <f t="shared" ca="1" si="15"/>
        <v xml:space="preserve">Zuckerrüben </v>
      </c>
      <c r="AB4" s="1570" t="str">
        <f t="shared" ca="1" si="15"/>
        <v>Frühkartoffeln</v>
      </c>
      <c r="AC4" s="1570" t="str">
        <f t="shared" ca="1" si="15"/>
        <v>Frühkartoffeln, Folie, beregnet</v>
      </c>
      <c r="AD4" s="1570" t="str">
        <f t="shared" ca="1" si="15"/>
        <v>Speisekartoffeln spät</v>
      </c>
      <c r="AE4" s="1570" t="str">
        <f t="shared" ca="1" si="15"/>
        <v>Speisekartoffeln spät, beregnet</v>
      </c>
      <c r="AF4" s="1570" t="str">
        <f t="shared" ca="1" si="15"/>
        <v>Kultur A</v>
      </c>
      <c r="AG4" s="1570" t="e">
        <f t="shared" ca="1" si="15"/>
        <v>#REF!</v>
      </c>
      <c r="AH4" s="1570" t="str">
        <f t="shared" ca="1" si="15"/>
        <v>Begrünung</v>
      </c>
      <c r="AI4" s="1570" t="e">
        <f t="shared" ca="1" si="15"/>
        <v>#REF!</v>
      </c>
      <c r="AJ4" s="1570" t="str">
        <f t="shared" ca="1" si="15"/>
        <v>Winterweizen (Futter-)</v>
      </c>
      <c r="AK4" s="1570" t="str">
        <f t="shared" ca="1" si="15"/>
        <v>Winterweizen (Brot-)</v>
      </c>
      <c r="AL4" s="1570" t="str">
        <f t="shared" ca="1" si="15"/>
        <v>Winterweizen (Aufmisch-; A-Sort.)</v>
      </c>
      <c r="AM4" s="1570" t="str">
        <f t="shared" ca="1" si="15"/>
        <v>Winterweizen (Qualität-; E-Sorte)</v>
      </c>
      <c r="AN4" s="1570" t="str">
        <f t="shared" ca="1" si="15"/>
        <v>Winterroggen</v>
      </c>
      <c r="AO4" s="1570" t="str">
        <f t="shared" ca="1" si="15"/>
        <v>Triticale</v>
      </c>
      <c r="AP4" s="1570" t="str">
        <f t="shared" ca="1" si="15"/>
        <v>Wintergerste</v>
      </c>
      <c r="AQ4" s="1570" t="str">
        <f t="shared" ca="1" si="15"/>
        <v>Dinkel</v>
      </c>
      <c r="AR4" s="1570" t="str">
        <f t="shared" ca="1" si="15"/>
        <v xml:space="preserve">Sommerweizen </v>
      </c>
      <c r="AS4" s="1570" t="str">
        <f t="shared" ca="1" si="15"/>
        <v xml:space="preserve">Sommerfuttergerste </v>
      </c>
      <c r="AT4" s="1570" t="str">
        <f t="shared" ca="1" si="15"/>
        <v>Braugerste</v>
      </c>
      <c r="AU4" s="1570" t="str">
        <f t="shared" ca="1" si="15"/>
        <v xml:space="preserve">Hafer </v>
      </c>
      <c r="AV4" s="1570" t="str">
        <f t="shared" ca="1" si="15"/>
        <v>Durum</v>
      </c>
      <c r="AW4" s="1570" t="str">
        <f t="shared" ca="1" si="15"/>
        <v xml:space="preserve">Körnermais </v>
      </c>
      <c r="AX4" s="1570" t="str">
        <f t="shared" ca="1" si="15"/>
        <v>Körnerhirse (Lebens-/Futtermittel)</v>
      </c>
      <c r="AY4" s="1570" t="str">
        <f t="shared" ca="1" si="15"/>
        <v>Winterraps</v>
      </c>
      <c r="AZ4" s="1570" t="str">
        <f t="shared" ca="1" si="15"/>
        <v xml:space="preserve">Sommerraps </v>
      </c>
      <c r="BA4" s="1570" t="str">
        <f t="shared" ca="1" si="15"/>
        <v xml:space="preserve">Sonnenblumen </v>
      </c>
      <c r="BB4" s="1570" t="str">
        <f t="shared" ca="1" si="15"/>
        <v xml:space="preserve">Sojabohne </v>
      </c>
      <c r="BC4" s="1570" t="str">
        <f t="shared" ca="1" si="15"/>
        <v xml:space="preserve">Öllein (Industrie) </v>
      </c>
      <c r="BD4" s="1570" t="str">
        <f t="shared" ca="1" si="15"/>
        <v xml:space="preserve">Futtererbsen </v>
      </c>
      <c r="BE4" s="1570" t="str">
        <f t="shared" ca="1" si="15"/>
        <v xml:space="preserve">Ackerbohnen </v>
      </c>
      <c r="BF4" s="1570" t="str">
        <f t="shared" ca="1" si="15"/>
        <v xml:space="preserve">Blaue Lupine </v>
      </c>
      <c r="BG4" s="1570" t="str">
        <f t="shared" ca="1" si="15"/>
        <v xml:space="preserve">Zuckerrüben </v>
      </c>
      <c r="BH4" s="1570" t="str">
        <f t="shared" ca="1" si="15"/>
        <v>Frühkartoffeln</v>
      </c>
      <c r="BI4" s="1570" t="str">
        <f t="shared" ca="1" si="15"/>
        <v>Frühkartoffeln, Folie, beregnet</v>
      </c>
      <c r="BJ4" s="1570" t="str">
        <f t="shared" ca="1" si="15"/>
        <v>Speisekartoffeln spät</v>
      </c>
      <c r="BK4" s="1570" t="str">
        <f t="shared" ca="1" si="15"/>
        <v>Speisekartoffeln spät, beregnet</v>
      </c>
      <c r="BL4" s="1570" t="str">
        <f t="shared" ca="1" si="15"/>
        <v>Kultur A</v>
      </c>
      <c r="BM4" s="1570" t="e">
        <f t="shared" ca="1" si="15"/>
        <v>#REF!</v>
      </c>
      <c r="BN4" s="1570" t="str">
        <f t="shared" ca="1" si="15"/>
        <v>Begrünung</v>
      </c>
      <c r="BO4" s="1570" t="e">
        <f t="shared" ca="1" si="15"/>
        <v>#REF!</v>
      </c>
      <c r="BP4" s="1570" t="str">
        <f t="shared" ca="1" si="15"/>
        <v>Winterweizen (Futter-)</v>
      </c>
      <c r="BQ4" s="1570" t="str">
        <f t="shared" ca="1" si="15"/>
        <v>Winterweizen (Brot-)</v>
      </c>
      <c r="BR4" s="1570" t="str">
        <f t="shared" ref="BR4:CT4" ca="1" si="16">INDIRECT("'"&amp;BR65&amp;"'!$K$2")</f>
        <v>Winterweizen (Aufmisch-; A-Sort.)</v>
      </c>
      <c r="BS4" s="1570" t="str">
        <f t="shared" ca="1" si="16"/>
        <v>Winterweizen (Qualität-; E-Sorte)</v>
      </c>
      <c r="BT4" s="1570" t="str">
        <f t="shared" ca="1" si="16"/>
        <v>Winterroggen</v>
      </c>
      <c r="BU4" s="1570" t="str">
        <f t="shared" ca="1" si="16"/>
        <v>Triticale</v>
      </c>
      <c r="BV4" s="1570" t="str">
        <f t="shared" ca="1" si="16"/>
        <v>Wintergerste</v>
      </c>
      <c r="BW4" s="1570" t="str">
        <f t="shared" ca="1" si="16"/>
        <v>Dinkel</v>
      </c>
      <c r="BX4" s="1570" t="str">
        <f t="shared" ca="1" si="16"/>
        <v xml:space="preserve">Sommerweizen </v>
      </c>
      <c r="BY4" s="1570" t="str">
        <f t="shared" ca="1" si="16"/>
        <v xml:space="preserve">Sommerfuttergerste </v>
      </c>
      <c r="BZ4" s="1570" t="str">
        <f t="shared" ca="1" si="16"/>
        <v>Braugerste</v>
      </c>
      <c r="CA4" s="1570" t="str">
        <f t="shared" ca="1" si="16"/>
        <v xml:space="preserve">Hafer </v>
      </c>
      <c r="CB4" s="1570" t="str">
        <f t="shared" ca="1" si="16"/>
        <v>Durum</v>
      </c>
      <c r="CC4" s="1570" t="str">
        <f t="shared" ca="1" si="16"/>
        <v xml:space="preserve">Körnermais </v>
      </c>
      <c r="CD4" s="1570" t="str">
        <f t="shared" ca="1" si="16"/>
        <v>Körnerhirse (Lebens-/Futtermittel)</v>
      </c>
      <c r="CE4" s="1570" t="str">
        <f t="shared" ca="1" si="16"/>
        <v>Winterraps</v>
      </c>
      <c r="CF4" s="1570" t="str">
        <f t="shared" ca="1" si="16"/>
        <v xml:space="preserve">Sommerraps </v>
      </c>
      <c r="CG4" s="1570" t="str">
        <f t="shared" ca="1" si="16"/>
        <v xml:space="preserve">Sonnenblumen </v>
      </c>
      <c r="CH4" s="1570" t="str">
        <f t="shared" ca="1" si="16"/>
        <v xml:space="preserve">Sojabohne </v>
      </c>
      <c r="CI4" s="1570" t="str">
        <f t="shared" ca="1" si="16"/>
        <v xml:space="preserve">Öllein (Industrie) </v>
      </c>
      <c r="CJ4" s="1570" t="str">
        <f t="shared" ca="1" si="16"/>
        <v xml:space="preserve">Futtererbsen </v>
      </c>
      <c r="CK4" s="1570" t="str">
        <f t="shared" ca="1" si="16"/>
        <v xml:space="preserve">Ackerbohnen </v>
      </c>
      <c r="CL4" s="1570" t="str">
        <f t="shared" ca="1" si="16"/>
        <v xml:space="preserve">Blaue Lupine </v>
      </c>
      <c r="CM4" s="1570" t="str">
        <f t="shared" ca="1" si="16"/>
        <v xml:space="preserve">Zuckerrüben </v>
      </c>
      <c r="CN4" s="1570" t="str">
        <f t="shared" ca="1" si="16"/>
        <v>Frühkartoffeln</v>
      </c>
      <c r="CO4" s="1570" t="str">
        <f t="shared" ca="1" si="16"/>
        <v>Frühkartoffeln, Folie, beregnet</v>
      </c>
      <c r="CP4" s="1570" t="str">
        <f t="shared" ca="1" si="16"/>
        <v>Speisekartoffeln spät</v>
      </c>
      <c r="CQ4" s="1570" t="str">
        <f t="shared" ca="1" si="16"/>
        <v>Speisekartoffeln spät, beregnet</v>
      </c>
      <c r="CR4" s="1570" t="str">
        <f t="shared" ca="1" si="16"/>
        <v>Kultur A</v>
      </c>
      <c r="CS4" s="1570" t="e">
        <f t="shared" ca="1" si="16"/>
        <v>#REF!</v>
      </c>
      <c r="CT4" s="1570" t="str">
        <f t="shared" ca="1" si="16"/>
        <v>Begrünung</v>
      </c>
      <c r="CV4" s="3240" t="s">
        <v>1207</v>
      </c>
      <c r="CW4" s="1571"/>
      <c r="CX4" s="1570" t="str">
        <f ca="1">INDIRECT(CX65&amp;"!$K$2")</f>
        <v xml:space="preserve">Kleegras einjährig (70:30) </v>
      </c>
      <c r="CY4" s="1570" t="str">
        <f t="shared" ref="CY4:FJ4" ca="1" si="17">INDIRECT(CY65&amp;"!$K$2")</f>
        <v>Kleegras zweijährig (50:50)</v>
      </c>
      <c r="CZ4" s="1570" t="str">
        <f t="shared" ca="1" si="17"/>
        <v>Luzernegras einjährig (70:30)</v>
      </c>
      <c r="DA4" s="1570" t="str">
        <f t="shared" ca="1" si="17"/>
        <v>Luzernegras zweijährig (50:50)</v>
      </c>
      <c r="DB4" s="1570" t="str">
        <f t="shared" ca="1" si="17"/>
        <v>Öko-Winterweizen (Futter)</v>
      </c>
      <c r="DC4" s="1570" t="str">
        <f t="shared" ca="1" si="17"/>
        <v>Öko-Winterweizen (Brot)</v>
      </c>
      <c r="DD4" s="1570" t="str">
        <f t="shared" ca="1" si="17"/>
        <v>Öko-Dinkel</v>
      </c>
      <c r="DE4" s="1570" t="str">
        <f t="shared" ca="1" si="17"/>
        <v>Öko-Dinkel, entspelzt</v>
      </c>
      <c r="DF4" s="1570" t="str">
        <f t="shared" ca="1" si="17"/>
        <v>Öko-Winterroggen (Brot)</v>
      </c>
      <c r="DG4" s="1570" t="str">
        <f t="shared" ca="1" si="17"/>
        <v>Öko-Hafer</v>
      </c>
      <c r="DH4" s="1570" t="str">
        <f t="shared" ca="1" si="17"/>
        <v>Öko-Wintergerste</v>
      </c>
      <c r="DI4" s="1570" t="str">
        <f t="shared" ca="1" si="17"/>
        <v>Öko-Braugerste</v>
      </c>
      <c r="DJ4" s="1570" t="str">
        <f t="shared" ca="1" si="17"/>
        <v xml:space="preserve">Öko-Körnermais </v>
      </c>
      <c r="DK4" s="1570" t="str">
        <f t="shared" ca="1" si="17"/>
        <v xml:space="preserve">Öko-Ackerbohnen </v>
      </c>
      <c r="DL4" s="1570" t="str">
        <f t="shared" ca="1" si="17"/>
        <v>Öko-Futtererbsen</v>
      </c>
      <c r="DM4" s="1570" t="str">
        <f t="shared" ca="1" si="17"/>
        <v>Öko-Sojabohnen</v>
      </c>
      <c r="DN4" s="1570" t="str">
        <f t="shared" ca="1" si="17"/>
        <v>Öko-Sonnenblumen</v>
      </c>
      <c r="DO4" s="1570" t="str">
        <f t="shared" ca="1" si="17"/>
        <v>Öko-Winterraps (Ölproduktion)</v>
      </c>
      <c r="DP4" s="1570" t="str">
        <f t="shared" ca="1" si="17"/>
        <v>Öko-Speisekartoffeln spät</v>
      </c>
      <c r="DQ4" s="1570" t="e">
        <f t="shared" ca="1" si="17"/>
        <v>#REF!</v>
      </c>
      <c r="DR4" s="1570" t="str">
        <f t="shared" ca="1" si="17"/>
        <v>FAKT-Begrünung</v>
      </c>
      <c r="DS4" s="1570" t="str">
        <f t="shared" ca="1" si="17"/>
        <v xml:space="preserve">FAKT-Blühmischung </v>
      </c>
      <c r="DT4" s="1570" t="e">
        <f t="shared" ca="1" si="17"/>
        <v>#REF!</v>
      </c>
      <c r="DU4" s="1570" t="str">
        <f t="shared" ca="1" si="17"/>
        <v xml:space="preserve">Kleegras einjährig (70:30) </v>
      </c>
      <c r="DV4" s="1570" t="str">
        <f t="shared" ca="1" si="17"/>
        <v>Kleegras zweijährig (50:50)</v>
      </c>
      <c r="DW4" s="1570" t="str">
        <f t="shared" ca="1" si="17"/>
        <v>Luzernegras einjährig (70:30)</v>
      </c>
      <c r="DX4" s="1570" t="str">
        <f t="shared" ca="1" si="17"/>
        <v>Luzernegras zweijährig (50:50)</v>
      </c>
      <c r="DY4" s="1570" t="str">
        <f t="shared" ca="1" si="17"/>
        <v>Öko-Winterweizen (Futter)</v>
      </c>
      <c r="DZ4" s="1570" t="str">
        <f t="shared" ca="1" si="17"/>
        <v>Öko-Winterweizen (Brot)</v>
      </c>
      <c r="EA4" s="1570" t="str">
        <f t="shared" ca="1" si="17"/>
        <v>Öko-Dinkel</v>
      </c>
      <c r="EB4" s="1570" t="str">
        <f t="shared" ca="1" si="17"/>
        <v>Öko-Dinkel, entspelzt</v>
      </c>
      <c r="EC4" s="1570" t="str">
        <f t="shared" ca="1" si="17"/>
        <v>Öko-Winterroggen (Brot)</v>
      </c>
      <c r="ED4" s="1570" t="str">
        <f t="shared" ca="1" si="17"/>
        <v>Öko-Hafer</v>
      </c>
      <c r="EE4" s="1570" t="str">
        <f t="shared" ca="1" si="17"/>
        <v>Öko-Wintergerste</v>
      </c>
      <c r="EF4" s="1570" t="str">
        <f t="shared" ca="1" si="17"/>
        <v>Öko-Braugerste</v>
      </c>
      <c r="EG4" s="1570" t="str">
        <f t="shared" ca="1" si="17"/>
        <v xml:space="preserve">Öko-Körnermais </v>
      </c>
      <c r="EH4" s="1570" t="str">
        <f t="shared" ca="1" si="17"/>
        <v xml:space="preserve">Öko-Ackerbohnen </v>
      </c>
      <c r="EI4" s="1570" t="str">
        <f t="shared" ca="1" si="17"/>
        <v>Öko-Futtererbsen</v>
      </c>
      <c r="EJ4" s="1570" t="str">
        <f t="shared" ca="1" si="17"/>
        <v>Öko-Sojabohnen</v>
      </c>
      <c r="EK4" s="1570" t="str">
        <f t="shared" ca="1" si="17"/>
        <v>Öko-Sonnenblumen</v>
      </c>
      <c r="EL4" s="1570" t="str">
        <f t="shared" ca="1" si="17"/>
        <v>Öko-Winterraps (Ölproduktion)</v>
      </c>
      <c r="EM4" s="1570" t="str">
        <f t="shared" ca="1" si="17"/>
        <v>Öko-Speisekartoffeln spät</v>
      </c>
      <c r="EN4" s="1570" t="e">
        <f t="shared" ca="1" si="17"/>
        <v>#REF!</v>
      </c>
      <c r="EO4" s="1570" t="str">
        <f t="shared" ca="1" si="17"/>
        <v>FAKT-Begrünung</v>
      </c>
      <c r="EP4" s="1570" t="str">
        <f t="shared" ca="1" si="17"/>
        <v xml:space="preserve">FAKT-Blühmischung </v>
      </c>
      <c r="EQ4" s="1570" t="e">
        <f t="shared" ca="1" si="17"/>
        <v>#REF!</v>
      </c>
      <c r="ER4" s="1570" t="str">
        <f t="shared" ca="1" si="17"/>
        <v xml:space="preserve">Kleegras einjährig (70:30) </v>
      </c>
      <c r="ES4" s="1570" t="str">
        <f t="shared" ca="1" si="17"/>
        <v>Kleegras zweijährig (50:50)</v>
      </c>
      <c r="ET4" s="1570" t="str">
        <f t="shared" ca="1" si="17"/>
        <v>Luzernegras einjährig (70:30)</v>
      </c>
      <c r="EU4" s="1570" t="str">
        <f t="shared" ca="1" si="17"/>
        <v>Luzernegras zweijährig (50:50)</v>
      </c>
      <c r="EV4" s="1570" t="str">
        <f t="shared" ca="1" si="17"/>
        <v>Öko-Winterweizen (Futter)</v>
      </c>
      <c r="EW4" s="1570" t="str">
        <f t="shared" ca="1" si="17"/>
        <v>Öko-Winterweizen (Brot)</v>
      </c>
      <c r="EX4" s="1570" t="str">
        <f t="shared" ca="1" si="17"/>
        <v>Öko-Dinkel</v>
      </c>
      <c r="EY4" s="1570" t="str">
        <f t="shared" ca="1" si="17"/>
        <v>Öko-Dinkel, entspelzt</v>
      </c>
      <c r="EZ4" s="1570" t="str">
        <f t="shared" ca="1" si="17"/>
        <v>Öko-Winterroggen (Brot)</v>
      </c>
      <c r="FA4" s="1570" t="str">
        <f t="shared" ca="1" si="17"/>
        <v>Öko-Hafer</v>
      </c>
      <c r="FB4" s="1570" t="str">
        <f t="shared" ca="1" si="17"/>
        <v>Öko-Wintergerste</v>
      </c>
      <c r="FC4" s="1570" t="str">
        <f t="shared" ca="1" si="17"/>
        <v>Öko-Braugerste</v>
      </c>
      <c r="FD4" s="1570" t="str">
        <f t="shared" ca="1" si="17"/>
        <v xml:space="preserve">Öko-Körnermais </v>
      </c>
      <c r="FE4" s="1570" t="str">
        <f t="shared" ca="1" si="17"/>
        <v xml:space="preserve">Öko-Ackerbohnen </v>
      </c>
      <c r="FF4" s="1570" t="str">
        <f t="shared" ca="1" si="17"/>
        <v>Öko-Futtererbsen</v>
      </c>
      <c r="FG4" s="1570" t="str">
        <f t="shared" ca="1" si="17"/>
        <v>Öko-Sojabohnen</v>
      </c>
      <c r="FH4" s="1570" t="str">
        <f t="shared" ca="1" si="17"/>
        <v>Öko-Sonnenblumen</v>
      </c>
      <c r="FI4" s="1570" t="str">
        <f t="shared" ca="1" si="17"/>
        <v>Öko-Winterraps (Ölproduktion)</v>
      </c>
      <c r="FJ4" s="1570" t="str">
        <f t="shared" ca="1" si="17"/>
        <v>Öko-Speisekartoffeln spät</v>
      </c>
      <c r="FK4" s="1570" t="e">
        <f ca="1">INDIRECT(FK65&amp;"!$K$2")</f>
        <v>#REF!</v>
      </c>
      <c r="FL4" s="1570" t="str">
        <f ca="1">INDIRECT(FL65&amp;"!$K$2")</f>
        <v>FAKT-Begrünung</v>
      </c>
      <c r="FM4" s="1570" t="str">
        <f ca="1">INDIRECT(FM65&amp;"!$K$2")</f>
        <v xml:space="preserve">FAKT-Blühmischung </v>
      </c>
    </row>
    <row r="5" spans="1:169" s="1566" customFormat="1" ht="18" customHeight="1">
      <c r="A5" s="1463">
        <f>ROWS($A$1:A5)</f>
        <v>5</v>
      </c>
      <c r="B5" s="1568" t="s">
        <v>1152</v>
      </c>
      <c r="C5" s="1558" t="s">
        <v>172</v>
      </c>
      <c r="D5" s="3668">
        <f>'WW1'!$J$6</f>
        <v>65</v>
      </c>
      <c r="E5" s="1526">
        <f>'WW2'!$J$6</f>
        <v>60</v>
      </c>
      <c r="F5" s="1526">
        <f>'WW3'!$J$6</f>
        <v>55</v>
      </c>
      <c r="G5" s="1526">
        <f>'WW4'!$J$6</f>
        <v>55</v>
      </c>
      <c r="H5" s="1526">
        <f>WRo!$J$6</f>
        <v>55</v>
      </c>
      <c r="I5" s="1526">
        <f>Tr!$J$6</f>
        <v>60</v>
      </c>
      <c r="J5" s="1526">
        <f>WG!$J$6</f>
        <v>55</v>
      </c>
      <c r="K5" s="1526">
        <f>Di!$J$6</f>
        <v>50</v>
      </c>
      <c r="L5" s="1526">
        <f>SW!$J$6</f>
        <v>55</v>
      </c>
      <c r="M5" s="1526">
        <f>'SG-Fu'!$J$6</f>
        <v>50</v>
      </c>
      <c r="N5" s="1526">
        <f>BG!$J$6</f>
        <v>45</v>
      </c>
      <c r="O5" s="1526">
        <f>Ha!$J$6</f>
        <v>45</v>
      </c>
      <c r="P5" s="1526">
        <f>Du!$J$6</f>
        <v>40</v>
      </c>
      <c r="Q5" s="1526">
        <f>KöM!$J$6</f>
        <v>80</v>
      </c>
      <c r="R5" s="1526">
        <f>KH!$J$6</f>
        <v>80</v>
      </c>
      <c r="S5" s="1526">
        <f>WR!$J$6</f>
        <v>30</v>
      </c>
      <c r="T5" s="1526">
        <f>SR!$J$6</f>
        <v>20</v>
      </c>
      <c r="U5" s="1526">
        <f>SoBl!$J$6</f>
        <v>25</v>
      </c>
      <c r="V5" s="1526">
        <f>Soja!$J$6</f>
        <v>20</v>
      </c>
      <c r="W5" s="1526">
        <f>Öl!$J$6</f>
        <v>15</v>
      </c>
      <c r="X5" s="1526">
        <f>FE!$J$6</f>
        <v>20</v>
      </c>
      <c r="Y5" s="1526">
        <f>AB!$J$6</f>
        <v>20</v>
      </c>
      <c r="Z5" s="1526">
        <f>Lu!$J$6</f>
        <v>10</v>
      </c>
      <c r="AA5" s="1526">
        <f>ZR!$J$6</f>
        <v>650</v>
      </c>
      <c r="AB5" s="1526">
        <f>FrühKa!$J$6</f>
        <v>250</v>
      </c>
      <c r="AC5" s="1526">
        <f>FrühKaFolieBer!$J$6</f>
        <v>300</v>
      </c>
      <c r="AD5" s="1526">
        <f>SpKa!$J$6</f>
        <v>400</v>
      </c>
      <c r="AE5" s="1526">
        <f>SpKaBer!$J$6</f>
        <v>450</v>
      </c>
      <c r="AF5" s="1526">
        <f>'Kultur A'!$J$6</f>
        <v>0</v>
      </c>
      <c r="AG5" s="1526">
        <f>'FAKT-Brachebegrünung'!$J$6</f>
        <v>1</v>
      </c>
      <c r="AH5" s="1526">
        <f>Begr!$J$6</f>
        <v>1</v>
      </c>
      <c r="AI5" s="1528"/>
      <c r="AJ5" s="1527">
        <f>'WW1'!$M$6</f>
        <v>80</v>
      </c>
      <c r="AK5" s="1526">
        <f>'WW2'!$M$6</f>
        <v>75</v>
      </c>
      <c r="AL5" s="1526">
        <f>'WW3'!$M$6</f>
        <v>70</v>
      </c>
      <c r="AM5" s="1526">
        <f>'WW4'!$M$6</f>
        <v>65</v>
      </c>
      <c r="AN5" s="1526">
        <f>WRo!$M$6</f>
        <v>65</v>
      </c>
      <c r="AO5" s="1526">
        <f>Tr!$M$6</f>
        <v>75</v>
      </c>
      <c r="AP5" s="1526">
        <f>WG!$M$6</f>
        <v>70</v>
      </c>
      <c r="AQ5" s="1526">
        <f>Di!$M$6</f>
        <v>60</v>
      </c>
      <c r="AR5" s="1526">
        <f>SW!$M$6</f>
        <v>65</v>
      </c>
      <c r="AS5" s="1526">
        <f>'SG-Fu'!$M$6</f>
        <v>60</v>
      </c>
      <c r="AT5" s="1526">
        <f>BG!$M$6</f>
        <v>55</v>
      </c>
      <c r="AU5" s="1526">
        <f>Ha!$M$6</f>
        <v>55</v>
      </c>
      <c r="AV5" s="1526">
        <f>Du!$M$6</f>
        <v>55</v>
      </c>
      <c r="AW5" s="1526">
        <f>KöM!$M$6</f>
        <v>100</v>
      </c>
      <c r="AX5" s="1526">
        <f>KH!$M$6</f>
        <v>90</v>
      </c>
      <c r="AY5" s="1526">
        <f>WR!$M$6</f>
        <v>40</v>
      </c>
      <c r="AZ5" s="1526">
        <f>SR!$M$6</f>
        <v>25</v>
      </c>
      <c r="BA5" s="1526">
        <f>SoBl!$M$6</f>
        <v>30</v>
      </c>
      <c r="BB5" s="1526">
        <f>Soja!$M$6</f>
        <v>27</v>
      </c>
      <c r="BC5" s="1526">
        <f>Öl!$M$6</f>
        <v>20</v>
      </c>
      <c r="BD5" s="1526">
        <f>FE!$M$6</f>
        <v>35</v>
      </c>
      <c r="BE5" s="1526">
        <f>AB!$M$6</f>
        <v>35</v>
      </c>
      <c r="BF5" s="1526">
        <f>Lu!$M$6</f>
        <v>25</v>
      </c>
      <c r="BG5" s="1526">
        <f>ZR!$M$6</f>
        <v>750</v>
      </c>
      <c r="BH5" s="1526">
        <f>FrühKa!$M$6</f>
        <v>300</v>
      </c>
      <c r="BI5" s="1526">
        <f>FrühKaFolieBer!$M$6</f>
        <v>350</v>
      </c>
      <c r="BJ5" s="1526">
        <f>SpKa!$M$6</f>
        <v>450</v>
      </c>
      <c r="BK5" s="1526">
        <f>SpKaBer!$M$6</f>
        <v>500</v>
      </c>
      <c r="BL5" s="1526">
        <v>0</v>
      </c>
      <c r="BM5" s="1526">
        <f>'FAKT-Brachebegrünung'!$M$6</f>
        <v>1</v>
      </c>
      <c r="BN5" s="1526">
        <f>Begr!$M$6</f>
        <v>1</v>
      </c>
      <c r="BO5" s="1528"/>
      <c r="BP5" s="1527">
        <f>'WW1'!$P$6</f>
        <v>95</v>
      </c>
      <c r="BQ5" s="1526">
        <f>'WW2'!$P$6</f>
        <v>90</v>
      </c>
      <c r="BR5" s="1526">
        <f>'WW3'!$P$6</f>
        <v>85</v>
      </c>
      <c r="BS5" s="1526">
        <f>'WW4'!$P$6</f>
        <v>75</v>
      </c>
      <c r="BT5" s="1526">
        <f>WRo!$P$6</f>
        <v>75</v>
      </c>
      <c r="BU5" s="1526">
        <f>Tr!$P$6</f>
        <v>90</v>
      </c>
      <c r="BV5" s="1526">
        <f>WG!$P$6</f>
        <v>85</v>
      </c>
      <c r="BW5" s="1526">
        <f>Di!$P$6</f>
        <v>70</v>
      </c>
      <c r="BX5" s="1526">
        <f>SW!$P$6</f>
        <v>75</v>
      </c>
      <c r="BY5" s="1526">
        <f>'SG-Fu'!$P$6</f>
        <v>70</v>
      </c>
      <c r="BZ5" s="1526">
        <f>BG!$P$6</f>
        <v>65</v>
      </c>
      <c r="CA5" s="1526">
        <f>Ha!$P$6</f>
        <v>65</v>
      </c>
      <c r="CB5" s="1526">
        <f>Du!$P$6</f>
        <v>60</v>
      </c>
      <c r="CC5" s="1526">
        <f>KöM!$P$6</f>
        <v>120</v>
      </c>
      <c r="CD5" s="1526">
        <f>KH!$P$6</f>
        <v>100</v>
      </c>
      <c r="CE5" s="1526">
        <f>WR!$P$6</f>
        <v>50</v>
      </c>
      <c r="CF5" s="1526">
        <f>SR!$P$6</f>
        <v>30</v>
      </c>
      <c r="CG5" s="1526">
        <f>SoBl!$P$6</f>
        <v>35</v>
      </c>
      <c r="CH5" s="1526">
        <f>Soja!$P$6</f>
        <v>34</v>
      </c>
      <c r="CI5" s="1526">
        <f>Öl!$P$6</f>
        <v>25</v>
      </c>
      <c r="CJ5" s="1526">
        <f>FE!$P$6</f>
        <v>50</v>
      </c>
      <c r="CK5" s="1526">
        <f>AB!$P$6</f>
        <v>50</v>
      </c>
      <c r="CL5" s="1526">
        <f>Lu!$P$6</f>
        <v>40</v>
      </c>
      <c r="CM5" s="1526">
        <f>ZR!$P$6</f>
        <v>850</v>
      </c>
      <c r="CN5" s="1526">
        <f>FrühKa!$P$6</f>
        <v>350</v>
      </c>
      <c r="CO5" s="1526">
        <f>FrühKaFolieBer!$P$6</f>
        <v>400</v>
      </c>
      <c r="CP5" s="1526">
        <f>SpKa!$P$6</f>
        <v>500</v>
      </c>
      <c r="CQ5" s="1526">
        <f>SpKaBer!$P$6</f>
        <v>550</v>
      </c>
      <c r="CR5" s="1526">
        <f>'Kultur A'!$P$6</f>
        <v>0</v>
      </c>
      <c r="CS5" s="1526">
        <f>'FAKT-Brachebegrünung'!$P$6</f>
        <v>1</v>
      </c>
      <c r="CT5" s="1526">
        <f>Begr!$P$6</f>
        <v>1</v>
      </c>
      <c r="CV5" s="1568" t="s">
        <v>1152</v>
      </c>
      <c r="CW5" s="1558" t="s">
        <v>172</v>
      </c>
      <c r="CX5" s="3668">
        <f>'Öko-KG1'!$J$6</f>
        <v>300</v>
      </c>
      <c r="CY5" s="1526">
        <f>'Öko-KG2'!$J$6</f>
        <v>400</v>
      </c>
      <c r="CZ5" s="1526">
        <f>'Öko-LU1'!$J$6</f>
        <v>300</v>
      </c>
      <c r="DA5" s="1526">
        <f>'Öko-LU2'!$J$6</f>
        <v>350</v>
      </c>
      <c r="DB5" s="1526">
        <f>'Öko-WW-Futter'!$J$6</f>
        <v>30</v>
      </c>
      <c r="DC5" s="1526">
        <f>'Öko-WW-Brot'!$J$6</f>
        <v>30</v>
      </c>
      <c r="DD5" s="1526">
        <f>'Öko-Dinkel'!$J$6</f>
        <v>26.25</v>
      </c>
      <c r="DE5" s="1526">
        <f>'Öko-Dinkel,gegerbt'!$J$6</f>
        <v>26.25</v>
      </c>
      <c r="DF5" s="1526">
        <f>'Öko-Roggen'!$J$6</f>
        <v>30</v>
      </c>
      <c r="DG5" s="1526">
        <f>'Öko-Hafer'!$J$6</f>
        <v>30</v>
      </c>
      <c r="DH5" s="1526">
        <f>'Öko-Wintergerste'!$J$6</f>
        <v>30</v>
      </c>
      <c r="DI5" s="1526">
        <f>'Öko-Braugerste'!$J$6</f>
        <v>26.25</v>
      </c>
      <c r="DJ5" s="1526">
        <f>'Öko-Körnermais'!$J$6</f>
        <v>60</v>
      </c>
      <c r="DK5" s="1526">
        <f>'Öko-Ackerbohnen'!$J$6</f>
        <v>26.25</v>
      </c>
      <c r="DL5" s="1526">
        <f>'Öko-Erbsen'!$J$6</f>
        <v>22.5</v>
      </c>
      <c r="DM5" s="1526">
        <f>'Öko-Sojabohnen'!$J$6</f>
        <v>25.5</v>
      </c>
      <c r="DN5" s="1526">
        <f>'Öko-Soblu'!$J$6</f>
        <v>20</v>
      </c>
      <c r="DO5" s="1526">
        <f>'Öko-Raps'!$J$6</f>
        <v>10</v>
      </c>
      <c r="DP5" s="1526">
        <f>'Öko-Kartoffel'!$J$6</f>
        <v>200</v>
      </c>
      <c r="DQ5" s="1526" t="e">
        <f>#REF!</f>
        <v>#REF!</v>
      </c>
      <c r="DR5" s="1526">
        <f>Begrün.!$J$6</f>
        <v>0</v>
      </c>
      <c r="DS5" s="1526">
        <f>Blühm.!$J$6</f>
        <v>0</v>
      </c>
      <c r="DU5" s="1526">
        <f>'Öko-KG1'!$M$6</f>
        <v>400</v>
      </c>
      <c r="DV5" s="1526">
        <f>'Öko-KG2'!$M$6</f>
        <v>500</v>
      </c>
      <c r="DW5" s="1526">
        <f>'Öko-LU1'!$M$6</f>
        <v>400</v>
      </c>
      <c r="DX5" s="1526">
        <f>'Öko-LU2'!$M$6</f>
        <v>450</v>
      </c>
      <c r="DY5" s="1527">
        <f>'Öko-WW-Futter'!$M$6</f>
        <v>40</v>
      </c>
      <c r="DZ5" s="1526">
        <f>'Öko-WW-Brot'!$M$6</f>
        <v>40</v>
      </c>
      <c r="EA5" s="1526">
        <f>'Öko-Dinkel'!$M$6</f>
        <v>35</v>
      </c>
      <c r="EB5" s="1526">
        <f>'Öko-Dinkel,gegerbt'!$M$6</f>
        <v>35</v>
      </c>
      <c r="EC5" s="1526">
        <f>'Öko-Roggen'!$M$6</f>
        <v>40</v>
      </c>
      <c r="ED5" s="1526">
        <f>'Öko-Hafer'!$M$6</f>
        <v>40</v>
      </c>
      <c r="EE5" s="1526">
        <f>'Öko-Wintergerste'!$M$6</f>
        <v>40</v>
      </c>
      <c r="EF5" s="1526">
        <f>'Öko-Braugerste'!$M$6</f>
        <v>35</v>
      </c>
      <c r="EG5" s="1526">
        <f>'Öko-Körnermais'!$M$6</f>
        <v>80</v>
      </c>
      <c r="EH5" s="1526">
        <f>'Öko-Ackerbohnen'!$M$6</f>
        <v>35</v>
      </c>
      <c r="EI5" s="1526">
        <f>'Öko-Erbsen'!$M$6</f>
        <v>30</v>
      </c>
      <c r="EJ5" s="1526">
        <f>'Öko-Sojabohnen'!$M$6</f>
        <v>30</v>
      </c>
      <c r="EK5" s="1526">
        <f>'Öko-Soblu'!$M$6</f>
        <v>30</v>
      </c>
      <c r="EL5" s="1526">
        <f>'Öko-Raps'!$M$6</f>
        <v>19</v>
      </c>
      <c r="EM5" s="1526">
        <f>'Öko-Kartoffel'!$M$6</f>
        <v>250</v>
      </c>
      <c r="EN5" s="1526" t="e">
        <f>#REF!</f>
        <v>#REF!</v>
      </c>
      <c r="EO5" s="1526">
        <f>Begrün.!$M$6</f>
        <v>0</v>
      </c>
      <c r="EP5" s="1526">
        <f>Blühm.!$M$6</f>
        <v>0</v>
      </c>
      <c r="ER5" s="1526">
        <f>'Öko-KG1'!$P$6</f>
        <v>500</v>
      </c>
      <c r="ES5" s="1526">
        <f>'Öko-KG2'!$P$6</f>
        <v>600</v>
      </c>
      <c r="ET5" s="1526">
        <f>'Öko-LU1'!$P$6</f>
        <v>500</v>
      </c>
      <c r="EU5" s="1526">
        <f>'Öko-LU2'!$P$6</f>
        <v>550</v>
      </c>
      <c r="EV5" s="1527">
        <f>'Öko-WW-Futter'!$P$6</f>
        <v>69</v>
      </c>
      <c r="EW5" s="1526">
        <f>'Öko-WW-Brot'!$P$6</f>
        <v>60</v>
      </c>
      <c r="EX5" s="1526">
        <f>'Öko-Dinkel'!$P$6</f>
        <v>45</v>
      </c>
      <c r="EY5" s="1526">
        <f>'Öko-Dinkel,gegerbt'!$P$6</f>
        <v>43.75</v>
      </c>
      <c r="EZ5" s="1526">
        <f>'Öko-Roggen'!$P$6</f>
        <v>50</v>
      </c>
      <c r="FA5" s="1526">
        <f>'Öko-Hafer'!$P$6</f>
        <v>50</v>
      </c>
      <c r="FB5" s="1526">
        <f>'Öko-Wintergerste'!$P$6</f>
        <v>50</v>
      </c>
      <c r="FC5" s="1526">
        <f>'Öko-Braugerste'!$P$6</f>
        <v>43.75</v>
      </c>
      <c r="FD5" s="1526">
        <f>'Öko-Körnermais'!$P$6</f>
        <v>100</v>
      </c>
      <c r="FE5" s="1526">
        <f>'Öko-Ackerbohnen'!$P$6</f>
        <v>43.75</v>
      </c>
      <c r="FF5" s="1526">
        <f>'Öko-Erbsen'!$P$6</f>
        <v>37.5</v>
      </c>
      <c r="FG5" s="1526">
        <f>'Öko-Sojabohnen'!$P$6</f>
        <v>34.5</v>
      </c>
      <c r="FH5" s="1526">
        <f>'Öko-Soblu'!$P$6</f>
        <v>40</v>
      </c>
      <c r="FI5" s="1526">
        <f>'Öko-Raps'!$P$6</f>
        <v>26</v>
      </c>
      <c r="FJ5" s="1526">
        <f>'Öko-Kartoffel'!$P$6</f>
        <v>300</v>
      </c>
      <c r="FK5" s="1526" t="e">
        <f>#REF!</f>
        <v>#REF!</v>
      </c>
      <c r="FL5" s="1526">
        <f>Begrün.!$P$6</f>
        <v>0</v>
      </c>
      <c r="FM5" s="1526">
        <f>Blühm.!$P$6</f>
        <v>0</v>
      </c>
    </row>
    <row r="6" spans="1:169" s="1566" customFormat="1" ht="16.149999999999999" customHeight="1">
      <c r="A6" s="1463">
        <f>ROWS($A$1:A6)</f>
        <v>6</v>
      </c>
      <c r="B6" s="1567" t="s">
        <v>1206</v>
      </c>
      <c r="C6" s="1559"/>
      <c r="D6" s="3667">
        <f>'WW1'!$H$9</f>
        <v>65</v>
      </c>
      <c r="E6" s="1509">
        <f>'WW2'!$H$9</f>
        <v>60</v>
      </c>
      <c r="F6" s="1509">
        <f>'WW3'!$H$9</f>
        <v>55</v>
      </c>
      <c r="G6" s="1509">
        <f>'WW4'!$H$9</f>
        <v>55</v>
      </c>
      <c r="H6" s="1509">
        <f>WRo!$H$9</f>
        <v>55</v>
      </c>
      <c r="I6" s="1509">
        <f>Tr!$H$9</f>
        <v>60</v>
      </c>
      <c r="J6" s="1509">
        <f>WG!$H$9</f>
        <v>55</v>
      </c>
      <c r="K6" s="1509">
        <f>Di!$H$9</f>
        <v>50</v>
      </c>
      <c r="L6" s="1509">
        <f>SW!$H$9</f>
        <v>55</v>
      </c>
      <c r="M6" s="1509">
        <f>'SG-Fu'!$H$9</f>
        <v>50</v>
      </c>
      <c r="N6" s="1509">
        <f>BG!$H$9</f>
        <v>40</v>
      </c>
      <c r="O6" s="1509">
        <f>Ha!$H$9</f>
        <v>45</v>
      </c>
      <c r="P6" s="1509">
        <f>Du!$H$9</f>
        <v>40</v>
      </c>
      <c r="Q6" s="1509">
        <f>KöM!$H$9</f>
        <v>80</v>
      </c>
      <c r="R6" s="1509">
        <f>KH!$H$9</f>
        <v>80</v>
      </c>
      <c r="S6" s="1509">
        <f>WR!$H$9</f>
        <v>30</v>
      </c>
      <c r="T6" s="1509">
        <f>SR!$H$9</f>
        <v>20</v>
      </c>
      <c r="U6" s="1509">
        <f>SoBl!$H$9</f>
        <v>25</v>
      </c>
      <c r="V6" s="1509">
        <f>Soja!$H$9</f>
        <v>20</v>
      </c>
      <c r="W6" s="1509">
        <f>Öl!$H$9</f>
        <v>15</v>
      </c>
      <c r="X6" s="1509">
        <f>FE!$H$9</f>
        <v>20</v>
      </c>
      <c r="Y6" s="1509">
        <f>AB!$H$9</f>
        <v>20</v>
      </c>
      <c r="Z6" s="1509">
        <f>Lu!$H$9</f>
        <v>10</v>
      </c>
      <c r="AA6" s="1509">
        <f>ZR!$H$9</f>
        <v>350</v>
      </c>
      <c r="AB6" s="1509">
        <f>FrühKa!$H$9</f>
        <v>250</v>
      </c>
      <c r="AC6" s="1509">
        <f>FrühKaFolieBer!$H$9</f>
        <v>300</v>
      </c>
      <c r="AD6" s="1509">
        <f>SpKa!$H$9</f>
        <v>365</v>
      </c>
      <c r="AE6" s="1509">
        <f>SpKaBer!$H$9</f>
        <v>383</v>
      </c>
      <c r="AF6" s="1509">
        <f>'Kultur A'!$H$9</f>
        <v>0</v>
      </c>
      <c r="AG6" s="1509">
        <f>'FAKT-Brachebegrünung'!$H$9</f>
        <v>1</v>
      </c>
      <c r="AH6" s="1509">
        <f>Begr!$H$9</f>
        <v>1</v>
      </c>
      <c r="AI6" s="1511"/>
      <c r="AJ6" s="1510">
        <f>'WW1'!$K$9</f>
        <v>80</v>
      </c>
      <c r="AK6" s="1509">
        <f>'WW2'!$K$9</f>
        <v>75</v>
      </c>
      <c r="AL6" s="1509">
        <f>'WW3'!$K$9</f>
        <v>70</v>
      </c>
      <c r="AM6" s="1509">
        <f>'WW4'!$K$9</f>
        <v>65</v>
      </c>
      <c r="AN6" s="1509">
        <f>WRo!$K$9</f>
        <v>65</v>
      </c>
      <c r="AO6" s="1509">
        <f>Tr!$K$9</f>
        <v>75</v>
      </c>
      <c r="AP6" s="1509">
        <f>WG!$K$9</f>
        <v>70</v>
      </c>
      <c r="AQ6" s="1509">
        <f>Di!$K$9</f>
        <v>60</v>
      </c>
      <c r="AR6" s="1509">
        <f>SW!$K$9</f>
        <v>65</v>
      </c>
      <c r="AS6" s="1509">
        <f>'SG-Fu'!$K$9</f>
        <v>60</v>
      </c>
      <c r="AT6" s="1509">
        <f>BG!$K$9</f>
        <v>49</v>
      </c>
      <c r="AU6" s="1509">
        <f>Ha!$K$9</f>
        <v>55</v>
      </c>
      <c r="AV6" s="1509">
        <f>Du!$K$9</f>
        <v>55</v>
      </c>
      <c r="AW6" s="1509">
        <f>KöM!$K$9</f>
        <v>100</v>
      </c>
      <c r="AX6" s="1509">
        <f>KH!$K$9</f>
        <v>90</v>
      </c>
      <c r="AY6" s="1509">
        <f>WR!$K$9</f>
        <v>40</v>
      </c>
      <c r="AZ6" s="1509">
        <f>SR!$K$9</f>
        <v>25</v>
      </c>
      <c r="BA6" s="1509">
        <f>SoBl!$K$9</f>
        <v>30</v>
      </c>
      <c r="BB6" s="1509">
        <f>Soja!$K$9</f>
        <v>27</v>
      </c>
      <c r="BC6" s="1509">
        <f>Öl!$K$9</f>
        <v>20</v>
      </c>
      <c r="BD6" s="1509">
        <f>FE!$K$9</f>
        <v>35</v>
      </c>
      <c r="BE6" s="1509">
        <f>AB!$K$9</f>
        <v>35</v>
      </c>
      <c r="BF6" s="1509">
        <f>Lu!$K$9</f>
        <v>25</v>
      </c>
      <c r="BG6" s="1509">
        <f>ZR!$K$9</f>
        <v>730</v>
      </c>
      <c r="BH6" s="1509">
        <f>FrühKa!$K$9</f>
        <v>300</v>
      </c>
      <c r="BI6" s="1509">
        <f>FrühKaFolieBer!$K$9</f>
        <v>350</v>
      </c>
      <c r="BJ6" s="1509">
        <f>SpKa!$K$9</f>
        <v>366</v>
      </c>
      <c r="BK6" s="1509">
        <f>SpKaBer!$K$9</f>
        <v>425</v>
      </c>
      <c r="BL6" s="1509">
        <v>0</v>
      </c>
      <c r="BM6" s="1509">
        <f>'FAKT-Brachebegrünung'!$K$9</f>
        <v>1</v>
      </c>
      <c r="BN6" s="1509">
        <f>Begr!$K$9</f>
        <v>1</v>
      </c>
      <c r="BO6" s="1511"/>
      <c r="BP6" s="1510">
        <f>'WW1'!$N$9</f>
        <v>95</v>
      </c>
      <c r="BQ6" s="1509">
        <f>'WW2'!$N$9</f>
        <v>90</v>
      </c>
      <c r="BR6" s="1509">
        <f>'WW3'!$N$9</f>
        <v>85</v>
      </c>
      <c r="BS6" s="1509">
        <f>'WW4'!$N$9</f>
        <v>75</v>
      </c>
      <c r="BT6" s="1509">
        <f>WRo!$N$9</f>
        <v>75</v>
      </c>
      <c r="BU6" s="1509">
        <f>Tr!$N$9</f>
        <v>90</v>
      </c>
      <c r="BV6" s="1509">
        <f>WG!$N$9</f>
        <v>85</v>
      </c>
      <c r="BW6" s="1509">
        <f>Di!$N$9</f>
        <v>70</v>
      </c>
      <c r="BX6" s="1509">
        <f>SW!$N$9</f>
        <v>75</v>
      </c>
      <c r="BY6" s="1509">
        <f>'SG-Fu'!$N$9</f>
        <v>70</v>
      </c>
      <c r="BZ6" s="1509">
        <f>BG!$N$9</f>
        <v>58</v>
      </c>
      <c r="CA6" s="1509">
        <f>Ha!$N$9</f>
        <v>65</v>
      </c>
      <c r="CB6" s="1509">
        <f>Du!$N$9</f>
        <v>60</v>
      </c>
      <c r="CC6" s="1509">
        <f>KöM!$N$9</f>
        <v>120</v>
      </c>
      <c r="CD6" s="1509">
        <f>KH!$N$9</f>
        <v>100</v>
      </c>
      <c r="CE6" s="1509">
        <f>WR!$N$9</f>
        <v>50</v>
      </c>
      <c r="CF6" s="1509">
        <f>SR!$N$9</f>
        <v>30</v>
      </c>
      <c r="CG6" s="1509">
        <f>SoBl!$N$9</f>
        <v>35</v>
      </c>
      <c r="CH6" s="1509">
        <f>Soja!$N$9</f>
        <v>34</v>
      </c>
      <c r="CI6" s="1509">
        <f>Öl!$N$9</f>
        <v>25</v>
      </c>
      <c r="CJ6" s="1509">
        <f>FE!$N$9</f>
        <v>50</v>
      </c>
      <c r="CK6" s="1509">
        <f>AB!$N$9</f>
        <v>50</v>
      </c>
      <c r="CL6" s="1509">
        <f>Lu!$N$9</f>
        <v>40</v>
      </c>
      <c r="CM6" s="1509">
        <f>ZR!$N$9</f>
        <v>850</v>
      </c>
      <c r="CN6" s="1509">
        <f>FrühKa!$N$9</f>
        <v>350</v>
      </c>
      <c r="CO6" s="1509">
        <f>FrühKaFolieBer!$N$9</f>
        <v>400</v>
      </c>
      <c r="CP6" s="1509">
        <f>SpKa!$N$9</f>
        <v>400</v>
      </c>
      <c r="CQ6" s="1509">
        <f>SpKaBer!$N$9</f>
        <v>466</v>
      </c>
      <c r="CR6" s="1509">
        <f>'Kultur A'!$N$9</f>
        <v>0</v>
      </c>
      <c r="CS6" s="1509">
        <f>'FAKT-Brachebegrünung'!$N$9</f>
        <v>1</v>
      </c>
      <c r="CT6" s="1509">
        <f>Begr!$N$9</f>
        <v>1</v>
      </c>
      <c r="CV6" s="1567" t="s">
        <v>1206</v>
      </c>
      <c r="CW6" s="1559"/>
      <c r="CX6" s="3667">
        <f>'Öko-KG1'!$H$9</f>
        <v>300</v>
      </c>
      <c r="CY6" s="1509">
        <f>'Öko-KG2'!$H$9</f>
        <v>400</v>
      </c>
      <c r="CZ6" s="1509">
        <f>'Öko-LU1'!$H$9</f>
        <v>300</v>
      </c>
      <c r="DA6" s="1509">
        <f>'Öko-LU2'!$H$9</f>
        <v>350</v>
      </c>
      <c r="DB6" s="1509">
        <f>'Öko-WW-Futter'!$H$9</f>
        <v>30</v>
      </c>
      <c r="DC6" s="1509">
        <f>'Öko-WW-Brot'!$H$9</f>
        <v>30</v>
      </c>
      <c r="DD6" s="1509">
        <f>'Öko-Dinkel'!$H$9</f>
        <v>26.25</v>
      </c>
      <c r="DE6" s="1509">
        <f>'Öko-Dinkel,gegerbt'!$H$9</f>
        <v>17.587500000000002</v>
      </c>
      <c r="DF6" s="1509">
        <f>'Öko-Roggen'!$H$9</f>
        <v>30</v>
      </c>
      <c r="DG6" s="1509">
        <f>'Öko-Hafer'!$H$9</f>
        <v>30</v>
      </c>
      <c r="DH6" s="1509">
        <f>'Öko-Wintergerste'!$H$9</f>
        <v>30</v>
      </c>
      <c r="DI6" s="1509">
        <f>'Öko-Braugerste'!$H$9</f>
        <v>23.625</v>
      </c>
      <c r="DJ6" s="1509">
        <f>'Öko-Körnermais'!$H$9</f>
        <v>60</v>
      </c>
      <c r="DK6" s="1509">
        <f>'Öko-Ackerbohnen'!$H$9</f>
        <v>26.25</v>
      </c>
      <c r="DL6" s="1509">
        <f>'Öko-Erbsen'!$H$9</f>
        <v>22.5</v>
      </c>
      <c r="DM6" s="1509">
        <f>'Öko-Sojabohnen'!$H$9</f>
        <v>25.5</v>
      </c>
      <c r="DN6" s="1509">
        <f>'Öko-Soblu'!$H$9</f>
        <v>20</v>
      </c>
      <c r="DO6" s="1509">
        <f>'Öko-Raps'!$H$9</f>
        <v>10</v>
      </c>
      <c r="DP6" s="1509">
        <f>'Öko-Kartoffel'!$H$9</f>
        <v>150</v>
      </c>
      <c r="DQ6" s="1509" t="e">
        <f>#REF!</f>
        <v>#REF!</v>
      </c>
      <c r="DR6" s="1509">
        <f>Begrün.!$H$9</f>
        <v>0</v>
      </c>
      <c r="DS6" s="1509">
        <f>Blühm.!$H$9</f>
        <v>0</v>
      </c>
      <c r="DU6" s="1509">
        <f>'Öko-KG1'!$K$9</f>
        <v>400</v>
      </c>
      <c r="DV6" s="1509">
        <f>'Öko-KG2'!$K$9</f>
        <v>500</v>
      </c>
      <c r="DW6" s="1509">
        <f>'Öko-LU1'!$K$9</f>
        <v>400</v>
      </c>
      <c r="DX6" s="1509">
        <f>'Öko-LU2'!$K$9</f>
        <v>450</v>
      </c>
      <c r="DY6" s="1510">
        <f>'Öko-WW-Futter'!$K$9</f>
        <v>40</v>
      </c>
      <c r="DZ6" s="1509">
        <f>'Öko-WW-Brot'!$K$9</f>
        <v>40</v>
      </c>
      <c r="EA6" s="1509">
        <f>'Öko-Dinkel'!$K$9</f>
        <v>35</v>
      </c>
      <c r="EB6" s="1509">
        <f>'Öko-Dinkel,gegerbt'!$K$9</f>
        <v>23.450000000000003</v>
      </c>
      <c r="EC6" s="1509">
        <f>'Öko-Roggen'!$K$9</f>
        <v>40</v>
      </c>
      <c r="ED6" s="1509">
        <f>'Öko-Hafer'!$K$9</f>
        <v>40</v>
      </c>
      <c r="EE6" s="1509">
        <f>'Öko-Wintergerste'!$K$9</f>
        <v>40</v>
      </c>
      <c r="EF6" s="1509">
        <f>'Öko-Braugerste'!$K$9</f>
        <v>31.5</v>
      </c>
      <c r="EG6" s="1509">
        <f>'Öko-Körnermais'!$K$9</f>
        <v>80</v>
      </c>
      <c r="EH6" s="1509">
        <f>'Öko-Ackerbohnen'!$K$9</f>
        <v>35</v>
      </c>
      <c r="EI6" s="1509">
        <f>'Öko-Erbsen'!$K$9</f>
        <v>30</v>
      </c>
      <c r="EJ6" s="1509">
        <f>'Öko-Sojabohnen'!$K$9</f>
        <v>30</v>
      </c>
      <c r="EK6" s="1509">
        <f>'Öko-Soblu'!$K$9</f>
        <v>30</v>
      </c>
      <c r="EL6" s="1509">
        <f>'Öko-Raps'!$K$9</f>
        <v>19</v>
      </c>
      <c r="EM6" s="1509">
        <f>'Öko-Kartoffel'!$K$9</f>
        <v>187.5</v>
      </c>
      <c r="EN6" s="1509" t="e">
        <f>#REF!</f>
        <v>#REF!</v>
      </c>
      <c r="EO6" s="1509">
        <f>Begrün.!$K$9</f>
        <v>0</v>
      </c>
      <c r="EP6" s="1509">
        <f>Blühm.!$K$9</f>
        <v>0</v>
      </c>
      <c r="ER6" s="1509">
        <f>'Öko-KG1'!$N$9</f>
        <v>500</v>
      </c>
      <c r="ES6" s="1509">
        <f>'Öko-KG2'!$N$9</f>
        <v>600</v>
      </c>
      <c r="ET6" s="1509">
        <f>'Öko-LU1'!$N$9</f>
        <v>500</v>
      </c>
      <c r="EU6" s="1509">
        <f>'Öko-LU2'!$N$9</f>
        <v>550</v>
      </c>
      <c r="EV6" s="1510">
        <f>'Öko-WW-Futter'!$N$9</f>
        <v>69</v>
      </c>
      <c r="EW6" s="1509">
        <f>'Öko-WW-Brot'!$N$9</f>
        <v>60</v>
      </c>
      <c r="EX6" s="1509">
        <f>'Öko-Dinkel'!$N$9</f>
        <v>45</v>
      </c>
      <c r="EY6" s="1509">
        <f>'Öko-Dinkel,gegerbt'!$N$9</f>
        <v>29.3125</v>
      </c>
      <c r="EZ6" s="1509">
        <f>'Öko-Roggen'!$N$9</f>
        <v>50</v>
      </c>
      <c r="FA6" s="1509">
        <f>'Öko-Hafer'!$N$9</f>
        <v>50</v>
      </c>
      <c r="FB6" s="1509">
        <f>'Öko-Wintergerste'!$N$9</f>
        <v>50</v>
      </c>
      <c r="FC6" s="1509">
        <f>'Öko-Braugerste'!$N$9</f>
        <v>39.375</v>
      </c>
      <c r="FD6" s="1509">
        <f>'Öko-Körnermais'!$N$9</f>
        <v>100</v>
      </c>
      <c r="FE6" s="1509">
        <f>'Öko-Ackerbohnen'!$N$9</f>
        <v>43.75</v>
      </c>
      <c r="FF6" s="1509">
        <f>'Öko-Erbsen'!$N$9</f>
        <v>37.5</v>
      </c>
      <c r="FG6" s="1509">
        <f>'Öko-Sojabohnen'!$N$9</f>
        <v>34.5</v>
      </c>
      <c r="FH6" s="1509">
        <f>'Öko-Soblu'!$N$9</f>
        <v>40</v>
      </c>
      <c r="FI6" s="1509">
        <f>'Öko-Raps'!$N$9</f>
        <v>26</v>
      </c>
      <c r="FJ6" s="1509">
        <f>'Öko-Kartoffel'!$N$9</f>
        <v>225</v>
      </c>
      <c r="FK6" s="1509" t="e">
        <f>#REF!</f>
        <v>#REF!</v>
      </c>
      <c r="FL6" s="1509">
        <f>Begrün.!$N$9</f>
        <v>0</v>
      </c>
      <c r="FM6" s="1509">
        <f>Blühm.!$N$9</f>
        <v>0</v>
      </c>
    </row>
    <row r="7" spans="1:169" s="1561" customFormat="1" ht="18" customHeight="1">
      <c r="A7" s="1463">
        <f>ROWS($A$1:A7)</f>
        <v>7</v>
      </c>
      <c r="B7" s="1565" t="s">
        <v>1205</v>
      </c>
      <c r="C7" s="1522" t="s">
        <v>228</v>
      </c>
      <c r="D7" s="3666">
        <f>'WW1'!$G$9</f>
        <v>21.133333333333336</v>
      </c>
      <c r="E7" s="1562">
        <f>'WW2'!$G$9</f>
        <v>21.666666666666671</v>
      </c>
      <c r="F7" s="1562">
        <f>'WW3'!$G$9</f>
        <v>22.733333333333334</v>
      </c>
      <c r="G7" s="1562">
        <f>'WW4'!$G$9</f>
        <v>24.268000000000001</v>
      </c>
      <c r="H7" s="1562">
        <f>WRo!$G$9</f>
        <v>19.466666666666665</v>
      </c>
      <c r="I7" s="1562">
        <f>Tr!$G$9</f>
        <v>19.533333333333331</v>
      </c>
      <c r="J7" s="1562">
        <f>WG!$G$9</f>
        <v>18.666666666666668</v>
      </c>
      <c r="K7" s="1562">
        <f>Di!$G$9</f>
        <v>21.666666666666671</v>
      </c>
      <c r="L7" s="1562">
        <f>SW!$G$9</f>
        <v>21.666666666666671</v>
      </c>
      <c r="M7" s="1562">
        <f>'SG-Fu'!$G$9</f>
        <v>18.666666666666668</v>
      </c>
      <c r="N7" s="1562">
        <f>BG!$G$9</f>
        <v>25.066666666666666</v>
      </c>
      <c r="O7" s="1562">
        <f>Ha!$G$9</f>
        <v>19.166666666666668</v>
      </c>
      <c r="P7" s="1562">
        <f>Du!$G$9</f>
        <v>31.166666666666671</v>
      </c>
      <c r="Q7" s="1562">
        <f>KöM!$G$9</f>
        <v>24.116666666666671</v>
      </c>
      <c r="R7" s="1562">
        <f>KH!$G$9</f>
        <v>17.05</v>
      </c>
      <c r="S7" s="1562">
        <f>WR!$G$9</f>
        <v>49.8</v>
      </c>
      <c r="T7" s="1562">
        <f>SR!$G$9</f>
        <v>49.8</v>
      </c>
      <c r="U7" s="1562">
        <f>SoBl!$G$9</f>
        <v>47.166666666666657</v>
      </c>
      <c r="V7" s="1562">
        <f>Soja!$G$9</f>
        <v>51.166666666666657</v>
      </c>
      <c r="W7" s="1562">
        <f>Öl!$G$9</f>
        <v>29.65</v>
      </c>
      <c r="X7" s="1562">
        <f>FE!$G$9</f>
        <v>25.066666666666666</v>
      </c>
      <c r="Y7" s="1562">
        <f>AB!$G$9</f>
        <v>25.533333333333331</v>
      </c>
      <c r="Z7" s="1562">
        <f>Lu!$G$9</f>
        <v>24.6</v>
      </c>
      <c r="AA7" s="1562">
        <f>ZR!$G$9</f>
        <v>2.83</v>
      </c>
      <c r="AB7" s="1562">
        <f>FrühKa!$G$9</f>
        <v>33.666666666666664</v>
      </c>
      <c r="AC7" s="1562">
        <f>FrühKaFolieBer!$G$9</f>
        <v>33.666666666666664</v>
      </c>
      <c r="AD7" s="1562">
        <f>SpKa!$G$9</f>
        <v>19</v>
      </c>
      <c r="AE7" s="1562">
        <f>SpKaBer!$G$9</f>
        <v>19</v>
      </c>
      <c r="AF7" s="1562">
        <f>'Kultur A'!$G$9</f>
        <v>0</v>
      </c>
      <c r="AG7" s="1562">
        <f>'FAKT-Brachebegrünung'!$G$9</f>
        <v>0</v>
      </c>
      <c r="AH7" s="1562">
        <f>Begr!$G$9</f>
        <v>0</v>
      </c>
      <c r="AI7" s="1564"/>
      <c r="AJ7" s="1563">
        <f>'WW1'!$G$9</f>
        <v>21.133333333333336</v>
      </c>
      <c r="AK7" s="1562">
        <f>'WW2'!$G$9</f>
        <v>21.666666666666671</v>
      </c>
      <c r="AL7" s="1562">
        <f>'WW3'!$G$9</f>
        <v>22.733333333333334</v>
      </c>
      <c r="AM7" s="1562">
        <f>'WW4'!$G$9</f>
        <v>24.268000000000001</v>
      </c>
      <c r="AN7" s="1562">
        <f>WRo!$G$9</f>
        <v>19.466666666666665</v>
      </c>
      <c r="AO7" s="1562">
        <f>Tr!$G$9</f>
        <v>19.533333333333331</v>
      </c>
      <c r="AP7" s="1562">
        <f>WG!$G$9</f>
        <v>18.666666666666668</v>
      </c>
      <c r="AQ7" s="1562">
        <f>Di!$G$9</f>
        <v>21.666666666666671</v>
      </c>
      <c r="AR7" s="1562">
        <f>SW!$G$9</f>
        <v>21.666666666666671</v>
      </c>
      <c r="AS7" s="1562">
        <f>'SG-Fu'!$G$9</f>
        <v>18.666666666666668</v>
      </c>
      <c r="AT7" s="1562">
        <f>BG!$G$9</f>
        <v>25.066666666666666</v>
      </c>
      <c r="AU7" s="1562">
        <f>Ha!$G$9</f>
        <v>19.166666666666668</v>
      </c>
      <c r="AV7" s="1562">
        <f>Du!$G$9</f>
        <v>31.166666666666671</v>
      </c>
      <c r="AW7" s="1562">
        <f>KöM!$G$9</f>
        <v>24.116666666666671</v>
      </c>
      <c r="AX7" s="1562">
        <f>KH!$G$9</f>
        <v>17.05</v>
      </c>
      <c r="AY7" s="1562">
        <f>WR!$G$9</f>
        <v>49.8</v>
      </c>
      <c r="AZ7" s="1562">
        <f>SR!$G$9</f>
        <v>49.8</v>
      </c>
      <c r="BA7" s="1562">
        <f>SoBl!$G$9</f>
        <v>47.166666666666657</v>
      </c>
      <c r="BB7" s="1562">
        <f>Soja!$G$9</f>
        <v>51.166666666666657</v>
      </c>
      <c r="BC7" s="1562">
        <f>Öl!$G$9</f>
        <v>29.65</v>
      </c>
      <c r="BD7" s="1562">
        <f>FE!$G$9</f>
        <v>25.066666666666666</v>
      </c>
      <c r="BE7" s="1562">
        <f>AB!$G$9</f>
        <v>25.533333333333331</v>
      </c>
      <c r="BF7" s="1562">
        <f>Lu!$G$9</f>
        <v>24.6</v>
      </c>
      <c r="BG7" s="1562">
        <f>ZR!$G$9</f>
        <v>2.83</v>
      </c>
      <c r="BH7" s="1562">
        <f>FrühKa!$G$9</f>
        <v>33.666666666666664</v>
      </c>
      <c r="BI7" s="1562">
        <f>FrühKaFolieBer!$G$9</f>
        <v>33.666666666666664</v>
      </c>
      <c r="BJ7" s="1562">
        <f>SpKa!$G$9</f>
        <v>19</v>
      </c>
      <c r="BK7" s="1562">
        <f>SpKaBer!$G$9</f>
        <v>19</v>
      </c>
      <c r="BL7" s="1562">
        <v>0</v>
      </c>
      <c r="BM7" s="1562">
        <f>'FAKT-Brachebegrünung'!$G$9</f>
        <v>0</v>
      </c>
      <c r="BN7" s="1562">
        <f>Begr!$G$9</f>
        <v>0</v>
      </c>
      <c r="BO7" s="1564"/>
      <c r="BP7" s="1563">
        <f>'WW1'!$G$9</f>
        <v>21.133333333333336</v>
      </c>
      <c r="BQ7" s="1562">
        <f>'WW2'!$G$9</f>
        <v>21.666666666666671</v>
      </c>
      <c r="BR7" s="1562">
        <f>'WW3'!$G$9</f>
        <v>22.733333333333334</v>
      </c>
      <c r="BS7" s="1562">
        <f>'WW4'!$G$9</f>
        <v>24.268000000000001</v>
      </c>
      <c r="BT7" s="1562">
        <f>WRo!$G$9</f>
        <v>19.466666666666665</v>
      </c>
      <c r="BU7" s="1562">
        <f>Tr!$G$9</f>
        <v>19.533333333333331</v>
      </c>
      <c r="BV7" s="1562">
        <f>WG!$G$9</f>
        <v>18.666666666666668</v>
      </c>
      <c r="BW7" s="1562">
        <f>Di!$G$9</f>
        <v>21.666666666666671</v>
      </c>
      <c r="BX7" s="1562">
        <f>SW!$G$9</f>
        <v>21.666666666666671</v>
      </c>
      <c r="BY7" s="1562">
        <f>'SG-Fu'!$G$9</f>
        <v>18.666666666666668</v>
      </c>
      <c r="BZ7" s="1562">
        <f>BG!$G$9</f>
        <v>25.066666666666666</v>
      </c>
      <c r="CA7" s="1562">
        <f>Ha!$G$9</f>
        <v>19.166666666666668</v>
      </c>
      <c r="CB7" s="1562">
        <f>Du!$G$9</f>
        <v>31.166666666666671</v>
      </c>
      <c r="CC7" s="1562">
        <f>KöM!$G$9</f>
        <v>24.116666666666671</v>
      </c>
      <c r="CD7" s="1562">
        <f>KH!$G$9</f>
        <v>17.05</v>
      </c>
      <c r="CE7" s="1562">
        <f>WR!$G$9</f>
        <v>49.8</v>
      </c>
      <c r="CF7" s="1562">
        <f>SR!$G$9</f>
        <v>49.8</v>
      </c>
      <c r="CG7" s="1562">
        <f>SoBl!$G$9</f>
        <v>47.166666666666657</v>
      </c>
      <c r="CH7" s="1562">
        <f>Soja!$G$9</f>
        <v>51.166666666666657</v>
      </c>
      <c r="CI7" s="1562">
        <f>Öl!$G$9</f>
        <v>29.65</v>
      </c>
      <c r="CJ7" s="1562">
        <f>FE!$G$9</f>
        <v>25.066666666666666</v>
      </c>
      <c r="CK7" s="1562">
        <f>AB!$G$9</f>
        <v>25.533333333333331</v>
      </c>
      <c r="CL7" s="1562">
        <f>Lu!$G$9</f>
        <v>24.6</v>
      </c>
      <c r="CM7" s="1562">
        <f>ZR!$G$9</f>
        <v>2.83</v>
      </c>
      <c r="CN7" s="1562">
        <f>FrühKa!$G$9</f>
        <v>33.666666666666664</v>
      </c>
      <c r="CO7" s="1562">
        <f>FrühKaFolieBer!$G$9</f>
        <v>33.666666666666664</v>
      </c>
      <c r="CP7" s="1562">
        <f>SpKa!$G$9</f>
        <v>19</v>
      </c>
      <c r="CQ7" s="1562">
        <f>SpKaBer!$G$9</f>
        <v>19</v>
      </c>
      <c r="CR7" s="1562">
        <f>'Kultur A'!$G$9</f>
        <v>0</v>
      </c>
      <c r="CS7" s="1562">
        <f>'FAKT-Brachebegrünung'!$G$9</f>
        <v>0</v>
      </c>
      <c r="CT7" s="1562">
        <f>Begr!$G$9</f>
        <v>0</v>
      </c>
      <c r="CV7" s="1565" t="s">
        <v>1205</v>
      </c>
      <c r="CW7" s="1522" t="s">
        <v>228</v>
      </c>
      <c r="CX7" s="3666">
        <f>'Öko-KG1'!$G$9</f>
        <v>0</v>
      </c>
      <c r="CY7" s="1562">
        <f>'Öko-KG2'!$G$9</f>
        <v>0</v>
      </c>
      <c r="CZ7" s="1562">
        <f>'Öko-LU1'!$G$9</f>
        <v>0</v>
      </c>
      <c r="DA7" s="1562">
        <f>'Öko-LU2'!$G$9</f>
        <v>0</v>
      </c>
      <c r="DB7" s="1562">
        <f>'Öko-WW-Futter'!$G$9</f>
        <v>35.273333333333333</v>
      </c>
      <c r="DC7" s="1562">
        <f>'Öko-WW-Brot'!$G$9</f>
        <v>46.236666666666657</v>
      </c>
      <c r="DD7" s="1562">
        <f>'Öko-Dinkel'!$G$9</f>
        <v>49.3</v>
      </c>
      <c r="DE7" s="1562">
        <f>'Öko-Dinkel,gegerbt'!$G$9</f>
        <v>83.166666666666686</v>
      </c>
      <c r="DF7" s="1562">
        <f>'Öko-Roggen'!$G$9</f>
        <v>35.283333333333339</v>
      </c>
      <c r="DG7" s="1562">
        <f>'Öko-Hafer'!$G$9</f>
        <v>38.586666666666666</v>
      </c>
      <c r="DH7" s="1562">
        <f>'Öko-Wintergerste'!$G$9</f>
        <v>34.373333333333335</v>
      </c>
      <c r="DI7" s="1562">
        <f>'Öko-Braugerste'!$G$9</f>
        <v>47.55</v>
      </c>
      <c r="DJ7" s="1562">
        <f>'Öko-Körnermais'!$G$9</f>
        <v>38.983333333333327</v>
      </c>
      <c r="DK7" s="1562">
        <f>'Öko-Ackerbohnen'!$G$9</f>
        <v>52.70333333333334</v>
      </c>
      <c r="DL7" s="1562">
        <f>'Öko-Erbsen'!$G$9</f>
        <v>51.173333333333318</v>
      </c>
      <c r="DM7" s="1562">
        <f>'Öko-Sojabohnen'!$G$9</f>
        <v>89.666666666666686</v>
      </c>
      <c r="DN7" s="1562">
        <f>'Öko-Soblu'!$G$9</f>
        <v>83.555000000000007</v>
      </c>
      <c r="DO7" s="1562">
        <f>'Öko-Raps'!$G$9</f>
        <v>96.78</v>
      </c>
      <c r="DP7" s="1562">
        <f>'Öko-Kartoffel'!$G$9</f>
        <v>57.509999999999991</v>
      </c>
      <c r="DQ7" s="1562" t="e">
        <f>#REF!</f>
        <v>#REF!</v>
      </c>
      <c r="DR7" s="1562">
        <f>Begrün.!$G$9</f>
        <v>0</v>
      </c>
      <c r="DS7" s="1562">
        <f>Blühm.!$G$9</f>
        <v>0</v>
      </c>
      <c r="DU7" s="1562">
        <f>'Öko-KG1'!$G$9</f>
        <v>0</v>
      </c>
      <c r="DV7" s="1562">
        <f>'Öko-KG2'!$G$9</f>
        <v>0</v>
      </c>
      <c r="DW7" s="1562">
        <f>'Öko-LU1'!$G$9</f>
        <v>0</v>
      </c>
      <c r="DX7" s="1562">
        <f>'Öko-LU2'!$G$9</f>
        <v>0</v>
      </c>
      <c r="DY7" s="1563">
        <f>'Öko-WW-Futter'!$G$9</f>
        <v>35.273333333333333</v>
      </c>
      <c r="DZ7" s="1562">
        <f>'Öko-WW-Brot'!$G$9</f>
        <v>46.236666666666657</v>
      </c>
      <c r="EA7" s="1562">
        <f>'Öko-Dinkel'!$G$9</f>
        <v>49.3</v>
      </c>
      <c r="EB7" s="1562">
        <f>'Öko-Dinkel,gegerbt'!$G$9</f>
        <v>83.166666666666686</v>
      </c>
      <c r="EC7" s="1562">
        <f>'Öko-Roggen'!$G$9</f>
        <v>35.283333333333339</v>
      </c>
      <c r="ED7" s="1562">
        <f>'Öko-Hafer'!$G$9</f>
        <v>38.586666666666666</v>
      </c>
      <c r="EE7" s="1562">
        <f>'Öko-Wintergerste'!$G$9</f>
        <v>34.373333333333335</v>
      </c>
      <c r="EF7" s="1562">
        <f>'Öko-Braugerste'!$G$9</f>
        <v>47.55</v>
      </c>
      <c r="EG7" s="1562">
        <f>'Öko-Körnermais'!$G$9</f>
        <v>38.983333333333327</v>
      </c>
      <c r="EH7" s="1562">
        <f>'Öko-Ackerbohnen'!$G$9</f>
        <v>52.70333333333334</v>
      </c>
      <c r="EI7" s="1562">
        <f>'Öko-Erbsen'!$G$9</f>
        <v>51.173333333333318</v>
      </c>
      <c r="EJ7" s="1562">
        <f>'Öko-Sojabohnen'!$G$9</f>
        <v>89.666666666666686</v>
      </c>
      <c r="EK7" s="1562">
        <f>'Öko-Soblu'!$G$9</f>
        <v>83.555000000000007</v>
      </c>
      <c r="EL7" s="1562">
        <f>'Öko-Raps'!$G$9</f>
        <v>96.78</v>
      </c>
      <c r="EM7" s="1562">
        <f>'Öko-Kartoffel'!$G$9</f>
        <v>57.509999999999991</v>
      </c>
      <c r="EN7" s="1562" t="e">
        <f>#REF!</f>
        <v>#REF!</v>
      </c>
      <c r="EO7" s="1562">
        <f>Begrün.!$G$9</f>
        <v>0</v>
      </c>
      <c r="EP7" s="1562">
        <f>Blühm.!$G$9</f>
        <v>0</v>
      </c>
      <c r="ER7" s="1562">
        <f>'Öko-KG1'!$G$9</f>
        <v>0</v>
      </c>
      <c r="ES7" s="1562">
        <f>'Öko-KG2'!$G$9</f>
        <v>0</v>
      </c>
      <c r="ET7" s="1562">
        <f>'Öko-LU1'!$G$9</f>
        <v>0</v>
      </c>
      <c r="EU7" s="1562">
        <f>'Öko-LU2'!$G$9</f>
        <v>0</v>
      </c>
      <c r="EV7" s="1563">
        <f>'Öko-WW-Futter'!$G$9</f>
        <v>35.273333333333333</v>
      </c>
      <c r="EW7" s="1562">
        <f>'Öko-WW-Brot'!$G$9</f>
        <v>46.236666666666657</v>
      </c>
      <c r="EX7" s="1562">
        <f>'Öko-Dinkel'!$G$9</f>
        <v>49.3</v>
      </c>
      <c r="EY7" s="1562">
        <f>'Öko-Dinkel,gegerbt'!$G$9</f>
        <v>83.166666666666686</v>
      </c>
      <c r="EZ7" s="1562">
        <f>'Öko-Roggen'!$G$9</f>
        <v>35.283333333333339</v>
      </c>
      <c r="FA7" s="1562">
        <f>'Öko-Hafer'!$G$9</f>
        <v>38.586666666666666</v>
      </c>
      <c r="FB7" s="1562">
        <f>'Öko-Wintergerste'!$G$9</f>
        <v>34.373333333333335</v>
      </c>
      <c r="FC7" s="1562">
        <f>'Öko-Braugerste'!$G$9</f>
        <v>47.55</v>
      </c>
      <c r="FD7" s="1562">
        <f>'Öko-Körnermais'!$G$9</f>
        <v>38.983333333333327</v>
      </c>
      <c r="FE7" s="1562">
        <f>'Öko-Ackerbohnen'!$G$9</f>
        <v>52.70333333333334</v>
      </c>
      <c r="FF7" s="1562">
        <f>'Öko-Erbsen'!$G$9</f>
        <v>51.173333333333318</v>
      </c>
      <c r="FG7" s="1562">
        <f>'Öko-Sojabohnen'!$G$9</f>
        <v>89.666666666666686</v>
      </c>
      <c r="FH7" s="1562">
        <f>'Öko-Soblu'!$G$9</f>
        <v>83.555000000000007</v>
      </c>
      <c r="FI7" s="1562">
        <f>'Öko-Raps'!$G$9</f>
        <v>96.78</v>
      </c>
      <c r="FJ7" s="1562">
        <f>'Öko-Kartoffel'!$G$9</f>
        <v>57.509999999999991</v>
      </c>
      <c r="FK7" s="1562" t="e">
        <f>#REF!</f>
        <v>#REF!</v>
      </c>
      <c r="FL7" s="1562">
        <f>Begrün.!$G$9</f>
        <v>0</v>
      </c>
      <c r="FM7" s="1562">
        <f>Blühm.!$G$9</f>
        <v>0</v>
      </c>
    </row>
    <row r="8" spans="1:169" ht="16.149999999999999" customHeight="1">
      <c r="A8" s="1463">
        <f>ROWS($A$1:A8)</f>
        <v>8</v>
      </c>
      <c r="B8" s="1467" t="s">
        <v>1204</v>
      </c>
      <c r="C8" s="1456" t="s">
        <v>171</v>
      </c>
      <c r="D8" s="3665">
        <f>'WW1'!$I$9</f>
        <v>1373.666666666667</v>
      </c>
      <c r="E8" s="1545">
        <f>'WW2'!$I$9</f>
        <v>1300.0000000000002</v>
      </c>
      <c r="F8" s="1545">
        <f>'WW3'!$I$9</f>
        <v>1250.3333333333335</v>
      </c>
      <c r="G8" s="1545">
        <f>'WW4'!$I$9</f>
        <v>1334.74</v>
      </c>
      <c r="H8" s="1545">
        <f>WRo!$I$9</f>
        <v>1070.6666666666665</v>
      </c>
      <c r="I8" s="1545">
        <f>Tr!$I$9</f>
        <v>1172</v>
      </c>
      <c r="J8" s="1545">
        <f>WG!$I$9</f>
        <v>1026.6666666666667</v>
      </c>
      <c r="K8" s="1545">
        <f>Di!$I$9</f>
        <v>1083.3333333333335</v>
      </c>
      <c r="L8" s="1545">
        <f>SW!$I$9</f>
        <v>1191.666666666667</v>
      </c>
      <c r="M8" s="1545">
        <f>'SG-Fu'!$I$9</f>
        <v>933.33333333333337</v>
      </c>
      <c r="N8" s="1545">
        <f>BG!$I$9</f>
        <v>1002.6666666666666</v>
      </c>
      <c r="O8" s="1545">
        <f>Ha!$I$9</f>
        <v>862.5</v>
      </c>
      <c r="P8" s="1545">
        <f>Du!$I$9</f>
        <v>1246.666666666667</v>
      </c>
      <c r="Q8" s="1545">
        <f>KöM!$I$9</f>
        <v>1929.3333333333337</v>
      </c>
      <c r="R8" s="1545">
        <f>KH!$I$9</f>
        <v>1364</v>
      </c>
      <c r="S8" s="1545">
        <f>WR!$I$9</f>
        <v>1494</v>
      </c>
      <c r="T8" s="1545">
        <f>SR!$I$9</f>
        <v>996</v>
      </c>
      <c r="U8" s="1545">
        <f>SoBl!$I$9</f>
        <v>1179.1666666666665</v>
      </c>
      <c r="V8" s="1545">
        <f>Soja!$I$9</f>
        <v>1023.3333333333331</v>
      </c>
      <c r="W8" s="1545">
        <f>Öl!$I$9</f>
        <v>444.75</v>
      </c>
      <c r="X8" s="1545">
        <f>FE!$I$9</f>
        <v>501.33333333333331</v>
      </c>
      <c r="Y8" s="1545">
        <f>AB!$I$9</f>
        <v>510.66666666666663</v>
      </c>
      <c r="Z8" s="1545">
        <f>Lu!$I$9</f>
        <v>246</v>
      </c>
      <c r="AA8" s="1545">
        <f>ZR!$I$9</f>
        <v>990.5</v>
      </c>
      <c r="AB8" s="1545">
        <f>FrühKa!$I$9</f>
        <v>8416.6666666666661</v>
      </c>
      <c r="AC8" s="1545">
        <f>FrühKaFolieBer!$I$9</f>
        <v>10100</v>
      </c>
      <c r="AD8" s="1545">
        <f>SpKa!$I$9</f>
        <v>6935</v>
      </c>
      <c r="AE8" s="1545">
        <f>SpKaBer!$I$9</f>
        <v>7277</v>
      </c>
      <c r="AF8" s="1545">
        <f>'Kultur A'!$I$9</f>
        <v>0</v>
      </c>
      <c r="AG8" s="1545">
        <f>'FAKT-Brachebegrünung'!$I$9</f>
        <v>0</v>
      </c>
      <c r="AH8" s="1545">
        <f>Begr!$I$9</f>
        <v>0</v>
      </c>
      <c r="AI8" s="1547"/>
      <c r="AJ8" s="1546">
        <f>'WW1'!$L$9</f>
        <v>1690.666666666667</v>
      </c>
      <c r="AK8" s="1545">
        <f>'WW2'!$L$9</f>
        <v>1625.0000000000005</v>
      </c>
      <c r="AL8" s="1545">
        <f>'WW3'!$L$9</f>
        <v>1591.3333333333335</v>
      </c>
      <c r="AM8" s="1545">
        <f>'WW4'!$L$9</f>
        <v>1577.42</v>
      </c>
      <c r="AN8" s="1545">
        <f>WRo!$L$9</f>
        <v>1265.3333333333333</v>
      </c>
      <c r="AO8" s="1545">
        <f>Tr!$L$9</f>
        <v>1464.9999999999998</v>
      </c>
      <c r="AP8" s="1545">
        <f>WG!$L$9</f>
        <v>1306.6666666666667</v>
      </c>
      <c r="AQ8" s="1545">
        <f>Di!$L$9</f>
        <v>1300.0000000000002</v>
      </c>
      <c r="AR8" s="1545">
        <f>SW!$L$9</f>
        <v>1408.3333333333337</v>
      </c>
      <c r="AS8" s="1545">
        <f>'SG-Fu'!$L$9</f>
        <v>1120</v>
      </c>
      <c r="AT8" s="1545">
        <f>BG!$L$9</f>
        <v>1228.2666666666667</v>
      </c>
      <c r="AU8" s="1545">
        <f>Ha!$L$9</f>
        <v>1054.1666666666667</v>
      </c>
      <c r="AV8" s="1545">
        <f>Du!$L$9</f>
        <v>1714.166666666667</v>
      </c>
      <c r="AW8" s="1545">
        <f>KöM!$L$9</f>
        <v>2411.666666666667</v>
      </c>
      <c r="AX8" s="1545">
        <f>KH!$L$9</f>
        <v>1534.5</v>
      </c>
      <c r="AY8" s="1545">
        <f>WR!$L$9</f>
        <v>1992</v>
      </c>
      <c r="AZ8" s="1545">
        <f>SR!$L$9</f>
        <v>1245</v>
      </c>
      <c r="BA8" s="1545">
        <f>SoBl!$L$9</f>
        <v>1414.9999999999998</v>
      </c>
      <c r="BB8" s="1545">
        <f>Soja!$L$9</f>
        <v>1381.4999999999998</v>
      </c>
      <c r="BC8" s="1545">
        <f>Öl!$L$9</f>
        <v>593</v>
      </c>
      <c r="BD8" s="1545">
        <f>FE!$L$9</f>
        <v>877.33333333333337</v>
      </c>
      <c r="BE8" s="1545">
        <f>AB!$L$9</f>
        <v>893.66666666666663</v>
      </c>
      <c r="BF8" s="1545">
        <f>Lu!$L$9</f>
        <v>615</v>
      </c>
      <c r="BG8" s="1545">
        <f>ZR!$L$9</f>
        <v>2065.9</v>
      </c>
      <c r="BH8" s="1545">
        <f>FrühKa!$L$9</f>
        <v>10100</v>
      </c>
      <c r="BI8" s="1545">
        <f>FrühKaFolieBer!$L$9</f>
        <v>11783.333333333332</v>
      </c>
      <c r="BJ8" s="1545">
        <f>SpKa!$L$9</f>
        <v>6954</v>
      </c>
      <c r="BK8" s="1545">
        <f>SpKaBer!$L$9</f>
        <v>8075</v>
      </c>
      <c r="BL8" s="1545">
        <v>0</v>
      </c>
      <c r="BM8" s="1545">
        <f>'FAKT-Brachebegrünung'!$L$9</f>
        <v>0</v>
      </c>
      <c r="BN8" s="1545">
        <f>Begr!$L$9</f>
        <v>0</v>
      </c>
      <c r="BO8" s="1547"/>
      <c r="BP8" s="1546">
        <f>'WW1'!$O$9</f>
        <v>2007.666666666667</v>
      </c>
      <c r="BQ8" s="1545">
        <f>'WW2'!$O$9</f>
        <v>1950.0000000000005</v>
      </c>
      <c r="BR8" s="1545">
        <f>'WW3'!$O$9</f>
        <v>1932.3333333333335</v>
      </c>
      <c r="BS8" s="1545">
        <f>'WW4'!$O$9</f>
        <v>1820.1000000000001</v>
      </c>
      <c r="BT8" s="1545">
        <f>WRo!$O$9</f>
        <v>1459.9999999999998</v>
      </c>
      <c r="BU8" s="1545">
        <f>Tr!$O$9</f>
        <v>1757.9999999999998</v>
      </c>
      <c r="BV8" s="1545">
        <f>WG!$O$9</f>
        <v>1586.6666666666667</v>
      </c>
      <c r="BW8" s="1545">
        <f>Di!$O$9</f>
        <v>1516.666666666667</v>
      </c>
      <c r="BX8" s="1545">
        <f>SW!$O$9</f>
        <v>1625.0000000000005</v>
      </c>
      <c r="BY8" s="1545">
        <f>'SG-Fu'!$O$9</f>
        <v>1306.6666666666667</v>
      </c>
      <c r="BZ8" s="1545">
        <f>BG!$O$9</f>
        <v>1453.8666666666666</v>
      </c>
      <c r="CA8" s="1545">
        <f>Ha!$O$9</f>
        <v>1245.8333333333335</v>
      </c>
      <c r="CB8" s="1545">
        <f>Du!$O$9</f>
        <v>1870.0000000000002</v>
      </c>
      <c r="CC8" s="1545">
        <f>KöM!$O$9</f>
        <v>2894.0000000000005</v>
      </c>
      <c r="CD8" s="1545">
        <f>KH!$O$9</f>
        <v>1705</v>
      </c>
      <c r="CE8" s="1545">
        <f>WR!$O$9</f>
        <v>2490</v>
      </c>
      <c r="CF8" s="1545">
        <f>SR!$O$9</f>
        <v>1494</v>
      </c>
      <c r="CG8" s="1545">
        <f>SoBl!$O$9</f>
        <v>1650.833333333333</v>
      </c>
      <c r="CH8" s="1545">
        <f>Soja!$O$9</f>
        <v>1739.6666666666663</v>
      </c>
      <c r="CI8" s="1545">
        <f>Öl!$O$9</f>
        <v>741.25</v>
      </c>
      <c r="CJ8" s="1545">
        <f>FE!$O$9</f>
        <v>1253.3333333333333</v>
      </c>
      <c r="CK8" s="1545">
        <f>AB!$O$9</f>
        <v>1276.6666666666665</v>
      </c>
      <c r="CL8" s="1545">
        <f>Lu!$O$9</f>
        <v>984</v>
      </c>
      <c r="CM8" s="1545">
        <f>ZR!$O$9</f>
        <v>2405.5</v>
      </c>
      <c r="CN8" s="1545">
        <f>FrühKa!$O$9</f>
        <v>11783.333333333332</v>
      </c>
      <c r="CO8" s="1545">
        <f>FrühKaFolieBer!$O$9</f>
        <v>13466.666666666666</v>
      </c>
      <c r="CP8" s="1545">
        <f>SpKa!$O$9</f>
        <v>7600</v>
      </c>
      <c r="CQ8" s="1545">
        <f>SpKaBer!$O$9</f>
        <v>8854</v>
      </c>
      <c r="CR8" s="1545">
        <f>'Kultur A'!$O$9</f>
        <v>0</v>
      </c>
      <c r="CS8" s="1545">
        <f>'FAKT-Brachebegrünung'!$O$9</f>
        <v>0</v>
      </c>
      <c r="CT8" s="1545">
        <f>Begr!$O$9</f>
        <v>0</v>
      </c>
      <c r="CV8" s="1467" t="s">
        <v>1204</v>
      </c>
      <c r="CW8" s="1456" t="s">
        <v>171</v>
      </c>
      <c r="CX8" s="3665">
        <f>'Öko-KG1'!$I$9</f>
        <v>0</v>
      </c>
      <c r="CY8" s="1545">
        <f>'Öko-KG2'!$I$9</f>
        <v>0</v>
      </c>
      <c r="CZ8" s="1545">
        <f>'Öko-LU1'!$I$9</f>
        <v>0</v>
      </c>
      <c r="DA8" s="1545">
        <f>'Öko-LU2'!$I$9</f>
        <v>0</v>
      </c>
      <c r="DB8" s="1545">
        <f>'Öko-WW-Futter'!$I$9</f>
        <v>1058.2</v>
      </c>
      <c r="DC8" s="1545">
        <f>'Öko-WW-Brot'!$I$9</f>
        <v>1387.0999999999997</v>
      </c>
      <c r="DD8" s="1545">
        <f>'Öko-Dinkel'!$I$9</f>
        <v>1294.125</v>
      </c>
      <c r="DE8" s="1545">
        <f>'Öko-Dinkel,gegerbt'!$I$9</f>
        <v>1462.6937500000006</v>
      </c>
      <c r="DF8" s="1545">
        <f>'Öko-Roggen'!$I$9</f>
        <v>1058.5000000000002</v>
      </c>
      <c r="DG8" s="1545">
        <f>'Öko-Hafer'!$I$9</f>
        <v>1157.5999999999999</v>
      </c>
      <c r="DH8" s="1545">
        <f>'Öko-Wintergerste'!$I$9</f>
        <v>1031.2</v>
      </c>
      <c r="DI8" s="1545">
        <f>'Öko-Braugerste'!$I$9</f>
        <v>1123.3687499999999</v>
      </c>
      <c r="DJ8" s="1545">
        <f>'Öko-Körnermais'!$I$9</f>
        <v>2338.9999999999995</v>
      </c>
      <c r="DK8" s="1545">
        <f>'Öko-Ackerbohnen'!$I$9</f>
        <v>1383.4625000000001</v>
      </c>
      <c r="DL8" s="1545">
        <f>'Öko-Erbsen'!$I$9</f>
        <v>1151.3999999999996</v>
      </c>
      <c r="DM8" s="1545">
        <f>'Öko-Sojabohnen'!$I$9</f>
        <v>2286.5000000000005</v>
      </c>
      <c r="DN8" s="1545">
        <f>'Öko-Soblu'!$I$9</f>
        <v>1671.1000000000001</v>
      </c>
      <c r="DO8" s="1545">
        <f>'Öko-Raps'!$I$9</f>
        <v>967.8</v>
      </c>
      <c r="DP8" s="1545">
        <f>'Öko-Kartoffel'!$I$9</f>
        <v>8626.4999999999982</v>
      </c>
      <c r="DQ8" s="1545" t="e">
        <f>#REF!</f>
        <v>#REF!</v>
      </c>
      <c r="DR8" s="1545">
        <f>Begrün.!$I$9</f>
        <v>0</v>
      </c>
      <c r="DS8" s="1545">
        <f>Blühm.!$I$9</f>
        <v>0</v>
      </c>
      <c r="DT8" s="1456"/>
      <c r="DU8" s="1545">
        <f>'Öko-KG1'!$L$9</f>
        <v>0</v>
      </c>
      <c r="DV8" s="1545">
        <f>'Öko-KG2'!$L$9</f>
        <v>0</v>
      </c>
      <c r="DW8" s="1545">
        <f>'Öko-LU1'!$L$9</f>
        <v>0</v>
      </c>
      <c r="DX8" s="1545">
        <f>'Öko-LU2'!$L$9</f>
        <v>0</v>
      </c>
      <c r="DY8" s="1546">
        <f>'Öko-WW-Futter'!$L$9</f>
        <v>1410.9333333333334</v>
      </c>
      <c r="DZ8" s="1545">
        <f>'Öko-WW-Brot'!$L$9</f>
        <v>1849.4666666666662</v>
      </c>
      <c r="EA8" s="1545">
        <f>'Öko-Dinkel'!$L$9</f>
        <v>1725.5</v>
      </c>
      <c r="EB8" s="1545">
        <f>'Öko-Dinkel,gegerbt'!$L$9</f>
        <v>1950.2583333333341</v>
      </c>
      <c r="EC8" s="1545">
        <f>'Öko-Roggen'!$L$9</f>
        <v>1411.3333333333335</v>
      </c>
      <c r="ED8" s="1545">
        <f>'Öko-Hafer'!$L$9</f>
        <v>1543.4666666666667</v>
      </c>
      <c r="EE8" s="1545">
        <f>'Öko-Wintergerste'!$L$9</f>
        <v>1374.9333333333334</v>
      </c>
      <c r="EF8" s="1545">
        <f>'Öko-Braugerste'!$L$9</f>
        <v>1497.8249999999998</v>
      </c>
      <c r="EG8" s="1545">
        <f>'Öko-Körnermais'!$L$9</f>
        <v>3118.6666666666661</v>
      </c>
      <c r="EH8" s="1545">
        <f>'Öko-Ackerbohnen'!$L$9</f>
        <v>1844.616666666667</v>
      </c>
      <c r="EI8" s="1545">
        <f>'Öko-Erbsen'!$L$9</f>
        <v>1535.1999999999996</v>
      </c>
      <c r="EJ8" s="1545">
        <f>'Öko-Sojabohnen'!$L$9</f>
        <v>2690.0000000000005</v>
      </c>
      <c r="EK8" s="1545">
        <f>'Öko-Soblu'!$L$9</f>
        <v>2506.65</v>
      </c>
      <c r="EL8" s="1545">
        <f>'Öko-Raps'!$L$9</f>
        <v>1838.82</v>
      </c>
      <c r="EM8" s="1545">
        <f>'Öko-Kartoffel'!$L$9</f>
        <v>10783.124999999998</v>
      </c>
      <c r="EN8" s="1545" t="e">
        <f>#REF!</f>
        <v>#REF!</v>
      </c>
      <c r="EO8" s="1545">
        <f>Begrün.!$L$9</f>
        <v>0</v>
      </c>
      <c r="EP8" s="1545">
        <f>Blühm.!$L$9</f>
        <v>0</v>
      </c>
      <c r="EQ8" s="1456"/>
      <c r="ER8" s="1545">
        <f>'Öko-KG1'!$O$9</f>
        <v>0</v>
      </c>
      <c r="ES8" s="1545">
        <f>'Öko-KG2'!$O$9</f>
        <v>0</v>
      </c>
      <c r="ET8" s="1545">
        <f>'Öko-LU1'!$O$9</f>
        <v>0</v>
      </c>
      <c r="EU8" s="1545">
        <f>'Öko-LU2'!$O$9</f>
        <v>0</v>
      </c>
      <c r="EV8" s="1546">
        <f>'Öko-WW-Futter'!$O$9</f>
        <v>2433.86</v>
      </c>
      <c r="EW8" s="1545">
        <f>'Öko-WW-Brot'!$O$9</f>
        <v>2774.1999999999994</v>
      </c>
      <c r="EX8" s="1545">
        <f>'Öko-Dinkel'!$O$9</f>
        <v>2218.5</v>
      </c>
      <c r="EY8" s="1545">
        <f>'Öko-Dinkel,gegerbt'!$O$9</f>
        <v>2437.8229166666674</v>
      </c>
      <c r="EZ8" s="1545">
        <f>'Öko-Roggen'!$O$9</f>
        <v>1764.166666666667</v>
      </c>
      <c r="FA8" s="1545">
        <f>'Öko-Hafer'!$O$9</f>
        <v>1929.3333333333333</v>
      </c>
      <c r="FB8" s="1545">
        <f>'Öko-Wintergerste'!$O$9</f>
        <v>1718.6666666666667</v>
      </c>
      <c r="FC8" s="1545">
        <f>'Öko-Braugerste'!$O$9</f>
        <v>1872.28125</v>
      </c>
      <c r="FD8" s="1545">
        <f>'Öko-Körnermais'!$O$9</f>
        <v>3898.3333333333326</v>
      </c>
      <c r="FE8" s="1545">
        <f>'Öko-Ackerbohnen'!$O$9</f>
        <v>2305.7708333333335</v>
      </c>
      <c r="FF8" s="1545">
        <f>'Öko-Erbsen'!$O$9</f>
        <v>1918.9999999999993</v>
      </c>
      <c r="FG8" s="1545">
        <f>'Öko-Sojabohnen'!$O$9</f>
        <v>3093.5000000000005</v>
      </c>
      <c r="FH8" s="1545">
        <f>'Öko-Soblu'!$O$9</f>
        <v>3342.2000000000003</v>
      </c>
      <c r="FI8" s="1545">
        <f>'Öko-Raps'!$O$9</f>
        <v>2516.2800000000002</v>
      </c>
      <c r="FJ8" s="1545">
        <f>'Öko-Kartoffel'!$O$9</f>
        <v>12939.749999999998</v>
      </c>
      <c r="FK8" s="1545" t="e">
        <f>#REF!</f>
        <v>#REF!</v>
      </c>
      <c r="FL8" s="1545">
        <f>Begrün.!$O$9</f>
        <v>0</v>
      </c>
      <c r="FM8" s="1545">
        <f>Blühm.!$O$9</f>
        <v>0</v>
      </c>
    </row>
    <row r="9" spans="1:169" ht="16.149999999999999" customHeight="1">
      <c r="A9" s="1463">
        <f>ROWS($A$1:A9)</f>
        <v>9</v>
      </c>
      <c r="B9" s="1467" t="s">
        <v>1203</v>
      </c>
      <c r="D9" s="3665">
        <f>'WW1'!$R$10</f>
        <v>431.59999999999997</v>
      </c>
      <c r="E9" s="1545">
        <f>'WW2'!$R$10</f>
        <v>0</v>
      </c>
      <c r="F9" s="1545">
        <f>'WW3'!$R$10</f>
        <v>0</v>
      </c>
      <c r="G9" s="1545">
        <f>'WW4'!$R$10</f>
        <v>0</v>
      </c>
      <c r="H9" s="1545">
        <f>WRo!$R$10</f>
        <v>0</v>
      </c>
      <c r="I9" s="1545">
        <f>Tr!$R$10</f>
        <v>0</v>
      </c>
      <c r="J9" s="1545">
        <f>WG!$R$10</f>
        <v>0</v>
      </c>
      <c r="K9" s="1545">
        <f>Di!$R$10</f>
        <v>0</v>
      </c>
      <c r="L9" s="1545">
        <f>SW!$R$10</f>
        <v>0</v>
      </c>
      <c r="M9" s="1545">
        <f>'SG-Fu'!$R$10</f>
        <v>0</v>
      </c>
      <c r="N9" s="1545">
        <f>BG!$R$10</f>
        <v>93.333333333333343</v>
      </c>
      <c r="O9" s="1545">
        <f>Ha!$R$10</f>
        <v>0</v>
      </c>
      <c r="P9" s="1545">
        <f>Du!$R$10</f>
        <v>0</v>
      </c>
      <c r="Q9" s="1545">
        <f>KöM!$R$10</f>
        <v>0</v>
      </c>
      <c r="R9" s="1545">
        <f>KH!$R$10</f>
        <v>0</v>
      </c>
      <c r="S9" s="1545">
        <f>WR!$R$10</f>
        <v>0</v>
      </c>
      <c r="T9" s="1545">
        <f>SR!$R$10</f>
        <v>0</v>
      </c>
      <c r="U9" s="1545">
        <f>SoBl!$R$10</f>
        <v>0</v>
      </c>
      <c r="V9" s="1545">
        <f>Soja!$R$10</f>
        <v>0</v>
      </c>
      <c r="W9" s="1545">
        <f>Öl!$R$10</f>
        <v>0</v>
      </c>
      <c r="X9" s="1545">
        <f>FE!$R$10</f>
        <v>0</v>
      </c>
      <c r="Y9" s="1545">
        <f>AB!$R$10</f>
        <v>0</v>
      </c>
      <c r="Z9" s="1545">
        <f>Lu!$R$10</f>
        <v>0</v>
      </c>
      <c r="AA9" s="1545">
        <f>ZR!$R$10</f>
        <v>496</v>
      </c>
      <c r="AB9" s="1545">
        <f>FrühKa!$R$10</f>
        <v>0</v>
      </c>
      <c r="AC9" s="1545">
        <f>FrühKaFolieBer!$R$10</f>
        <v>0</v>
      </c>
      <c r="AD9" s="1545">
        <f>SpKa!$R$10</f>
        <v>35</v>
      </c>
      <c r="AE9" s="1545">
        <f>SpKaBer!$R$10</f>
        <v>67</v>
      </c>
      <c r="AF9" s="1545">
        <f>'Kultur A'!$R$10</f>
        <v>0</v>
      </c>
      <c r="AG9" s="1545">
        <f>'FAKT-Brachebegrünung'!$R$10</f>
        <v>0</v>
      </c>
      <c r="AH9" s="1545">
        <f>Begr!$R$10</f>
        <v>0</v>
      </c>
      <c r="AI9" s="1547"/>
      <c r="AJ9" s="1546">
        <f>'WW1'!$S$10</f>
        <v>531.19999999999993</v>
      </c>
      <c r="AK9" s="1545">
        <f>'WW2'!$S$10</f>
        <v>0</v>
      </c>
      <c r="AL9" s="1545">
        <f>'WW3'!$S$10</f>
        <v>0</v>
      </c>
      <c r="AM9" s="1545">
        <f>'WW4'!$S$10</f>
        <v>0</v>
      </c>
      <c r="AN9" s="1545">
        <f>WRo!$S$10</f>
        <v>0</v>
      </c>
      <c r="AO9" s="1545">
        <f>Tr!$S$10</f>
        <v>0</v>
      </c>
      <c r="AP9" s="1545">
        <f>WG!$S$10</f>
        <v>0</v>
      </c>
      <c r="AQ9" s="1545">
        <f>Di!$S$10</f>
        <v>0</v>
      </c>
      <c r="AR9" s="1545">
        <f>SW!$S$10</f>
        <v>0</v>
      </c>
      <c r="AS9" s="1545">
        <f>'SG-Fu'!$S$10</f>
        <v>0</v>
      </c>
      <c r="AT9" s="1545">
        <f>BG!$S$10</f>
        <v>112</v>
      </c>
      <c r="AU9" s="1545">
        <f>Ha!$S$10</f>
        <v>0</v>
      </c>
      <c r="AV9" s="1545">
        <f>Du!$S$10</f>
        <v>0</v>
      </c>
      <c r="AW9" s="1545">
        <f>KöM!$S$10</f>
        <v>0</v>
      </c>
      <c r="AX9" s="1545">
        <f>KH!$S$10</f>
        <v>0</v>
      </c>
      <c r="AY9" s="1545">
        <f>WR!$S$10</f>
        <v>0</v>
      </c>
      <c r="AZ9" s="1545">
        <f>SR!$S$10</f>
        <v>0</v>
      </c>
      <c r="BA9" s="1545">
        <f>SoBl!$S$10</f>
        <v>0</v>
      </c>
      <c r="BB9" s="1545">
        <f>Soja!$S$10</f>
        <v>0</v>
      </c>
      <c r="BC9" s="1545">
        <f>Öl!$S$10</f>
        <v>0</v>
      </c>
      <c r="BD9" s="1545">
        <f>FE!$S$10</f>
        <v>0</v>
      </c>
      <c r="BE9" s="1545">
        <f>AB!$S$10</f>
        <v>0</v>
      </c>
      <c r="BF9" s="1545">
        <f>Lu!$S$10</f>
        <v>0</v>
      </c>
      <c r="BG9" s="1545">
        <f>ZR!$S$10</f>
        <v>33.066666666666663</v>
      </c>
      <c r="BH9" s="1545">
        <f>FrühKa!$S$10</f>
        <v>0</v>
      </c>
      <c r="BI9" s="1545">
        <f>FrühKaFolieBer!$S$10</f>
        <v>0</v>
      </c>
      <c r="BJ9" s="1545">
        <f>SpKa!$S$10</f>
        <v>84</v>
      </c>
      <c r="BK9" s="1545">
        <f>SpKaBer!$S$10</f>
        <v>75</v>
      </c>
      <c r="BL9" s="1545">
        <v>0</v>
      </c>
      <c r="BM9" s="1545">
        <f>'FAKT-Brachebegrünung'!$S$10</f>
        <v>0</v>
      </c>
      <c r="BN9" s="1545">
        <f>Begr!$S$10</f>
        <v>0</v>
      </c>
      <c r="BO9" s="1547"/>
      <c r="BP9" s="1546">
        <f>'WW1'!$T$10</f>
        <v>630.79999999999995</v>
      </c>
      <c r="BQ9" s="1545">
        <f>'WW2'!$T$10</f>
        <v>0</v>
      </c>
      <c r="BR9" s="1545">
        <f>'WW3'!$T$10</f>
        <v>0</v>
      </c>
      <c r="BS9" s="1545">
        <f>'WW4'!$T$10</f>
        <v>0</v>
      </c>
      <c r="BT9" s="1545">
        <f>WRo!$T$10</f>
        <v>0</v>
      </c>
      <c r="BU9" s="1545">
        <f>Tr!$T$10</f>
        <v>0</v>
      </c>
      <c r="BV9" s="1545">
        <f>WG!$T$10</f>
        <v>0</v>
      </c>
      <c r="BW9" s="1545">
        <f>Di!$T$10</f>
        <v>0</v>
      </c>
      <c r="BX9" s="1545">
        <f>SW!$T$10</f>
        <v>0</v>
      </c>
      <c r="BY9" s="1545">
        <f>'SG-Fu'!$T$10</f>
        <v>0</v>
      </c>
      <c r="BZ9" s="1545">
        <f>BG!$T$10</f>
        <v>130.66666666666669</v>
      </c>
      <c r="CA9" s="1545">
        <f>Ha!$T$10</f>
        <v>0</v>
      </c>
      <c r="CB9" s="1545">
        <f>Du!$T$10</f>
        <v>0</v>
      </c>
      <c r="CC9" s="1545">
        <f>KöM!$T$10</f>
        <v>0</v>
      </c>
      <c r="CD9" s="1545">
        <f>KH!$T$10</f>
        <v>0</v>
      </c>
      <c r="CE9" s="1545">
        <f>WR!$T$10</f>
        <v>0</v>
      </c>
      <c r="CF9" s="1545">
        <f>SR!$T$10</f>
        <v>0</v>
      </c>
      <c r="CG9" s="1545">
        <f>SoBl!$T$10</f>
        <v>0</v>
      </c>
      <c r="CH9" s="1545">
        <f>Soja!$T$10</f>
        <v>0</v>
      </c>
      <c r="CI9" s="1545">
        <f>Öl!$T$10</f>
        <v>0</v>
      </c>
      <c r="CJ9" s="1545">
        <f>FE!$T$10</f>
        <v>0</v>
      </c>
      <c r="CK9" s="1545">
        <f>AB!$T$10</f>
        <v>0</v>
      </c>
      <c r="CL9" s="1545">
        <f>Lu!$T$10</f>
        <v>0</v>
      </c>
      <c r="CM9" s="1545">
        <f>ZR!$T$10</f>
        <v>0</v>
      </c>
      <c r="CN9" s="1545">
        <f>FrühKa!$T$10</f>
        <v>0</v>
      </c>
      <c r="CO9" s="1545">
        <f>FrühKaFolieBer!$T$10</f>
        <v>0</v>
      </c>
      <c r="CP9" s="1545">
        <f>SpKa!$T$10</f>
        <v>100</v>
      </c>
      <c r="CQ9" s="1545">
        <f>SpKaBer!$T$10</f>
        <v>84</v>
      </c>
      <c r="CR9" s="1545">
        <f>'Kultur A'!$T$10</f>
        <v>0</v>
      </c>
      <c r="CS9" s="1545">
        <f>'FAKT-Brachebegrünung'!$T$10</f>
        <v>0</v>
      </c>
      <c r="CT9" s="1545">
        <f>Begr!$T$10</f>
        <v>0</v>
      </c>
      <c r="CV9" s="1467" t="s">
        <v>1203</v>
      </c>
      <c r="CW9" s="1456"/>
      <c r="CX9" s="3665">
        <f>'Öko-KG1'!$R$10</f>
        <v>0</v>
      </c>
      <c r="CY9" s="1545">
        <f>'Öko-KG2'!$R$10</f>
        <v>0</v>
      </c>
      <c r="CZ9" s="1545">
        <f>'Öko-LU1'!$R$10</f>
        <v>0</v>
      </c>
      <c r="DA9" s="1545">
        <f>'Öko-LU2'!$R$10</f>
        <v>0</v>
      </c>
      <c r="DB9" s="1545">
        <f>'Öko-WW-Futter'!$R$10</f>
        <v>272.00000000000006</v>
      </c>
      <c r="DC9" s="1545">
        <f>'Öko-WW-Brot'!$R$10</f>
        <v>272.00000000000006</v>
      </c>
      <c r="DD9" s="1545">
        <f>'Öko-Dinkel'!$R$10</f>
        <v>238.00000000000006</v>
      </c>
      <c r="DE9" s="1545">
        <f>'Öko-Dinkel,gegerbt'!$R$10</f>
        <v>454.5625</v>
      </c>
      <c r="DF9" s="1545">
        <f>'Öko-Roggen'!$R$10</f>
        <v>306.00000000000006</v>
      </c>
      <c r="DG9" s="1545">
        <f>'Öko-Hafer'!$R$10</f>
        <v>306.00000000000006</v>
      </c>
      <c r="DH9" s="1545">
        <f>'Öko-Wintergerste'!$R$10</f>
        <v>306.00000000000006</v>
      </c>
      <c r="DI9" s="1545">
        <f>'Öko-Braugerste'!$R$10</f>
        <v>357.98000000000008</v>
      </c>
      <c r="DJ9" s="1545">
        <f>'Öko-Körnermais'!$R$10</f>
        <v>0</v>
      </c>
      <c r="DK9" s="1545">
        <f>'Öko-Ackerbohnen'!$R$10</f>
        <v>0</v>
      </c>
      <c r="DL9" s="1545">
        <f>'Öko-Erbsen'!$R$10</f>
        <v>0</v>
      </c>
      <c r="DM9" s="1545">
        <f>'Öko-Sojabohnen'!$R$10</f>
        <v>0</v>
      </c>
      <c r="DN9" s="1545">
        <f>'Öko-Soblu'!$R$10</f>
        <v>0</v>
      </c>
      <c r="DO9" s="1545">
        <f>'Öko-Raps'!$R$10</f>
        <v>0</v>
      </c>
      <c r="DP9" s="1545">
        <f>'Öko-Kartoffel'!$R$10</f>
        <v>200</v>
      </c>
      <c r="DQ9" s="1545" t="e">
        <f>#REF!</f>
        <v>#REF!</v>
      </c>
      <c r="DR9" s="1545">
        <f>Begrün.!$R$10</f>
        <v>0</v>
      </c>
      <c r="DS9" s="1545">
        <f>Blühm.!$R$10</f>
        <v>0</v>
      </c>
      <c r="DT9" s="1456"/>
      <c r="DU9" s="1545">
        <f>'Öko-KG1'!$S$10</f>
        <v>0</v>
      </c>
      <c r="DV9" s="1545">
        <f>'Öko-KG2'!$S$10</f>
        <v>0</v>
      </c>
      <c r="DW9" s="1545">
        <f>'Öko-LU1'!$S$10</f>
        <v>0</v>
      </c>
      <c r="DX9" s="1545">
        <f>'Öko-LU2'!$S$10</f>
        <v>0</v>
      </c>
      <c r="DY9" s="1546">
        <f>'Öko-WW-Futter'!$S$10</f>
        <v>362.66666666666674</v>
      </c>
      <c r="DZ9" s="1545">
        <f>'Öko-WW-Brot'!$S$10</f>
        <v>362.66666666666674</v>
      </c>
      <c r="EA9" s="1545">
        <f>'Öko-Dinkel'!$S$10</f>
        <v>317.33333333333337</v>
      </c>
      <c r="EB9" s="1545">
        <f>'Öko-Dinkel,gegerbt'!$S$10</f>
        <v>606.08333333333326</v>
      </c>
      <c r="EC9" s="1545">
        <f>'Öko-Roggen'!$S$10</f>
        <v>408.00000000000011</v>
      </c>
      <c r="ED9" s="1545">
        <f>'Öko-Hafer'!$S$10</f>
        <v>408.00000000000011</v>
      </c>
      <c r="EE9" s="1545">
        <f>'Öko-Wintergerste'!$S$10</f>
        <v>408.00000000000011</v>
      </c>
      <c r="EF9" s="1545">
        <f>'Öko-Braugerste'!$S$10</f>
        <v>477.30666666666673</v>
      </c>
      <c r="EG9" s="1545">
        <f>'Öko-Körnermais'!$S$10</f>
        <v>0</v>
      </c>
      <c r="EH9" s="1545">
        <f>'Öko-Ackerbohnen'!$S$10</f>
        <v>0</v>
      </c>
      <c r="EI9" s="1545">
        <f>'Öko-Erbsen'!$S$10</f>
        <v>0</v>
      </c>
      <c r="EJ9" s="1545">
        <f>'Öko-Sojabohnen'!$S$10</f>
        <v>0</v>
      </c>
      <c r="EK9" s="1545">
        <f>'Öko-Soblu'!$S$10</f>
        <v>0</v>
      </c>
      <c r="EL9" s="1545">
        <f>'Öko-Raps'!$S$10</f>
        <v>0</v>
      </c>
      <c r="EM9" s="1545">
        <f>'Öko-Kartoffel'!$S$10</f>
        <v>250</v>
      </c>
      <c r="EN9" s="1545" t="e">
        <f>#REF!</f>
        <v>#REF!</v>
      </c>
      <c r="EO9" s="1545">
        <f>Begrün.!$S$10</f>
        <v>0</v>
      </c>
      <c r="EP9" s="1545">
        <f>Blühm.!$S$10</f>
        <v>0</v>
      </c>
      <c r="EQ9" s="1456"/>
      <c r="ER9" s="1545">
        <f>'Öko-KG1'!$T$10</f>
        <v>0</v>
      </c>
      <c r="ES9" s="1545">
        <f>'Öko-KG2'!$T$10</f>
        <v>0</v>
      </c>
      <c r="ET9" s="1545">
        <f>'Öko-LU1'!$T$10</f>
        <v>0</v>
      </c>
      <c r="EU9" s="1545">
        <f>'Öko-LU2'!$T$10</f>
        <v>0</v>
      </c>
      <c r="EV9" s="1546">
        <f>'Öko-WW-Futter'!$T$10</f>
        <v>625.60000000000014</v>
      </c>
      <c r="EW9" s="1545">
        <f>'Öko-WW-Brot'!$T$10</f>
        <v>544.00000000000011</v>
      </c>
      <c r="EX9" s="1545">
        <f>'Öko-Dinkel'!$T$10</f>
        <v>408.00000000000011</v>
      </c>
      <c r="EY9" s="1545">
        <f>'Öko-Dinkel,gegerbt'!$T$10</f>
        <v>757.60416666666674</v>
      </c>
      <c r="EZ9" s="1545">
        <f>'Öko-Roggen'!$T$10</f>
        <v>510.00000000000011</v>
      </c>
      <c r="FA9" s="1545">
        <f>'Öko-Hafer'!$T$10</f>
        <v>510.00000000000011</v>
      </c>
      <c r="FB9" s="1545">
        <f>'Öko-Wintergerste'!$T$10</f>
        <v>510.00000000000011</v>
      </c>
      <c r="FC9" s="1545">
        <f>'Öko-Braugerste'!$T$10</f>
        <v>596.63333333333344</v>
      </c>
      <c r="FD9" s="1545">
        <f>'Öko-Körnermais'!$T$10</f>
        <v>0</v>
      </c>
      <c r="FE9" s="1545">
        <f>'Öko-Ackerbohnen'!$T$10</f>
        <v>0</v>
      </c>
      <c r="FF9" s="1545">
        <f>'Öko-Erbsen'!$T$10</f>
        <v>0</v>
      </c>
      <c r="FG9" s="1545">
        <f>'Öko-Sojabohnen'!$T$10</f>
        <v>0</v>
      </c>
      <c r="FH9" s="1545">
        <f>'Öko-Soblu'!$T$10</f>
        <v>0</v>
      </c>
      <c r="FI9" s="1545">
        <f>'Öko-Raps'!$T$10</f>
        <v>0</v>
      </c>
      <c r="FJ9" s="1545">
        <f>'Öko-Kartoffel'!$T$10</f>
        <v>300</v>
      </c>
      <c r="FK9" s="1545" t="e">
        <f>#REF!</f>
        <v>#REF!</v>
      </c>
      <c r="FL9" s="1545">
        <f>Begrün.!$T$10</f>
        <v>0</v>
      </c>
      <c r="FM9" s="1545">
        <f>Blühm.!$T$10</f>
        <v>0</v>
      </c>
    </row>
    <row r="10" spans="1:169" ht="16.149999999999999" customHeight="1">
      <c r="A10" s="1463">
        <f>ROWS($A$1:A10)</f>
        <v>10</v>
      </c>
      <c r="B10" s="1467" t="s">
        <v>1202</v>
      </c>
      <c r="C10" s="1466"/>
      <c r="D10" s="3662">
        <f>'WW1'!$J$22</f>
        <v>0</v>
      </c>
      <c r="E10" s="1468">
        <f>'WW2'!$J$22</f>
        <v>0</v>
      </c>
      <c r="F10" s="1468">
        <f>'WW3'!$J$22</f>
        <v>0</v>
      </c>
      <c r="G10" s="1468">
        <f>'WW4'!$J$22</f>
        <v>0</v>
      </c>
      <c r="H10" s="1468">
        <f>WRo!$J$22</f>
        <v>0</v>
      </c>
      <c r="I10" s="1468">
        <f>Tr!$J$22</f>
        <v>0</v>
      </c>
      <c r="J10" s="1468">
        <f>WG!$J$22</f>
        <v>0</v>
      </c>
      <c r="K10" s="1468">
        <f>Di!$J$22</f>
        <v>0</v>
      </c>
      <c r="L10" s="1468">
        <f>SW!$J$22</f>
        <v>0</v>
      </c>
      <c r="M10" s="1468">
        <f>'SG-Fu'!$J$22</f>
        <v>0</v>
      </c>
      <c r="N10" s="1468">
        <f>BG!$J$22</f>
        <v>0</v>
      </c>
      <c r="O10" s="1468">
        <f>Ha!$J$22</f>
        <v>0</v>
      </c>
      <c r="P10" s="1468">
        <f>Du!$J$22</f>
        <v>0</v>
      </c>
      <c r="Q10" s="1468">
        <f>KöM!$J$22</f>
        <v>0</v>
      </c>
      <c r="R10" s="1468">
        <f>KH!$J$22</f>
        <v>0</v>
      </c>
      <c r="S10" s="1468">
        <f>WR!$J$22</f>
        <v>0</v>
      </c>
      <c r="T10" s="1468">
        <f>SR!$J$22</f>
        <v>0</v>
      </c>
      <c r="U10" s="1468">
        <f>SoBl!$J$22</f>
        <v>0</v>
      </c>
      <c r="V10" s="1468">
        <f>Soja!$J$22</f>
        <v>0</v>
      </c>
      <c r="W10" s="1468">
        <f>Öl!$J$22</f>
        <v>0</v>
      </c>
      <c r="X10" s="1468">
        <f>FE!$J$22</f>
        <v>0</v>
      </c>
      <c r="Y10" s="1468">
        <f>AB!$J$22</f>
        <v>0</v>
      </c>
      <c r="Z10" s="1468">
        <f>Lu!$J$22</f>
        <v>0</v>
      </c>
      <c r="AA10" s="1468">
        <f>ZR!$J$22</f>
        <v>0</v>
      </c>
      <c r="AB10" s="1468">
        <f>FrühKa!$J$22</f>
        <v>0</v>
      </c>
      <c r="AC10" s="1468">
        <f>FrühKaFolieBer!$J$22</f>
        <v>0</v>
      </c>
      <c r="AD10" s="1468">
        <f>SpKa!$J$22</f>
        <v>0</v>
      </c>
      <c r="AE10" s="1468">
        <f>SpKaBer!$J$22</f>
        <v>0</v>
      </c>
      <c r="AF10" s="1468">
        <f>'Kultur A'!$J$22</f>
        <v>0</v>
      </c>
      <c r="AG10" s="1468">
        <f>'FAKT-Brachebegrünung'!$J$22</f>
        <v>0</v>
      </c>
      <c r="AH10" s="1468">
        <f>Begr!$J$22</f>
        <v>0</v>
      </c>
      <c r="AI10" s="1465"/>
      <c r="AJ10" s="1466">
        <f>'WW1'!$M$22</f>
        <v>0</v>
      </c>
      <c r="AK10" s="1468">
        <f>'WW2'!$M$22</f>
        <v>0</v>
      </c>
      <c r="AL10" s="1468">
        <f>'WW3'!$M$22</f>
        <v>0</v>
      </c>
      <c r="AM10" s="1468">
        <f>'WW4'!$M$22</f>
        <v>0</v>
      </c>
      <c r="AN10" s="1468">
        <f>WRo!$M$22</f>
        <v>0</v>
      </c>
      <c r="AO10" s="1468">
        <f>Tr!$M$22</f>
        <v>0</v>
      </c>
      <c r="AP10" s="1468">
        <f>WG!$M$22</f>
        <v>0</v>
      </c>
      <c r="AQ10" s="1468">
        <f>Di!$M$22</f>
        <v>0</v>
      </c>
      <c r="AR10" s="1468">
        <f>SW!$M$22</f>
        <v>0</v>
      </c>
      <c r="AS10" s="1468">
        <f>'SG-Fu'!$M$22</f>
        <v>0</v>
      </c>
      <c r="AT10" s="1468">
        <f>BG!$M$22</f>
        <v>0</v>
      </c>
      <c r="AU10" s="1468">
        <f>Ha!$M$22</f>
        <v>0</v>
      </c>
      <c r="AV10" s="1468">
        <f>Du!$M$22</f>
        <v>0</v>
      </c>
      <c r="AW10" s="1468">
        <f>KöM!$M$22</f>
        <v>0</v>
      </c>
      <c r="AX10" s="1468">
        <f>KH!$M$22</f>
        <v>0</v>
      </c>
      <c r="AY10" s="1468">
        <f>WR!$M$22</f>
        <v>0</v>
      </c>
      <c r="AZ10" s="1468">
        <f>SR!$M$22</f>
        <v>0</v>
      </c>
      <c r="BA10" s="1468">
        <f>SoBl!$M$22</f>
        <v>0</v>
      </c>
      <c r="BB10" s="1468">
        <f>Soja!$M$22</f>
        <v>0</v>
      </c>
      <c r="BC10" s="1468">
        <f>Öl!$M$22</f>
        <v>0</v>
      </c>
      <c r="BD10" s="1468">
        <f>FE!$M$22</f>
        <v>0</v>
      </c>
      <c r="BE10" s="1468">
        <f>AB!$M$22</f>
        <v>0</v>
      </c>
      <c r="BF10" s="1468">
        <f>Lu!$M$22</f>
        <v>0</v>
      </c>
      <c r="BG10" s="1468">
        <f>ZR!$M$22</f>
        <v>0</v>
      </c>
      <c r="BH10" s="1468">
        <f>FrühKa!$M$22</f>
        <v>0</v>
      </c>
      <c r="BI10" s="1468">
        <f>FrühKaFolieBer!$M$22</f>
        <v>0</v>
      </c>
      <c r="BJ10" s="1468">
        <f>SpKa!$M$22</f>
        <v>0</v>
      </c>
      <c r="BK10" s="1468">
        <f>SpKaBer!$M$22</f>
        <v>0</v>
      </c>
      <c r="BL10" s="1468">
        <v>0</v>
      </c>
      <c r="BM10" s="1468">
        <f>'FAKT-Brachebegrünung'!$M$22</f>
        <v>0</v>
      </c>
      <c r="BN10" s="1468">
        <f>Begr!$M$22</f>
        <v>0</v>
      </c>
      <c r="BO10" s="1465"/>
      <c r="BP10" s="1466">
        <f>'WW1'!$P$22</f>
        <v>0</v>
      </c>
      <c r="BQ10" s="1468">
        <f>'WW2'!$P$22</f>
        <v>0</v>
      </c>
      <c r="BR10" s="1468">
        <f>'WW3'!$P$22</f>
        <v>0</v>
      </c>
      <c r="BS10" s="1468">
        <f>'WW4'!$P$22</f>
        <v>0</v>
      </c>
      <c r="BT10" s="1468">
        <f>WRo!$P$22</f>
        <v>0</v>
      </c>
      <c r="BU10" s="1468">
        <f>Tr!$P$22</f>
        <v>0</v>
      </c>
      <c r="BV10" s="1468">
        <f>WG!$P$22</f>
        <v>0</v>
      </c>
      <c r="BW10" s="1468">
        <f>Di!$P$22</f>
        <v>0</v>
      </c>
      <c r="BX10" s="1468">
        <f>SW!$P$22</f>
        <v>0</v>
      </c>
      <c r="BY10" s="1468">
        <f>'SG-Fu'!$P$22</f>
        <v>0</v>
      </c>
      <c r="BZ10" s="1468">
        <f>BG!$P$22</f>
        <v>0</v>
      </c>
      <c r="CA10" s="1468">
        <f>Ha!$P$22</f>
        <v>0</v>
      </c>
      <c r="CB10" s="1468">
        <f>Du!$P$22</f>
        <v>0</v>
      </c>
      <c r="CC10" s="1468">
        <f>KöM!$P$22</f>
        <v>0</v>
      </c>
      <c r="CD10" s="1468">
        <f>KH!$P$22</f>
        <v>0</v>
      </c>
      <c r="CE10" s="1468">
        <f>WR!$P$22</f>
        <v>0</v>
      </c>
      <c r="CF10" s="1468">
        <f>SR!$P$22</f>
        <v>0</v>
      </c>
      <c r="CG10" s="1468">
        <f>SoBl!$P$22</f>
        <v>0</v>
      </c>
      <c r="CH10" s="1468">
        <f>Soja!$P$22</f>
        <v>0</v>
      </c>
      <c r="CI10" s="1468">
        <f>Öl!$P$22</f>
        <v>0</v>
      </c>
      <c r="CJ10" s="1468">
        <f>FE!$P$22</f>
        <v>0</v>
      </c>
      <c r="CK10" s="1468">
        <f>AB!$P$22</f>
        <v>0</v>
      </c>
      <c r="CL10" s="1468">
        <f>Lu!$P$22</f>
        <v>0</v>
      </c>
      <c r="CM10" s="1468">
        <f>ZR!$P$22</f>
        <v>0</v>
      </c>
      <c r="CN10" s="1468">
        <f>FrühKa!$P$22</f>
        <v>0</v>
      </c>
      <c r="CO10" s="1468">
        <f>FrühKaFolieBer!$P$22</f>
        <v>0</v>
      </c>
      <c r="CP10" s="1468">
        <f>SpKa!$P$22</f>
        <v>0</v>
      </c>
      <c r="CQ10" s="1468">
        <f>SpKaBer!$P$22</f>
        <v>0</v>
      </c>
      <c r="CR10" s="1468">
        <f>'Kultur A'!$P$22</f>
        <v>0</v>
      </c>
      <c r="CS10" s="1468">
        <f>'FAKT-Brachebegrünung'!$P$22</f>
        <v>0</v>
      </c>
      <c r="CT10" s="1468">
        <f>Begr!$P$22</f>
        <v>0</v>
      </c>
      <c r="CV10" s="1467" t="s">
        <v>1202</v>
      </c>
      <c r="CW10" s="1466"/>
      <c r="CX10" s="3662">
        <f>'Öko-KG1'!$J$22</f>
        <v>0</v>
      </c>
      <c r="CY10" s="1468">
        <f>'Öko-KG2'!$J$22</f>
        <v>0</v>
      </c>
      <c r="CZ10" s="1468">
        <f>'Öko-LU1'!$J$22</f>
        <v>0</v>
      </c>
      <c r="DA10" s="1468">
        <f>'Öko-LU2'!$J$22</f>
        <v>0</v>
      </c>
      <c r="DB10" s="1468">
        <f>'Öko-WW-Futter'!$J$22</f>
        <v>0</v>
      </c>
      <c r="DC10" s="1468">
        <f>'Öko-WW-Brot'!$J$22</f>
        <v>0</v>
      </c>
      <c r="DD10" s="1468">
        <f>'Öko-Dinkel'!$J$22</f>
        <v>0</v>
      </c>
      <c r="DE10" s="1468">
        <f>'Öko-Dinkel,gegerbt'!$J$22</f>
        <v>0</v>
      </c>
      <c r="DF10" s="1468">
        <f>'Öko-Roggen'!$J$22</f>
        <v>0</v>
      </c>
      <c r="DG10" s="1468">
        <f>'Öko-Hafer'!$J$22</f>
        <v>0</v>
      </c>
      <c r="DH10" s="1468">
        <f>'Öko-Wintergerste'!$J$22</f>
        <v>0</v>
      </c>
      <c r="DI10" s="1468">
        <f>'Öko-Braugerste'!$J$22</f>
        <v>0</v>
      </c>
      <c r="DJ10" s="1468">
        <f>'Öko-Körnermais'!$J$22</f>
        <v>0</v>
      </c>
      <c r="DK10" s="1468">
        <f>'Öko-Ackerbohnen'!$J$22</f>
        <v>0</v>
      </c>
      <c r="DL10" s="1468">
        <f>'Öko-Erbsen'!$J$22</f>
        <v>0</v>
      </c>
      <c r="DM10" s="1468">
        <f>'Öko-Sojabohnen'!$J$22</f>
        <v>0</v>
      </c>
      <c r="DN10" s="1468">
        <f>'Öko-Soblu'!$J$22</f>
        <v>0</v>
      </c>
      <c r="DO10" s="1468">
        <f>'Öko-Raps'!$J$22</f>
        <v>0</v>
      </c>
      <c r="DP10" s="1468">
        <f>'Öko-Kartoffel'!$J$22</f>
        <v>0</v>
      </c>
      <c r="DQ10" s="1468" t="e">
        <f>#REF!</f>
        <v>#REF!</v>
      </c>
      <c r="DR10" s="1468">
        <f>Begrün.!$J$22</f>
        <v>0</v>
      </c>
      <c r="DS10" s="1468">
        <f>Blühm.!$J$22</f>
        <v>0</v>
      </c>
      <c r="DT10" s="1456"/>
      <c r="DU10" s="1468">
        <f>'Öko-KG1'!$M$22</f>
        <v>0</v>
      </c>
      <c r="DV10" s="1468">
        <f>'Öko-KG2'!$M$22</f>
        <v>0</v>
      </c>
      <c r="DW10" s="1468">
        <f>'Öko-LU1'!$M$22</f>
        <v>0</v>
      </c>
      <c r="DX10" s="1468">
        <f>'Öko-LU2'!$M$22</f>
        <v>0</v>
      </c>
      <c r="DY10" s="1466">
        <f>'Öko-WW-Futter'!$M$22</f>
        <v>0</v>
      </c>
      <c r="DZ10" s="1468">
        <f>'Öko-WW-Brot'!$M$22</f>
        <v>0</v>
      </c>
      <c r="EA10" s="1468">
        <f>'Öko-Dinkel'!$M$22</f>
        <v>0</v>
      </c>
      <c r="EB10" s="1468">
        <f>'Öko-Dinkel,gegerbt'!$M$22</f>
        <v>0</v>
      </c>
      <c r="EC10" s="1468">
        <f>'Öko-Roggen'!$M$22</f>
        <v>0</v>
      </c>
      <c r="ED10" s="1468">
        <f>'Öko-Hafer'!$M$22</f>
        <v>0</v>
      </c>
      <c r="EE10" s="1468">
        <f>'Öko-Wintergerste'!$M$22</f>
        <v>0</v>
      </c>
      <c r="EF10" s="1468">
        <f>'Öko-Braugerste'!$M$22</f>
        <v>0</v>
      </c>
      <c r="EG10" s="1468">
        <f>'Öko-Körnermais'!$M$22</f>
        <v>0</v>
      </c>
      <c r="EH10" s="1468">
        <f>'Öko-Ackerbohnen'!$M$22</f>
        <v>0</v>
      </c>
      <c r="EI10" s="1468">
        <f>'Öko-Erbsen'!$M$22</f>
        <v>0</v>
      </c>
      <c r="EJ10" s="1468">
        <f>'Öko-Sojabohnen'!$M$22</f>
        <v>0</v>
      </c>
      <c r="EK10" s="1468">
        <f>'Öko-Soblu'!$M$22</f>
        <v>0</v>
      </c>
      <c r="EL10" s="1468">
        <f>'Öko-Raps'!$M$22</f>
        <v>0</v>
      </c>
      <c r="EM10" s="1468">
        <f>'Öko-Kartoffel'!$M$22</f>
        <v>0</v>
      </c>
      <c r="EN10" s="1468" t="e">
        <f>#REF!</f>
        <v>#REF!</v>
      </c>
      <c r="EO10" s="1468">
        <f>Begrün.!$M$22</f>
        <v>0</v>
      </c>
      <c r="EP10" s="1468">
        <f>Blühm.!$M$22</f>
        <v>0</v>
      </c>
      <c r="EQ10" s="1456"/>
      <c r="ER10" s="1468" t="e">
        <f>'Öko-KG1'!#REF!</f>
        <v>#REF!</v>
      </c>
      <c r="ES10" s="1468" t="e">
        <f>'Öko-KG2'!#REF!</f>
        <v>#REF!</v>
      </c>
      <c r="ET10" s="1468" t="e">
        <f>'Öko-LU1'!#REF!</f>
        <v>#REF!</v>
      </c>
      <c r="EU10" s="1468" t="e">
        <f>'Öko-LU2'!#REF!</f>
        <v>#REF!</v>
      </c>
      <c r="EV10" s="1466" t="e">
        <f>'Öko-WW-Futter'!#REF!</f>
        <v>#REF!</v>
      </c>
      <c r="EW10" s="1468" t="e">
        <f>'Öko-WW-Brot'!#REF!</f>
        <v>#REF!</v>
      </c>
      <c r="EX10" s="1468" t="e">
        <f>'Öko-Dinkel'!#REF!</f>
        <v>#REF!</v>
      </c>
      <c r="EY10" s="1468" t="e">
        <f>'Öko-Dinkel,gegerbt'!#REF!</f>
        <v>#REF!</v>
      </c>
      <c r="EZ10" s="1468" t="e">
        <f>'Öko-Roggen'!#REF!</f>
        <v>#REF!</v>
      </c>
      <c r="FA10" s="1468" t="e">
        <f>'Öko-Hafer'!#REF!</f>
        <v>#REF!</v>
      </c>
      <c r="FB10" s="1468" t="e">
        <f>'Öko-Wintergerste'!#REF!</f>
        <v>#REF!</v>
      </c>
      <c r="FC10" s="1468" t="e">
        <f>'Öko-Braugerste'!#REF!</f>
        <v>#REF!</v>
      </c>
      <c r="FD10" s="1468" t="e">
        <f>'Öko-Körnermais'!#REF!</f>
        <v>#REF!</v>
      </c>
      <c r="FE10" s="1468" t="e">
        <f>'Öko-Ackerbohnen'!#REF!</f>
        <v>#REF!</v>
      </c>
      <c r="FF10" s="1468" t="e">
        <f>'Öko-Erbsen'!#REF!</f>
        <v>#REF!</v>
      </c>
      <c r="FG10" s="1468" t="e">
        <f>'Öko-Sojabohnen'!#REF!</f>
        <v>#REF!</v>
      </c>
      <c r="FH10" s="1468" t="e">
        <f>'Öko-Soblu'!#REF!</f>
        <v>#REF!</v>
      </c>
      <c r="FI10" s="1468" t="e">
        <f>'Öko-Raps'!#REF!</f>
        <v>#REF!</v>
      </c>
      <c r="FJ10" s="1468" t="e">
        <f>'Öko-Kartoffel'!#REF!</f>
        <v>#REF!</v>
      </c>
      <c r="FK10" s="1468" t="e">
        <f>#REF!</f>
        <v>#REF!</v>
      </c>
      <c r="FL10" s="1468" t="e">
        <f>Begrün.!#REF!</f>
        <v>#REF!</v>
      </c>
      <c r="FM10" s="1468" t="e">
        <f>Blühm.!#REF!</f>
        <v>#REF!</v>
      </c>
    </row>
    <row r="11" spans="1:169" ht="18" customHeight="1">
      <c r="A11" s="1463">
        <f>ROWS($A$1:A11)</f>
        <v>11</v>
      </c>
      <c r="B11" s="1560" t="s">
        <v>1201</v>
      </c>
      <c r="C11" s="1559"/>
      <c r="D11" s="1531">
        <f t="shared" ref="D11:AH11" si="18">SUM(D8:D10)</f>
        <v>1805.2666666666669</v>
      </c>
      <c r="E11" s="1531">
        <f>SUM(E8:E10)</f>
        <v>1300.0000000000002</v>
      </c>
      <c r="F11" s="1531">
        <f t="shared" si="18"/>
        <v>1250.3333333333335</v>
      </c>
      <c r="G11" s="1531">
        <f t="shared" si="18"/>
        <v>1334.74</v>
      </c>
      <c r="H11" s="1531">
        <f t="shared" si="18"/>
        <v>1070.6666666666665</v>
      </c>
      <c r="I11" s="1531">
        <f t="shared" si="18"/>
        <v>1172</v>
      </c>
      <c r="J11" s="1531">
        <f t="shared" si="18"/>
        <v>1026.6666666666667</v>
      </c>
      <c r="K11" s="1531">
        <f t="shared" si="18"/>
        <v>1083.3333333333335</v>
      </c>
      <c r="L11" s="1531">
        <f t="shared" si="18"/>
        <v>1191.666666666667</v>
      </c>
      <c r="M11" s="1531">
        <f t="shared" si="18"/>
        <v>933.33333333333337</v>
      </c>
      <c r="N11" s="1531">
        <f t="shared" si="18"/>
        <v>1096</v>
      </c>
      <c r="O11" s="1531">
        <f t="shared" si="18"/>
        <v>862.5</v>
      </c>
      <c r="P11" s="1531">
        <f t="shared" si="18"/>
        <v>1246.666666666667</v>
      </c>
      <c r="Q11" s="1531">
        <f t="shared" si="18"/>
        <v>1929.3333333333337</v>
      </c>
      <c r="R11" s="1531">
        <f t="shared" si="18"/>
        <v>1364</v>
      </c>
      <c r="S11" s="1531">
        <f t="shared" si="18"/>
        <v>1494</v>
      </c>
      <c r="T11" s="1531">
        <f t="shared" si="18"/>
        <v>996</v>
      </c>
      <c r="U11" s="1531">
        <f t="shared" si="18"/>
        <v>1179.1666666666665</v>
      </c>
      <c r="V11" s="1531">
        <f t="shared" si="18"/>
        <v>1023.3333333333331</v>
      </c>
      <c r="W11" s="1531">
        <f t="shared" si="18"/>
        <v>444.75</v>
      </c>
      <c r="X11" s="1531">
        <f t="shared" si="18"/>
        <v>501.33333333333331</v>
      </c>
      <c r="Y11" s="1531">
        <f t="shared" si="18"/>
        <v>510.66666666666663</v>
      </c>
      <c r="Z11" s="1531">
        <f t="shared" si="18"/>
        <v>246</v>
      </c>
      <c r="AA11" s="1531">
        <f t="shared" si="18"/>
        <v>1486.5</v>
      </c>
      <c r="AB11" s="1531">
        <f t="shared" si="18"/>
        <v>8416.6666666666661</v>
      </c>
      <c r="AC11" s="1531">
        <f t="shared" si="18"/>
        <v>10100</v>
      </c>
      <c r="AD11" s="1531">
        <f t="shared" si="18"/>
        <v>6970</v>
      </c>
      <c r="AE11" s="1531">
        <f t="shared" si="18"/>
        <v>7344</v>
      </c>
      <c r="AF11" s="1531">
        <f t="shared" si="18"/>
        <v>0</v>
      </c>
      <c r="AG11" s="1531">
        <f t="shared" si="18"/>
        <v>0</v>
      </c>
      <c r="AH11" s="1531">
        <f t="shared" si="18"/>
        <v>0</v>
      </c>
      <c r="AI11" s="1533"/>
      <c r="AJ11" s="1532">
        <f t="shared" ref="AJ11:BN11" si="19">SUM(AJ8:AJ10)</f>
        <v>2221.8666666666668</v>
      </c>
      <c r="AK11" s="1531">
        <f t="shared" si="19"/>
        <v>1625.0000000000005</v>
      </c>
      <c r="AL11" s="1531">
        <f t="shared" si="19"/>
        <v>1591.3333333333335</v>
      </c>
      <c r="AM11" s="1531">
        <f t="shared" si="19"/>
        <v>1577.42</v>
      </c>
      <c r="AN11" s="1531">
        <f t="shared" si="19"/>
        <v>1265.3333333333333</v>
      </c>
      <c r="AO11" s="1531">
        <f t="shared" si="19"/>
        <v>1464.9999999999998</v>
      </c>
      <c r="AP11" s="1531">
        <f t="shared" si="19"/>
        <v>1306.6666666666667</v>
      </c>
      <c r="AQ11" s="1531">
        <f t="shared" si="19"/>
        <v>1300.0000000000002</v>
      </c>
      <c r="AR11" s="1531">
        <f t="shared" si="19"/>
        <v>1408.3333333333337</v>
      </c>
      <c r="AS11" s="1531">
        <f t="shared" si="19"/>
        <v>1120</v>
      </c>
      <c r="AT11" s="1531">
        <f t="shared" si="19"/>
        <v>1340.2666666666667</v>
      </c>
      <c r="AU11" s="1531">
        <f t="shared" si="19"/>
        <v>1054.1666666666667</v>
      </c>
      <c r="AV11" s="1531">
        <f t="shared" si="19"/>
        <v>1714.166666666667</v>
      </c>
      <c r="AW11" s="1531">
        <f t="shared" si="19"/>
        <v>2411.666666666667</v>
      </c>
      <c r="AX11" s="1531">
        <f t="shared" si="19"/>
        <v>1534.5</v>
      </c>
      <c r="AY11" s="1531">
        <f t="shared" si="19"/>
        <v>1992</v>
      </c>
      <c r="AZ11" s="1531">
        <f>SUM(AZ8:AZ10)</f>
        <v>1245</v>
      </c>
      <c r="BA11" s="1531">
        <f t="shared" si="19"/>
        <v>1414.9999999999998</v>
      </c>
      <c r="BB11" s="1531">
        <f t="shared" si="19"/>
        <v>1381.4999999999998</v>
      </c>
      <c r="BC11" s="1531">
        <f t="shared" si="19"/>
        <v>593</v>
      </c>
      <c r="BD11" s="1531">
        <f t="shared" si="19"/>
        <v>877.33333333333337</v>
      </c>
      <c r="BE11" s="1531">
        <f t="shared" si="19"/>
        <v>893.66666666666663</v>
      </c>
      <c r="BF11" s="1531">
        <f t="shared" si="19"/>
        <v>615</v>
      </c>
      <c r="BG11" s="1531">
        <f t="shared" si="19"/>
        <v>2098.9666666666667</v>
      </c>
      <c r="BH11" s="1531">
        <f t="shared" si="19"/>
        <v>10100</v>
      </c>
      <c r="BI11" s="1531">
        <f t="shared" si="19"/>
        <v>11783.333333333332</v>
      </c>
      <c r="BJ11" s="1531">
        <f t="shared" si="19"/>
        <v>7038</v>
      </c>
      <c r="BK11" s="1531">
        <f t="shared" si="19"/>
        <v>8150</v>
      </c>
      <c r="BL11" s="1531">
        <f t="shared" si="19"/>
        <v>0</v>
      </c>
      <c r="BM11" s="1531">
        <f t="shared" si="19"/>
        <v>0</v>
      </c>
      <c r="BN11" s="1531">
        <f t="shared" si="19"/>
        <v>0</v>
      </c>
      <c r="BO11" s="1533"/>
      <c r="BP11" s="1532">
        <f t="shared" ref="BP11:CT11" si="20">SUM(BP8:BP10)</f>
        <v>2638.4666666666672</v>
      </c>
      <c r="BQ11" s="1531">
        <f t="shared" si="20"/>
        <v>1950.0000000000005</v>
      </c>
      <c r="BR11" s="1531">
        <f t="shared" si="20"/>
        <v>1932.3333333333335</v>
      </c>
      <c r="BS11" s="1531">
        <f t="shared" si="20"/>
        <v>1820.1000000000001</v>
      </c>
      <c r="BT11" s="1531">
        <f t="shared" si="20"/>
        <v>1459.9999999999998</v>
      </c>
      <c r="BU11" s="1531">
        <f t="shared" si="20"/>
        <v>1757.9999999999998</v>
      </c>
      <c r="BV11" s="1531">
        <f t="shared" si="20"/>
        <v>1586.6666666666667</v>
      </c>
      <c r="BW11" s="1531">
        <f t="shared" si="20"/>
        <v>1516.666666666667</v>
      </c>
      <c r="BX11" s="1531">
        <f t="shared" si="20"/>
        <v>1625.0000000000005</v>
      </c>
      <c r="BY11" s="1531">
        <f t="shared" si="20"/>
        <v>1306.6666666666667</v>
      </c>
      <c r="BZ11" s="1531">
        <f t="shared" si="20"/>
        <v>1584.5333333333333</v>
      </c>
      <c r="CA11" s="1531">
        <f t="shared" si="20"/>
        <v>1245.8333333333335</v>
      </c>
      <c r="CB11" s="1531">
        <f t="shared" si="20"/>
        <v>1870.0000000000002</v>
      </c>
      <c r="CC11" s="1531">
        <f t="shared" si="20"/>
        <v>2894.0000000000005</v>
      </c>
      <c r="CD11" s="1531">
        <f t="shared" si="20"/>
        <v>1705</v>
      </c>
      <c r="CE11" s="1531">
        <f t="shared" si="20"/>
        <v>2490</v>
      </c>
      <c r="CF11" s="1531">
        <f t="shared" si="20"/>
        <v>1494</v>
      </c>
      <c r="CG11" s="1531">
        <f t="shared" si="20"/>
        <v>1650.833333333333</v>
      </c>
      <c r="CH11" s="1531">
        <f t="shared" si="20"/>
        <v>1739.6666666666663</v>
      </c>
      <c r="CI11" s="1531">
        <f t="shared" si="20"/>
        <v>741.25</v>
      </c>
      <c r="CJ11" s="1531">
        <f t="shared" si="20"/>
        <v>1253.3333333333333</v>
      </c>
      <c r="CK11" s="1531">
        <f t="shared" si="20"/>
        <v>1276.6666666666665</v>
      </c>
      <c r="CL11" s="1531">
        <f t="shared" si="20"/>
        <v>984</v>
      </c>
      <c r="CM11" s="1531">
        <f t="shared" si="20"/>
        <v>2405.5</v>
      </c>
      <c r="CN11" s="1531">
        <f t="shared" si="20"/>
        <v>11783.333333333332</v>
      </c>
      <c r="CO11" s="1531">
        <f t="shared" si="20"/>
        <v>13466.666666666666</v>
      </c>
      <c r="CP11" s="1531">
        <f t="shared" si="20"/>
        <v>7700</v>
      </c>
      <c r="CQ11" s="1531">
        <f t="shared" si="20"/>
        <v>8938</v>
      </c>
      <c r="CR11" s="1531">
        <f>SUM(CR8:CR10)</f>
        <v>0</v>
      </c>
      <c r="CS11" s="1531">
        <f t="shared" si="20"/>
        <v>0</v>
      </c>
      <c r="CT11" s="1531">
        <f t="shared" si="20"/>
        <v>0</v>
      </c>
      <c r="CV11" s="1560" t="s">
        <v>1201</v>
      </c>
      <c r="CW11" s="1559"/>
      <c r="CX11" s="1531">
        <f t="shared" ref="CX11:DK11" si="21">SUM(CX8:CX10)</f>
        <v>0</v>
      </c>
      <c r="CY11" s="1531">
        <f t="shared" si="21"/>
        <v>0</v>
      </c>
      <c r="CZ11" s="1531">
        <f t="shared" si="21"/>
        <v>0</v>
      </c>
      <c r="DA11" s="1531">
        <f t="shared" si="21"/>
        <v>0</v>
      </c>
      <c r="DB11" s="1531">
        <f t="shared" si="21"/>
        <v>1330.2</v>
      </c>
      <c r="DC11" s="1531">
        <f t="shared" si="21"/>
        <v>1659.0999999999997</v>
      </c>
      <c r="DD11" s="1531">
        <f t="shared" si="21"/>
        <v>1532.125</v>
      </c>
      <c r="DE11" s="1531">
        <f t="shared" si="21"/>
        <v>1917.2562500000006</v>
      </c>
      <c r="DF11" s="1531">
        <f t="shared" si="21"/>
        <v>1364.5000000000002</v>
      </c>
      <c r="DG11" s="1531">
        <f t="shared" si="21"/>
        <v>1463.6</v>
      </c>
      <c r="DH11" s="1531">
        <f>SUM(DH8:DH10)</f>
        <v>1337.2</v>
      </c>
      <c r="DI11" s="1531">
        <f t="shared" si="21"/>
        <v>1481.3487499999999</v>
      </c>
      <c r="DJ11" s="1531">
        <f t="shared" si="21"/>
        <v>2338.9999999999995</v>
      </c>
      <c r="DK11" s="1531">
        <f t="shared" si="21"/>
        <v>1383.4625000000001</v>
      </c>
      <c r="DL11" s="1531">
        <f t="shared" ref="DL11:DS11" si="22">SUM(DL8:DL10)</f>
        <v>1151.3999999999996</v>
      </c>
      <c r="DM11" s="1531">
        <f t="shared" si="22"/>
        <v>2286.5000000000005</v>
      </c>
      <c r="DN11" s="1531">
        <f t="shared" si="22"/>
        <v>1671.1000000000001</v>
      </c>
      <c r="DO11" s="1531">
        <f t="shared" si="22"/>
        <v>967.8</v>
      </c>
      <c r="DP11" s="1531">
        <f t="shared" si="22"/>
        <v>8826.4999999999982</v>
      </c>
      <c r="DQ11" s="1531" t="e">
        <f t="shared" si="22"/>
        <v>#REF!</v>
      </c>
      <c r="DR11" s="1531">
        <f t="shared" si="22"/>
        <v>0</v>
      </c>
      <c r="DS11" s="1531">
        <f t="shared" si="22"/>
        <v>0</v>
      </c>
      <c r="DT11" s="1456"/>
      <c r="DU11" s="1531">
        <f t="shared" ref="DU11:EN11" si="23">SUM(DU8:DU10)</f>
        <v>0</v>
      </c>
      <c r="DV11" s="1532">
        <f t="shared" si="23"/>
        <v>0</v>
      </c>
      <c r="DW11" s="1532">
        <f t="shared" si="23"/>
        <v>0</v>
      </c>
      <c r="DX11" s="1532">
        <f t="shared" si="23"/>
        <v>0</v>
      </c>
      <c r="DY11" s="1532">
        <f t="shared" si="23"/>
        <v>1773.6000000000001</v>
      </c>
      <c r="DZ11" s="1531">
        <f t="shared" si="23"/>
        <v>2212.1333333333332</v>
      </c>
      <c r="EA11" s="1531">
        <f t="shared" si="23"/>
        <v>2042.8333333333335</v>
      </c>
      <c r="EB11" s="1531">
        <f t="shared" si="23"/>
        <v>2556.3416666666672</v>
      </c>
      <c r="EC11" s="1531">
        <f t="shared" si="23"/>
        <v>1819.3333333333335</v>
      </c>
      <c r="ED11" s="1531">
        <f t="shared" si="23"/>
        <v>1951.4666666666667</v>
      </c>
      <c r="EE11" s="1531">
        <f>SUM(EE8:EE10)</f>
        <v>1782.9333333333334</v>
      </c>
      <c r="EF11" s="1531">
        <f t="shared" si="23"/>
        <v>1975.1316666666667</v>
      </c>
      <c r="EG11" s="1531">
        <f t="shared" si="23"/>
        <v>3118.6666666666661</v>
      </c>
      <c r="EH11" s="1531">
        <f t="shared" si="23"/>
        <v>1844.616666666667</v>
      </c>
      <c r="EI11" s="1531">
        <f t="shared" si="23"/>
        <v>1535.1999999999996</v>
      </c>
      <c r="EJ11" s="1531">
        <f t="shared" si="23"/>
        <v>2690.0000000000005</v>
      </c>
      <c r="EK11" s="1531">
        <f t="shared" si="23"/>
        <v>2506.65</v>
      </c>
      <c r="EL11" s="1531">
        <f t="shared" si="23"/>
        <v>1838.82</v>
      </c>
      <c r="EM11" s="1531">
        <f t="shared" si="23"/>
        <v>11033.124999999998</v>
      </c>
      <c r="EN11" s="1531" t="e">
        <f t="shared" si="23"/>
        <v>#REF!</v>
      </c>
      <c r="EO11" s="1531">
        <f>SUM(EO8:EO10)</f>
        <v>0</v>
      </c>
      <c r="EP11" s="1531">
        <f>SUM(EP8:EP10)</f>
        <v>0</v>
      </c>
      <c r="EQ11" s="1456"/>
      <c r="ER11" s="1531" t="e">
        <f t="shared" ref="ER11:FK11" si="24">SUM(ER8:ER10)</f>
        <v>#REF!</v>
      </c>
      <c r="ES11" s="1532" t="e">
        <f t="shared" si="24"/>
        <v>#REF!</v>
      </c>
      <c r="ET11" s="1532" t="e">
        <f t="shared" si="24"/>
        <v>#REF!</v>
      </c>
      <c r="EU11" s="1532" t="e">
        <f t="shared" si="24"/>
        <v>#REF!</v>
      </c>
      <c r="EV11" s="1532" t="e">
        <f t="shared" si="24"/>
        <v>#REF!</v>
      </c>
      <c r="EW11" s="1531" t="e">
        <f t="shared" si="24"/>
        <v>#REF!</v>
      </c>
      <c r="EX11" s="1531" t="e">
        <f t="shared" si="24"/>
        <v>#REF!</v>
      </c>
      <c r="EY11" s="1531" t="e">
        <f t="shared" si="24"/>
        <v>#REF!</v>
      </c>
      <c r="EZ11" s="1531" t="e">
        <f t="shared" si="24"/>
        <v>#REF!</v>
      </c>
      <c r="FA11" s="1531" t="e">
        <f t="shared" si="24"/>
        <v>#REF!</v>
      </c>
      <c r="FB11" s="1531" t="e">
        <f>SUM(FB8:FB10)</f>
        <v>#REF!</v>
      </c>
      <c r="FC11" s="1531" t="e">
        <f t="shared" si="24"/>
        <v>#REF!</v>
      </c>
      <c r="FD11" s="1531" t="e">
        <f t="shared" si="24"/>
        <v>#REF!</v>
      </c>
      <c r="FE11" s="1531" t="e">
        <f t="shared" si="24"/>
        <v>#REF!</v>
      </c>
      <c r="FF11" s="1531" t="e">
        <f t="shared" si="24"/>
        <v>#REF!</v>
      </c>
      <c r="FG11" s="1531" t="e">
        <f t="shared" si="24"/>
        <v>#REF!</v>
      </c>
      <c r="FH11" s="1531" t="e">
        <f t="shared" si="24"/>
        <v>#REF!</v>
      </c>
      <c r="FI11" s="1531" t="e">
        <f t="shared" si="24"/>
        <v>#REF!</v>
      </c>
      <c r="FJ11" s="1531" t="e">
        <f t="shared" si="24"/>
        <v>#REF!</v>
      </c>
      <c r="FK11" s="1531" t="e">
        <f t="shared" si="24"/>
        <v>#REF!</v>
      </c>
      <c r="FL11" s="1531" t="e">
        <f>SUM(FL8:FL10)</f>
        <v>#REF!</v>
      </c>
      <c r="FM11" s="1531" t="e">
        <f>SUM(FM8:FM10)</f>
        <v>#REF!</v>
      </c>
    </row>
    <row r="12" spans="1:169" ht="16.149999999999999" customHeight="1">
      <c r="A12" s="1463">
        <f>ROWS($A$1:A12)</f>
        <v>12</v>
      </c>
      <c r="B12" s="1538" t="s">
        <v>1200</v>
      </c>
      <c r="C12" s="1558" t="s">
        <v>171</v>
      </c>
      <c r="D12" s="3663">
        <f>'WW1'!$J$23</f>
        <v>158</v>
      </c>
      <c r="E12" s="1516">
        <f>'WW2'!$J$23</f>
        <v>161.5</v>
      </c>
      <c r="F12" s="1516">
        <f>'WW3'!$J$23</f>
        <v>158.4</v>
      </c>
      <c r="G12" s="1516">
        <f>'WW4'!$J$23</f>
        <v>153</v>
      </c>
      <c r="H12" s="1516">
        <f>WRo!$J$23</f>
        <v>82.5</v>
      </c>
      <c r="I12" s="1516">
        <f>Tr!$J$23</f>
        <v>126</v>
      </c>
      <c r="J12" s="1516">
        <f>WG!$J$23</f>
        <v>145.25</v>
      </c>
      <c r="K12" s="1516">
        <f>Di!$J$23</f>
        <v>202.29999999999998</v>
      </c>
      <c r="L12" s="1516">
        <f>SW!$J$23</f>
        <v>153</v>
      </c>
      <c r="M12" s="1516">
        <f>'SG-Fu'!$J$23</f>
        <v>153.6</v>
      </c>
      <c r="N12" s="1516">
        <f>BG!$J$23</f>
        <v>152</v>
      </c>
      <c r="O12" s="1516">
        <f>Ha!$J$23</f>
        <v>117.6</v>
      </c>
      <c r="P12" s="1516">
        <f>Du!$J$23</f>
        <v>262</v>
      </c>
      <c r="Q12" s="1516">
        <f>KöM!$J$23</f>
        <v>243</v>
      </c>
      <c r="R12" s="1516">
        <f>KH!$J$23</f>
        <v>125</v>
      </c>
      <c r="S12" s="1516">
        <f>WR!$J$23</f>
        <v>105</v>
      </c>
      <c r="T12" s="1516">
        <f>SR!$J$23</f>
        <v>168</v>
      </c>
      <c r="U12" s="1516">
        <f>SoBl!$J$23</f>
        <v>175</v>
      </c>
      <c r="V12" s="1516">
        <f>Soja!$J$23</f>
        <v>340</v>
      </c>
      <c r="W12" s="1516">
        <f>Öl!$J$23</f>
        <v>310</v>
      </c>
      <c r="X12" s="1516">
        <f>FE!$J$23</f>
        <v>153.6</v>
      </c>
      <c r="Y12" s="1516">
        <f>AB!$J$23</f>
        <v>151.19999999999999</v>
      </c>
      <c r="Z12" s="1516">
        <f>Lu!$J$23</f>
        <v>222.2</v>
      </c>
      <c r="AA12" s="1516">
        <f>ZR!$J$23</f>
        <v>275</v>
      </c>
      <c r="AB12" s="1516">
        <f>FrühKa!$J$23</f>
        <v>4995</v>
      </c>
      <c r="AC12" s="1516">
        <f>FrühKaFolieBer!$J$23</f>
        <v>4995</v>
      </c>
      <c r="AD12" s="1516">
        <f>SpKa!$J$23</f>
        <v>4425</v>
      </c>
      <c r="AE12" s="1516">
        <f>SpKaBer!$J$23</f>
        <v>4425</v>
      </c>
      <c r="AF12" s="1516">
        <f>'Kultur A'!$J$23</f>
        <v>0</v>
      </c>
      <c r="AG12" s="1516">
        <f>'FAKT-Brachebegrünung'!$J$23</f>
        <v>68.400000000000006</v>
      </c>
      <c r="AH12" s="1516">
        <f>Begr!$J$23</f>
        <v>62.5</v>
      </c>
      <c r="AI12" s="1518"/>
      <c r="AJ12" s="1517">
        <f>'WW1'!$M$23</f>
        <v>158</v>
      </c>
      <c r="AK12" s="1516">
        <f>'WW2'!$M$23</f>
        <v>161.5</v>
      </c>
      <c r="AL12" s="1516">
        <f>'WW3'!$M$23</f>
        <v>158.4</v>
      </c>
      <c r="AM12" s="1516">
        <f>'WW4'!$M$23</f>
        <v>153</v>
      </c>
      <c r="AN12" s="1516">
        <f>WRo!$M$23</f>
        <v>82.5</v>
      </c>
      <c r="AO12" s="1516">
        <f>Tr!$M$23</f>
        <v>126</v>
      </c>
      <c r="AP12" s="1516">
        <f>WG!$M$23</f>
        <v>145.25</v>
      </c>
      <c r="AQ12" s="1516">
        <f>Di!$M$23</f>
        <v>202.29999999999998</v>
      </c>
      <c r="AR12" s="1516">
        <f>SW!$M$23</f>
        <v>153</v>
      </c>
      <c r="AS12" s="1516">
        <f>'SG-Fu'!$M$23</f>
        <v>153.6</v>
      </c>
      <c r="AT12" s="1516">
        <f>BG!$M$23</f>
        <v>152</v>
      </c>
      <c r="AU12" s="1516">
        <f>Ha!$M$23</f>
        <v>117.6</v>
      </c>
      <c r="AV12" s="1516">
        <f>Du!$M$23</f>
        <v>262</v>
      </c>
      <c r="AW12" s="1516">
        <f>KöM!$M$23</f>
        <v>243</v>
      </c>
      <c r="AX12" s="1516">
        <f>KH!$M$23</f>
        <v>125</v>
      </c>
      <c r="AY12" s="1516">
        <f>WR!$M$23</f>
        <v>105</v>
      </c>
      <c r="AZ12" s="1516">
        <f>SR!$M$23</f>
        <v>168</v>
      </c>
      <c r="BA12" s="1516">
        <f>SoBl!$M$23</f>
        <v>175</v>
      </c>
      <c r="BB12" s="1516">
        <f>Soja!$M$23</f>
        <v>340</v>
      </c>
      <c r="BC12" s="1516">
        <f>Öl!$M$23</f>
        <v>310</v>
      </c>
      <c r="BD12" s="1516">
        <f>FE!$M$23</f>
        <v>168</v>
      </c>
      <c r="BE12" s="1516">
        <f>AB!$M$23</f>
        <v>176.4</v>
      </c>
      <c r="BF12" s="1516">
        <f>Lu!$M$23</f>
        <v>222.2</v>
      </c>
      <c r="BG12" s="1516">
        <f>ZR!$M$23</f>
        <v>275</v>
      </c>
      <c r="BH12" s="1516">
        <f>FrühKa!$M$23</f>
        <v>4995</v>
      </c>
      <c r="BI12" s="1516">
        <f>FrühKaFolieBer!$M$23</f>
        <v>4995</v>
      </c>
      <c r="BJ12" s="1516">
        <f>SpKa!$M$23</f>
        <v>4425</v>
      </c>
      <c r="BK12" s="1516">
        <f>SpKaBer!$M$23</f>
        <v>4425</v>
      </c>
      <c r="BL12" s="1516">
        <v>0</v>
      </c>
      <c r="BM12" s="1516">
        <f>'FAKT-Brachebegrünung'!$M$23</f>
        <v>68.400000000000006</v>
      </c>
      <c r="BN12" s="1516">
        <f>Begr!$M$23</f>
        <v>62.5</v>
      </c>
      <c r="BO12" s="1518"/>
      <c r="BP12" s="1517">
        <f>'WW1'!$P$23</f>
        <v>158</v>
      </c>
      <c r="BQ12" s="1516">
        <f>'WW2'!$P$23</f>
        <v>161.5</v>
      </c>
      <c r="BR12" s="1516">
        <f>'WW3'!$P$23</f>
        <v>158.4</v>
      </c>
      <c r="BS12" s="1516">
        <f>'WW4'!$P$23</f>
        <v>153</v>
      </c>
      <c r="BT12" s="1516">
        <f>WRo!$P$23</f>
        <v>62.099999999999994</v>
      </c>
      <c r="BU12" s="1516">
        <f>Tr!$P$23</f>
        <v>126</v>
      </c>
      <c r="BV12" s="1516">
        <f>WG!$P$23</f>
        <v>145.25</v>
      </c>
      <c r="BW12" s="1516">
        <f>Di!$P$23</f>
        <v>202.29999999999998</v>
      </c>
      <c r="BX12" s="1516">
        <f>SW!$P$23</f>
        <v>153</v>
      </c>
      <c r="BY12" s="1516">
        <f>'SG-Fu'!$P$23</f>
        <v>153.6</v>
      </c>
      <c r="BZ12" s="1516">
        <f>BG!$P$23</f>
        <v>152</v>
      </c>
      <c r="CA12" s="1516">
        <f>Ha!$P$23</f>
        <v>117.6</v>
      </c>
      <c r="CB12" s="1516">
        <f>Du!$P$23</f>
        <v>262</v>
      </c>
      <c r="CC12" s="1516">
        <f>KöM!$P$23</f>
        <v>243</v>
      </c>
      <c r="CD12" s="1516">
        <f>KH!$P$23</f>
        <v>125</v>
      </c>
      <c r="CE12" s="1516">
        <f>WR!$P$23</f>
        <v>105</v>
      </c>
      <c r="CF12" s="1516">
        <f>SR!$P$23</f>
        <v>168</v>
      </c>
      <c r="CG12" s="1516">
        <f>SoBl!$P$23</f>
        <v>175</v>
      </c>
      <c r="CH12" s="1516">
        <f>Soja!$P$23</f>
        <v>340</v>
      </c>
      <c r="CI12" s="1516">
        <f>Öl!$P$23</f>
        <v>310</v>
      </c>
      <c r="CJ12" s="1516">
        <f>FE!$P$23</f>
        <v>182.4</v>
      </c>
      <c r="CK12" s="1516">
        <f>AB!$P$23</f>
        <v>201.6</v>
      </c>
      <c r="CL12" s="1516">
        <f>Lu!$P$23</f>
        <v>222.2</v>
      </c>
      <c r="CM12" s="1516">
        <f>ZR!$P$23</f>
        <v>275</v>
      </c>
      <c r="CN12" s="1516">
        <f>FrühKa!$P$23</f>
        <v>4995</v>
      </c>
      <c r="CO12" s="1516">
        <f>FrühKaFolieBer!$P$23</f>
        <v>4995</v>
      </c>
      <c r="CP12" s="1516">
        <f>SpKa!$P$23</f>
        <v>4425</v>
      </c>
      <c r="CQ12" s="1516">
        <f>SpKaBer!$P$23</f>
        <v>4425</v>
      </c>
      <c r="CR12" s="1516">
        <f>'Kultur A'!$P$23</f>
        <v>0</v>
      </c>
      <c r="CS12" s="1516">
        <f>'FAKT-Brachebegrünung'!$P$23</f>
        <v>68.400000000000006</v>
      </c>
      <c r="CT12" s="1516">
        <f>Begr!$P$23</f>
        <v>62.5</v>
      </c>
      <c r="CV12" s="1538" t="s">
        <v>1200</v>
      </c>
      <c r="CW12" s="1558" t="s">
        <v>171</v>
      </c>
      <c r="CX12" s="3663">
        <f>'Öko-KG1'!$J$23</f>
        <v>200</v>
      </c>
      <c r="CY12" s="1468">
        <f>'Öko-KG2'!$J$23</f>
        <v>90</v>
      </c>
      <c r="CZ12" s="1468">
        <f>'Öko-LU1'!$J$23</f>
        <v>165</v>
      </c>
      <c r="DA12" s="1468">
        <f>'Öko-LU2'!$J$23</f>
        <v>82.5</v>
      </c>
      <c r="DB12" s="1466">
        <f>'Öko-WW-Futter'!$J$23</f>
        <v>147.6</v>
      </c>
      <c r="DC12" s="1468">
        <f>'Öko-WW-Brot'!$J$23</f>
        <v>174.8</v>
      </c>
      <c r="DD12" s="1468">
        <f>'Öko-Dinkel'!$J$23</f>
        <v>260</v>
      </c>
      <c r="DE12" s="1468">
        <f>'Öko-Dinkel,gegerbt'!$J$23</f>
        <v>260</v>
      </c>
      <c r="DF12" s="1468">
        <f>'Öko-Roggen'!$J$23</f>
        <v>122.99999999999999</v>
      </c>
      <c r="DG12" s="1468">
        <f>'Öko-Hafer'!$J$23</f>
        <v>119</v>
      </c>
      <c r="DH12" s="1468">
        <f>'Öko-Wintergerste'!$J$23</f>
        <v>117.6</v>
      </c>
      <c r="DI12" s="1468">
        <f>'Öko-Braugerste'!$J$23</f>
        <v>117.6</v>
      </c>
      <c r="DJ12" s="1468">
        <f>'Öko-Körnermais'!$J$23</f>
        <v>210</v>
      </c>
      <c r="DK12" s="1468">
        <f>'Öko-Ackerbohnen'!$J$23</f>
        <v>250</v>
      </c>
      <c r="DL12" s="1468">
        <f>'Öko-Erbsen'!$J$23</f>
        <v>240</v>
      </c>
      <c r="DM12" s="1468">
        <f>'Öko-Sojabohnen'!$J$23</f>
        <v>272</v>
      </c>
      <c r="DN12" s="1468">
        <f>'Öko-Soblu'!$J$23</f>
        <v>225</v>
      </c>
      <c r="DO12" s="1468">
        <f>'Öko-Raps'!$J$23</f>
        <v>57.749999999999993</v>
      </c>
      <c r="DP12" s="1468">
        <f>'Öko-Kartoffel'!$J$23</f>
        <v>2250</v>
      </c>
      <c r="DQ12" s="1468" t="e">
        <f>#REF!</f>
        <v>#REF!</v>
      </c>
      <c r="DR12" s="1468">
        <f>Begrün.!$J$23</f>
        <v>245</v>
      </c>
      <c r="DS12" s="1468">
        <f>Blühm.!$J$23</f>
        <v>135</v>
      </c>
      <c r="DT12" s="1456"/>
      <c r="DU12" s="1516">
        <f>'Öko-KG1'!$M$23</f>
        <v>200</v>
      </c>
      <c r="DV12" s="1516">
        <f>'Öko-KG2'!$M$23</f>
        <v>90</v>
      </c>
      <c r="DW12" s="1516">
        <f>'Öko-LU1'!$M$23</f>
        <v>165</v>
      </c>
      <c r="DX12" s="1516">
        <f>'Öko-LU2'!$M$23</f>
        <v>82.5</v>
      </c>
      <c r="DY12" s="1517">
        <f>'Öko-WW-Futter'!$M$23</f>
        <v>147.6</v>
      </c>
      <c r="DZ12" s="1516">
        <f>'Öko-WW-Brot'!$M$23</f>
        <v>174.8</v>
      </c>
      <c r="EA12" s="1516">
        <f>'Öko-Dinkel'!$M$23</f>
        <v>260</v>
      </c>
      <c r="EB12" s="1516">
        <f>'Öko-Dinkel,gegerbt'!$M$23</f>
        <v>260</v>
      </c>
      <c r="EC12" s="1516">
        <f>'Öko-Roggen'!$M$23</f>
        <v>122.99999999999999</v>
      </c>
      <c r="ED12" s="1516">
        <f>'Öko-Hafer'!$M$23</f>
        <v>119</v>
      </c>
      <c r="EE12" s="1516">
        <f>'Öko-Wintergerste'!$M$23</f>
        <v>117.6</v>
      </c>
      <c r="EF12" s="1516">
        <f>'Öko-Braugerste'!$M$23</f>
        <v>117.6</v>
      </c>
      <c r="EG12" s="1516">
        <f>'Öko-Körnermais'!$M$23</f>
        <v>210</v>
      </c>
      <c r="EH12" s="1516">
        <f>'Öko-Ackerbohnen'!$M$23</f>
        <v>250</v>
      </c>
      <c r="EI12" s="1516">
        <f>'Öko-Erbsen'!$M$23</f>
        <v>240</v>
      </c>
      <c r="EJ12" s="1516">
        <f>'Öko-Sojabohnen'!$M$23</f>
        <v>272</v>
      </c>
      <c r="EK12" s="1516">
        <f>'Öko-Soblu'!$M$23</f>
        <v>225</v>
      </c>
      <c r="EL12" s="1516">
        <f>'Öko-Raps'!$M$23</f>
        <v>57.749999999999993</v>
      </c>
      <c r="EM12" s="1516">
        <f>'Öko-Kartoffel'!$M$23</f>
        <v>2250</v>
      </c>
      <c r="EN12" s="1516" t="e">
        <f>#REF!</f>
        <v>#REF!</v>
      </c>
      <c r="EO12" s="1516">
        <f>Begrün.!$M$23</f>
        <v>245</v>
      </c>
      <c r="EP12" s="1516">
        <f>Blühm.!$M$23</f>
        <v>135</v>
      </c>
      <c r="EQ12" s="1456"/>
      <c r="ER12" s="1516">
        <f>'Öko-KG1'!$P$23</f>
        <v>200</v>
      </c>
      <c r="ES12" s="1516">
        <f>'Öko-KG2'!$P$23</f>
        <v>90</v>
      </c>
      <c r="ET12" s="1516">
        <f>'Öko-LU1'!$P$23</f>
        <v>165</v>
      </c>
      <c r="EU12" s="1516">
        <f>'Öko-LU2'!$P$23</f>
        <v>82.5</v>
      </c>
      <c r="EV12" s="1517">
        <f>'Öko-WW-Futter'!$P$23</f>
        <v>147.6</v>
      </c>
      <c r="EW12" s="1516">
        <f>'Öko-WW-Brot'!$P$23</f>
        <v>174.8</v>
      </c>
      <c r="EX12" s="1516">
        <f>'Öko-Dinkel'!$P$23</f>
        <v>260</v>
      </c>
      <c r="EY12" s="1516">
        <f>'Öko-Dinkel,gegerbt'!$P$23</f>
        <v>260</v>
      </c>
      <c r="EZ12" s="1516">
        <f>'Öko-Roggen'!$P$23</f>
        <v>122.99999999999999</v>
      </c>
      <c r="FA12" s="1516">
        <f>'Öko-Hafer'!$P$23</f>
        <v>119</v>
      </c>
      <c r="FB12" s="1516">
        <f>'Öko-Wintergerste'!$P$23</f>
        <v>117.6</v>
      </c>
      <c r="FC12" s="1516">
        <f>'Öko-Braugerste'!$P$23</f>
        <v>117.6</v>
      </c>
      <c r="FD12" s="1516">
        <f>'Öko-Körnermais'!$P$23</f>
        <v>210</v>
      </c>
      <c r="FE12" s="1516">
        <f>'Öko-Ackerbohnen'!$P$23</f>
        <v>250</v>
      </c>
      <c r="FF12" s="1516">
        <f>'Öko-Erbsen'!$P$23</f>
        <v>240</v>
      </c>
      <c r="FG12" s="1516">
        <f>'Öko-Sojabohnen'!$P$23</f>
        <v>272</v>
      </c>
      <c r="FH12" s="1516">
        <f>'Öko-Soblu'!$P$23</f>
        <v>225</v>
      </c>
      <c r="FI12" s="1516">
        <f>'Öko-Raps'!$P$23</f>
        <v>57.749999999999993</v>
      </c>
      <c r="FJ12" s="1516">
        <f>'Öko-Kartoffel'!$P$23</f>
        <v>2250</v>
      </c>
      <c r="FK12" s="1516" t="e">
        <f>#REF!</f>
        <v>#REF!</v>
      </c>
      <c r="FL12" s="1516">
        <f>Begrün.!$P$23</f>
        <v>245</v>
      </c>
      <c r="FM12" s="1516">
        <f>Blühm.!$P$23</f>
        <v>135</v>
      </c>
    </row>
    <row r="13" spans="1:169" ht="16.149999999999999" customHeight="1">
      <c r="A13" s="1463">
        <f>ROWS($A$1:A13)</f>
        <v>13</v>
      </c>
      <c r="B13" s="1557" t="s">
        <v>1199</v>
      </c>
      <c r="C13" s="1556"/>
      <c r="D13" s="3662">
        <f>'WW1'!$J$27</f>
        <v>438.80069999999989</v>
      </c>
      <c r="E13" s="1468">
        <f>'WW2'!$J$27</f>
        <v>332.80866666666657</v>
      </c>
      <c r="F13" s="1468">
        <f>'WW3'!$J$27</f>
        <v>307.74683333333331</v>
      </c>
      <c r="G13" s="1468">
        <f>'WW4'!$J$27</f>
        <v>334.20183333333335</v>
      </c>
      <c r="H13" s="1468">
        <f>WRo!$J$27</f>
        <v>254.83683333333332</v>
      </c>
      <c r="I13" s="1468">
        <f>Tr!$J$27</f>
        <v>302.02466666666669</v>
      </c>
      <c r="J13" s="1468">
        <f>WG!$J$27</f>
        <v>279.52816666666666</v>
      </c>
      <c r="K13" s="1468">
        <f>Di!$J$27</f>
        <v>252</v>
      </c>
      <c r="L13" s="1468">
        <f>SW!$J$27</f>
        <v>307.74683333333331</v>
      </c>
      <c r="M13" s="1468">
        <f>'SG-Fu'!$J$27</f>
        <v>257.03166666666664</v>
      </c>
      <c r="N13" s="1468">
        <f>BG!$J$27</f>
        <v>204.95366666666663</v>
      </c>
      <c r="O13" s="1468">
        <f>Ha!$J$27</f>
        <v>214.33316666666664</v>
      </c>
      <c r="P13" s="1468">
        <f>Du!$J$27</f>
        <v>242.18133333333327</v>
      </c>
      <c r="Q13" s="1468">
        <f>KöM!$J$27</f>
        <v>331.26133333333325</v>
      </c>
      <c r="R13" s="1468">
        <f>KH!$J$27</f>
        <v>417.02933333333328</v>
      </c>
      <c r="S13" s="1468">
        <f>WR!$J$27</f>
        <v>341.60166666666663</v>
      </c>
      <c r="T13" s="1468">
        <f>SR!$J$27</f>
        <v>254.45666666666665</v>
      </c>
      <c r="U13" s="1468">
        <f>SoBl!$J$27</f>
        <v>233.85916666666665</v>
      </c>
      <c r="V13" s="1468">
        <f>Soja!$J$27</f>
        <v>47.754400000000018</v>
      </c>
      <c r="W13" s="1468">
        <f>Öl!$J$27</f>
        <v>127.51499999999999</v>
      </c>
      <c r="X13" s="1468">
        <f>FE!$J$27</f>
        <v>29.853333333333325</v>
      </c>
      <c r="Y13" s="1468">
        <f>AB!$J$27</f>
        <v>28.84666666666666</v>
      </c>
      <c r="Z13" s="1468">
        <f>Lu!$J$27</f>
        <v>21.188000000000006</v>
      </c>
      <c r="AA13" s="1468">
        <f>ZR!$J$27</f>
        <v>460.54666666666662</v>
      </c>
      <c r="AB13" s="1468">
        <f>FrühKa!$J$27</f>
        <v>522.42499999999995</v>
      </c>
      <c r="AC13" s="1468">
        <f>FrühKaFolieBer!$J$27</f>
        <v>622.22333333333324</v>
      </c>
      <c r="AD13" s="1468">
        <f>SpKa!$J$27</f>
        <v>573.92000000000007</v>
      </c>
      <c r="AE13" s="1468">
        <f>SpKaBer!$J$27</f>
        <v>641.65166666666664</v>
      </c>
      <c r="AF13" s="1468">
        <f>'Kultur A'!$J$27</f>
        <v>0</v>
      </c>
      <c r="AG13" s="1468">
        <f>'FAKT-Brachebegrünung'!$J$27</f>
        <v>0</v>
      </c>
      <c r="AH13" s="1468">
        <f>Begr!$J$27</f>
        <v>0</v>
      </c>
      <c r="AI13" s="1465"/>
      <c r="AJ13" s="1466">
        <f>'WW1'!$M$27</f>
        <v>532.66240000000005</v>
      </c>
      <c r="AK13" s="1468">
        <f>'WW2'!$M$27</f>
        <v>407.99416666666662</v>
      </c>
      <c r="AL13" s="1468">
        <f>'WW3'!$M$27</f>
        <v>382.9323333333333</v>
      </c>
      <c r="AM13" s="1468">
        <f>'WW4'!$M$27</f>
        <v>389.13549999999992</v>
      </c>
      <c r="AN13" s="1468">
        <f>WRo!$M$27</f>
        <v>295.34049999999996</v>
      </c>
      <c r="AO13" s="1468">
        <f>Tr!$M$27</f>
        <v>369.5141666666666</v>
      </c>
      <c r="AP13" s="1468">
        <f>WG!$M$27</f>
        <v>347.01766666666663</v>
      </c>
      <c r="AQ13" s="1468">
        <f>Di!$M$27</f>
        <v>295.98666666666662</v>
      </c>
      <c r="AR13" s="1468">
        <f>SW!$M$27</f>
        <v>357.87049999999994</v>
      </c>
      <c r="AS13" s="1468">
        <f>'SG-Fu'!$M$27</f>
        <v>302.02466666666669</v>
      </c>
      <c r="AT13" s="1468">
        <f>BG!$M$27</f>
        <v>243.37299999999996</v>
      </c>
      <c r="AU13" s="1468">
        <f>Ha!$M$27</f>
        <v>254.83683333333332</v>
      </c>
      <c r="AV13" s="1468">
        <f>Du!$M$27</f>
        <v>320.97433333333328</v>
      </c>
      <c r="AW13" s="1468">
        <f>KöM!$M$27</f>
        <v>406.05999999999995</v>
      </c>
      <c r="AX13" s="1468">
        <f>KH!$M$27</f>
        <v>465.14966666666658</v>
      </c>
      <c r="AY13" s="1468">
        <f>WR!$M$27</f>
        <v>428.74666666666661</v>
      </c>
      <c r="AZ13" s="1468">
        <f>SR!$M$27</f>
        <v>298.02916666666658</v>
      </c>
      <c r="BA13" s="1468">
        <f>SoBl!$M$27</f>
        <v>280.63100000000003</v>
      </c>
      <c r="BB13" s="1468">
        <f>Soja!$M$27</f>
        <v>64.468440000000029</v>
      </c>
      <c r="BC13" s="1468">
        <f>Öl!$M$27</f>
        <v>170.02</v>
      </c>
      <c r="BD13" s="1468">
        <f>FE!$M$27</f>
        <v>52.243333333333318</v>
      </c>
      <c r="BE13" s="1468">
        <f>AB!$M$27</f>
        <v>50.481666666666648</v>
      </c>
      <c r="BF13" s="1468">
        <f>Lu!$M$27</f>
        <v>52.970000000000013</v>
      </c>
      <c r="BG13" s="1468">
        <f>ZR!$M$27</f>
        <v>531.4</v>
      </c>
      <c r="BH13" s="1468">
        <f>FrühKa!$M$27</f>
        <v>590.15666666666664</v>
      </c>
      <c r="BI13" s="1468">
        <f>FrühKaFolieBer!$M$27</f>
        <v>689.95499999999993</v>
      </c>
      <c r="BJ13" s="1468">
        <f>SpKa!$M$27</f>
        <v>641.65166666666664</v>
      </c>
      <c r="BK13" s="1468">
        <f>SpKaBer!$M$27</f>
        <v>709.38333333333321</v>
      </c>
      <c r="BL13" s="1468">
        <v>0</v>
      </c>
      <c r="BM13" s="1468">
        <f>'FAKT-Brachebegrünung'!$M$27</f>
        <v>0</v>
      </c>
      <c r="BN13" s="1468">
        <f>Begr!$M$27</f>
        <v>0</v>
      </c>
      <c r="BO13" s="1465"/>
      <c r="BP13" s="1466">
        <f>'WW1'!$P$27</f>
        <v>626.52409999999986</v>
      </c>
      <c r="BQ13" s="1468">
        <f>'WW2'!$P$27</f>
        <v>483.17966666666655</v>
      </c>
      <c r="BR13" s="1468">
        <f>'WW3'!$P$27</f>
        <v>458.11783333333329</v>
      </c>
      <c r="BS13" s="1468">
        <f>'WW4'!$P$27</f>
        <v>444.0691666666666</v>
      </c>
      <c r="BT13" s="1468">
        <f>WRo!$P$27</f>
        <v>335.84416666666658</v>
      </c>
      <c r="BU13" s="1468">
        <f>Tr!$P$27</f>
        <v>437.00366666666662</v>
      </c>
      <c r="BV13" s="1468">
        <f>WG!$P$27</f>
        <v>414.50716666666665</v>
      </c>
      <c r="BW13" s="1468">
        <f>Di!$P$27</f>
        <v>339.9733333333333</v>
      </c>
      <c r="BX13" s="1468">
        <f>SW!$P$27</f>
        <v>407.99416666666662</v>
      </c>
      <c r="BY13" s="1468">
        <f>'SG-Fu'!$P$27</f>
        <v>347.01766666666663</v>
      </c>
      <c r="BZ13" s="1468">
        <f>BG!$P$27</f>
        <v>281.79233333333326</v>
      </c>
      <c r="CA13" s="1468">
        <f>Ha!$P$27</f>
        <v>295.34049999999996</v>
      </c>
      <c r="CB13" s="1468">
        <f>Du!$P$27</f>
        <v>347.23866666666663</v>
      </c>
      <c r="CC13" s="1468">
        <f>KöM!$P$27</f>
        <v>480.85866666666658</v>
      </c>
      <c r="CD13" s="1468">
        <f>KH!$P$27</f>
        <v>513.26999999999987</v>
      </c>
      <c r="CE13" s="1468">
        <f>WR!$P$27</f>
        <v>515.89166666666665</v>
      </c>
      <c r="CF13" s="1468">
        <f>SR!$P$27</f>
        <v>341.60166666666663</v>
      </c>
      <c r="CG13" s="1468">
        <f>SoBl!$P$27</f>
        <v>327.40283333333332</v>
      </c>
      <c r="CH13" s="1468">
        <f>Soja!$P$27</f>
        <v>81.182480000000041</v>
      </c>
      <c r="CI13" s="1468">
        <f>Öl!$P$27</f>
        <v>212.52499999999998</v>
      </c>
      <c r="CJ13" s="1468">
        <f>FE!$P$27</f>
        <v>74.633333333333326</v>
      </c>
      <c r="CK13" s="1468">
        <f>AB!$P$27</f>
        <v>72.116666666666646</v>
      </c>
      <c r="CL13" s="1468">
        <f>Lu!$P$27</f>
        <v>84.752000000000024</v>
      </c>
      <c r="CM13" s="1468">
        <f>ZR!$P$27</f>
        <v>602.25333333333333</v>
      </c>
      <c r="CN13" s="1468">
        <f>FrühKa!$P$27</f>
        <v>657.88833333333321</v>
      </c>
      <c r="CO13" s="1468">
        <f>FrühKaFolieBer!$P$27</f>
        <v>757.68666666666661</v>
      </c>
      <c r="CP13" s="1468">
        <f>SpKa!$P$27</f>
        <v>709.38333333333321</v>
      </c>
      <c r="CQ13" s="1468">
        <f>SpKaBer!$P$27</f>
        <v>777.1149999999999</v>
      </c>
      <c r="CR13" s="1468">
        <f>'Kultur A'!$P$27</f>
        <v>0</v>
      </c>
      <c r="CS13" s="1468">
        <f>'FAKT-Brachebegrünung'!$P$27</f>
        <v>0</v>
      </c>
      <c r="CT13" s="1468">
        <f>Begr!$P$27</f>
        <v>0</v>
      </c>
      <c r="CV13" s="1557" t="s">
        <v>1199</v>
      </c>
      <c r="CW13" s="1556"/>
      <c r="CX13" s="3662">
        <f>'Öko-KG1'!$J$27</f>
        <v>-453.33333333333331</v>
      </c>
      <c r="CY13" s="1468">
        <f>'Öko-KG2'!$J$27</f>
        <v>-408</v>
      </c>
      <c r="CZ13" s="1468">
        <f>'Öko-LU1'!$J$27</f>
        <v>-453.33333333333331</v>
      </c>
      <c r="DA13" s="1468">
        <f>'Öko-LU2'!$J$27</f>
        <v>-345.66666666666669</v>
      </c>
      <c r="DB13" s="1466">
        <f>'Öko-WW-Futter'!$J$27</f>
        <v>376.86666666666662</v>
      </c>
      <c r="DC13" s="1468">
        <f>'Öko-WW-Brot'!$J$27</f>
        <v>439.42666666666668</v>
      </c>
      <c r="DD13" s="1468">
        <f>'Öko-Dinkel'!$J$27</f>
        <v>335.14166666666665</v>
      </c>
      <c r="DE13" s="1468">
        <f>'Öko-Dinkel,gegerbt'!$J$27</f>
        <v>335.14166666666665</v>
      </c>
      <c r="DF13" s="1468">
        <f>'Öko-Roggen'!$J$27</f>
        <v>357.82666666666665</v>
      </c>
      <c r="DG13" s="1468">
        <f>'Öko-Hafer'!$J$27</f>
        <v>357.82666666666665</v>
      </c>
      <c r="DH13" s="1468">
        <f>'Öko-Wintergerste'!$J$27</f>
        <v>395.90666666666669</v>
      </c>
      <c r="DI13" s="1468">
        <f>'Öko-Braugerste'!$J$27</f>
        <v>308.96166666666664</v>
      </c>
      <c r="DJ13" s="1468">
        <f>'Öko-Körnermais'!$J$27</f>
        <v>581.22666666666669</v>
      </c>
      <c r="DK13" s="1468">
        <f>'Öko-Ackerbohnen'!$J$27</f>
        <v>-8.9250000000000753</v>
      </c>
      <c r="DL13" s="1468">
        <f>'Öko-Erbsen'!$J$27</f>
        <v>-0.60000000000005116</v>
      </c>
      <c r="DM13" s="1468">
        <f>'Öko-Sojabohnen'!$J$27</f>
        <v>22.450200000000027</v>
      </c>
      <c r="DN13" s="1468">
        <f>'Öko-Soblu'!$J$27</f>
        <v>300.33333333333326</v>
      </c>
      <c r="DO13" s="1468">
        <f>'Öko-Raps'!$J$27</f>
        <v>284.23333333333335</v>
      </c>
      <c r="DP13" s="1468">
        <f>'Öko-Kartoffel'!$J$27</f>
        <v>619.19999999999993</v>
      </c>
      <c r="DQ13" s="1468" t="e">
        <f>#REF!</f>
        <v>#REF!</v>
      </c>
      <c r="DR13" s="1468">
        <f>Begrün.!$J$27</f>
        <v>0</v>
      </c>
      <c r="DS13" s="1468">
        <f>Blühm.!$J$27</f>
        <v>0</v>
      </c>
      <c r="DT13" s="1456"/>
      <c r="DU13" s="1468">
        <f>'Öko-KG1'!$M$27</f>
        <v>-634.66666666666663</v>
      </c>
      <c r="DV13" s="1468">
        <f>'Öko-KG2'!$M$27</f>
        <v>-532.66666666666663</v>
      </c>
      <c r="DW13" s="1468">
        <f>'Öko-LU1'!$M$27</f>
        <v>-634.66666666666663</v>
      </c>
      <c r="DX13" s="1468">
        <f>'Öko-LU2'!$M$27</f>
        <v>-470.33333333333331</v>
      </c>
      <c r="DY13" s="1466">
        <f>'Öko-WW-Futter'!$M$27</f>
        <v>472.26666666666665</v>
      </c>
      <c r="DZ13" s="1468">
        <f>'Öko-WW-Brot'!$M$27</f>
        <v>555.67999999999995</v>
      </c>
      <c r="EA13" s="1468">
        <f>'Öko-Dinkel'!$M$27</f>
        <v>416.63333333333327</v>
      </c>
      <c r="EB13" s="1468">
        <f>'Öko-Dinkel,gegerbt'!$M$27</f>
        <v>416.63333333333327</v>
      </c>
      <c r="EC13" s="1468">
        <f>'Öko-Roggen'!$M$27</f>
        <v>446.88</v>
      </c>
      <c r="ED13" s="1468">
        <f>'Öko-Hafer'!$M$27</f>
        <v>446.88</v>
      </c>
      <c r="EE13" s="1468">
        <f>'Öko-Wintergerste'!$M$27</f>
        <v>497.65333333333331</v>
      </c>
      <c r="EF13" s="1468">
        <f>'Öko-Braugerste'!$M$27</f>
        <v>381.72666666666663</v>
      </c>
      <c r="EG13" s="1468">
        <f>'Öko-Körnermais'!$M$27</f>
        <v>744.74666666666656</v>
      </c>
      <c r="EH13" s="1468">
        <f>'Öko-Ackerbohnen'!$M$27</f>
        <v>-11.900000000000105</v>
      </c>
      <c r="EI13" s="1468">
        <f>'Öko-Erbsen'!$M$27</f>
        <v>-0.8000000000000469</v>
      </c>
      <c r="EJ13" s="1468">
        <f>'Öko-Sojabohnen'!$M$27</f>
        <v>26.412000000000035</v>
      </c>
      <c r="EK13" s="1468">
        <f>'Öko-Soblu'!$M$27</f>
        <v>450.5</v>
      </c>
      <c r="EL13" s="1468">
        <f>'Öko-Raps'!$M$27</f>
        <v>458.44333333333338</v>
      </c>
      <c r="EM13" s="1468">
        <f>'Öko-Kartoffel'!$M$27</f>
        <v>751.33333333333326</v>
      </c>
      <c r="EN13" s="1468" t="e">
        <f>#REF!</f>
        <v>#REF!</v>
      </c>
      <c r="EO13" s="1468">
        <f>Begrün.!$M$27</f>
        <v>0</v>
      </c>
      <c r="EP13" s="1468">
        <f>Blühm.!$M$27</f>
        <v>0</v>
      </c>
      <c r="EQ13" s="1456"/>
      <c r="ER13" s="1468">
        <f>'Öko-KG1'!$P$27</f>
        <v>-816</v>
      </c>
      <c r="ES13" s="1468">
        <f>'Öko-KG2'!$P$27</f>
        <v>-657.33333333333337</v>
      </c>
      <c r="ET13" s="1468">
        <f>'Öko-LU1'!$P$27</f>
        <v>-816</v>
      </c>
      <c r="EU13" s="1468">
        <f>'Öko-LU2'!$P$27</f>
        <v>-595</v>
      </c>
      <c r="EV13" s="1466">
        <f>'Öko-WW-Futter'!$P$27</f>
        <v>748.92666666666662</v>
      </c>
      <c r="EW13" s="1468">
        <f>'Öko-WW-Brot'!$P$27</f>
        <v>788.18666666666661</v>
      </c>
      <c r="EX13" s="1468">
        <f>'Öko-Dinkel'!$P$27</f>
        <v>509.76666666666665</v>
      </c>
      <c r="EY13" s="1468">
        <f>'Öko-Dinkel,gegerbt'!$P$27</f>
        <v>498.125</v>
      </c>
      <c r="EZ13" s="1468">
        <f>'Öko-Roggen'!$P$27</f>
        <v>535.93333333333328</v>
      </c>
      <c r="FA13" s="1468">
        <f>'Öko-Hafer'!$P$27</f>
        <v>535.93333333333328</v>
      </c>
      <c r="FB13" s="1468">
        <f>'Öko-Wintergerste'!$P$27</f>
        <v>599.4</v>
      </c>
      <c r="FC13" s="1468">
        <f>'Öko-Braugerste'!$P$27</f>
        <v>454.49166666666667</v>
      </c>
      <c r="FD13" s="1468">
        <f>'Öko-Körnermais'!$P$27</f>
        <v>908.26666666666665</v>
      </c>
      <c r="FE13" s="1468">
        <f>'Öko-Ackerbohnen'!$P$27</f>
        <v>-14.875000000000099</v>
      </c>
      <c r="FF13" s="1468">
        <f>'Öko-Erbsen'!$P$27</f>
        <v>-1.0000000000000853</v>
      </c>
      <c r="FG13" s="1468">
        <f>'Öko-Sojabohnen'!$P$27</f>
        <v>30.373800000000063</v>
      </c>
      <c r="FH13" s="1468">
        <f>'Öko-Soblu'!$P$27</f>
        <v>600.66666666666652</v>
      </c>
      <c r="FI13" s="1468">
        <f>'Öko-Raps'!$P$27</f>
        <v>593.94000000000005</v>
      </c>
      <c r="FJ13" s="1468">
        <f>'Öko-Kartoffel'!$P$27</f>
        <v>883.46666666666647</v>
      </c>
      <c r="FK13" s="1468" t="e">
        <f>#REF!</f>
        <v>#REF!</v>
      </c>
      <c r="FL13" s="1468">
        <f>Begrün.!$P$27</f>
        <v>0</v>
      </c>
      <c r="FM13" s="1468">
        <f>Blühm.!$P$27</f>
        <v>0</v>
      </c>
    </row>
    <row r="14" spans="1:169" ht="16.149999999999999" customHeight="1">
      <c r="A14" s="1463">
        <f>ROWS($A$1:A14)</f>
        <v>14</v>
      </c>
      <c r="B14" s="1512" t="s">
        <v>1198</v>
      </c>
      <c r="C14" s="1556"/>
      <c r="D14" s="3662">
        <f>'WW1'!$J$34</f>
        <v>52.271999999999991</v>
      </c>
      <c r="E14" s="1468">
        <f>'WW2'!$J$34</f>
        <v>182.58799999999999</v>
      </c>
      <c r="F14" s="1468">
        <f>'WW3'!$J$34</f>
        <v>204.08799999999999</v>
      </c>
      <c r="G14" s="1468">
        <f>'WW4'!$J$34</f>
        <v>231.72</v>
      </c>
      <c r="H14" s="1468">
        <f>WRo!$J$34</f>
        <v>132.58799999999999</v>
      </c>
      <c r="I14" s="1468">
        <f>Tr!$J$34</f>
        <v>139.18799999999999</v>
      </c>
      <c r="J14" s="1468">
        <f>WG!$J$34</f>
        <v>192.29999999999998</v>
      </c>
      <c r="K14" s="1468">
        <f>Di!$J$34</f>
        <v>170.75</v>
      </c>
      <c r="L14" s="1468">
        <f>SW!$J$34</f>
        <v>95.995000000000005</v>
      </c>
      <c r="M14" s="1468">
        <f>'SG-Fu'!$J$34</f>
        <v>125.82999999999998</v>
      </c>
      <c r="N14" s="1468">
        <f>BG!$J$34</f>
        <v>141.14999999999998</v>
      </c>
      <c r="O14" s="1468">
        <f>Ha!$J$34</f>
        <v>27.295000000000002</v>
      </c>
      <c r="P14" s="1468">
        <f>Du!$J$34</f>
        <v>121.776</v>
      </c>
      <c r="Q14" s="1468">
        <f>KöM!$J$34</f>
        <v>67.199999999999989</v>
      </c>
      <c r="R14" s="1468">
        <f>KH!$J$34</f>
        <v>33.549999999999997</v>
      </c>
      <c r="S14" s="1468">
        <f>WR!$J$34</f>
        <v>159.29000000000002</v>
      </c>
      <c r="T14" s="1468">
        <f>SR!$J$34</f>
        <v>178.24</v>
      </c>
      <c r="U14" s="1468">
        <f>SoBl!$J$34</f>
        <v>67.899999999999991</v>
      </c>
      <c r="V14" s="1468">
        <f>Soja!$J$34</f>
        <v>77.069999999999993</v>
      </c>
      <c r="W14" s="1468">
        <f>Öl!$J$34</f>
        <v>31.330000000000002</v>
      </c>
      <c r="X14" s="1468">
        <f>FE!$J$34</f>
        <v>78.300000000000011</v>
      </c>
      <c r="Y14" s="1468">
        <f>AB!$J$34</f>
        <v>78.300000000000011</v>
      </c>
      <c r="Z14" s="1468">
        <f>Lu!$J$34</f>
        <v>78.300000000000011</v>
      </c>
      <c r="AA14" s="1468">
        <f>ZR!$J$34</f>
        <v>345.4</v>
      </c>
      <c r="AB14" s="1468">
        <f>FrühKa!$J$34</f>
        <v>231.40799999999999</v>
      </c>
      <c r="AC14" s="1468">
        <f>FrühKaFolieBer!$J$34</f>
        <v>353.30799999999999</v>
      </c>
      <c r="AD14" s="1468">
        <f>SpKa!$J$34</f>
        <v>281.90800000000002</v>
      </c>
      <c r="AE14" s="1468">
        <f>SpKaBer!$J$34</f>
        <v>279.82</v>
      </c>
      <c r="AF14" s="1468">
        <f>'Kultur A'!$J$34</f>
        <v>0</v>
      </c>
      <c r="AG14" s="1468">
        <f>'FAKT-Brachebegrünung'!$J$34</f>
        <v>0</v>
      </c>
      <c r="AH14" s="1468">
        <f>Begr!$J$34</f>
        <v>0</v>
      </c>
      <c r="AI14" s="1465"/>
      <c r="AJ14" s="1466">
        <f>'WW1'!$M$34</f>
        <v>52.271999999999991</v>
      </c>
      <c r="AK14" s="1468">
        <f>'WW2'!$M$34</f>
        <v>182.58799999999999</v>
      </c>
      <c r="AL14" s="1468">
        <f>'WW3'!$M$34</f>
        <v>208.48799999999997</v>
      </c>
      <c r="AM14" s="1468">
        <f>'WW4'!$M$34</f>
        <v>231.72</v>
      </c>
      <c r="AN14" s="1468">
        <f>WRo!$M$34</f>
        <v>132.58799999999999</v>
      </c>
      <c r="AO14" s="1468">
        <f>Tr!$M$34</f>
        <v>139.18799999999999</v>
      </c>
      <c r="AP14" s="1468">
        <f>WG!$M$34</f>
        <v>192.29999999999998</v>
      </c>
      <c r="AQ14" s="1468">
        <f>Di!$M$34</f>
        <v>189.59</v>
      </c>
      <c r="AR14" s="1468">
        <f>SW!$M$34</f>
        <v>95.995000000000005</v>
      </c>
      <c r="AS14" s="1468">
        <f>'SG-Fu'!$M$34</f>
        <v>125.82999999999998</v>
      </c>
      <c r="AT14" s="1468">
        <f>BG!$M$34</f>
        <v>141.14999999999998</v>
      </c>
      <c r="AU14" s="1468">
        <f>Ha!$M$34</f>
        <v>35.545000000000002</v>
      </c>
      <c r="AV14" s="1468">
        <f>Du!$M$34</f>
        <v>121.776</v>
      </c>
      <c r="AW14" s="1468">
        <f>KöM!$M$34</f>
        <v>67.199999999999989</v>
      </c>
      <c r="AX14" s="1468">
        <f>KH!$M$34</f>
        <v>33.549999999999997</v>
      </c>
      <c r="AY14" s="1468">
        <f>WR!$M$34</f>
        <v>178.11</v>
      </c>
      <c r="AZ14" s="1468">
        <f>SR!$M$34</f>
        <v>197.06</v>
      </c>
      <c r="BA14" s="1468">
        <f>SoBl!$M$34</f>
        <v>67.899999999999991</v>
      </c>
      <c r="BB14" s="1468">
        <f>Soja!$M$34</f>
        <v>77.069999999999993</v>
      </c>
      <c r="BC14" s="1468">
        <f>Öl!$M$34</f>
        <v>31.330000000000002</v>
      </c>
      <c r="BD14" s="1468">
        <f>FE!$M$34</f>
        <v>78.300000000000011</v>
      </c>
      <c r="BE14" s="1468">
        <f>AB!$M$34</f>
        <v>78.300000000000011</v>
      </c>
      <c r="BF14" s="1468">
        <f>Lu!$M$34</f>
        <v>78.300000000000011</v>
      </c>
      <c r="BG14" s="1468">
        <f>ZR!$M$34</f>
        <v>345.4</v>
      </c>
      <c r="BH14" s="1468">
        <f>FrühKa!$M$34</f>
        <v>231.40799999999999</v>
      </c>
      <c r="BI14" s="1468">
        <f>FrühKaFolieBer!$M$34</f>
        <v>353.30799999999999</v>
      </c>
      <c r="BJ14" s="1468">
        <f>SpKa!$M$34</f>
        <v>281.90800000000002</v>
      </c>
      <c r="BK14" s="1468">
        <f>SpKaBer!$M$34</f>
        <v>279.82</v>
      </c>
      <c r="BL14" s="1468">
        <v>0</v>
      </c>
      <c r="BM14" s="1468">
        <f>'FAKT-Brachebegrünung'!$M$34</f>
        <v>0</v>
      </c>
      <c r="BN14" s="1468">
        <f>Begr!$M$34</f>
        <v>0</v>
      </c>
      <c r="BO14" s="1465"/>
      <c r="BP14" s="1466">
        <f>'WW1'!$P$34</f>
        <v>107.72199999999999</v>
      </c>
      <c r="BQ14" s="1468">
        <f>'WW2'!$P$34</f>
        <v>186.43799999999999</v>
      </c>
      <c r="BR14" s="1468">
        <f>'WW3'!$P$34</f>
        <v>208.48799999999997</v>
      </c>
      <c r="BS14" s="1468">
        <f>'WW4'!$P$34</f>
        <v>231.72</v>
      </c>
      <c r="BT14" s="1468">
        <f>WRo!$P$34</f>
        <v>150.64800000000002</v>
      </c>
      <c r="BU14" s="1468">
        <f>Tr!$P$34</f>
        <v>139.18799999999999</v>
      </c>
      <c r="BV14" s="1468">
        <f>WG!$P$34</f>
        <v>209.95999999999998</v>
      </c>
      <c r="BW14" s="1468">
        <f>Di!$P$34</f>
        <v>189.59</v>
      </c>
      <c r="BX14" s="1468">
        <f>SW!$P$34</f>
        <v>95.995000000000005</v>
      </c>
      <c r="BY14" s="1468">
        <f>'SG-Fu'!$P$34</f>
        <v>125.82999999999998</v>
      </c>
      <c r="BZ14" s="1468">
        <f>BG!$P$34</f>
        <v>141.14999999999998</v>
      </c>
      <c r="CA14" s="1468">
        <f>Ha!$P$34</f>
        <v>35.545000000000002</v>
      </c>
      <c r="CB14" s="1468">
        <f>Du!$P$34</f>
        <v>121.776</v>
      </c>
      <c r="CC14" s="1468">
        <f>KöM!$P$34</f>
        <v>67.199999999999989</v>
      </c>
      <c r="CD14" s="1468">
        <f>KH!$P$34</f>
        <v>33.549999999999997</v>
      </c>
      <c r="CE14" s="1468">
        <f>WR!$P$34</f>
        <v>178.11</v>
      </c>
      <c r="CF14" s="1468">
        <f>SR!$P$34</f>
        <v>197.06</v>
      </c>
      <c r="CG14" s="1468">
        <f>SoBl!$P$34</f>
        <v>67.899999999999991</v>
      </c>
      <c r="CH14" s="1468">
        <f>Soja!$P$34</f>
        <v>77.069999999999993</v>
      </c>
      <c r="CI14" s="1468">
        <f>Öl!$P$34</f>
        <v>31.330000000000002</v>
      </c>
      <c r="CJ14" s="1468">
        <f>FE!$P$34</f>
        <v>78.300000000000011</v>
      </c>
      <c r="CK14" s="1468">
        <f>AB!$P$34</f>
        <v>78.300000000000011</v>
      </c>
      <c r="CL14" s="1468">
        <f>Lu!$P$34</f>
        <v>78.300000000000011</v>
      </c>
      <c r="CM14" s="1468">
        <f>ZR!$P$34</f>
        <v>387.4</v>
      </c>
      <c r="CN14" s="1468">
        <f>FrühKa!$P$34</f>
        <v>231.40799999999999</v>
      </c>
      <c r="CO14" s="1468">
        <f>FrühKaFolieBer!$P$34</f>
        <v>353.30799999999999</v>
      </c>
      <c r="CP14" s="1468">
        <f>SpKa!$P$34</f>
        <v>281.90800000000002</v>
      </c>
      <c r="CQ14" s="1468">
        <f>SpKaBer!$P$34</f>
        <v>279.82</v>
      </c>
      <c r="CR14" s="1468">
        <f>'Kultur A'!$P$34</f>
        <v>0</v>
      </c>
      <c r="CS14" s="1468">
        <f>'FAKT-Brachebegrünung'!$P$34</f>
        <v>0</v>
      </c>
      <c r="CT14" s="1468">
        <f>Begr!$P$34</f>
        <v>0</v>
      </c>
      <c r="CV14" s="1512" t="s">
        <v>1198</v>
      </c>
      <c r="CW14" s="1556"/>
      <c r="CX14" s="3662">
        <f>'Öko-KG1'!$J$34</f>
        <v>0</v>
      </c>
      <c r="CY14" s="1468">
        <f>'Öko-KG2'!$J$34</f>
        <v>0</v>
      </c>
      <c r="CZ14" s="1468">
        <f>'Öko-LU1'!$J$34</f>
        <v>0</v>
      </c>
      <c r="DA14" s="1468">
        <f>'Öko-LU2'!$J$34</f>
        <v>0</v>
      </c>
      <c r="DB14" s="1466">
        <f>'Öko-WW-Futter'!$J$34</f>
        <v>0</v>
      </c>
      <c r="DC14" s="1468">
        <f>'Öko-WW-Brot'!$J$34</f>
        <v>0</v>
      </c>
      <c r="DD14" s="1468">
        <f>'Öko-Dinkel'!$J$34</f>
        <v>0</v>
      </c>
      <c r="DE14" s="1468">
        <f>'Öko-Dinkel,gegerbt'!$J$34</f>
        <v>0</v>
      </c>
      <c r="DF14" s="1468">
        <f>'Öko-Roggen'!$J$34</f>
        <v>0</v>
      </c>
      <c r="DG14" s="1468">
        <f>'Öko-Hafer'!$J$34</f>
        <v>0</v>
      </c>
      <c r="DH14" s="1468">
        <f>'Öko-Wintergerste'!$J$34</f>
        <v>0</v>
      </c>
      <c r="DI14" s="1468">
        <f>'Öko-Braugerste'!$J$34</f>
        <v>0</v>
      </c>
      <c r="DJ14" s="1468">
        <f>'Öko-Körnermais'!$J$34</f>
        <v>0</v>
      </c>
      <c r="DK14" s="1468">
        <f>'Öko-Ackerbohnen'!$J$34</f>
        <v>0</v>
      </c>
      <c r="DL14" s="1468">
        <f>'Öko-Erbsen'!$J$34</f>
        <v>0</v>
      </c>
      <c r="DM14" s="1468">
        <f>'Öko-Sojabohnen'!$J$34</f>
        <v>0</v>
      </c>
      <c r="DN14" s="1468">
        <f>'Öko-Soblu'!$J$34</f>
        <v>0</v>
      </c>
      <c r="DO14" s="1468">
        <f>'Öko-Raps'!$J$34</f>
        <v>0</v>
      </c>
      <c r="DP14" s="1468">
        <f>'Öko-Kartoffel'!$J$34</f>
        <v>0</v>
      </c>
      <c r="DQ14" s="1468" t="e">
        <f>#REF!</f>
        <v>#REF!</v>
      </c>
      <c r="DR14" s="1468">
        <f>Begrün.!$J$34</f>
        <v>0</v>
      </c>
      <c r="DS14" s="1468">
        <f>Blühm.!$J$34</f>
        <v>0</v>
      </c>
      <c r="DT14" s="1456"/>
      <c r="DU14" s="1468">
        <f>'Öko-KG1'!$M$34</f>
        <v>0</v>
      </c>
      <c r="DV14" s="1468">
        <f>'Öko-KG2'!$M$34</f>
        <v>0</v>
      </c>
      <c r="DW14" s="1468">
        <f>'Öko-LU1'!$M$34</f>
        <v>0</v>
      </c>
      <c r="DX14" s="1468">
        <f>'Öko-LU2'!$M$34</f>
        <v>0</v>
      </c>
      <c r="DY14" s="1466">
        <f>'Öko-WW-Futter'!$M$34</f>
        <v>0</v>
      </c>
      <c r="DZ14" s="1468">
        <f>'Öko-WW-Brot'!$M$34</f>
        <v>0</v>
      </c>
      <c r="EA14" s="1468">
        <f>'Öko-Dinkel'!$M$34</f>
        <v>0</v>
      </c>
      <c r="EB14" s="1468">
        <f>'Öko-Dinkel,gegerbt'!$M$34</f>
        <v>0</v>
      </c>
      <c r="EC14" s="1468">
        <f>'Öko-Roggen'!$M$34</f>
        <v>0</v>
      </c>
      <c r="ED14" s="1468">
        <f>'Öko-Hafer'!$M$34</f>
        <v>0</v>
      </c>
      <c r="EE14" s="1468">
        <f>'Öko-Wintergerste'!$M$34</f>
        <v>0</v>
      </c>
      <c r="EF14" s="1468">
        <f>'Öko-Braugerste'!$M$34</f>
        <v>0</v>
      </c>
      <c r="EG14" s="1468">
        <f>'Öko-Körnermais'!$M$34</f>
        <v>0</v>
      </c>
      <c r="EH14" s="1468">
        <f>'Öko-Ackerbohnen'!$M$34</f>
        <v>0</v>
      </c>
      <c r="EI14" s="1468">
        <f>'Öko-Erbsen'!$M$34</f>
        <v>0</v>
      </c>
      <c r="EJ14" s="1468">
        <f>'Öko-Sojabohnen'!$M$34</f>
        <v>0</v>
      </c>
      <c r="EK14" s="1468">
        <f>'Öko-Soblu'!$M$34</f>
        <v>0</v>
      </c>
      <c r="EL14" s="1468">
        <f>'Öko-Raps'!$M$34</f>
        <v>0</v>
      </c>
      <c r="EM14" s="1468">
        <f>'Öko-Kartoffel'!$M$34</f>
        <v>0</v>
      </c>
      <c r="EN14" s="1468" t="e">
        <f>#REF!</f>
        <v>#REF!</v>
      </c>
      <c r="EO14" s="1468">
        <f>Begrün.!$M$34</f>
        <v>0</v>
      </c>
      <c r="EP14" s="1468">
        <f>Blühm.!$M$34</f>
        <v>0</v>
      </c>
      <c r="EQ14" s="1456"/>
      <c r="ER14" s="1468">
        <f>'Öko-KG1'!$P$34</f>
        <v>0</v>
      </c>
      <c r="ES14" s="1468">
        <f>'Öko-KG2'!$P$34</f>
        <v>0</v>
      </c>
      <c r="ET14" s="1468">
        <f>'Öko-LU1'!$P$34</f>
        <v>0</v>
      </c>
      <c r="EU14" s="1468">
        <f>'Öko-LU2'!$P$34</f>
        <v>0</v>
      </c>
      <c r="EV14" s="1466">
        <f>'Öko-WW-Futter'!$P$34</f>
        <v>0</v>
      </c>
      <c r="EW14" s="1468">
        <f>'Öko-WW-Brot'!$P$34</f>
        <v>0</v>
      </c>
      <c r="EX14" s="1468">
        <f>'Öko-Dinkel'!$P$34</f>
        <v>0</v>
      </c>
      <c r="EY14" s="1468">
        <f>'Öko-Dinkel,gegerbt'!$P$34</f>
        <v>0</v>
      </c>
      <c r="EZ14" s="1468">
        <f>'Öko-Roggen'!$P$34</f>
        <v>0</v>
      </c>
      <c r="FA14" s="1468">
        <f>'Öko-Hafer'!$P$34</f>
        <v>0</v>
      </c>
      <c r="FB14" s="1468">
        <f>'Öko-Wintergerste'!$P$34</f>
        <v>0</v>
      </c>
      <c r="FC14" s="1468">
        <f>'Öko-Braugerste'!$P$34</f>
        <v>0</v>
      </c>
      <c r="FD14" s="1468">
        <f>'Öko-Körnermais'!$P$34</f>
        <v>0</v>
      </c>
      <c r="FE14" s="1468">
        <f>'Öko-Ackerbohnen'!$P$34</f>
        <v>0</v>
      </c>
      <c r="FF14" s="1468">
        <f>'Öko-Erbsen'!$P$34</f>
        <v>0</v>
      </c>
      <c r="FG14" s="1468">
        <f>'Öko-Sojabohnen'!$P$34</f>
        <v>0</v>
      </c>
      <c r="FH14" s="1468">
        <f>'Öko-Soblu'!$P$34</f>
        <v>0</v>
      </c>
      <c r="FI14" s="1468">
        <f>'Öko-Raps'!$P$34</f>
        <v>0</v>
      </c>
      <c r="FJ14" s="1468">
        <f>'Öko-Kartoffel'!$P$34</f>
        <v>0</v>
      </c>
      <c r="FK14" s="1468" t="e">
        <f>#REF!</f>
        <v>#REF!</v>
      </c>
      <c r="FL14" s="1468">
        <f>Begrün.!$P$34</f>
        <v>0</v>
      </c>
      <c r="FM14" s="1468">
        <f>Blühm.!$P$34</f>
        <v>0</v>
      </c>
    </row>
    <row r="15" spans="1:169" ht="16.149999999999999" customHeight="1">
      <c r="A15" s="1463">
        <f>ROWS($A$1:A15)</f>
        <v>15</v>
      </c>
      <c r="B15" s="1512" t="s">
        <v>1197</v>
      </c>
      <c r="C15" s="1556"/>
      <c r="D15" s="3662">
        <f>'WW1'!$J$43</f>
        <v>155.54521197960787</v>
      </c>
      <c r="E15" s="1468">
        <f>'WW2'!$J$43</f>
        <v>145.68701648470588</v>
      </c>
      <c r="F15" s="1468">
        <f>'WW3'!$J$43</f>
        <v>145.11320151215688</v>
      </c>
      <c r="G15" s="1468">
        <f>'WW4'!$J$43</f>
        <v>145.11320151215688</v>
      </c>
      <c r="H15" s="1468">
        <f>WRo!$J$43</f>
        <v>139.34599980862745</v>
      </c>
      <c r="I15" s="1468">
        <f>Tr!$J$43</f>
        <v>139.34599980862745</v>
      </c>
      <c r="J15" s="1468">
        <f>WG!$J$43</f>
        <v>145.11320151215688</v>
      </c>
      <c r="K15" s="1468">
        <f>Di!$J$43</f>
        <v>144.53938653960785</v>
      </c>
      <c r="L15" s="1468">
        <f>SW!$J$43</f>
        <v>139.91981478117648</v>
      </c>
      <c r="M15" s="1468">
        <f>'SG-Fu'!$J$43</f>
        <v>138.77218483607845</v>
      </c>
      <c r="N15" s="1468">
        <f>BG!$J$43</f>
        <v>138.19836986352942</v>
      </c>
      <c r="O15" s="1468">
        <f>Ha!$J$43</f>
        <v>132.43116816</v>
      </c>
      <c r="P15" s="1468">
        <f>Du!$J$43</f>
        <v>152.9017728627451</v>
      </c>
      <c r="Q15" s="1468">
        <f>KöM!$J$43</f>
        <v>122.54663390196079</v>
      </c>
      <c r="R15" s="1468">
        <f>KH!$J$43</f>
        <v>136.44787296784315</v>
      </c>
      <c r="S15" s="1468">
        <f>WR!$J$43</f>
        <v>145.84554206588237</v>
      </c>
      <c r="T15" s="1468">
        <f>SR!$J$43</f>
        <v>140.86697071529412</v>
      </c>
      <c r="U15" s="1468">
        <f>SoBl!$J$43</f>
        <v>140.47496346509803</v>
      </c>
      <c r="V15" s="1468">
        <f>Soja!$J$43</f>
        <v>125.73115189176471</v>
      </c>
      <c r="W15" s="1468">
        <f>Öl!$J$43</f>
        <v>141.39557818352944</v>
      </c>
      <c r="X15" s="1468">
        <f>FE!$J$43</f>
        <v>127.79688579294118</v>
      </c>
      <c r="Y15" s="1468">
        <f>AB!$J$43</f>
        <v>127.10830782588236</v>
      </c>
      <c r="Z15" s="1468">
        <f>Lu!$J$43</f>
        <v>124.81304793568627</v>
      </c>
      <c r="AA15" s="1468">
        <f>ZR!$J$43</f>
        <v>141.49904399932774</v>
      </c>
      <c r="AB15" s="1468">
        <f>FrühKa!$J$43</f>
        <v>273.21685428369744</v>
      </c>
      <c r="AC15" s="1468">
        <f>FrühKaFolieBer!$J$43</f>
        <v>517.01319208537802</v>
      </c>
      <c r="AD15" s="1468">
        <f>SpKa!$J$43</f>
        <v>332.74754686285712</v>
      </c>
      <c r="AE15" s="1468">
        <f>SpKaBer!$J$43</f>
        <v>475.24852964605037</v>
      </c>
      <c r="AF15" s="1468">
        <f>'Kultur A'!$J$43</f>
        <v>0</v>
      </c>
      <c r="AG15" s="1468">
        <f>'FAKT-Brachebegrünung'!$J$43</f>
        <v>114.05755607058825</v>
      </c>
      <c r="AH15" s="1468">
        <f>Begr!$J$43</f>
        <v>124.22837006823531</v>
      </c>
      <c r="AI15" s="1465"/>
      <c r="AJ15" s="1466">
        <f>'WW1'!$M$43</f>
        <v>163.95096214901963</v>
      </c>
      <c r="AK15" s="1468">
        <f>'WW2'!$M$43</f>
        <v>151.00987681882353</v>
      </c>
      <c r="AL15" s="1468">
        <f>'WW3'!$M$43</f>
        <v>150.43606184627453</v>
      </c>
      <c r="AM15" s="1468">
        <f>'WW4'!$M$43</f>
        <v>149.8622468737255</v>
      </c>
      <c r="AN15" s="1468">
        <f>WRo!$M$43</f>
        <v>140.49362975372549</v>
      </c>
      <c r="AO15" s="1468">
        <f>Tr!$M$43</f>
        <v>141.06744472627452</v>
      </c>
      <c r="AP15" s="1468">
        <f>WG!$M$43</f>
        <v>146.83464642980394</v>
      </c>
      <c r="AQ15" s="1468">
        <f>Di!$M$43</f>
        <v>149.28843190117647</v>
      </c>
      <c r="AR15" s="1468">
        <f>SW!$M$43</f>
        <v>139.91981478117648</v>
      </c>
      <c r="AS15" s="1468">
        <f>'SG-Fu'!$M$43</f>
        <v>139.91981478117648</v>
      </c>
      <c r="AT15" s="1468">
        <f>BG!$M$43</f>
        <v>139.34599980862745</v>
      </c>
      <c r="AU15" s="1468">
        <f>Ha!$M$43</f>
        <v>139.34599980862745</v>
      </c>
      <c r="AV15" s="1468">
        <f>Du!$M$43</f>
        <v>154.62321778039217</v>
      </c>
      <c r="AW15" s="1468">
        <f>KöM!$M$43</f>
        <v>124.84189379215687</v>
      </c>
      <c r="AX15" s="1468">
        <f>KH!$M$43</f>
        <v>137.59550291294119</v>
      </c>
      <c r="AY15" s="1468">
        <f>WR!$M$43</f>
        <v>152.76037371450983</v>
      </c>
      <c r="AZ15" s="1468">
        <f>SR!$M$43</f>
        <v>147.32275038588236</v>
      </c>
      <c r="BA15" s="1468">
        <f>SoBl!$M$43</f>
        <v>141.04877843764706</v>
      </c>
      <c r="BB15" s="1468">
        <f>Soja!$M$43</f>
        <v>127.10830782588236</v>
      </c>
      <c r="BC15" s="1468">
        <f>Öl!$M$43</f>
        <v>141.96939315607844</v>
      </c>
      <c r="BD15" s="1468">
        <f>FE!$M$43</f>
        <v>127.79688579294118</v>
      </c>
      <c r="BE15" s="1468">
        <f>AB!$M$43</f>
        <v>127.79688579294118</v>
      </c>
      <c r="BF15" s="1468">
        <f>Lu!$M$43</f>
        <v>126.53449285333333</v>
      </c>
      <c r="BG15" s="1468">
        <f>ZR!$M$43</f>
        <v>141.49904399932774</v>
      </c>
      <c r="BH15" s="1468">
        <f>FrühKa!$M$43</f>
        <v>289.18165142655459</v>
      </c>
      <c r="BI15" s="1468">
        <f>FrühKaFolieBer!$M$43</f>
        <v>527.21078752470578</v>
      </c>
      <c r="BJ15" s="1468">
        <f>SpKa!$M$43</f>
        <v>348.71234400571427</v>
      </c>
      <c r="BK15" s="1468">
        <f>SpKaBer!$M$43</f>
        <v>488.65895924605036</v>
      </c>
      <c r="BL15" s="1468">
        <v>0</v>
      </c>
      <c r="BM15" s="1468">
        <f>'FAKT-Brachebegrünung'!$M$43</f>
        <v>114.05755607058825</v>
      </c>
      <c r="BN15" s="1468">
        <f>Begr!$M$43</f>
        <v>124.22837006823531</v>
      </c>
      <c r="BO15" s="1465"/>
      <c r="BP15" s="1466">
        <f>'WW1'!$P$43</f>
        <v>178.12391402196079</v>
      </c>
      <c r="BQ15" s="1468">
        <f>'WW2'!$P$43</f>
        <v>156.33273715294118</v>
      </c>
      <c r="BR15" s="1468">
        <f>'WW3'!$P$43</f>
        <v>155.75892218039218</v>
      </c>
      <c r="BS15" s="1468">
        <f>'WW4'!$P$43</f>
        <v>154.61129223529412</v>
      </c>
      <c r="BT15" s="1468">
        <f>WRo!$P$43</f>
        <v>151.00987681882353</v>
      </c>
      <c r="BU15" s="1468">
        <f>Tr!$P$43</f>
        <v>146.9641200329412</v>
      </c>
      <c r="BV15" s="1468">
        <f>WG!$P$43</f>
        <v>152.15750676392159</v>
      </c>
      <c r="BW15" s="1468">
        <f>Di!$P$43</f>
        <v>150.43606184627453</v>
      </c>
      <c r="BX15" s="1468">
        <f>SW!$P$43</f>
        <v>139.91981478117648</v>
      </c>
      <c r="BY15" s="1468">
        <f>'SG-Fu'!$P$43</f>
        <v>141.06744472627452</v>
      </c>
      <c r="BZ15" s="1468">
        <f>BG!$P$43</f>
        <v>140.49362975372549</v>
      </c>
      <c r="CA15" s="1468">
        <f>Ha!$P$43</f>
        <v>140.49362975372549</v>
      </c>
      <c r="CB15" s="1468">
        <f>Du!$P$43</f>
        <v>155.1970327529412</v>
      </c>
      <c r="CC15" s="1468">
        <f>KöM!$P$43</f>
        <v>127.13715368235295</v>
      </c>
      <c r="CD15" s="1468">
        <f>KH!$P$43</f>
        <v>138.74313285803922</v>
      </c>
      <c r="CE15" s="1468">
        <f>WR!$P$43</f>
        <v>153.90800365960786</v>
      </c>
      <c r="CF15" s="1468">
        <f>SR!$P$43</f>
        <v>148.01132835294121</v>
      </c>
      <c r="CG15" s="1468">
        <f>SoBl!$P$43</f>
        <v>141.62259341019609</v>
      </c>
      <c r="CH15" s="1468">
        <f>Soja!$P$43</f>
        <v>128.48546376000002</v>
      </c>
      <c r="CI15" s="1468">
        <f>Öl!$P$43</f>
        <v>142.54320812862747</v>
      </c>
      <c r="CJ15" s="1468">
        <f>FE!$P$43</f>
        <v>129.17404172705884</v>
      </c>
      <c r="CK15" s="1468">
        <f>AB!$P$43</f>
        <v>129.17404172705884</v>
      </c>
      <c r="CL15" s="1468">
        <f>Lu!$P$43</f>
        <v>128.25593777098041</v>
      </c>
      <c r="CM15" s="1468">
        <f>ZR!$P$43</f>
        <v>147.26624570285713</v>
      </c>
      <c r="CN15" s="1468">
        <f>FrühKa!$P$43</f>
        <v>305.14644856941175</v>
      </c>
      <c r="CO15" s="1468">
        <f>FrühKaFolieBer!$P$43</f>
        <v>548.94278637109232</v>
      </c>
      <c r="CP15" s="1468">
        <f>SpKa!$P$43</f>
        <v>364.67714114857142</v>
      </c>
      <c r="CQ15" s="1468">
        <f>SpKaBer!$P$43</f>
        <v>501.75009290319326</v>
      </c>
      <c r="CR15" s="1468">
        <f>'Kultur A'!$P$43</f>
        <v>0</v>
      </c>
      <c r="CS15" s="1468">
        <f>'FAKT-Brachebegrünung'!$P$43</f>
        <v>114.05755607058825</v>
      </c>
      <c r="CT15" s="1468">
        <f>Begr!$P$43</f>
        <v>124.22837006823531</v>
      </c>
      <c r="CV15" s="1512" t="s">
        <v>1197</v>
      </c>
      <c r="CW15" s="1556"/>
      <c r="CX15" s="3662">
        <f>'Öko-KG1'!$J$43</f>
        <v>172.0667420682353</v>
      </c>
      <c r="CY15" s="1468">
        <f>'Öko-KG2'!$J$43</f>
        <v>114.91834163294118</v>
      </c>
      <c r="CZ15" s="1468">
        <f>'Öko-LU1'!$J$43</f>
        <v>172.0667420682353</v>
      </c>
      <c r="DA15" s="1468">
        <f>'Öko-LU2'!$J$43</f>
        <v>114.91834163294118</v>
      </c>
      <c r="DB15" s="1466">
        <f>'Öko-WW-Futter'!$J$43</f>
        <v>167.07021355899158</v>
      </c>
      <c r="DC15" s="1468">
        <f>'Öko-WW-Brot'!$J$43</f>
        <v>110.08362861781512</v>
      </c>
      <c r="DD15" s="1468">
        <f>'Öko-Dinkel'!$J$43</f>
        <v>165.05200464260503</v>
      </c>
      <c r="DE15" s="1468">
        <f>'Öko-Dinkel,gegerbt'!$J$43</f>
        <v>165.05200464260503</v>
      </c>
      <c r="DF15" s="1468">
        <f>'Öko-Roggen'!$J$43</f>
        <v>162.60497935361346</v>
      </c>
      <c r="DG15" s="1468">
        <f>'Öko-Hafer'!$J$43</f>
        <v>162.34676261596638</v>
      </c>
      <c r="DH15" s="1468">
        <f>'Öko-Wintergerste'!$J$43</f>
        <v>162.60497935361346</v>
      </c>
      <c r="DI15" s="1468">
        <f>'Öko-Braugerste'!$J$43</f>
        <v>165.6075464867227</v>
      </c>
      <c r="DJ15" s="1468">
        <f>'Öko-Körnermais'!$J$43</f>
        <v>191.33915469554623</v>
      </c>
      <c r="DK15" s="1468">
        <f>'Öko-Ackerbohnen'!$J$43</f>
        <v>152.81284148352944</v>
      </c>
      <c r="DL15" s="1468">
        <f>'Öko-Erbsen'!$J$43</f>
        <v>140.93317039176472</v>
      </c>
      <c r="DM15" s="1468">
        <f>'Öko-Sojabohnen'!$J$43</f>
        <v>179.77053464929415</v>
      </c>
      <c r="DN15" s="1468">
        <f>'Öko-Soblu'!$J$43</f>
        <v>167.01388808638657</v>
      </c>
      <c r="DO15" s="1468">
        <f>'Öko-Raps'!$J$43</f>
        <v>175.49585719529412</v>
      </c>
      <c r="DP15" s="1468">
        <f>'Öko-Kartoffel'!$J$43</f>
        <v>219.62720095966384</v>
      </c>
      <c r="DQ15" s="1468" t="e">
        <f>#REF!</f>
        <v>#REF!</v>
      </c>
      <c r="DR15" s="1468">
        <f>Begrün.!$J$43</f>
        <v>73.448666329411765</v>
      </c>
      <c r="DS15" s="1468">
        <f>Blühm.!$J$43</f>
        <v>84.229480327058837</v>
      </c>
      <c r="DT15" s="1456"/>
      <c r="DU15" s="1468">
        <f>'Öko-KG1'!$M$43</f>
        <v>172.0667420682353</v>
      </c>
      <c r="DV15" s="1468">
        <f>'Öko-KG2'!$M$43</f>
        <v>114.91834163294118</v>
      </c>
      <c r="DW15" s="1468">
        <f>'Öko-LU1'!$M$43</f>
        <v>172.0667420682353</v>
      </c>
      <c r="DX15" s="1468">
        <f>'Öko-LU2'!$M$43</f>
        <v>114.91834163294118</v>
      </c>
      <c r="DY15" s="1466">
        <f>'Öko-WW-Futter'!$M$43</f>
        <v>172.45210400268905</v>
      </c>
      <c r="DZ15" s="1468">
        <f>'Öko-WW-Brot'!$M$43</f>
        <v>113.74407414386555</v>
      </c>
      <c r="EA15" s="1468">
        <f>'Öko-Dinkel'!$M$43</f>
        <v>169.76115878084033</v>
      </c>
      <c r="EB15" s="1468">
        <f>'Öko-Dinkel,gegerbt'!$M$43</f>
        <v>169.76115878084033</v>
      </c>
      <c r="EC15" s="1468">
        <f>'Öko-Roggen'!$M$43</f>
        <v>168.44442548806725</v>
      </c>
      <c r="ED15" s="1468">
        <f>'Öko-Hafer'!$M$43</f>
        <v>168.10013650453783</v>
      </c>
      <c r="EE15" s="1468">
        <f>'Öko-Wintergerste'!$M$43</f>
        <v>174.28232676571429</v>
      </c>
      <c r="EF15" s="1468">
        <f>'Öko-Braugerste'!$M$43</f>
        <v>170.50188123966385</v>
      </c>
      <c r="EG15" s="1468">
        <f>'Öko-Körnermais'!$M$43</f>
        <v>193.79221370319328</v>
      </c>
      <c r="EH15" s="1468">
        <f>'Öko-Ackerbohnen'!$M$43</f>
        <v>154.27606966352943</v>
      </c>
      <c r="EI15" s="1468">
        <f>'Öko-Erbsen'!$M$43</f>
        <v>142.22425408000001</v>
      </c>
      <c r="EJ15" s="1468">
        <f>'Öko-Sojabohnen'!$M$43</f>
        <v>180.36443314588237</v>
      </c>
      <c r="EK15" s="1468">
        <f>'Öko-Soblu'!$M$43</f>
        <v>168.73533300403363</v>
      </c>
      <c r="EL15" s="1468">
        <f>'Öko-Raps'!$M$43</f>
        <v>177.04515762117649</v>
      </c>
      <c r="EM15" s="1468">
        <f>'Öko-Kartoffel'!$M$43</f>
        <v>223.80006802789913</v>
      </c>
      <c r="EN15" s="1468" t="e">
        <f>#REF!</f>
        <v>#REF!</v>
      </c>
      <c r="EO15" s="1468">
        <f>Begrün.!$M$43</f>
        <v>73.448666329411765</v>
      </c>
      <c r="EP15" s="1468">
        <f>Blühm.!$M$43</f>
        <v>84.229480327058837</v>
      </c>
      <c r="EQ15" s="1456"/>
      <c r="ER15" s="1468">
        <f>'Öko-KG1'!$P$43</f>
        <v>172.0667420682353</v>
      </c>
      <c r="ES15" s="1468">
        <f>'Öko-KG2'!$P$43</f>
        <v>114.91834163294118</v>
      </c>
      <c r="ET15" s="1468">
        <f>'Öko-LU1'!$P$43</f>
        <v>172.0667420682353</v>
      </c>
      <c r="EU15" s="1468">
        <f>'Öko-LU2'!$P$43</f>
        <v>114.91834163294118</v>
      </c>
      <c r="EV15" s="1466">
        <f>'Öko-WW-Futter'!$P$43</f>
        <v>188.05958628941178</v>
      </c>
      <c r="EW15" s="1468">
        <f>'Öko-WW-Brot'!$P$43</f>
        <v>121.06496519596638</v>
      </c>
      <c r="EX15" s="1468">
        <f>'Öko-Dinkel'!$P$43</f>
        <v>175.14304922453783</v>
      </c>
      <c r="EY15" s="1468">
        <f>'Öko-Dinkel,gegerbt'!$P$43</f>
        <v>174.47031291907561</v>
      </c>
      <c r="EZ15" s="1468">
        <f>'Öko-Roggen'!$P$43</f>
        <v>136.6934240107563</v>
      </c>
      <c r="FA15" s="1468">
        <f>'Öko-Hafer'!$P$43</f>
        <v>179.69141167075628</v>
      </c>
      <c r="FB15" s="1468">
        <f>'Öko-Wintergerste'!$P$43</f>
        <v>180.12177290016805</v>
      </c>
      <c r="FC15" s="1468">
        <f>'Öko-Braugerste'!$P$43</f>
        <v>175.39621599260505</v>
      </c>
      <c r="FD15" s="1468">
        <f>'Öko-Körnermais'!$P$43</f>
        <v>196.24527271084034</v>
      </c>
      <c r="FE15" s="1468">
        <f>'Öko-Ackerbohnen'!$P$43</f>
        <v>155.73929784352944</v>
      </c>
      <c r="FF15" s="1468">
        <f>'Öko-Erbsen'!$P$43</f>
        <v>160.71647666235296</v>
      </c>
      <c r="FG15" s="1468">
        <f>'Öko-Sojabohnen'!$P$43</f>
        <v>186.79623292011763</v>
      </c>
      <c r="FH15" s="1468">
        <f>'Öko-Soblu'!$P$43</f>
        <v>168.04675503697482</v>
      </c>
      <c r="FI15" s="1468">
        <f>'Öko-Raps'!$P$43</f>
        <v>178.25016906352943</v>
      </c>
      <c r="FJ15" s="1468">
        <f>'Öko-Kartoffel'!$P$43</f>
        <v>227.97293509613442</v>
      </c>
      <c r="FK15" s="1468" t="e">
        <f>#REF!</f>
        <v>#REF!</v>
      </c>
      <c r="FL15" s="1468">
        <f>Begrün.!$P$43</f>
        <v>73.448666329411765</v>
      </c>
      <c r="FM15" s="1468">
        <f>Blühm.!$P$43</f>
        <v>84.229480327058837</v>
      </c>
    </row>
    <row r="16" spans="1:169" ht="16.149999999999999" customHeight="1">
      <c r="A16" s="1463">
        <f>ROWS($A$1:A16)</f>
        <v>16</v>
      </c>
      <c r="B16" s="1512" t="s">
        <v>1196</v>
      </c>
      <c r="C16" s="1556"/>
      <c r="D16" s="3662">
        <f>'WW1'!$J$60</f>
        <v>281.89999999999998</v>
      </c>
      <c r="E16" s="1468">
        <f>'WW2'!$J$60</f>
        <v>151.9</v>
      </c>
      <c r="F16" s="1468">
        <f>'WW3'!$J$60</f>
        <v>151.9</v>
      </c>
      <c r="G16" s="1468">
        <f>'WW4'!$J$60</f>
        <v>151.9</v>
      </c>
      <c r="H16" s="1468">
        <f>WRo!$J$60</f>
        <v>151.9</v>
      </c>
      <c r="I16" s="1468">
        <f>Tr!$J$60</f>
        <v>151.9</v>
      </c>
      <c r="J16" s="1468">
        <f>WG!$J$60</f>
        <v>151.9</v>
      </c>
      <c r="K16" s="1468">
        <f>Di!$J$60</f>
        <v>151.9</v>
      </c>
      <c r="L16" s="1468">
        <f>SW!$J$60</f>
        <v>151.9</v>
      </c>
      <c r="M16" s="1468">
        <f>'SG-Fu'!$J$60</f>
        <v>151.9</v>
      </c>
      <c r="N16" s="1468">
        <f>BG!$J$60</f>
        <v>151.9</v>
      </c>
      <c r="O16" s="1468">
        <f>Ha!$J$60</f>
        <v>151.9</v>
      </c>
      <c r="P16" s="1468">
        <f>Du!$J$60</f>
        <v>151.9</v>
      </c>
      <c r="Q16" s="1468">
        <f>KöM!$J$60</f>
        <v>173.1</v>
      </c>
      <c r="R16" s="1468">
        <f>KH!$J$60</f>
        <v>151.9</v>
      </c>
      <c r="S16" s="1468">
        <f>WR!$J$60</f>
        <v>167.8</v>
      </c>
      <c r="T16" s="1468">
        <f>SR!$J$60</f>
        <v>167.8</v>
      </c>
      <c r="U16" s="1468">
        <f>SoBl!$J$60</f>
        <v>167.8</v>
      </c>
      <c r="V16" s="1468">
        <f>Soja!$J$60</f>
        <v>176.8</v>
      </c>
      <c r="W16" s="1468">
        <f>Öl!$J$60</f>
        <v>167.8</v>
      </c>
      <c r="X16" s="1468">
        <f>FE!$J$60</f>
        <v>176.8</v>
      </c>
      <c r="Y16" s="1468">
        <f>AB!$J$60</f>
        <v>176.8</v>
      </c>
      <c r="Z16" s="1468">
        <f>Lu!$J$60</f>
        <v>176.8</v>
      </c>
      <c r="AA16" s="1468">
        <f>ZR!$J$60</f>
        <v>397.5</v>
      </c>
      <c r="AB16" s="1468">
        <f>FrühKa!$J$60</f>
        <v>600</v>
      </c>
      <c r="AC16" s="1468">
        <f>FrühKaFolieBer!$J$60</f>
        <v>600</v>
      </c>
      <c r="AD16" s="1468">
        <f>SpKa!$J$60</f>
        <v>600</v>
      </c>
      <c r="AE16" s="1468">
        <f>SpKaBer!$J$60</f>
        <v>600</v>
      </c>
      <c r="AF16" s="1468">
        <f>'Kultur A'!$J$60</f>
        <v>0</v>
      </c>
      <c r="AG16" s="1468">
        <f>'FAKT-Brachebegrünung'!$J$60</f>
        <v>0</v>
      </c>
      <c r="AH16" s="1468">
        <f>Begr!$J$60</f>
        <v>0</v>
      </c>
      <c r="AI16" s="1465"/>
      <c r="AJ16" s="1466">
        <f>'WW1'!$M$60</f>
        <v>311.89999999999998</v>
      </c>
      <c r="AK16" s="1468">
        <f>'WW2'!$M$60</f>
        <v>151.9</v>
      </c>
      <c r="AL16" s="1468">
        <f>'WW3'!$M$60</f>
        <v>151.9</v>
      </c>
      <c r="AM16" s="1468">
        <f>'WW4'!$M$60</f>
        <v>151.9</v>
      </c>
      <c r="AN16" s="1468">
        <f>WRo!$M$60</f>
        <v>151.9</v>
      </c>
      <c r="AO16" s="1468">
        <f>Tr!$M$60</f>
        <v>151.9</v>
      </c>
      <c r="AP16" s="1468">
        <f>WG!$M$60</f>
        <v>151.9</v>
      </c>
      <c r="AQ16" s="1468">
        <f>Di!$M$60</f>
        <v>151.9</v>
      </c>
      <c r="AR16" s="1468">
        <f>SW!$M$60</f>
        <v>151.9</v>
      </c>
      <c r="AS16" s="1468">
        <f>'SG-Fu'!$M$60</f>
        <v>151.9</v>
      </c>
      <c r="AT16" s="1468">
        <f>BG!$M$60</f>
        <v>151.9</v>
      </c>
      <c r="AU16" s="1468">
        <f>Ha!$M$60</f>
        <v>151.9</v>
      </c>
      <c r="AV16" s="1468">
        <f>Du!$M$60</f>
        <v>151.9</v>
      </c>
      <c r="AW16" s="1468">
        <f>KöM!$M$60</f>
        <v>173.1</v>
      </c>
      <c r="AX16" s="1468">
        <f>KH!$M$60</f>
        <v>151.9</v>
      </c>
      <c r="AY16" s="1468">
        <f>WR!$M$60</f>
        <v>167.8</v>
      </c>
      <c r="AZ16" s="1468">
        <f>SR!$M$60</f>
        <v>167.8</v>
      </c>
      <c r="BA16" s="1468">
        <f>SoBl!$M$60</f>
        <v>167.8</v>
      </c>
      <c r="BB16" s="1468">
        <f>Soja!$M$60</f>
        <v>176.8</v>
      </c>
      <c r="BC16" s="1468">
        <f>Öl!$M$60</f>
        <v>167.8</v>
      </c>
      <c r="BD16" s="1468">
        <f>FE!$M$60</f>
        <v>176.8</v>
      </c>
      <c r="BE16" s="1468">
        <f>AB!$M$60</f>
        <v>176.8</v>
      </c>
      <c r="BF16" s="1468">
        <f>Lu!$M$60</f>
        <v>176.8</v>
      </c>
      <c r="BG16" s="1468">
        <f>ZR!$M$60</f>
        <v>397.5</v>
      </c>
      <c r="BH16" s="1468">
        <f>FrühKa!$M$60</f>
        <v>600</v>
      </c>
      <c r="BI16" s="1468">
        <f>FrühKaFolieBer!$M$60</f>
        <v>600</v>
      </c>
      <c r="BJ16" s="1468">
        <f>SpKa!$M$60</f>
        <v>600</v>
      </c>
      <c r="BK16" s="1468">
        <f>SpKaBer!$M$60</f>
        <v>600</v>
      </c>
      <c r="BL16" s="1468">
        <v>0</v>
      </c>
      <c r="BM16" s="1468">
        <f>'FAKT-Brachebegrünung'!$M$60</f>
        <v>0</v>
      </c>
      <c r="BN16" s="1468">
        <f>Begr!$M$60</f>
        <v>0</v>
      </c>
      <c r="BO16" s="1465"/>
      <c r="BP16" s="1466">
        <f>'WW1'!$P$60</f>
        <v>341.9</v>
      </c>
      <c r="BQ16" s="1468">
        <f>'WW2'!$P$60</f>
        <v>151.9</v>
      </c>
      <c r="BR16" s="1468">
        <f>'WW3'!$P$60</f>
        <v>151.9</v>
      </c>
      <c r="BS16" s="1468">
        <f>'WW4'!$P$60</f>
        <v>151.9</v>
      </c>
      <c r="BT16" s="1468">
        <f>WRo!$P$60</f>
        <v>151.9</v>
      </c>
      <c r="BU16" s="1468">
        <f>Tr!$P$60</f>
        <v>151.9</v>
      </c>
      <c r="BV16" s="1468">
        <f>WG!$P$60</f>
        <v>151.9</v>
      </c>
      <c r="BW16" s="1468">
        <f>Di!$P$60</f>
        <v>151.9</v>
      </c>
      <c r="BX16" s="1468">
        <f>SW!$P$60</f>
        <v>151.9</v>
      </c>
      <c r="BY16" s="1468">
        <f>'SG-Fu'!$P$60</f>
        <v>151.9</v>
      </c>
      <c r="BZ16" s="1468">
        <f>BG!$P$60</f>
        <v>151.9</v>
      </c>
      <c r="CA16" s="1468">
        <f>Ha!$P$60</f>
        <v>151.9</v>
      </c>
      <c r="CB16" s="1468">
        <f>Du!$P$60</f>
        <v>151.9</v>
      </c>
      <c r="CC16" s="1468">
        <f>KöM!$P$60</f>
        <v>173.1</v>
      </c>
      <c r="CD16" s="1468">
        <f>KH!$P$60</f>
        <v>151.9</v>
      </c>
      <c r="CE16" s="1468">
        <f>WR!$P$60</f>
        <v>167.8</v>
      </c>
      <c r="CF16" s="1468">
        <f>SR!$P$60</f>
        <v>167.8</v>
      </c>
      <c r="CG16" s="1468">
        <f>SoBl!$P$60</f>
        <v>167.8</v>
      </c>
      <c r="CH16" s="1468">
        <f>Soja!$P$60</f>
        <v>176.8</v>
      </c>
      <c r="CI16" s="1468">
        <f>Öl!$P$60</f>
        <v>167.8</v>
      </c>
      <c r="CJ16" s="1468">
        <f>FE!$P$60</f>
        <v>176.8</v>
      </c>
      <c r="CK16" s="1468">
        <f>AB!$P$60</f>
        <v>176.8</v>
      </c>
      <c r="CL16" s="1468">
        <f>Lu!$P$60</f>
        <v>176.8</v>
      </c>
      <c r="CM16" s="1468">
        <f>ZR!$P$60</f>
        <v>397.5</v>
      </c>
      <c r="CN16" s="1468">
        <f>FrühKa!$P$60</f>
        <v>600</v>
      </c>
      <c r="CO16" s="1468">
        <f>FrühKaFolieBer!$P$60</f>
        <v>600</v>
      </c>
      <c r="CP16" s="1468">
        <f>SpKa!$P$60</f>
        <v>600</v>
      </c>
      <c r="CQ16" s="1468">
        <f>SpKaBer!$P$60</f>
        <v>600</v>
      </c>
      <c r="CR16" s="1468">
        <f>'Kultur A'!$P$60</f>
        <v>0</v>
      </c>
      <c r="CS16" s="1468">
        <f>'FAKT-Brachebegrünung'!$P$60</f>
        <v>0</v>
      </c>
      <c r="CT16" s="1468">
        <f>Begr!$P$60</f>
        <v>0</v>
      </c>
      <c r="CV16" s="1512" t="s">
        <v>1196</v>
      </c>
      <c r="CW16" s="1556"/>
      <c r="CX16" s="3662">
        <f>'Öko-KG1'!$J$60</f>
        <v>0</v>
      </c>
      <c r="CY16" s="1468">
        <f>'Öko-KG2'!$J$60</f>
        <v>0</v>
      </c>
      <c r="CZ16" s="1468">
        <f>'Öko-LU1'!$J$60</f>
        <v>0</v>
      </c>
      <c r="DA16" s="1468">
        <f>'Öko-LU2'!$J$60</f>
        <v>0</v>
      </c>
      <c r="DB16" s="1466">
        <f>'Öko-WW-Futter'!$J$60</f>
        <v>196</v>
      </c>
      <c r="DC16" s="1468">
        <f>'Öko-WW-Brot'!$J$60</f>
        <v>196</v>
      </c>
      <c r="DD16" s="1468">
        <f>'Öko-Dinkel'!$J$60</f>
        <v>188.5</v>
      </c>
      <c r="DE16" s="1468">
        <f>'Öko-Dinkel,gegerbt'!$J$60</f>
        <v>188.5</v>
      </c>
      <c r="DF16" s="1468">
        <f>'Öko-Roggen'!$J$60</f>
        <v>203.5</v>
      </c>
      <c r="DG16" s="1468">
        <f>'Öko-Hafer'!$J$60</f>
        <v>203.5</v>
      </c>
      <c r="DH16" s="1468">
        <f>'Öko-Wintergerste'!$J$60</f>
        <v>203.5</v>
      </c>
      <c r="DI16" s="1468">
        <f>'Öko-Braugerste'!$J$60</f>
        <v>210.96250000000001</v>
      </c>
      <c r="DJ16" s="1468">
        <f>'Öko-Körnermais'!$J$60</f>
        <v>173.1</v>
      </c>
      <c r="DK16" s="1468">
        <f>'Öko-Ackerbohnen'!$J$60</f>
        <v>176.8</v>
      </c>
      <c r="DL16" s="1468">
        <f>'Öko-Erbsen'!$J$60</f>
        <v>176.8</v>
      </c>
      <c r="DM16" s="1468">
        <f>'Öko-Sojabohnen'!$J$60</f>
        <v>176.8</v>
      </c>
      <c r="DN16" s="1468">
        <f>'Öko-Soblu'!$J$60</f>
        <v>151.9</v>
      </c>
      <c r="DO16" s="1468">
        <f>'Öko-Raps'!$J$60</f>
        <v>180.761</v>
      </c>
      <c r="DP16" s="1468">
        <f>'Öko-Kartoffel'!$J$60</f>
        <v>600</v>
      </c>
      <c r="DQ16" s="1468" t="e">
        <f>#REF!</f>
        <v>#REF!</v>
      </c>
      <c r="DR16" s="1468">
        <f>Begrün.!$J$60</f>
        <v>0</v>
      </c>
      <c r="DS16" s="1468">
        <f>Blühm.!$J$60</f>
        <v>0</v>
      </c>
      <c r="DT16" s="1456"/>
      <c r="DU16" s="1468">
        <f>'Öko-KG1'!$M$60</f>
        <v>0</v>
      </c>
      <c r="DV16" s="1468">
        <f>'Öko-KG2'!$M$60</f>
        <v>0</v>
      </c>
      <c r="DW16" s="1468">
        <f>'Öko-LU1'!$M$60</f>
        <v>0</v>
      </c>
      <c r="DX16" s="1468">
        <f>'Öko-LU2'!$M$60</f>
        <v>0</v>
      </c>
      <c r="DY16" s="1466">
        <f>'Öko-WW-Futter'!$M$60</f>
        <v>216</v>
      </c>
      <c r="DZ16" s="1468">
        <f>'Öko-WW-Brot'!$M$60</f>
        <v>216</v>
      </c>
      <c r="EA16" s="1468">
        <f>'Öko-Dinkel'!$M$60</f>
        <v>206</v>
      </c>
      <c r="EB16" s="1468">
        <f>'Öko-Dinkel,gegerbt'!$M$60</f>
        <v>206</v>
      </c>
      <c r="EC16" s="1468">
        <f>'Öko-Roggen'!$M$60</f>
        <v>226</v>
      </c>
      <c r="ED16" s="1468">
        <f>'Öko-Hafer'!$M$60</f>
        <v>226</v>
      </c>
      <c r="EE16" s="1468">
        <f>'Öko-Wintergerste'!$M$60</f>
        <v>226</v>
      </c>
      <c r="EF16" s="1468">
        <f>'Öko-Braugerste'!$M$60</f>
        <v>230.65</v>
      </c>
      <c r="EG16" s="1468">
        <f>'Öko-Körnermais'!$M$60</f>
        <v>173.1</v>
      </c>
      <c r="EH16" s="1468">
        <f>'Öko-Ackerbohnen'!$M$60</f>
        <v>176.8</v>
      </c>
      <c r="EI16" s="1468">
        <f>'Öko-Erbsen'!$M$60</f>
        <v>176.8</v>
      </c>
      <c r="EJ16" s="1468">
        <f>'Öko-Sojabohnen'!$M$60</f>
        <v>176.8</v>
      </c>
      <c r="EK16" s="1468">
        <f>'Öko-Soblu'!$M$60</f>
        <v>151.9</v>
      </c>
      <c r="EL16" s="1468">
        <f>'Öko-Raps'!$M$60</f>
        <v>180.761</v>
      </c>
      <c r="EM16" s="1468">
        <f>'Öko-Kartoffel'!$M$60</f>
        <v>600</v>
      </c>
      <c r="EN16" s="1468" t="e">
        <f>#REF!</f>
        <v>#REF!</v>
      </c>
      <c r="EO16" s="1468">
        <f>Begrün.!$M$60</f>
        <v>0</v>
      </c>
      <c r="EP16" s="1468">
        <f>Blühm.!$M$60</f>
        <v>0</v>
      </c>
      <c r="EQ16" s="1456"/>
      <c r="ER16" s="1468">
        <f>'Öko-KG1'!$P$60</f>
        <v>0</v>
      </c>
      <c r="ES16" s="1468">
        <f>'Öko-KG2'!$P$60</f>
        <v>0</v>
      </c>
      <c r="ET16" s="1468">
        <f>'Öko-LU1'!$P$60</f>
        <v>0</v>
      </c>
      <c r="EU16" s="1468">
        <f>'Öko-LU2'!$P$60</f>
        <v>0</v>
      </c>
      <c r="EV16" s="1466">
        <f>'Öko-WW-Futter'!$P$60</f>
        <v>274</v>
      </c>
      <c r="EW16" s="1468">
        <f>'Öko-WW-Brot'!$P$60</f>
        <v>256</v>
      </c>
      <c r="EX16" s="1468">
        <f>'Öko-Dinkel'!$P$60</f>
        <v>226</v>
      </c>
      <c r="EY16" s="1468">
        <f>'Öko-Dinkel,gegerbt'!$P$60</f>
        <v>223.5</v>
      </c>
      <c r="EZ16" s="1468">
        <f>'Öko-Roggen'!$P$60</f>
        <v>248.5</v>
      </c>
      <c r="FA16" s="1468">
        <f>'Öko-Hafer'!$P$60</f>
        <v>248.5</v>
      </c>
      <c r="FB16" s="1468">
        <f>'Öko-Wintergerste'!$P$60</f>
        <v>248.5</v>
      </c>
      <c r="FC16" s="1468">
        <f>'Öko-Braugerste'!$P$60</f>
        <v>250.33750000000001</v>
      </c>
      <c r="FD16" s="1468">
        <f>'Öko-Körnermais'!$P$60</f>
        <v>173.1</v>
      </c>
      <c r="FE16" s="1468">
        <f>'Öko-Ackerbohnen'!$P$60</f>
        <v>176.8</v>
      </c>
      <c r="FF16" s="1468">
        <f>'Öko-Erbsen'!$P$60</f>
        <v>176.8</v>
      </c>
      <c r="FG16" s="1468">
        <f>'Öko-Sojabohnen'!$P$60</f>
        <v>176.8</v>
      </c>
      <c r="FH16" s="1468">
        <f>'Öko-Soblu'!$P$60</f>
        <v>151.9</v>
      </c>
      <c r="FI16" s="1468">
        <f>'Öko-Raps'!$P$60</f>
        <v>180.761</v>
      </c>
      <c r="FJ16" s="1468">
        <f>'Öko-Kartoffel'!$P$60</f>
        <v>600</v>
      </c>
      <c r="FK16" s="1468" t="e">
        <f>#REF!</f>
        <v>#REF!</v>
      </c>
      <c r="FL16" s="1468">
        <f>Begrün.!$P$60</f>
        <v>0</v>
      </c>
      <c r="FM16" s="1468">
        <f>Blühm.!$P$60</f>
        <v>0</v>
      </c>
    </row>
    <row r="17" spans="1:169" ht="16.149999999999999" customHeight="1">
      <c r="A17" s="1463">
        <f>ROWS($A$1:A17)</f>
        <v>17</v>
      </c>
      <c r="B17" s="1512" t="s">
        <v>1195</v>
      </c>
      <c r="C17" s="1556"/>
      <c r="D17" s="3662">
        <f>'WW1'!$J$65</f>
        <v>0</v>
      </c>
      <c r="E17" s="1468">
        <f>'WW2'!$J$65</f>
        <v>0</v>
      </c>
      <c r="F17" s="1468">
        <f>'WW3'!$J$65</f>
        <v>0</v>
      </c>
      <c r="G17" s="1468">
        <f>'WW4'!$J$65</f>
        <v>0</v>
      </c>
      <c r="H17" s="1468">
        <f>WRo!$J$65</f>
        <v>0</v>
      </c>
      <c r="I17" s="1468">
        <f>Tr!$J$65</f>
        <v>0</v>
      </c>
      <c r="J17" s="1468">
        <f>WG!$J$65</f>
        <v>0</v>
      </c>
      <c r="K17" s="1468">
        <f>Di!$J$65</f>
        <v>0</v>
      </c>
      <c r="L17" s="1468">
        <f>SW!$J$65</f>
        <v>0</v>
      </c>
      <c r="M17" s="1468">
        <f>'SG-Fu'!$J$65</f>
        <v>0</v>
      </c>
      <c r="N17" s="1468">
        <f>BG!$J$65</f>
        <v>0</v>
      </c>
      <c r="O17" s="1468">
        <f>Ha!$J$65</f>
        <v>0</v>
      </c>
      <c r="P17" s="1468">
        <f>Du!$J$65</f>
        <v>0</v>
      </c>
      <c r="Q17" s="1468">
        <f>KöM!$J$65</f>
        <v>0</v>
      </c>
      <c r="R17" s="1468">
        <f>KH!$J$65</f>
        <v>0</v>
      </c>
      <c r="S17" s="1468">
        <f>WR!$J$65</f>
        <v>0</v>
      </c>
      <c r="T17" s="1468">
        <f>SR!$J$65</f>
        <v>0</v>
      </c>
      <c r="U17" s="1468">
        <f>SoBl!$J$65</f>
        <v>0</v>
      </c>
      <c r="V17" s="1468">
        <f>Soja!$J$65</f>
        <v>0</v>
      </c>
      <c r="W17" s="1468">
        <f>Öl!$J$65</f>
        <v>0</v>
      </c>
      <c r="X17" s="1468">
        <f>FE!$J$65</f>
        <v>0</v>
      </c>
      <c r="Y17" s="1468">
        <f>AB!$J$65</f>
        <v>0</v>
      </c>
      <c r="Z17" s="1468">
        <f>Lu!$J$65</f>
        <v>0</v>
      </c>
      <c r="AA17" s="1468">
        <f>ZR!$J$65</f>
        <v>0</v>
      </c>
      <c r="AB17" s="1468">
        <f>FrühKa!$J$65</f>
        <v>212.5</v>
      </c>
      <c r="AC17" s="1468">
        <f>FrühKaFolieBer!$J$65</f>
        <v>1190</v>
      </c>
      <c r="AD17" s="1468">
        <f>SpKa!$J$65</f>
        <v>425</v>
      </c>
      <c r="AE17" s="1468">
        <f>SpKaBer!$J$65</f>
        <v>510</v>
      </c>
      <c r="AF17" s="1468">
        <f>'Kultur A'!$J$65</f>
        <v>0</v>
      </c>
      <c r="AG17" s="1468">
        <f>'FAKT-Brachebegrünung'!$J$65</f>
        <v>0</v>
      </c>
      <c r="AH17" s="1468">
        <f>Begr!$J$65</f>
        <v>0</v>
      </c>
      <c r="AI17" s="1465"/>
      <c r="AJ17" s="1466">
        <f>'WW1'!$M$65</f>
        <v>0</v>
      </c>
      <c r="AK17" s="1468">
        <f>'WW2'!$M$65</f>
        <v>0</v>
      </c>
      <c r="AL17" s="1468">
        <f>'WW3'!$M$65</f>
        <v>0</v>
      </c>
      <c r="AM17" s="1468">
        <f>'WW4'!$M$65</f>
        <v>0</v>
      </c>
      <c r="AN17" s="1468">
        <f>WRo!$M$65</f>
        <v>0</v>
      </c>
      <c r="AO17" s="1468">
        <f>Tr!$M$65</f>
        <v>0</v>
      </c>
      <c r="AP17" s="1468">
        <f>WG!$M$65</f>
        <v>0</v>
      </c>
      <c r="AQ17" s="1468">
        <f>Di!$M$65</f>
        <v>0</v>
      </c>
      <c r="AR17" s="1468">
        <f>SW!$M$65</f>
        <v>0</v>
      </c>
      <c r="AS17" s="1468">
        <f>'SG-Fu'!$M$65</f>
        <v>0</v>
      </c>
      <c r="AT17" s="1468">
        <f>BG!$M$65</f>
        <v>0</v>
      </c>
      <c r="AU17" s="1468">
        <f>Ha!$M$65</f>
        <v>0</v>
      </c>
      <c r="AV17" s="1468">
        <f>Du!$M$65</f>
        <v>0</v>
      </c>
      <c r="AW17" s="1468">
        <f>KöM!$M$65</f>
        <v>0</v>
      </c>
      <c r="AX17" s="1468">
        <f>KH!$M$65</f>
        <v>0</v>
      </c>
      <c r="AY17" s="1468">
        <f>WR!$M$65</f>
        <v>0</v>
      </c>
      <c r="AZ17" s="1468">
        <f>SR!$M$65</f>
        <v>0</v>
      </c>
      <c r="BA17" s="1468">
        <f>SoBl!$M$65</f>
        <v>0</v>
      </c>
      <c r="BB17" s="1468">
        <f>Soja!$M$65</f>
        <v>0</v>
      </c>
      <c r="BC17" s="1468">
        <f>Öl!$M$65</f>
        <v>0</v>
      </c>
      <c r="BD17" s="1468">
        <f>FE!$M$65</f>
        <v>0</v>
      </c>
      <c r="BE17" s="1468">
        <f>AB!$M$65</f>
        <v>0</v>
      </c>
      <c r="BF17" s="1468">
        <f>Lu!$M$65</f>
        <v>0</v>
      </c>
      <c r="BG17" s="1468">
        <f>ZR!$M$65</f>
        <v>0</v>
      </c>
      <c r="BH17" s="1468">
        <f>FrühKa!$M$65</f>
        <v>212.5</v>
      </c>
      <c r="BI17" s="1468">
        <f>FrühKaFolieBer!$M$65</f>
        <v>1190</v>
      </c>
      <c r="BJ17" s="1468">
        <f>SpKa!$M$65</f>
        <v>425</v>
      </c>
      <c r="BK17" s="1468">
        <f>SpKaBer!$M$65</f>
        <v>510</v>
      </c>
      <c r="BL17" s="1468">
        <v>0</v>
      </c>
      <c r="BM17" s="1468">
        <f>'FAKT-Brachebegrünung'!$M$65</f>
        <v>0</v>
      </c>
      <c r="BN17" s="1468">
        <f>Begr!$M$65</f>
        <v>0</v>
      </c>
      <c r="BO17" s="1465"/>
      <c r="BP17" s="1466">
        <f>'WW1'!$P$65</f>
        <v>0</v>
      </c>
      <c r="BQ17" s="1468">
        <f>'WW2'!$P$65</f>
        <v>0</v>
      </c>
      <c r="BR17" s="1468">
        <f>'WW3'!$P$65</f>
        <v>0</v>
      </c>
      <c r="BS17" s="1468">
        <f>'WW4'!$P$65</f>
        <v>0</v>
      </c>
      <c r="BT17" s="1468">
        <f>WRo!$P$65</f>
        <v>0</v>
      </c>
      <c r="BU17" s="1468">
        <f>Tr!$P$65</f>
        <v>0</v>
      </c>
      <c r="BV17" s="1468">
        <f>WG!$P$65</f>
        <v>0</v>
      </c>
      <c r="BW17" s="1468">
        <f>Di!$P$65</f>
        <v>0</v>
      </c>
      <c r="BX17" s="1468">
        <f>SW!$P$65</f>
        <v>0</v>
      </c>
      <c r="BY17" s="1468">
        <f>'SG-Fu'!$P$65</f>
        <v>0</v>
      </c>
      <c r="BZ17" s="1468">
        <f>BG!$P$65</f>
        <v>0</v>
      </c>
      <c r="CA17" s="1468">
        <f>Ha!$P$65</f>
        <v>0</v>
      </c>
      <c r="CB17" s="1468">
        <f>Du!$P$65</f>
        <v>0</v>
      </c>
      <c r="CC17" s="1468">
        <f>KöM!$P$65</f>
        <v>0</v>
      </c>
      <c r="CD17" s="1468">
        <f>KH!$P$65</f>
        <v>0</v>
      </c>
      <c r="CE17" s="1468">
        <f>WR!$P$65</f>
        <v>0</v>
      </c>
      <c r="CF17" s="1468">
        <f>SR!$P$65</f>
        <v>0</v>
      </c>
      <c r="CG17" s="1468">
        <f>SoBl!$P$65</f>
        <v>0</v>
      </c>
      <c r="CH17" s="1468">
        <f>Soja!$P$65</f>
        <v>0</v>
      </c>
      <c r="CI17" s="1468">
        <f>Öl!$P$65</f>
        <v>0</v>
      </c>
      <c r="CJ17" s="1468">
        <f>FE!$P$65</f>
        <v>0</v>
      </c>
      <c r="CK17" s="1468">
        <f>AB!$P$65</f>
        <v>0</v>
      </c>
      <c r="CL17" s="1468">
        <f>Lu!$P$65</f>
        <v>0</v>
      </c>
      <c r="CM17" s="1468">
        <f>ZR!$P$65</f>
        <v>0</v>
      </c>
      <c r="CN17" s="1468">
        <f>FrühKa!$P$65</f>
        <v>212.5</v>
      </c>
      <c r="CO17" s="1468">
        <f>FrühKaFolieBer!$P$65</f>
        <v>1190</v>
      </c>
      <c r="CP17" s="1468">
        <f>SpKa!$P$65</f>
        <v>425</v>
      </c>
      <c r="CQ17" s="1468">
        <f>SpKaBer!$P$65</f>
        <v>510</v>
      </c>
      <c r="CR17" s="1468">
        <f>'Kultur A'!$P$65</f>
        <v>0</v>
      </c>
      <c r="CS17" s="1468">
        <f>'FAKT-Brachebegrünung'!$P$65</f>
        <v>0</v>
      </c>
      <c r="CT17" s="1468">
        <f>Begr!$P$65</f>
        <v>0</v>
      </c>
      <c r="CV17" s="1512" t="s">
        <v>1195</v>
      </c>
      <c r="CW17" s="1556"/>
      <c r="CX17" s="3662">
        <f>'Öko-KG1'!$J$65</f>
        <v>0</v>
      </c>
      <c r="CY17" s="1468">
        <f>'Öko-KG2'!$J$65</f>
        <v>0</v>
      </c>
      <c r="CZ17" s="1468">
        <f>'Öko-LU1'!$J$65</f>
        <v>0</v>
      </c>
      <c r="DA17" s="1468">
        <f>'Öko-LU2'!$J$65</f>
        <v>0</v>
      </c>
      <c r="DB17" s="1466">
        <f>'Öko-WW-Futter'!$J$65</f>
        <v>0</v>
      </c>
      <c r="DC17" s="1468">
        <f>'Öko-WW-Brot'!$J$65</f>
        <v>0</v>
      </c>
      <c r="DD17" s="1468">
        <f>'Öko-Dinkel'!$J$65</f>
        <v>0</v>
      </c>
      <c r="DE17" s="1468">
        <f>'Öko-Dinkel,gegerbt'!$J$65</f>
        <v>0</v>
      </c>
      <c r="DF17" s="1468">
        <f>'Öko-Roggen'!$J$65</f>
        <v>0</v>
      </c>
      <c r="DG17" s="1468">
        <f>'Öko-Hafer'!$J$65</f>
        <v>0</v>
      </c>
      <c r="DH17" s="1468">
        <f>'Öko-Wintergerste'!$J$65</f>
        <v>0</v>
      </c>
      <c r="DI17" s="1468">
        <f>'Öko-Braugerste'!$J$65</f>
        <v>0</v>
      </c>
      <c r="DJ17" s="1468">
        <f>'Öko-Körnermais'!$J$65</f>
        <v>0</v>
      </c>
      <c r="DK17" s="1468">
        <f>'Öko-Ackerbohnen'!$J$65</f>
        <v>0</v>
      </c>
      <c r="DL17" s="1468">
        <f>'Öko-Erbsen'!$J$65</f>
        <v>0</v>
      </c>
      <c r="DM17" s="1468">
        <f>'Öko-Sojabohnen'!$J$65</f>
        <v>0</v>
      </c>
      <c r="DN17" s="1468">
        <f>'Öko-Soblu'!$J$65</f>
        <v>0</v>
      </c>
      <c r="DO17" s="1468">
        <f>'Öko-Raps'!$J$65</f>
        <v>0</v>
      </c>
      <c r="DP17" s="1468">
        <f>'Öko-Kartoffel'!$J$65</f>
        <v>0</v>
      </c>
      <c r="DQ17" s="1468" t="e">
        <f>#REF!</f>
        <v>#REF!</v>
      </c>
      <c r="DR17" s="1468">
        <f>Begrün.!$J$65</f>
        <v>0</v>
      </c>
      <c r="DS17" s="1468">
        <f>Blühm.!$J$65</f>
        <v>0</v>
      </c>
      <c r="DT17" s="1456"/>
      <c r="DU17" s="1468">
        <f>'Öko-KG1'!$M$65</f>
        <v>0</v>
      </c>
      <c r="DV17" s="1468">
        <f>'Öko-KG2'!$M$65</f>
        <v>0</v>
      </c>
      <c r="DW17" s="1468">
        <f>'Öko-LU1'!$M$65</f>
        <v>0</v>
      </c>
      <c r="DX17" s="1468">
        <f>'Öko-LU2'!$M$65</f>
        <v>0</v>
      </c>
      <c r="DY17" s="1466">
        <f>'Öko-WW-Futter'!$M$65</f>
        <v>0</v>
      </c>
      <c r="DZ17" s="1468">
        <f>'Öko-WW-Brot'!$M$65</f>
        <v>0</v>
      </c>
      <c r="EA17" s="1468">
        <f>'Öko-Dinkel'!$M$65</f>
        <v>0</v>
      </c>
      <c r="EB17" s="1468">
        <f>'Öko-Dinkel,gegerbt'!$M$65</f>
        <v>0</v>
      </c>
      <c r="EC17" s="1468">
        <f>'Öko-Roggen'!$M$65</f>
        <v>0</v>
      </c>
      <c r="ED17" s="1468">
        <f>'Öko-Hafer'!$M$65</f>
        <v>0</v>
      </c>
      <c r="EE17" s="1468">
        <f>'Öko-Wintergerste'!$M$65</f>
        <v>0</v>
      </c>
      <c r="EF17" s="1468">
        <f>'Öko-Braugerste'!$M$65</f>
        <v>0</v>
      </c>
      <c r="EG17" s="1468">
        <f>'Öko-Körnermais'!$M$65</f>
        <v>0</v>
      </c>
      <c r="EH17" s="1468">
        <f>'Öko-Ackerbohnen'!$M$65</f>
        <v>0</v>
      </c>
      <c r="EI17" s="1468">
        <f>'Öko-Erbsen'!$M$65</f>
        <v>0</v>
      </c>
      <c r="EJ17" s="1468">
        <f>'Öko-Sojabohnen'!$M$65</f>
        <v>0</v>
      </c>
      <c r="EK17" s="1468">
        <f>'Öko-Soblu'!$M$65</f>
        <v>0</v>
      </c>
      <c r="EL17" s="1468">
        <f>'Öko-Raps'!$M$65</f>
        <v>0</v>
      </c>
      <c r="EM17" s="1468">
        <f>'Öko-Kartoffel'!$M$65</f>
        <v>0</v>
      </c>
      <c r="EN17" s="1468" t="e">
        <f>#REF!</f>
        <v>#REF!</v>
      </c>
      <c r="EO17" s="1468">
        <f>Begrün.!$M$65</f>
        <v>0</v>
      </c>
      <c r="EP17" s="1468">
        <f>Blühm.!$M$65</f>
        <v>0</v>
      </c>
      <c r="EQ17" s="1456"/>
      <c r="ER17" s="1468">
        <f>'Öko-KG1'!$P$65</f>
        <v>0</v>
      </c>
      <c r="ES17" s="1468">
        <f>'Öko-KG2'!$P$65</f>
        <v>0</v>
      </c>
      <c r="ET17" s="1468">
        <f>'Öko-LU1'!$P$65</f>
        <v>0</v>
      </c>
      <c r="EU17" s="1468">
        <f>'Öko-LU2'!$P$65</f>
        <v>0</v>
      </c>
      <c r="EV17" s="1466">
        <f>'Öko-WW-Futter'!$P$65</f>
        <v>0</v>
      </c>
      <c r="EW17" s="1468">
        <f>'Öko-WW-Brot'!$P$65</f>
        <v>0</v>
      </c>
      <c r="EX17" s="1468">
        <f>'Öko-Dinkel'!$P$65</f>
        <v>0</v>
      </c>
      <c r="EY17" s="1468">
        <f>'Öko-Dinkel,gegerbt'!$P$65</f>
        <v>0</v>
      </c>
      <c r="EZ17" s="1468">
        <f>'Öko-Roggen'!$P$65</f>
        <v>0</v>
      </c>
      <c r="FA17" s="1468">
        <f>'Öko-Hafer'!$P$65</f>
        <v>0</v>
      </c>
      <c r="FB17" s="1468">
        <f>'Öko-Wintergerste'!$P$65</f>
        <v>0</v>
      </c>
      <c r="FC17" s="1468">
        <f>'Öko-Braugerste'!$P$65</f>
        <v>0</v>
      </c>
      <c r="FD17" s="1468">
        <f>'Öko-Körnermais'!$P$65</f>
        <v>0</v>
      </c>
      <c r="FE17" s="1468">
        <f>'Öko-Ackerbohnen'!$P$65</f>
        <v>0</v>
      </c>
      <c r="FF17" s="1468">
        <f>'Öko-Erbsen'!$P$65</f>
        <v>0</v>
      </c>
      <c r="FG17" s="1468">
        <f>'Öko-Sojabohnen'!$P$65</f>
        <v>0</v>
      </c>
      <c r="FH17" s="1468">
        <f>'Öko-Soblu'!$P$65</f>
        <v>0</v>
      </c>
      <c r="FI17" s="1468">
        <f>'Öko-Raps'!$P$65</f>
        <v>0</v>
      </c>
      <c r="FJ17" s="1468">
        <f>'Öko-Kartoffel'!$P$65</f>
        <v>0</v>
      </c>
      <c r="FK17" s="1468" t="e">
        <f>#REF!</f>
        <v>#REF!</v>
      </c>
      <c r="FL17" s="1468">
        <f>Begrün.!$P$65</f>
        <v>0</v>
      </c>
      <c r="FM17" s="1468">
        <f>Blühm.!$P$65</f>
        <v>0</v>
      </c>
    </row>
    <row r="18" spans="1:169" ht="16.149999999999999" customHeight="1">
      <c r="A18" s="1463">
        <f>ROWS($A$1:A18)</f>
        <v>18</v>
      </c>
      <c r="B18" s="1557" t="s">
        <v>1194</v>
      </c>
      <c r="C18" s="1556"/>
      <c r="D18" s="3662">
        <f>'WW1'!$J$67</f>
        <v>117.32500000000002</v>
      </c>
      <c r="E18" s="1468">
        <f>'WW2'!$J$67</f>
        <v>84</v>
      </c>
      <c r="F18" s="1468">
        <f>'WW3'!$J$67</f>
        <v>99.275000000000006</v>
      </c>
      <c r="G18" s="1468">
        <f>'WW4'!$J$67</f>
        <v>99.275000000000006</v>
      </c>
      <c r="H18" s="1468">
        <f>WRo!$J$67</f>
        <v>99.275000000000006</v>
      </c>
      <c r="I18" s="1468">
        <f>Tr!$J$67</f>
        <v>108.30000000000001</v>
      </c>
      <c r="J18" s="1468">
        <f>WG!$J$67</f>
        <v>99.275000000000006</v>
      </c>
      <c r="K18" s="1468">
        <f>Di!$J$67</f>
        <v>90.250000000000014</v>
      </c>
      <c r="L18" s="1468">
        <f>SW!$J$67</f>
        <v>0</v>
      </c>
      <c r="M18" s="1468">
        <f>'SG-Fu'!$J$67</f>
        <v>90.250000000000014</v>
      </c>
      <c r="N18" s="1468">
        <f>BG!$J$67</f>
        <v>81.225000000000009</v>
      </c>
      <c r="O18" s="1468">
        <f>Ha!$J$67</f>
        <v>81.225000000000009</v>
      </c>
      <c r="P18" s="1468">
        <f>Du!$J$67</f>
        <v>72.2</v>
      </c>
      <c r="Q18" s="1468">
        <f>KöM!$J$67</f>
        <v>440</v>
      </c>
      <c r="R18" s="1468">
        <f>KH!$J$67</f>
        <v>648.79999999999995</v>
      </c>
      <c r="S18" s="1468">
        <f>WR!$J$67</f>
        <v>77.616000000000014</v>
      </c>
      <c r="T18" s="1468">
        <f>SR!$J$67</f>
        <v>78.400000000000006</v>
      </c>
      <c r="U18" s="1468">
        <f>SoBl!$J$67</f>
        <v>172.5</v>
      </c>
      <c r="V18" s="1468">
        <f>Soja!$J$67</f>
        <v>83.424000000000007</v>
      </c>
      <c r="W18" s="1468">
        <f>Öl!$J$67</f>
        <v>58.5</v>
      </c>
      <c r="X18" s="1468">
        <f>FE!$J$67</f>
        <v>57.816000000000003</v>
      </c>
      <c r="Y18" s="1468">
        <f>AB!$J$67</f>
        <v>57.816000000000003</v>
      </c>
      <c r="Z18" s="1468">
        <f>Lu!$J$67</f>
        <v>12.264000000000001</v>
      </c>
      <c r="AA18" s="1468">
        <f>ZR!$J$67</f>
        <v>0</v>
      </c>
      <c r="AB18" s="1468">
        <f>FrühKa!$J$67</f>
        <v>0</v>
      </c>
      <c r="AC18" s="1468">
        <f>FrühKaFolieBer!$J$67</f>
        <v>0</v>
      </c>
      <c r="AD18" s="1468">
        <f>SpKa!$J$67</f>
        <v>0</v>
      </c>
      <c r="AE18" s="1468">
        <f>SpKaBer!$J$67</f>
        <v>0</v>
      </c>
      <c r="AF18" s="1468">
        <f>'Kultur A'!$J$67</f>
        <v>0</v>
      </c>
      <c r="AG18" s="1468">
        <f>'FAKT-Brachebegrünung'!$J$67</f>
        <v>0</v>
      </c>
      <c r="AH18" s="1468">
        <f>Begr!$J$67</f>
        <v>0</v>
      </c>
      <c r="AI18" s="1465"/>
      <c r="AJ18" s="1466">
        <f>'WW1'!$M$67</f>
        <v>288.39999999999998</v>
      </c>
      <c r="AK18" s="1468">
        <f>'WW2'!$M$67</f>
        <v>135.375</v>
      </c>
      <c r="AL18" s="1468">
        <f>'WW3'!$M$67</f>
        <v>126.35000000000001</v>
      </c>
      <c r="AM18" s="1468">
        <f>'WW4'!$M$67</f>
        <v>117.32500000000002</v>
      </c>
      <c r="AN18" s="1468">
        <f>WRo!$M$67</f>
        <v>117.32500000000002</v>
      </c>
      <c r="AO18" s="1468">
        <f>Tr!$M$67</f>
        <v>135.375</v>
      </c>
      <c r="AP18" s="1468">
        <f>WG!$M$67</f>
        <v>126.35000000000001</v>
      </c>
      <c r="AQ18" s="1468">
        <f>Di!$M$67</f>
        <v>108.30000000000001</v>
      </c>
      <c r="AR18" s="1468">
        <f>SW!$M$67</f>
        <v>117.32500000000002</v>
      </c>
      <c r="AS18" s="1468">
        <f>'SG-Fu'!$M$67</f>
        <v>108.30000000000001</v>
      </c>
      <c r="AT18" s="1468">
        <f>BG!$M$67</f>
        <v>99.275000000000006</v>
      </c>
      <c r="AU18" s="1468">
        <f>Ha!$M$67</f>
        <v>99.275000000000006</v>
      </c>
      <c r="AV18" s="1468">
        <f>Du!$M$67</f>
        <v>99.275000000000006</v>
      </c>
      <c r="AW18" s="1468">
        <f>KöM!$M$67</f>
        <v>550</v>
      </c>
      <c r="AX18" s="1468">
        <f>KH!$M$67</f>
        <v>729.9</v>
      </c>
      <c r="AY18" s="1468">
        <f>WR!$M$67</f>
        <v>103.48800000000001</v>
      </c>
      <c r="AZ18" s="1468">
        <f>SR!$M$67</f>
        <v>98.000000000000014</v>
      </c>
      <c r="BA18" s="1468">
        <f>SoBl!$M$67</f>
        <v>207</v>
      </c>
      <c r="BB18" s="1468">
        <f>Soja!$M$67</f>
        <v>112.62240000000001</v>
      </c>
      <c r="BC18" s="1468">
        <f>Öl!$M$67</f>
        <v>78</v>
      </c>
      <c r="BD18" s="1468">
        <f>FE!$M$67</f>
        <v>101.178</v>
      </c>
      <c r="BE18" s="1468">
        <f>AB!$M$67</f>
        <v>101.178</v>
      </c>
      <c r="BF18" s="1468">
        <f>Lu!$M$67</f>
        <v>30.660000000000004</v>
      </c>
      <c r="BG18" s="1468">
        <f>ZR!$M$67</f>
        <v>0</v>
      </c>
      <c r="BH18" s="1468">
        <f>FrühKa!$M$67</f>
        <v>0</v>
      </c>
      <c r="BI18" s="1468">
        <f>FrühKaFolieBer!$M$67</f>
        <v>0</v>
      </c>
      <c r="BJ18" s="1468">
        <f>SpKa!$M$67</f>
        <v>0</v>
      </c>
      <c r="BK18" s="1468">
        <f>SpKaBer!$M$67</f>
        <v>0</v>
      </c>
      <c r="BL18" s="1468">
        <v>0</v>
      </c>
      <c r="BM18" s="1468">
        <f>'FAKT-Brachebegrünung'!$M$67</f>
        <v>0</v>
      </c>
      <c r="BN18" s="1468">
        <f>Begr!$M$67</f>
        <v>0</v>
      </c>
      <c r="BO18" s="1465"/>
      <c r="BP18" s="1466">
        <f>'WW1'!$P$67</f>
        <v>256.97500000000002</v>
      </c>
      <c r="BQ18" s="1468">
        <f>'WW2'!$P$67</f>
        <v>162.45000000000002</v>
      </c>
      <c r="BR18" s="1468">
        <f>'WW3'!$P$67</f>
        <v>153.42500000000001</v>
      </c>
      <c r="BS18" s="1468">
        <f>'WW4'!$P$67</f>
        <v>135.375</v>
      </c>
      <c r="BT18" s="1468">
        <f>WRo!$P$67</f>
        <v>135.375</v>
      </c>
      <c r="BU18" s="1468">
        <f>Tr!$P$67</f>
        <v>162.45000000000002</v>
      </c>
      <c r="BV18" s="1468">
        <f>WG!$P$67</f>
        <v>153.42500000000001</v>
      </c>
      <c r="BW18" s="1468">
        <f>Di!$P$67</f>
        <v>126.35000000000001</v>
      </c>
      <c r="BX18" s="1468">
        <f>SW!$P$67</f>
        <v>0</v>
      </c>
      <c r="BY18" s="1468">
        <f>'SG-Fu'!$P$67</f>
        <v>126.35000000000001</v>
      </c>
      <c r="BZ18" s="1468">
        <f>BG!$P$67</f>
        <v>117.32500000000002</v>
      </c>
      <c r="CA18" s="1468">
        <f>Ha!$P$67</f>
        <v>117.32500000000002</v>
      </c>
      <c r="CB18" s="1468">
        <f>Du!$P$67</f>
        <v>108.30000000000001</v>
      </c>
      <c r="CC18" s="1468">
        <f>KöM!$P$67</f>
        <v>660</v>
      </c>
      <c r="CD18" s="1468">
        <f>KH!$P$67</f>
        <v>811</v>
      </c>
      <c r="CE18" s="1468">
        <f>WR!$P$67</f>
        <v>129.36000000000001</v>
      </c>
      <c r="CF18" s="1468">
        <f>SR!$P$67</f>
        <v>117.60000000000001</v>
      </c>
      <c r="CG18" s="1468">
        <f>SoBl!$P$67</f>
        <v>241.5</v>
      </c>
      <c r="CH18" s="1468">
        <f>Soja!$P$67</f>
        <v>141.82079999999999</v>
      </c>
      <c r="CI18" s="1468">
        <f>Öl!$P$67</f>
        <v>97.5</v>
      </c>
      <c r="CJ18" s="1468">
        <f>FE!$P$67</f>
        <v>144.54000000000002</v>
      </c>
      <c r="CK18" s="1468">
        <f>AB!$P$67</f>
        <v>144.54000000000002</v>
      </c>
      <c r="CL18" s="1468">
        <f>Lu!$P$67</f>
        <v>49.056000000000004</v>
      </c>
      <c r="CM18" s="1468">
        <f>ZR!$P$67</f>
        <v>0</v>
      </c>
      <c r="CN18" s="1468">
        <f>FrühKa!$P$67</f>
        <v>0</v>
      </c>
      <c r="CO18" s="1468">
        <f>FrühKaFolieBer!$P$67</f>
        <v>0</v>
      </c>
      <c r="CP18" s="1468">
        <f>SpKa!$P$67</f>
        <v>0</v>
      </c>
      <c r="CQ18" s="1468">
        <f>SpKaBer!$P$67</f>
        <v>0</v>
      </c>
      <c r="CR18" s="1468">
        <f>'Kultur A'!$P$67</f>
        <v>0</v>
      </c>
      <c r="CS18" s="1468">
        <f>'FAKT-Brachebegrünung'!$P$67</f>
        <v>0</v>
      </c>
      <c r="CT18" s="1468">
        <f>Begr!$P$67</f>
        <v>0</v>
      </c>
      <c r="CV18" s="1557" t="s">
        <v>1194</v>
      </c>
      <c r="CW18" s="1556"/>
      <c r="CX18" s="3662">
        <f>'Öko-KG1'!$J$67</f>
        <v>0</v>
      </c>
      <c r="CY18" s="1468">
        <f>'Öko-KG2'!$J$67</f>
        <v>0</v>
      </c>
      <c r="CZ18" s="1468">
        <f>'Öko-LU1'!$J$67</f>
        <v>0</v>
      </c>
      <c r="DA18" s="1468">
        <f>'Öko-LU2'!$J$67</f>
        <v>0</v>
      </c>
      <c r="DB18" s="1466">
        <f>'Öko-WW-Futter'!$J$67</f>
        <v>54.150000000000006</v>
      </c>
      <c r="DC18" s="1468">
        <f>'Öko-WW-Brot'!$J$67</f>
        <v>54.150000000000006</v>
      </c>
      <c r="DD18" s="1468">
        <f>'Öko-Dinkel'!$J$67</f>
        <v>47.381250000000001</v>
      </c>
      <c r="DE18" s="1468">
        <f>'Öko-Dinkel,gegerbt'!$J$67</f>
        <v>47.381250000000001</v>
      </c>
      <c r="DF18" s="1468">
        <f>'Öko-Roggen'!$J$67</f>
        <v>54.150000000000006</v>
      </c>
      <c r="DG18" s="1468">
        <f>'Öko-Hafer'!$J$67</f>
        <v>54.150000000000006</v>
      </c>
      <c r="DH18" s="1468">
        <f>'Öko-Wintergerste'!$J$67</f>
        <v>54.150000000000006</v>
      </c>
      <c r="DI18" s="1468">
        <f>'Öko-Braugerste'!$J$67</f>
        <v>47.381250000000001</v>
      </c>
      <c r="DJ18" s="1468">
        <f>'Öko-Körnermais'!$J$67</f>
        <v>330</v>
      </c>
      <c r="DK18" s="1468">
        <f>'Öko-Ackerbohnen'!$J$67</f>
        <v>57.487499999999997</v>
      </c>
      <c r="DL18" s="1468">
        <f>'Öko-Erbsen'!$J$67</f>
        <v>49.274999999999999</v>
      </c>
      <c r="DM18" s="1468">
        <f>'Öko-Sojabohnen'!$J$67</f>
        <v>201.96</v>
      </c>
      <c r="DN18" s="1468">
        <f>'Öko-Soblu'!$J$67</f>
        <v>278</v>
      </c>
      <c r="DO18" s="1468">
        <f>'Öko-Raps'!$J$67</f>
        <v>40.700000000000003</v>
      </c>
      <c r="DP18" s="1468">
        <f>'Öko-Kartoffel'!$J$67</f>
        <v>0</v>
      </c>
      <c r="DQ18" s="1468" t="e">
        <f>#REF!</f>
        <v>#REF!</v>
      </c>
      <c r="DR18" s="1468">
        <f>Begrün.!$J$67</f>
        <v>0</v>
      </c>
      <c r="DS18" s="1468">
        <f>Blühm.!$J$67</f>
        <v>0</v>
      </c>
      <c r="DT18" s="1456"/>
      <c r="DU18" s="1468">
        <f>'Öko-KG1'!$M$67</f>
        <v>0</v>
      </c>
      <c r="DV18" s="1468">
        <f>'Öko-KG2'!$M$67</f>
        <v>0</v>
      </c>
      <c r="DW18" s="1468">
        <f>'Öko-LU1'!$M$67</f>
        <v>0</v>
      </c>
      <c r="DX18" s="1468">
        <f>'Öko-LU2'!$M$67</f>
        <v>0</v>
      </c>
      <c r="DY18" s="1466">
        <f>'Öko-WW-Futter'!$M$67</f>
        <v>72.2</v>
      </c>
      <c r="DZ18" s="1468">
        <f>'Öko-WW-Brot'!$M$67</f>
        <v>72.2</v>
      </c>
      <c r="EA18" s="1468">
        <f>'Öko-Dinkel'!$M$67</f>
        <v>63.175000000000004</v>
      </c>
      <c r="EB18" s="1468">
        <f>'Öko-Dinkel,gegerbt'!$M$67</f>
        <v>63.175000000000004</v>
      </c>
      <c r="EC18" s="1468">
        <f>'Öko-Roggen'!$M$67</f>
        <v>72.2</v>
      </c>
      <c r="ED18" s="1468">
        <f>'Öko-Hafer'!$M$67</f>
        <v>72.2</v>
      </c>
      <c r="EE18" s="1468">
        <f>'Öko-Wintergerste'!$M$67</f>
        <v>144.19999999999999</v>
      </c>
      <c r="EF18" s="1468">
        <f>'Öko-Braugerste'!$M$67</f>
        <v>63.175000000000004</v>
      </c>
      <c r="EG18" s="1468">
        <f>'Öko-Körnermais'!$M$67</f>
        <v>440</v>
      </c>
      <c r="EH18" s="1468">
        <f>'Öko-Ackerbohnen'!$M$67</f>
        <v>153.29999999999998</v>
      </c>
      <c r="EI18" s="1468">
        <f>'Öko-Erbsen'!$M$67</f>
        <v>65.7</v>
      </c>
      <c r="EJ18" s="1468">
        <f>'Öko-Sojabohnen'!$M$67</f>
        <v>237.6</v>
      </c>
      <c r="EK18" s="1468">
        <f>'Öko-Soblu'!$M$67</f>
        <v>474</v>
      </c>
      <c r="EL18" s="1468">
        <f>'Öko-Raps'!$M$67</f>
        <v>96.330000000000013</v>
      </c>
      <c r="EM18" s="1468">
        <f>'Öko-Kartoffel'!$M$67</f>
        <v>0</v>
      </c>
      <c r="EN18" s="1468" t="e">
        <f>#REF!</f>
        <v>#REF!</v>
      </c>
      <c r="EO18" s="1468">
        <f>Begrün.!$M$67</f>
        <v>0</v>
      </c>
      <c r="EP18" s="1468">
        <f>Blühm.!$M$67</f>
        <v>0</v>
      </c>
      <c r="EQ18" s="1456"/>
      <c r="ER18" s="1468">
        <f>'Öko-KG1'!$P$67</f>
        <v>0</v>
      </c>
      <c r="ES18" s="1468">
        <f>'Öko-KG2'!$P$67</f>
        <v>0</v>
      </c>
      <c r="ET18" s="1468">
        <f>'Öko-LU1'!$P$67</f>
        <v>0</v>
      </c>
      <c r="EU18" s="1468">
        <f>'Öko-LU2'!$P$67</f>
        <v>0</v>
      </c>
      <c r="EV18" s="1466">
        <f>'Öko-WW-Futter'!$P$67</f>
        <v>124.54500000000002</v>
      </c>
      <c r="EW18" s="1468">
        <f>'Öko-WW-Brot'!$P$67</f>
        <v>108.30000000000001</v>
      </c>
      <c r="EX18" s="1468">
        <f>'Öko-Dinkel'!$P$67</f>
        <v>81.225000000000009</v>
      </c>
      <c r="EY18" s="1468">
        <f>'Öko-Dinkel,gegerbt'!$P$67</f>
        <v>78.96875</v>
      </c>
      <c r="EZ18" s="1468">
        <f>'Öko-Roggen'!$P$67</f>
        <v>90.250000000000014</v>
      </c>
      <c r="FA18" s="1468">
        <f>'Öko-Hafer'!$P$67</f>
        <v>90.250000000000014</v>
      </c>
      <c r="FB18" s="1468">
        <f>'Öko-Wintergerste'!$P$67</f>
        <v>135.25</v>
      </c>
      <c r="FC18" s="1468">
        <f>'Öko-Braugerste'!$P$67</f>
        <v>118.34375</v>
      </c>
      <c r="FD18" s="1468">
        <f>'Öko-Körnermais'!$P$67</f>
        <v>610</v>
      </c>
      <c r="FE18" s="1468">
        <f>'Öko-Ackerbohnen'!$P$67</f>
        <v>95.8125</v>
      </c>
      <c r="FF18" s="1468">
        <f>'Öko-Erbsen'!$P$67</f>
        <v>82.125</v>
      </c>
      <c r="FG18" s="1468">
        <f>'Öko-Sojabohnen'!$P$67</f>
        <v>328.44</v>
      </c>
      <c r="FH18" s="1468">
        <f>'Öko-Soblu'!$P$67</f>
        <v>708</v>
      </c>
      <c r="FI18" s="1468">
        <f>'Öko-Raps'!$P$67</f>
        <v>157.82</v>
      </c>
      <c r="FJ18" s="1468">
        <f>'Öko-Kartoffel'!$P$67</f>
        <v>0</v>
      </c>
      <c r="FK18" s="1468" t="e">
        <f>#REF!</f>
        <v>#REF!</v>
      </c>
      <c r="FL18" s="1468">
        <f>Begrün.!$P$67</f>
        <v>0</v>
      </c>
      <c r="FM18" s="1468">
        <f>Blühm.!$P$67</f>
        <v>0</v>
      </c>
    </row>
    <row r="19" spans="1:169" ht="16.149999999999999" customHeight="1">
      <c r="A19" s="1463">
        <f>ROWS($A$1:A19)</f>
        <v>19</v>
      </c>
      <c r="B19" s="1512" t="s">
        <v>1193</v>
      </c>
      <c r="C19" s="1556"/>
      <c r="D19" s="3662">
        <f>'WW1'!$J$69</f>
        <v>21.978666666666673</v>
      </c>
      <c r="E19" s="1468">
        <f>'WW2'!$J$69</f>
        <v>20.800000000000004</v>
      </c>
      <c r="F19" s="1468">
        <f>'WW3'!$J$69</f>
        <v>20.005333333333336</v>
      </c>
      <c r="G19" s="1468">
        <f>'WW4'!$J$69</f>
        <v>21.355840000000001</v>
      </c>
      <c r="H19" s="1468">
        <f>WRo!$J$69</f>
        <v>17.130666666666663</v>
      </c>
      <c r="I19" s="1468">
        <f>Tr!$J$69</f>
        <v>18.751999999999999</v>
      </c>
      <c r="J19" s="1468">
        <f>WG!$J$69</f>
        <v>16.426666666666669</v>
      </c>
      <c r="K19" s="1468">
        <f>Di!$J$69</f>
        <v>17.333333333333336</v>
      </c>
      <c r="L19" s="1468">
        <f>SW!$J$69</f>
        <v>19.06666666666667</v>
      </c>
      <c r="M19" s="1468">
        <f>'SG-Fu'!$J$69</f>
        <v>14.933333333333334</v>
      </c>
      <c r="N19" s="1468">
        <f>BG!$J$69</f>
        <v>17.536000000000001</v>
      </c>
      <c r="O19" s="1468">
        <f>Ha!$J$69</f>
        <v>13.8</v>
      </c>
      <c r="P19" s="1468">
        <f>Du!$J$69</f>
        <v>19.946666666666673</v>
      </c>
      <c r="Q19" s="1468">
        <f>KöM!$J$69</f>
        <v>28.940000000000008</v>
      </c>
      <c r="R19" s="1468">
        <f>KH!$J$69</f>
        <v>34.1</v>
      </c>
      <c r="S19" s="1468">
        <f>WR!$J$69</f>
        <v>64.242000000000004</v>
      </c>
      <c r="T19" s="1468">
        <f>SR!$J$69</f>
        <v>42.828000000000003</v>
      </c>
      <c r="U19" s="1468">
        <f>SoBl!$J$69</f>
        <v>49.524999999999991</v>
      </c>
      <c r="V19" s="1468">
        <f>Soja!$J$69</f>
        <v>31.723333333333329</v>
      </c>
      <c r="W19" s="1468">
        <f>Öl!$J$69</f>
        <v>18.679500000000001</v>
      </c>
      <c r="X19" s="1468">
        <f>FE!$J$69</f>
        <v>16.042666666666666</v>
      </c>
      <c r="Y19" s="1468">
        <f>AB!$J$69</f>
        <v>15.319999999999999</v>
      </c>
      <c r="Z19" s="1468">
        <f>Lu!$J$69</f>
        <v>7.38</v>
      </c>
      <c r="AA19" s="1468">
        <f>ZR!$J$69</f>
        <v>17.838000000000001</v>
      </c>
      <c r="AB19" s="1468">
        <f>FrühKa!$J$69</f>
        <v>126.24999999999999</v>
      </c>
      <c r="AC19" s="1468">
        <f>FrühKaFolieBer!$J$69</f>
        <v>151.5</v>
      </c>
      <c r="AD19" s="1468">
        <f>SpKa!$J$69</f>
        <v>104.55</v>
      </c>
      <c r="AE19" s="1468">
        <f>SpKaBer!$J$69</f>
        <v>110.16</v>
      </c>
      <c r="AF19" s="1468">
        <f>'Kultur A'!$J$69</f>
        <v>0</v>
      </c>
      <c r="AG19" s="1468">
        <f>'FAKT-Brachebegrünung'!$J$69</f>
        <v>0</v>
      </c>
      <c r="AH19" s="1468">
        <f>Begr!$J$69</f>
        <v>0</v>
      </c>
      <c r="AI19" s="1465"/>
      <c r="AJ19" s="1466">
        <f>'WW1'!$M$69</f>
        <v>27.050666666666672</v>
      </c>
      <c r="AK19" s="1468">
        <f>'WW2'!$M$69</f>
        <v>26.000000000000007</v>
      </c>
      <c r="AL19" s="1468">
        <f>'WW3'!$M$69</f>
        <v>25.461333333333336</v>
      </c>
      <c r="AM19" s="1468">
        <f>'WW4'!$M$69</f>
        <v>25.238720000000001</v>
      </c>
      <c r="AN19" s="1468">
        <f>WRo!$M$69</f>
        <v>20.245333333333331</v>
      </c>
      <c r="AO19" s="1468">
        <f>Tr!$M$69</f>
        <v>23.439999999999998</v>
      </c>
      <c r="AP19" s="1468">
        <f>WG!$M$69</f>
        <v>20.906666666666666</v>
      </c>
      <c r="AQ19" s="1468">
        <f>Di!$M$69</f>
        <v>20.800000000000004</v>
      </c>
      <c r="AR19" s="1468">
        <f>SW!$M$69</f>
        <v>22.533333333333339</v>
      </c>
      <c r="AS19" s="1468">
        <f>'SG-Fu'!$M$69</f>
        <v>17.920000000000002</v>
      </c>
      <c r="AT19" s="1468">
        <f>BG!$M$69</f>
        <v>21.444266666666667</v>
      </c>
      <c r="AU19" s="1468">
        <f>Ha!$M$69</f>
        <v>16.866666666666667</v>
      </c>
      <c r="AV19" s="1468">
        <f>Du!$M$69</f>
        <v>27.426666666666673</v>
      </c>
      <c r="AW19" s="1468">
        <f>KöM!$M$69</f>
        <v>36.175000000000004</v>
      </c>
      <c r="AX19" s="1468">
        <f>KH!$M$69</f>
        <v>38.362499999999997</v>
      </c>
      <c r="AY19" s="1468">
        <f>WR!$M$69</f>
        <v>85.656000000000006</v>
      </c>
      <c r="AZ19" s="1468">
        <f>SR!$M$69</f>
        <v>53.534999999999997</v>
      </c>
      <c r="BA19" s="1468">
        <f>SoBl!$M$69</f>
        <v>59.429999999999993</v>
      </c>
      <c r="BB19" s="1468">
        <f>Soja!$M$69</f>
        <v>42.826499999999996</v>
      </c>
      <c r="BC19" s="1468">
        <f>Öl!$M$69</f>
        <v>24.905999999999999</v>
      </c>
      <c r="BD19" s="1468">
        <f>FE!$M$69</f>
        <v>28.074666666666669</v>
      </c>
      <c r="BE19" s="1468">
        <f>AB!$M$69</f>
        <v>26.81</v>
      </c>
      <c r="BF19" s="1468">
        <f>Lu!$M$69</f>
        <v>18.45</v>
      </c>
      <c r="BG19" s="1468">
        <f>ZR!$M$69</f>
        <v>25.1876</v>
      </c>
      <c r="BH19" s="1468">
        <f>FrühKa!$M$69</f>
        <v>151.5</v>
      </c>
      <c r="BI19" s="1468">
        <f>FrühKaFolieBer!$M$69</f>
        <v>176.74999999999997</v>
      </c>
      <c r="BJ19" s="1468">
        <f>SpKa!$M$69</f>
        <v>105.57</v>
      </c>
      <c r="BK19" s="1468">
        <f>SpKaBer!$M$69</f>
        <v>122.25</v>
      </c>
      <c r="BL19" s="1468">
        <v>0</v>
      </c>
      <c r="BM19" s="1468">
        <f>'FAKT-Brachebegrünung'!$M$69</f>
        <v>0</v>
      </c>
      <c r="BN19" s="1468">
        <f>Begr!$M$69</f>
        <v>0</v>
      </c>
      <c r="BO19" s="1465"/>
      <c r="BP19" s="1466">
        <f>'WW1'!$P$69</f>
        <v>32.122666666666674</v>
      </c>
      <c r="BQ19" s="1468">
        <f>'WW2'!$P$69</f>
        <v>31.200000000000006</v>
      </c>
      <c r="BR19" s="1468">
        <f>'WW3'!$P$69</f>
        <v>30.917333333333335</v>
      </c>
      <c r="BS19" s="1468">
        <f>'WW4'!$P$69</f>
        <v>29.121600000000001</v>
      </c>
      <c r="BT19" s="1468">
        <f>WRo!$P$69</f>
        <v>23.359999999999996</v>
      </c>
      <c r="BU19" s="1468">
        <f>Tr!$P$69</f>
        <v>28.127999999999997</v>
      </c>
      <c r="BV19" s="1468">
        <f>WG!$P$69</f>
        <v>25.386666666666667</v>
      </c>
      <c r="BW19" s="1468">
        <f>Di!$P$69</f>
        <v>24.266666666666673</v>
      </c>
      <c r="BX19" s="1468">
        <f>SW!$P$69</f>
        <v>26.000000000000007</v>
      </c>
      <c r="BY19" s="1468">
        <f>'SG-Fu'!$P$69</f>
        <v>20.906666666666666</v>
      </c>
      <c r="BZ19" s="1468">
        <f>BG!$P$69</f>
        <v>25.352533333333334</v>
      </c>
      <c r="CA19" s="1468">
        <f>Ha!$P$69</f>
        <v>19.933333333333337</v>
      </c>
      <c r="CB19" s="1468">
        <f>Du!$P$69</f>
        <v>29.920000000000005</v>
      </c>
      <c r="CC19" s="1468">
        <f>KöM!$P$69</f>
        <v>43.410000000000011</v>
      </c>
      <c r="CD19" s="1468">
        <f>KH!$P$69</f>
        <v>42.625</v>
      </c>
      <c r="CE19" s="1468">
        <f>WR!$P$69</f>
        <v>107.07</v>
      </c>
      <c r="CF19" s="1468">
        <f>SR!$P$69</f>
        <v>64.242000000000004</v>
      </c>
      <c r="CG19" s="1468">
        <f>SoBl!$P$69</f>
        <v>69.33499999999998</v>
      </c>
      <c r="CH19" s="1468">
        <f>Soja!$P$69</f>
        <v>53.929666666666655</v>
      </c>
      <c r="CI19" s="1468">
        <f>Öl!$P$69</f>
        <v>31.1325</v>
      </c>
      <c r="CJ19" s="1468">
        <f>FE!$P$69</f>
        <v>40.106666666666662</v>
      </c>
      <c r="CK19" s="1468">
        <f>AB!$P$69</f>
        <v>38.29999999999999</v>
      </c>
      <c r="CL19" s="1468">
        <f>Lu!$P$69</f>
        <v>29.52</v>
      </c>
      <c r="CM19" s="1468">
        <f>ZR!$P$69</f>
        <v>28.866</v>
      </c>
      <c r="CN19" s="1468">
        <f>FrühKa!$P$69</f>
        <v>176.74999999999997</v>
      </c>
      <c r="CO19" s="1468">
        <f>FrühKaFolieBer!$P$69</f>
        <v>202</v>
      </c>
      <c r="CP19" s="1468">
        <f>SpKa!$P$69</f>
        <v>115.5</v>
      </c>
      <c r="CQ19" s="1468">
        <f>SpKaBer!$P$69</f>
        <v>134.07</v>
      </c>
      <c r="CR19" s="1468">
        <f>'Kultur A'!$P$69</f>
        <v>0</v>
      </c>
      <c r="CS19" s="1468">
        <f>'FAKT-Brachebegrünung'!$P$69</f>
        <v>0</v>
      </c>
      <c r="CT19" s="1468">
        <f>Begr!$P$69</f>
        <v>0</v>
      </c>
      <c r="CV19" s="1512" t="s">
        <v>1193</v>
      </c>
      <c r="CW19" s="1556"/>
      <c r="CX19" s="3662">
        <f>'Öko-KG1'!$J$69</f>
        <v>0</v>
      </c>
      <c r="CY19" s="1468">
        <f>'Öko-KG2'!$J$69</f>
        <v>0</v>
      </c>
      <c r="CZ19" s="1468">
        <f>'Öko-LU1'!$J$69</f>
        <v>0</v>
      </c>
      <c r="DA19" s="1468">
        <f>'Öko-LU2'!$J$69</f>
        <v>0</v>
      </c>
      <c r="DB19" s="1466">
        <f>'Öko-WW-Futter'!$J$69</f>
        <v>16.9312</v>
      </c>
      <c r="DC19" s="1468">
        <f>'Öko-WW-Brot'!$J$69</f>
        <v>22.193599999999996</v>
      </c>
      <c r="DD19" s="1468">
        <f>'Öko-Dinkel'!$J$69</f>
        <v>20.706</v>
      </c>
      <c r="DE19" s="1468">
        <f>'Öko-Dinkel,gegerbt'!$J$69</f>
        <v>26.868100000000009</v>
      </c>
      <c r="DF19" s="1468">
        <f>'Öko-Roggen'!$J$69</f>
        <v>16.936000000000003</v>
      </c>
      <c r="DG19" s="1468">
        <f>'Öko-Hafer'!$J$69</f>
        <v>18.521599999999999</v>
      </c>
      <c r="DH19" s="1468">
        <f>'Öko-Wintergerste'!$J$69</f>
        <v>16.499200000000002</v>
      </c>
      <c r="DI19" s="1468">
        <f>'Öko-Braugerste'!$J$69</f>
        <v>19.417579999999997</v>
      </c>
      <c r="DJ19" s="1468">
        <f>'Öko-Körnermais'!$J$69</f>
        <v>37.423999999999992</v>
      </c>
      <c r="DK19" s="1468">
        <f>'Öko-Ackerbohnen'!$J$69</f>
        <v>22.135400000000001</v>
      </c>
      <c r="DL19" s="1468">
        <f>'Öko-Erbsen'!$J$69</f>
        <v>18.422399999999993</v>
      </c>
      <c r="DM19" s="1468">
        <f>'Öko-Sojabohnen'!$J$69</f>
        <v>36.58400000000001</v>
      </c>
      <c r="DN19" s="1468">
        <f>'Öko-Soblu'!$J$69</f>
        <v>26.7376</v>
      </c>
      <c r="DO19" s="1468">
        <f>'Öko-Raps'!$J$69</f>
        <v>15.4848</v>
      </c>
      <c r="DP19" s="1468">
        <f>'Öko-Kartoffel'!$J$69</f>
        <v>141.22399999999996</v>
      </c>
      <c r="DQ19" s="1468" t="e">
        <f>#REF!</f>
        <v>#REF!</v>
      </c>
      <c r="DR19" s="1468">
        <f>Begrün.!$J$69</f>
        <v>0</v>
      </c>
      <c r="DS19" s="1468">
        <f>Blühm.!$J$69</f>
        <v>0</v>
      </c>
      <c r="DT19" s="1456"/>
      <c r="DU19" s="1468">
        <f>'Öko-KG1'!$M$69</f>
        <v>0</v>
      </c>
      <c r="DV19" s="1468">
        <f>'Öko-KG2'!$M$69</f>
        <v>0</v>
      </c>
      <c r="DW19" s="1468">
        <f>'Öko-LU1'!$M$69</f>
        <v>0</v>
      </c>
      <c r="DX19" s="1468">
        <f>'Öko-LU2'!$M$69</f>
        <v>0</v>
      </c>
      <c r="DY19" s="1466">
        <f>'Öko-WW-Futter'!$M$69</f>
        <v>22.574933333333334</v>
      </c>
      <c r="DZ19" s="1468">
        <f>'Öko-WW-Brot'!$M$69</f>
        <v>29.591466666666658</v>
      </c>
      <c r="EA19" s="1468">
        <f>'Öko-Dinkel'!$M$69</f>
        <v>27.608000000000001</v>
      </c>
      <c r="EB19" s="1468">
        <f>'Öko-Dinkel,gegerbt'!$M$69</f>
        <v>35.824133333333343</v>
      </c>
      <c r="EC19" s="1468">
        <f>'Öko-Roggen'!$M$69</f>
        <v>22.581333333333337</v>
      </c>
      <c r="ED19" s="1468">
        <f>'Öko-Hafer'!$M$69</f>
        <v>24.695466666666668</v>
      </c>
      <c r="EE19" s="1468">
        <f>'Öko-Wintergerste'!$M$69</f>
        <v>21.998933333333333</v>
      </c>
      <c r="EF19" s="1468">
        <f>'Öko-Braugerste'!$M$69</f>
        <v>25.890106666666664</v>
      </c>
      <c r="EG19" s="1468">
        <f>'Öko-Körnermais'!$M$69</f>
        <v>49.898666666666657</v>
      </c>
      <c r="EH19" s="1468">
        <f>'Öko-Ackerbohnen'!$M$69</f>
        <v>29.513866666666672</v>
      </c>
      <c r="EI19" s="1468">
        <f>'Öko-Erbsen'!$M$69</f>
        <v>24.563199999999995</v>
      </c>
      <c r="EJ19" s="1468">
        <f>'Öko-Sojabohnen'!$M$69</f>
        <v>43.040000000000006</v>
      </c>
      <c r="EK19" s="1468">
        <f>'Öko-Soblu'!$M$69</f>
        <v>40.106400000000001</v>
      </c>
      <c r="EL19" s="1468">
        <f>'Öko-Raps'!$M$69</f>
        <v>29.421119999999998</v>
      </c>
      <c r="EM19" s="1468">
        <f>'Öko-Kartoffel'!$M$69</f>
        <v>176.52999999999997</v>
      </c>
      <c r="EN19" s="1468" t="e">
        <f>#REF!</f>
        <v>#REF!</v>
      </c>
      <c r="EO19" s="1468">
        <f>Begrün.!$M$69</f>
        <v>0</v>
      </c>
      <c r="EP19" s="1468">
        <f>Blühm.!$M$69</f>
        <v>0</v>
      </c>
      <c r="EQ19" s="1456"/>
      <c r="ER19" s="1468">
        <f>'Öko-KG1'!$P$69</f>
        <v>0</v>
      </c>
      <c r="ES19" s="1468">
        <f>'Öko-KG2'!$P$69</f>
        <v>0</v>
      </c>
      <c r="ET19" s="1468">
        <f>'Öko-LU1'!$P$69</f>
        <v>0</v>
      </c>
      <c r="EU19" s="1468">
        <f>'Öko-LU2'!$P$69</f>
        <v>0</v>
      </c>
      <c r="EV19" s="1466">
        <f>'Öko-WW-Futter'!$P$69</f>
        <v>38.941760000000002</v>
      </c>
      <c r="EW19" s="1468">
        <f>'Öko-WW-Brot'!$P$69</f>
        <v>44.387199999999993</v>
      </c>
      <c r="EX19" s="1468">
        <f>'Öko-Dinkel'!$P$69</f>
        <v>35.496000000000002</v>
      </c>
      <c r="EY19" s="1468">
        <f>'Öko-Dinkel,gegerbt'!$P$69</f>
        <v>44.78016666666668</v>
      </c>
      <c r="EZ19" s="1468">
        <f>'Öko-Roggen'!$P$69</f>
        <v>28.22666666666667</v>
      </c>
      <c r="FA19" s="1468">
        <f>'Öko-Hafer'!$P$69</f>
        <v>30.869333333333334</v>
      </c>
      <c r="FB19" s="1468">
        <f>'Öko-Wintergerste'!$P$69</f>
        <v>27.498666666666669</v>
      </c>
      <c r="FC19" s="1468">
        <f>'Öko-Braugerste'!$P$69</f>
        <v>32.362633333333335</v>
      </c>
      <c r="FD19" s="1468">
        <f>'Öko-Körnermais'!$P$69</f>
        <v>62.373333333333321</v>
      </c>
      <c r="FE19" s="1468">
        <f>'Öko-Ackerbohnen'!$P$69</f>
        <v>36.892333333333333</v>
      </c>
      <c r="FF19" s="1468">
        <f>'Öko-Erbsen'!$P$69</f>
        <v>30.70399999999999</v>
      </c>
      <c r="FG19" s="1468">
        <f>'Öko-Sojabohnen'!$P$69</f>
        <v>49.496000000000009</v>
      </c>
      <c r="FH19" s="1468">
        <f>'Öko-Soblu'!$P$69</f>
        <v>53.475200000000001</v>
      </c>
      <c r="FI19" s="1468">
        <f>'Öko-Raps'!$P$69</f>
        <v>40.260480000000001</v>
      </c>
      <c r="FJ19" s="1468">
        <f>'Öko-Kartoffel'!$P$69</f>
        <v>211.83599999999998</v>
      </c>
      <c r="FK19" s="1468" t="e">
        <f>#REF!</f>
        <v>#REF!</v>
      </c>
      <c r="FL19" s="1468">
        <f>Begrün.!$P$69</f>
        <v>0</v>
      </c>
      <c r="FM19" s="1468">
        <f>Blühm.!$P$69</f>
        <v>0</v>
      </c>
    </row>
    <row r="20" spans="1:169" ht="16.149999999999999" customHeight="1">
      <c r="A20" s="1463">
        <f>ROWS($A$1:A20)</f>
        <v>20</v>
      </c>
      <c r="B20" s="1512" t="s">
        <v>1192</v>
      </c>
      <c r="C20" s="1480"/>
      <c r="D20" s="3662">
        <f>'WW1'!$J$71</f>
        <v>0</v>
      </c>
      <c r="E20" s="1468">
        <f>'WW2'!$J$71</f>
        <v>0</v>
      </c>
      <c r="F20" s="1468">
        <f>'WW3'!$J$71</f>
        <v>0</v>
      </c>
      <c r="G20" s="1468">
        <f>'WW4'!$J$71</f>
        <v>0</v>
      </c>
      <c r="H20" s="1468">
        <f>WRo!$J$71</f>
        <v>0</v>
      </c>
      <c r="I20" s="1468">
        <f>Tr!$J$71</f>
        <v>0</v>
      </c>
      <c r="J20" s="1468">
        <f>WG!$J$71</f>
        <v>0</v>
      </c>
      <c r="K20" s="1468">
        <f>Di!$J$71</f>
        <v>0</v>
      </c>
      <c r="L20" s="1468">
        <f>SW!$J$71</f>
        <v>0</v>
      </c>
      <c r="M20" s="1468">
        <f>'SG-Fu'!$J$71</f>
        <v>0</v>
      </c>
      <c r="N20" s="1468">
        <f>BG!$J$71</f>
        <v>0</v>
      </c>
      <c r="O20" s="1468">
        <f>Ha!$J$71</f>
        <v>0</v>
      </c>
      <c r="P20" s="1468">
        <f>Du!$J$71</f>
        <v>0</v>
      </c>
      <c r="Q20" s="1468">
        <f>KöM!$J$71</f>
        <v>0</v>
      </c>
      <c r="R20" s="1468">
        <f>KH!$J$71</f>
        <v>0</v>
      </c>
      <c r="S20" s="1468">
        <f>WR!$J$71</f>
        <v>0</v>
      </c>
      <c r="T20" s="1468">
        <f>SR!$J$71</f>
        <v>0</v>
      </c>
      <c r="U20" s="1468">
        <f>SoBl!$J$71</f>
        <v>0</v>
      </c>
      <c r="V20" s="1468">
        <f>Soja!$J$71</f>
        <v>30</v>
      </c>
      <c r="W20" s="1468">
        <f>Öl!$J$71</f>
        <v>0</v>
      </c>
      <c r="X20" s="1468">
        <f>FE!$J$71</f>
        <v>0</v>
      </c>
      <c r="Y20" s="1468">
        <f>AB!$J$71</f>
        <v>0</v>
      </c>
      <c r="Z20" s="1468">
        <f>Lu!$J$71</f>
        <v>0</v>
      </c>
      <c r="AA20" s="1468">
        <f>ZR!$J$71</f>
        <v>97.5</v>
      </c>
      <c r="AB20" s="1468">
        <f>FrühKa!$J$71</f>
        <v>0</v>
      </c>
      <c r="AC20" s="1468">
        <f>FrühKaFolieBer!$J$71</f>
        <v>346</v>
      </c>
      <c r="AD20" s="1468">
        <f>SpKa!$J$71</f>
        <v>0</v>
      </c>
      <c r="AE20" s="1468">
        <f>SpKaBer!$J$71</f>
        <v>270</v>
      </c>
      <c r="AF20" s="1468">
        <f>'Kultur A'!$J$71</f>
        <v>0</v>
      </c>
      <c r="AG20" s="1468">
        <f>'FAKT-Brachebegrünung'!$J$71</f>
        <v>0</v>
      </c>
      <c r="AH20" s="1468">
        <f>Begr!$J$71</f>
        <v>0</v>
      </c>
      <c r="AI20" s="1465"/>
      <c r="AJ20" s="1466">
        <f>'WW1'!$M$71</f>
        <v>0</v>
      </c>
      <c r="AK20" s="1468">
        <f>'WW2'!$M$71</f>
        <v>0</v>
      </c>
      <c r="AL20" s="1468">
        <f>'WW3'!$M$71</f>
        <v>0</v>
      </c>
      <c r="AM20" s="1468">
        <f>'WW4'!$M$71</f>
        <v>0</v>
      </c>
      <c r="AN20" s="1468">
        <f>WRo!$M$71</f>
        <v>0</v>
      </c>
      <c r="AO20" s="1468">
        <f>Tr!$M$71</f>
        <v>0</v>
      </c>
      <c r="AP20" s="1468">
        <f>WG!$M$71</f>
        <v>0</v>
      </c>
      <c r="AQ20" s="1468">
        <f>Di!$M$71</f>
        <v>0</v>
      </c>
      <c r="AR20" s="1468">
        <f>SW!$M$71</f>
        <v>0</v>
      </c>
      <c r="AS20" s="1468">
        <f>'SG-Fu'!$M$71</f>
        <v>0</v>
      </c>
      <c r="AT20" s="1468">
        <f>BG!$M$71</f>
        <v>0</v>
      </c>
      <c r="AU20" s="1468">
        <f>Ha!$M$71</f>
        <v>0</v>
      </c>
      <c r="AV20" s="1468">
        <f>Du!$M$71</f>
        <v>0</v>
      </c>
      <c r="AW20" s="1468">
        <f>KöM!$M$71</f>
        <v>0</v>
      </c>
      <c r="AX20" s="1468">
        <f>KH!$M$71</f>
        <v>0</v>
      </c>
      <c r="AY20" s="1468">
        <f>WR!$M$71</f>
        <v>0</v>
      </c>
      <c r="AZ20" s="1468">
        <f>SR!$M$71</f>
        <v>0</v>
      </c>
      <c r="BA20" s="1468">
        <f>SoBl!$M$71</f>
        <v>0</v>
      </c>
      <c r="BB20" s="1468">
        <f>Soja!$M$71</f>
        <v>30</v>
      </c>
      <c r="BC20" s="1468">
        <f>Öl!$M$71</f>
        <v>0</v>
      </c>
      <c r="BD20" s="1468">
        <f>FE!$M$71</f>
        <v>0</v>
      </c>
      <c r="BE20" s="1468">
        <f>AB!$M$71</f>
        <v>0</v>
      </c>
      <c r="BF20" s="1468">
        <f>Lu!$M$71</f>
        <v>0</v>
      </c>
      <c r="BG20" s="1468">
        <f>ZR!$M$71</f>
        <v>112.5</v>
      </c>
      <c r="BH20" s="1468">
        <f>FrühKa!$M$71</f>
        <v>0</v>
      </c>
      <c r="BI20" s="1468">
        <f>FrühKaFolieBer!$M$71</f>
        <v>346</v>
      </c>
      <c r="BJ20" s="1468">
        <f>SpKa!$M$71</f>
        <v>0</v>
      </c>
      <c r="BK20" s="1468">
        <f>SpKaBer!$M$71</f>
        <v>270</v>
      </c>
      <c r="BL20" s="1468">
        <v>0</v>
      </c>
      <c r="BM20" s="1468">
        <f>'FAKT-Brachebegrünung'!$M$71</f>
        <v>0</v>
      </c>
      <c r="BN20" s="1468">
        <f>Begr!$M$71</f>
        <v>0</v>
      </c>
      <c r="BO20" s="1465"/>
      <c r="BP20" s="1466">
        <f>'WW1'!$P$71</f>
        <v>0</v>
      </c>
      <c r="BQ20" s="1468">
        <f>'WW2'!$P$71</f>
        <v>0</v>
      </c>
      <c r="BR20" s="1468">
        <f>'WW3'!$P$71</f>
        <v>0</v>
      </c>
      <c r="BS20" s="1468">
        <f>'WW4'!$P$71</f>
        <v>0</v>
      </c>
      <c r="BT20" s="1468">
        <f>WRo!$P$71</f>
        <v>0</v>
      </c>
      <c r="BU20" s="1468">
        <f>Tr!$P$71</f>
        <v>0</v>
      </c>
      <c r="BV20" s="1468">
        <f>WG!$P$71</f>
        <v>0</v>
      </c>
      <c r="BW20" s="1468">
        <f>Di!$P$71</f>
        <v>0</v>
      </c>
      <c r="BX20" s="1468">
        <f>SW!$P$71</f>
        <v>0</v>
      </c>
      <c r="BY20" s="1468">
        <f>'SG-Fu'!$P$71</f>
        <v>0</v>
      </c>
      <c r="BZ20" s="1468">
        <f>BG!$P$71</f>
        <v>0</v>
      </c>
      <c r="CA20" s="1468">
        <f>Ha!$P$71</f>
        <v>0</v>
      </c>
      <c r="CB20" s="1468">
        <f>Du!$P$71</f>
        <v>0</v>
      </c>
      <c r="CC20" s="1468">
        <f>KöM!$P$71</f>
        <v>0</v>
      </c>
      <c r="CD20" s="1468">
        <f>KH!$P$71</f>
        <v>0</v>
      </c>
      <c r="CE20" s="1468">
        <f>WR!$P$71</f>
        <v>0</v>
      </c>
      <c r="CF20" s="1468">
        <f>SR!$P$71</f>
        <v>0</v>
      </c>
      <c r="CG20" s="1468">
        <f>SoBl!$P$71</f>
        <v>0</v>
      </c>
      <c r="CH20" s="1468">
        <f>Soja!$P$71</f>
        <v>30</v>
      </c>
      <c r="CI20" s="1468">
        <f>Öl!$P$71</f>
        <v>0</v>
      </c>
      <c r="CJ20" s="1468">
        <f>FE!$P$71</f>
        <v>0</v>
      </c>
      <c r="CK20" s="1468">
        <f>AB!$P$71</f>
        <v>0</v>
      </c>
      <c r="CL20" s="1468">
        <f>Lu!$P$71</f>
        <v>0</v>
      </c>
      <c r="CM20" s="1468">
        <f>ZR!$P$71</f>
        <v>127.5</v>
      </c>
      <c r="CN20" s="1468">
        <f>FrühKa!$P$71</f>
        <v>0</v>
      </c>
      <c r="CO20" s="1468">
        <f>FrühKaFolieBer!$P$71</f>
        <v>346</v>
      </c>
      <c r="CP20" s="1468">
        <f>SpKa!$P$71</f>
        <v>0</v>
      </c>
      <c r="CQ20" s="1468">
        <f>SpKaBer!$P$71</f>
        <v>270</v>
      </c>
      <c r="CR20" s="1468">
        <f>'Kultur A'!$P$71</f>
        <v>0</v>
      </c>
      <c r="CS20" s="1468">
        <f>'FAKT-Brachebegrünung'!$P$71</f>
        <v>0</v>
      </c>
      <c r="CT20" s="1468">
        <f>Begr!$P$71</f>
        <v>0</v>
      </c>
      <c r="CV20" s="1512" t="s">
        <v>1192</v>
      </c>
      <c r="CW20" s="1480"/>
      <c r="CX20" s="3662">
        <f>'Öko-KG1'!$J$71</f>
        <v>0</v>
      </c>
      <c r="CY20" s="1468">
        <f>'Öko-KG2'!$J$71</f>
        <v>0</v>
      </c>
      <c r="CZ20" s="1468">
        <f>'Öko-LU1'!$J$71</f>
        <v>0</v>
      </c>
      <c r="DA20" s="1468">
        <f>'Öko-LU2'!$J$71</f>
        <v>0</v>
      </c>
      <c r="DB20" s="1466">
        <f>'Öko-WW-Futter'!$J$71</f>
        <v>0</v>
      </c>
      <c r="DC20" s="1468">
        <f>'Öko-WW-Brot'!$J$71</f>
        <v>0</v>
      </c>
      <c r="DD20" s="1468">
        <f>'Öko-Dinkel'!$J$71</f>
        <v>0</v>
      </c>
      <c r="DE20" s="1468">
        <f>'Öko-Dinkel,gegerbt'!$J$71</f>
        <v>211.05</v>
      </c>
      <c r="DF20" s="1468">
        <f>'Öko-Roggen'!$J$71</f>
        <v>0</v>
      </c>
      <c r="DG20" s="1468">
        <f>'Öko-Hafer'!$J$71</f>
        <v>0</v>
      </c>
      <c r="DH20" s="1468">
        <f>'Öko-Wintergerste'!$J$71</f>
        <v>0</v>
      </c>
      <c r="DI20" s="1468">
        <f>'Öko-Braugerste'!$J$71</f>
        <v>0</v>
      </c>
      <c r="DJ20" s="1468">
        <f>'Öko-Körnermais'!$J$71</f>
        <v>0</v>
      </c>
      <c r="DK20" s="1468">
        <f>'Öko-Ackerbohnen'!$J$71</f>
        <v>0</v>
      </c>
      <c r="DL20" s="1468">
        <f>'Öko-Erbsen'!$J$71</f>
        <v>0</v>
      </c>
      <c r="DM20" s="1468">
        <f>'Öko-Sojabohnen'!$J$71</f>
        <v>0</v>
      </c>
      <c r="DN20" s="1468">
        <f>'Öko-Soblu'!$J$71</f>
        <v>0</v>
      </c>
      <c r="DO20" s="1468">
        <f>'Öko-Raps'!$J$71</f>
        <v>0</v>
      </c>
      <c r="DP20" s="1468">
        <f>'Öko-Kartoffel'!$J$71</f>
        <v>0</v>
      </c>
      <c r="DQ20" s="1468" t="e">
        <f>#REF!</f>
        <v>#REF!</v>
      </c>
      <c r="DR20" s="1468">
        <f>Begrün.!$J$71</f>
        <v>0</v>
      </c>
      <c r="DS20" s="1468">
        <f>Blühm.!$J$71</f>
        <v>0</v>
      </c>
      <c r="DT20" s="1456"/>
      <c r="DU20" s="1468">
        <f>'Öko-KG1'!$M$71</f>
        <v>0</v>
      </c>
      <c r="DV20" s="1468">
        <f>'Öko-KG2'!$M$71</f>
        <v>0</v>
      </c>
      <c r="DW20" s="1468">
        <f>'Öko-LU1'!$M$71</f>
        <v>0</v>
      </c>
      <c r="DX20" s="1468">
        <f>'Öko-LU2'!$M$71</f>
        <v>0</v>
      </c>
      <c r="DY20" s="1466">
        <f>'Öko-WW-Futter'!$M$71</f>
        <v>0</v>
      </c>
      <c r="DZ20" s="1468">
        <f>'Öko-WW-Brot'!$M$71</f>
        <v>0</v>
      </c>
      <c r="EA20" s="1468">
        <f>'Öko-Dinkel'!$M$71</f>
        <v>0</v>
      </c>
      <c r="EB20" s="1468">
        <f>'Öko-Dinkel,gegerbt'!$M$71</f>
        <v>281.40000000000003</v>
      </c>
      <c r="EC20" s="1468">
        <f>'Öko-Roggen'!$M$71</f>
        <v>0</v>
      </c>
      <c r="ED20" s="1468">
        <f>'Öko-Hafer'!$M$71</f>
        <v>0</v>
      </c>
      <c r="EE20" s="1468">
        <f>'Öko-Wintergerste'!$M$71</f>
        <v>0</v>
      </c>
      <c r="EF20" s="1468">
        <f>'Öko-Braugerste'!$M$71</f>
        <v>0</v>
      </c>
      <c r="EG20" s="1468">
        <f>'Öko-Körnermais'!$M$71</f>
        <v>0</v>
      </c>
      <c r="EH20" s="1468">
        <f>'Öko-Ackerbohnen'!$M$71</f>
        <v>0</v>
      </c>
      <c r="EI20" s="1468">
        <f>'Öko-Erbsen'!$M$71</f>
        <v>0</v>
      </c>
      <c r="EJ20" s="1468">
        <f>'Öko-Sojabohnen'!$M$71</f>
        <v>0</v>
      </c>
      <c r="EK20" s="1468">
        <f>'Öko-Soblu'!$M$71</f>
        <v>0</v>
      </c>
      <c r="EL20" s="1468">
        <f>'Öko-Raps'!$M$71</f>
        <v>0</v>
      </c>
      <c r="EM20" s="1468">
        <f>'Öko-Kartoffel'!$M$71</f>
        <v>0</v>
      </c>
      <c r="EN20" s="1468" t="e">
        <f>#REF!</f>
        <v>#REF!</v>
      </c>
      <c r="EO20" s="1468">
        <f>Begrün.!$M$71</f>
        <v>0</v>
      </c>
      <c r="EP20" s="1468">
        <f>Blühm.!$M$71</f>
        <v>0</v>
      </c>
      <c r="EQ20" s="1456"/>
      <c r="ER20" s="1468">
        <f>'Öko-KG1'!$P$71</f>
        <v>0</v>
      </c>
      <c r="ES20" s="1468">
        <f>'Öko-KG2'!$P$71</f>
        <v>0</v>
      </c>
      <c r="ET20" s="1468">
        <f>'Öko-LU1'!$P$71</f>
        <v>0</v>
      </c>
      <c r="EU20" s="1468">
        <f>'Öko-LU2'!$P$71</f>
        <v>0</v>
      </c>
      <c r="EV20" s="1466">
        <f>'Öko-WW-Futter'!$P$71</f>
        <v>0</v>
      </c>
      <c r="EW20" s="1468">
        <f>'Öko-WW-Brot'!$P$71</f>
        <v>0</v>
      </c>
      <c r="EX20" s="1468">
        <f>'Öko-Dinkel'!$P$71</f>
        <v>0</v>
      </c>
      <c r="EY20" s="1468">
        <f>'Öko-Dinkel,gegerbt'!$P$71</f>
        <v>351.75</v>
      </c>
      <c r="EZ20" s="1468">
        <f>'Öko-Roggen'!$P$71</f>
        <v>0</v>
      </c>
      <c r="FA20" s="1468">
        <f>'Öko-Hafer'!$P$71</f>
        <v>0</v>
      </c>
      <c r="FB20" s="1468">
        <f>'Öko-Wintergerste'!$P$71</f>
        <v>0</v>
      </c>
      <c r="FC20" s="1468">
        <f>'Öko-Braugerste'!$P$71</f>
        <v>0</v>
      </c>
      <c r="FD20" s="1468">
        <f>'Öko-Körnermais'!$P$71</f>
        <v>0</v>
      </c>
      <c r="FE20" s="1468">
        <f>'Öko-Ackerbohnen'!$P$71</f>
        <v>0</v>
      </c>
      <c r="FF20" s="1468">
        <f>'Öko-Erbsen'!$P$71</f>
        <v>0</v>
      </c>
      <c r="FG20" s="1468">
        <f>'Öko-Sojabohnen'!$P$71</f>
        <v>0</v>
      </c>
      <c r="FH20" s="1468">
        <f>'Öko-Soblu'!$P$71</f>
        <v>0</v>
      </c>
      <c r="FI20" s="1468">
        <f>'Öko-Raps'!$P$71</f>
        <v>0</v>
      </c>
      <c r="FJ20" s="1468">
        <f>'Öko-Kartoffel'!$P$71</f>
        <v>0</v>
      </c>
      <c r="FK20" s="1468" t="e">
        <f>#REF!</f>
        <v>#REF!</v>
      </c>
      <c r="FL20" s="1468">
        <f>Begrün.!$P$71</f>
        <v>0</v>
      </c>
      <c r="FM20" s="1468">
        <f>Blühm.!$P$71</f>
        <v>0</v>
      </c>
    </row>
    <row r="21" spans="1:169" ht="18" customHeight="1">
      <c r="A21" s="1463">
        <f>ROWS($A$1:A21)</f>
        <v>21</v>
      </c>
      <c r="B21" s="1481" t="s">
        <v>217</v>
      </c>
      <c r="D21" s="1553">
        <f t="shared" ref="D21:AH21" si="25">SUM(D12:D20)</f>
        <v>1225.8215786462745</v>
      </c>
      <c r="E21" s="1553">
        <f t="shared" si="25"/>
        <v>1079.2836831513723</v>
      </c>
      <c r="F21" s="1553">
        <f t="shared" si="25"/>
        <v>1086.5283681788235</v>
      </c>
      <c r="G21" s="1553">
        <f t="shared" si="25"/>
        <v>1136.56587484549</v>
      </c>
      <c r="H21" s="1553">
        <f t="shared" si="25"/>
        <v>877.57649980862732</v>
      </c>
      <c r="I21" s="1553">
        <f t="shared" si="25"/>
        <v>985.5106664752941</v>
      </c>
      <c r="J21" s="1553">
        <f t="shared" si="25"/>
        <v>1029.7930348454902</v>
      </c>
      <c r="K21" s="1553">
        <f t="shared" si="25"/>
        <v>1029.0727198729412</v>
      </c>
      <c r="L21" s="1553">
        <f t="shared" si="25"/>
        <v>867.62831478117641</v>
      </c>
      <c r="M21" s="1553">
        <f t="shared" si="25"/>
        <v>932.31718483607824</v>
      </c>
      <c r="N21" s="1553">
        <f t="shared" si="25"/>
        <v>886.96303653019618</v>
      </c>
      <c r="O21" s="1553">
        <f t="shared" si="25"/>
        <v>738.58433482666658</v>
      </c>
      <c r="P21" s="1553">
        <f t="shared" si="25"/>
        <v>1022.9057728627452</v>
      </c>
      <c r="Q21" s="1553">
        <f t="shared" si="25"/>
        <v>1406.047967235294</v>
      </c>
      <c r="R21" s="1553">
        <f t="shared" si="25"/>
        <v>1546.8272063011764</v>
      </c>
      <c r="S21" s="1553">
        <f t="shared" si="25"/>
        <v>1061.395208732549</v>
      </c>
      <c r="T21" s="1553">
        <f t="shared" si="25"/>
        <v>1030.5916373819609</v>
      </c>
      <c r="U21" s="1553">
        <f t="shared" si="25"/>
        <v>1007.0591301317646</v>
      </c>
      <c r="V21" s="1553">
        <f t="shared" si="25"/>
        <v>912.502885225098</v>
      </c>
      <c r="W21" s="1553">
        <f t="shared" si="25"/>
        <v>855.22007818352927</v>
      </c>
      <c r="X21" s="1553">
        <f t="shared" si="25"/>
        <v>640.20888579294126</v>
      </c>
      <c r="Y21" s="1553">
        <f t="shared" si="25"/>
        <v>635.39097449254916</v>
      </c>
      <c r="Z21" s="1553">
        <f t="shared" si="25"/>
        <v>642.94504793568626</v>
      </c>
      <c r="AA21" s="1553">
        <f t="shared" si="25"/>
        <v>1735.2837106659945</v>
      </c>
      <c r="AB21" s="1553">
        <f t="shared" si="25"/>
        <v>6960.7998542836976</v>
      </c>
      <c r="AC21" s="1553">
        <f t="shared" si="25"/>
        <v>8775.0445254187107</v>
      </c>
      <c r="AD21" s="1553">
        <f t="shared" si="25"/>
        <v>6743.1255468628578</v>
      </c>
      <c r="AE21" s="1553">
        <f t="shared" si="25"/>
        <v>7311.8801963127162</v>
      </c>
      <c r="AF21" s="1553">
        <f t="shared" si="25"/>
        <v>0</v>
      </c>
      <c r="AG21" s="1553">
        <f t="shared" si="25"/>
        <v>182.45755607058825</v>
      </c>
      <c r="AH21" s="1553">
        <f t="shared" si="25"/>
        <v>186.72837006823531</v>
      </c>
      <c r="AI21" s="1555"/>
      <c r="AJ21" s="1554">
        <f t="shared" ref="AJ21:BN21" si="26">SUM(AJ12:AJ20)</f>
        <v>1534.2360288156867</v>
      </c>
      <c r="AK21" s="1553">
        <f t="shared" si="26"/>
        <v>1216.3670434854901</v>
      </c>
      <c r="AL21" s="1553">
        <f t="shared" si="26"/>
        <v>1203.9677285129412</v>
      </c>
      <c r="AM21" s="1553">
        <f t="shared" si="26"/>
        <v>1218.1814668737256</v>
      </c>
      <c r="AN21" s="1553">
        <f t="shared" si="26"/>
        <v>940.39246308705879</v>
      </c>
      <c r="AO21" s="1553">
        <f t="shared" si="26"/>
        <v>1086.4846113929411</v>
      </c>
      <c r="AP21" s="1553">
        <f t="shared" si="26"/>
        <v>1130.5589797631371</v>
      </c>
      <c r="AQ21" s="1553">
        <f t="shared" si="26"/>
        <v>1118.1650985678432</v>
      </c>
      <c r="AR21" s="1553">
        <f t="shared" si="26"/>
        <v>1038.5436481145098</v>
      </c>
      <c r="AS21" s="1553">
        <f t="shared" si="26"/>
        <v>999.49448144784321</v>
      </c>
      <c r="AT21" s="1553">
        <f t="shared" si="26"/>
        <v>948.48826647529393</v>
      </c>
      <c r="AU21" s="1553">
        <f t="shared" si="26"/>
        <v>815.36949980862744</v>
      </c>
      <c r="AV21" s="1553">
        <f t="shared" si="26"/>
        <v>1137.9752177803921</v>
      </c>
      <c r="AW21" s="1553">
        <f t="shared" si="26"/>
        <v>1600.3768937921568</v>
      </c>
      <c r="AX21" s="1553">
        <f t="shared" si="26"/>
        <v>1681.4576695796077</v>
      </c>
      <c r="AY21" s="1553">
        <f t="shared" si="26"/>
        <v>1221.5610403811766</v>
      </c>
      <c r="AZ21" s="1553">
        <f>SUM(AZ12:AZ20)</f>
        <v>1129.7469170525492</v>
      </c>
      <c r="BA21" s="1553">
        <f t="shared" si="26"/>
        <v>1098.8097784376471</v>
      </c>
      <c r="BB21" s="1553">
        <f t="shared" si="26"/>
        <v>970.89564782588229</v>
      </c>
      <c r="BC21" s="1553">
        <f t="shared" si="26"/>
        <v>924.02539315607828</v>
      </c>
      <c r="BD21" s="1553">
        <f t="shared" si="26"/>
        <v>732.39288579294112</v>
      </c>
      <c r="BE21" s="1553">
        <f t="shared" si="26"/>
        <v>737.76655245960785</v>
      </c>
      <c r="BF21" s="1553">
        <f t="shared" si="26"/>
        <v>705.9144928533334</v>
      </c>
      <c r="BG21" s="1553">
        <f t="shared" si="26"/>
        <v>1828.4866439993277</v>
      </c>
      <c r="BH21" s="1553">
        <f t="shared" si="26"/>
        <v>7069.7463180932218</v>
      </c>
      <c r="BI21" s="1553">
        <f t="shared" si="26"/>
        <v>8878.2237875247047</v>
      </c>
      <c r="BJ21" s="1553">
        <f t="shared" si="26"/>
        <v>6827.8420106723806</v>
      </c>
      <c r="BK21" s="1553">
        <f t="shared" si="26"/>
        <v>7405.1122925793834</v>
      </c>
      <c r="BL21" s="1553">
        <f t="shared" si="26"/>
        <v>0</v>
      </c>
      <c r="BM21" s="1553">
        <f t="shared" si="26"/>
        <v>182.45755607058825</v>
      </c>
      <c r="BN21" s="1553">
        <f t="shared" si="26"/>
        <v>186.72837006823531</v>
      </c>
      <c r="BO21" s="1555"/>
      <c r="BP21" s="1554">
        <f t="shared" ref="BP21:CT21" si="27">SUM(BP12:BP20)</f>
        <v>1701.3676806886274</v>
      </c>
      <c r="BQ21" s="1553">
        <f t="shared" si="27"/>
        <v>1333.0004038196078</v>
      </c>
      <c r="BR21" s="1553">
        <f t="shared" si="27"/>
        <v>1317.0070888470589</v>
      </c>
      <c r="BS21" s="1553">
        <f t="shared" si="27"/>
        <v>1299.7970589019608</v>
      </c>
      <c r="BT21" s="1553">
        <f t="shared" si="27"/>
        <v>1010.2370434854901</v>
      </c>
      <c r="BU21" s="1553">
        <f t="shared" si="27"/>
        <v>1191.6337866996078</v>
      </c>
      <c r="BV21" s="1553">
        <f t="shared" si="27"/>
        <v>1252.5863400972548</v>
      </c>
      <c r="BW21" s="1553">
        <f t="shared" si="27"/>
        <v>1184.8160618462746</v>
      </c>
      <c r="BX21" s="1553">
        <f t="shared" si="27"/>
        <v>974.80898144784305</v>
      </c>
      <c r="BY21" s="1553">
        <f t="shared" si="27"/>
        <v>1066.671778059608</v>
      </c>
      <c r="BZ21" s="1553">
        <f t="shared" si="27"/>
        <v>1010.013496420392</v>
      </c>
      <c r="CA21" s="1553">
        <f t="shared" si="27"/>
        <v>878.13746308705868</v>
      </c>
      <c r="CB21" s="1553">
        <f t="shared" si="27"/>
        <v>1176.331699419608</v>
      </c>
      <c r="CC21" s="1553">
        <f t="shared" si="27"/>
        <v>1794.7058203490196</v>
      </c>
      <c r="CD21" s="1553">
        <f t="shared" si="27"/>
        <v>1816.088132858039</v>
      </c>
      <c r="CE21" s="1553">
        <f t="shared" si="27"/>
        <v>1357.1396703262747</v>
      </c>
      <c r="CF21" s="1553">
        <f t="shared" si="27"/>
        <v>1204.3149950196077</v>
      </c>
      <c r="CG21" s="1553">
        <f t="shared" si="27"/>
        <v>1190.5604267435294</v>
      </c>
      <c r="CH21" s="1553">
        <f t="shared" si="27"/>
        <v>1029.2884104266666</v>
      </c>
      <c r="CI21" s="1553">
        <f t="shared" si="27"/>
        <v>992.83070812862763</v>
      </c>
      <c r="CJ21" s="1553">
        <f t="shared" si="27"/>
        <v>825.95404172705878</v>
      </c>
      <c r="CK21" s="1553">
        <f t="shared" si="27"/>
        <v>840.83070839372544</v>
      </c>
      <c r="CL21" s="1553">
        <f t="shared" si="27"/>
        <v>768.88393777098054</v>
      </c>
      <c r="CM21" s="1553">
        <f t="shared" si="27"/>
        <v>1965.7855790361903</v>
      </c>
      <c r="CN21" s="1553">
        <f t="shared" si="27"/>
        <v>7178.6927819027451</v>
      </c>
      <c r="CO21" s="1553">
        <f t="shared" si="27"/>
        <v>8992.937453037759</v>
      </c>
      <c r="CP21" s="1553">
        <f t="shared" si="27"/>
        <v>6921.4684744819051</v>
      </c>
      <c r="CQ21" s="1553">
        <f t="shared" si="27"/>
        <v>7497.7550929031922</v>
      </c>
      <c r="CR21" s="1553">
        <f>SUM(CR12:CR20)</f>
        <v>0</v>
      </c>
      <c r="CS21" s="1553">
        <f t="shared" si="27"/>
        <v>182.45755607058825</v>
      </c>
      <c r="CT21" s="1553">
        <f t="shared" si="27"/>
        <v>186.72837006823531</v>
      </c>
      <c r="CV21" s="1481" t="s">
        <v>217</v>
      </c>
      <c r="CW21" s="1456"/>
      <c r="CX21" s="1553">
        <f>SUM(CX12:CX20)</f>
        <v>-81.266591265098015</v>
      </c>
      <c r="CY21" s="1553">
        <f t="shared" ref="CY21:DS21" si="28">SUM(CY12:CY20)</f>
        <v>-203.08165836705882</v>
      </c>
      <c r="CZ21" s="1553">
        <f t="shared" si="28"/>
        <v>-116.26659126509801</v>
      </c>
      <c r="DA21" s="1553">
        <f t="shared" si="28"/>
        <v>-148.24832503372551</v>
      </c>
      <c r="DB21" s="1553">
        <f t="shared" si="28"/>
        <v>958.6180802256581</v>
      </c>
      <c r="DC21" s="1553">
        <f t="shared" si="28"/>
        <v>996.65389528448168</v>
      </c>
      <c r="DD21" s="1553">
        <f t="shared" si="28"/>
        <v>1016.7809213092717</v>
      </c>
      <c r="DE21" s="1553">
        <f t="shared" si="28"/>
        <v>1233.9930213092716</v>
      </c>
      <c r="DF21" s="1553">
        <f t="shared" si="28"/>
        <v>918.01764602028015</v>
      </c>
      <c r="DG21" s="1553">
        <f t="shared" si="28"/>
        <v>915.34502928263305</v>
      </c>
      <c r="DH21" s="1553">
        <f>SUM(DH12:DH20)</f>
        <v>950.26084602028004</v>
      </c>
      <c r="DI21" s="1553">
        <f t="shared" si="28"/>
        <v>869.93054315338941</v>
      </c>
      <c r="DJ21" s="1553">
        <f t="shared" si="28"/>
        <v>1523.0898213622129</v>
      </c>
      <c r="DK21" s="1553">
        <f t="shared" si="28"/>
        <v>650.31074148352934</v>
      </c>
      <c r="DL21" s="1553">
        <f t="shared" si="28"/>
        <v>624.8305703917647</v>
      </c>
      <c r="DM21" s="1553">
        <f t="shared" si="28"/>
        <v>889.56473464929422</v>
      </c>
      <c r="DN21" s="1553">
        <f t="shared" si="28"/>
        <v>1148.9848214197198</v>
      </c>
      <c r="DO21" s="1553">
        <f t="shared" si="28"/>
        <v>754.4249905286274</v>
      </c>
      <c r="DP21" s="1553">
        <f t="shared" si="28"/>
        <v>3830.0512009596637</v>
      </c>
      <c r="DQ21" s="1553" t="e">
        <f t="shared" si="28"/>
        <v>#REF!</v>
      </c>
      <c r="DR21" s="1553">
        <f t="shared" si="28"/>
        <v>318.44866632941176</v>
      </c>
      <c r="DS21" s="1553">
        <f t="shared" si="28"/>
        <v>219.22948032705884</v>
      </c>
      <c r="DT21" s="1456"/>
      <c r="DU21" s="1553">
        <f>SUM(DU12:DU20)</f>
        <v>-262.59992459843136</v>
      </c>
      <c r="DV21" s="1553">
        <f>SUM(DV12:DV20)</f>
        <v>-327.74832503372545</v>
      </c>
      <c r="DW21" s="1553">
        <f>SUM(DW12:DW20)</f>
        <v>-297.59992459843136</v>
      </c>
      <c r="DX21" s="1553">
        <f>SUM(DX12:DX20)</f>
        <v>-272.91499170039214</v>
      </c>
      <c r="DY21" s="1554">
        <f t="shared" ref="DY21:EG21" si="29">SUM(DY12:DY20)</f>
        <v>1103.093704002689</v>
      </c>
      <c r="DZ21" s="1553">
        <f t="shared" si="29"/>
        <v>1162.0155408105322</v>
      </c>
      <c r="EA21" s="1553">
        <f t="shared" si="29"/>
        <v>1143.1774921141734</v>
      </c>
      <c r="EB21" s="1553">
        <f t="shared" si="29"/>
        <v>1432.7936254475069</v>
      </c>
      <c r="EC21" s="1553">
        <f t="shared" si="29"/>
        <v>1059.1057588214005</v>
      </c>
      <c r="ED21" s="1553">
        <f t="shared" si="29"/>
        <v>1056.8756031712044</v>
      </c>
      <c r="EE21" s="1553">
        <f>SUM(EE12:EE20)</f>
        <v>1181.734593432381</v>
      </c>
      <c r="EF21" s="1553">
        <f t="shared" si="29"/>
        <v>989.54365457299696</v>
      </c>
      <c r="EG21" s="1553">
        <f t="shared" si="29"/>
        <v>1811.5375470365263</v>
      </c>
      <c r="EH21" s="1553">
        <f t="shared" ref="EH21:EN21" si="30">SUM(EH12:EH20)</f>
        <v>751.98993633019597</v>
      </c>
      <c r="EI21" s="1553">
        <f t="shared" si="30"/>
        <v>648.48745408000013</v>
      </c>
      <c r="EJ21" s="1553">
        <f t="shared" si="30"/>
        <v>936.21643314588243</v>
      </c>
      <c r="EK21" s="1553">
        <f t="shared" si="30"/>
        <v>1510.2417330040337</v>
      </c>
      <c r="EL21" s="1553">
        <f t="shared" si="30"/>
        <v>999.75061095450985</v>
      </c>
      <c r="EM21" s="1553">
        <f t="shared" si="30"/>
        <v>4001.663401361232</v>
      </c>
      <c r="EN21" s="1553" t="e">
        <f t="shared" si="30"/>
        <v>#REF!</v>
      </c>
      <c r="EO21" s="1553">
        <f>SUM(EO12:EO20)</f>
        <v>318.44866632941176</v>
      </c>
      <c r="EP21" s="1553">
        <f>SUM(EP12:EP20)</f>
        <v>219.22948032705884</v>
      </c>
      <c r="EQ21" s="1456"/>
      <c r="ER21" s="1553">
        <f>SUM(ER12:ER20)</f>
        <v>-443.93325793176473</v>
      </c>
      <c r="ES21" s="1553">
        <f>SUM(ES12:ES20)</f>
        <v>-452.41499170039219</v>
      </c>
      <c r="ET21" s="1553">
        <f>SUM(ET12:ET20)</f>
        <v>-478.93325793176473</v>
      </c>
      <c r="EU21" s="1553">
        <f>SUM(EU12:EU20)</f>
        <v>-397.58165836705882</v>
      </c>
      <c r="EV21" s="1554">
        <f t="shared" ref="EV21:FD21" si="31">SUM(EV12:EV20)</f>
        <v>1522.0730129560784</v>
      </c>
      <c r="EW21" s="1553">
        <f t="shared" si="31"/>
        <v>1492.7388318626329</v>
      </c>
      <c r="EX21" s="1553">
        <f t="shared" si="31"/>
        <v>1287.6307158912045</v>
      </c>
      <c r="EY21" s="1553">
        <f t="shared" si="31"/>
        <v>1631.5942295857424</v>
      </c>
      <c r="EZ21" s="1553">
        <f t="shared" si="31"/>
        <v>1162.6034240107563</v>
      </c>
      <c r="FA21" s="1553">
        <f t="shared" si="31"/>
        <v>1204.2440783374229</v>
      </c>
      <c r="FB21" s="1553">
        <f>SUM(FB12:FB20)</f>
        <v>1308.3704395668346</v>
      </c>
      <c r="FC21" s="1553">
        <f t="shared" si="31"/>
        <v>1148.5317659926052</v>
      </c>
      <c r="FD21" s="1553">
        <f t="shared" si="31"/>
        <v>2159.9852727108405</v>
      </c>
      <c r="FE21" s="1553">
        <f t="shared" ref="FE21:FK21" si="32">SUM(FE12:FE20)</f>
        <v>700.36913117686265</v>
      </c>
      <c r="FF21" s="1553">
        <f t="shared" si="32"/>
        <v>689.34547666235289</v>
      </c>
      <c r="FG21" s="1553">
        <f t="shared" si="32"/>
        <v>1043.9060329201179</v>
      </c>
      <c r="FH21" s="1553">
        <f t="shared" si="32"/>
        <v>1907.0886217036414</v>
      </c>
      <c r="FI21" s="1553">
        <f t="shared" si="32"/>
        <v>1208.7816490635294</v>
      </c>
      <c r="FJ21" s="1553">
        <f t="shared" si="32"/>
        <v>4173.2756017628008</v>
      </c>
      <c r="FK21" s="1553" t="e">
        <f t="shared" si="32"/>
        <v>#REF!</v>
      </c>
      <c r="FL21" s="1553">
        <f>SUM(FL12:FL20)</f>
        <v>318.44866632941176</v>
      </c>
      <c r="FM21" s="1553">
        <f>SUM(FM12:FM20)</f>
        <v>219.22948032705884</v>
      </c>
    </row>
    <row r="22" spans="1:169" ht="18" customHeight="1">
      <c r="A22" s="1463">
        <f>ROWS($A$1:A22)</f>
        <v>22</v>
      </c>
      <c r="B22" s="1508" t="s">
        <v>1191</v>
      </c>
      <c r="C22" s="1552"/>
      <c r="D22" s="1549">
        <f>D11-D21</f>
        <v>579.4450880203924</v>
      </c>
      <c r="E22" s="1549">
        <f t="shared" ref="E22:AH22" si="33">E11-E21</f>
        <v>220.71631684862791</v>
      </c>
      <c r="F22" s="1549">
        <f t="shared" si="33"/>
        <v>163.80496515451</v>
      </c>
      <c r="G22" s="1549">
        <f t="shared" si="33"/>
        <v>198.17412515450997</v>
      </c>
      <c r="H22" s="1549">
        <f t="shared" si="33"/>
        <v>193.0901668580392</v>
      </c>
      <c r="I22" s="1549">
        <f t="shared" si="33"/>
        <v>186.4893335247059</v>
      </c>
      <c r="J22" s="1549">
        <f t="shared" si="33"/>
        <v>-3.1263681788234408</v>
      </c>
      <c r="K22" s="1549">
        <f t="shared" si="33"/>
        <v>54.260613460392278</v>
      </c>
      <c r="L22" s="1549">
        <f t="shared" si="33"/>
        <v>324.03835188549056</v>
      </c>
      <c r="M22" s="1549">
        <f t="shared" si="33"/>
        <v>1.0161484972551307</v>
      </c>
      <c r="N22" s="1549">
        <f t="shared" si="33"/>
        <v>209.03696346980382</v>
      </c>
      <c r="O22" s="1549">
        <f t="shared" si="33"/>
        <v>123.91566517333342</v>
      </c>
      <c r="P22" s="1549">
        <f t="shared" si="33"/>
        <v>223.76089380392182</v>
      </c>
      <c r="Q22" s="1549">
        <f t="shared" si="33"/>
        <v>523.28536609803973</v>
      </c>
      <c r="R22" s="1549">
        <f t="shared" si="33"/>
        <v>-182.82720630117637</v>
      </c>
      <c r="S22" s="1549">
        <f t="shared" si="33"/>
        <v>432.60479126745099</v>
      </c>
      <c r="T22" s="1549">
        <f t="shared" si="33"/>
        <v>-34.591637381960936</v>
      </c>
      <c r="U22" s="1549">
        <f t="shared" si="33"/>
        <v>172.1075365349019</v>
      </c>
      <c r="V22" s="1549">
        <f t="shared" si="33"/>
        <v>110.83044810823515</v>
      </c>
      <c r="W22" s="1549">
        <f t="shared" si="33"/>
        <v>-410.47007818352927</v>
      </c>
      <c r="X22" s="1549">
        <f t="shared" si="33"/>
        <v>-138.87555245960795</v>
      </c>
      <c r="Y22" s="1549">
        <f t="shared" si="33"/>
        <v>-124.72430782588253</v>
      </c>
      <c r="Z22" s="1549">
        <f t="shared" si="33"/>
        <v>-396.94504793568626</v>
      </c>
      <c r="AA22" s="1549">
        <f t="shared" si="33"/>
        <v>-248.78371066599448</v>
      </c>
      <c r="AB22" s="1549">
        <f t="shared" si="33"/>
        <v>1455.8668123829684</v>
      </c>
      <c r="AC22" s="1549">
        <f t="shared" si="33"/>
        <v>1324.9554745812893</v>
      </c>
      <c r="AD22" s="1549">
        <f t="shared" si="33"/>
        <v>226.87445313714215</v>
      </c>
      <c r="AE22" s="1549">
        <f t="shared" si="33"/>
        <v>32.11980368728382</v>
      </c>
      <c r="AF22" s="1549">
        <f t="shared" si="33"/>
        <v>0</v>
      </c>
      <c r="AG22" s="1549">
        <f t="shared" si="33"/>
        <v>-182.45755607058825</v>
      </c>
      <c r="AH22" s="1549">
        <f t="shared" si="33"/>
        <v>-186.72837006823531</v>
      </c>
      <c r="AI22" s="1551"/>
      <c r="AJ22" s="1550">
        <f t="shared" ref="AJ22:BN22" si="34">AJ11-AJ21</f>
        <v>687.63063785098007</v>
      </c>
      <c r="AK22" s="1549">
        <f t="shared" si="34"/>
        <v>408.6329565145104</v>
      </c>
      <c r="AL22" s="1549">
        <f t="shared" si="34"/>
        <v>387.36560482039226</v>
      </c>
      <c r="AM22" s="1549">
        <f t="shared" si="34"/>
        <v>359.23853312627443</v>
      </c>
      <c r="AN22" s="1549">
        <f t="shared" si="34"/>
        <v>324.94087024627447</v>
      </c>
      <c r="AO22" s="1549">
        <f t="shared" si="34"/>
        <v>378.51538860705864</v>
      </c>
      <c r="AP22" s="1549">
        <f t="shared" si="34"/>
        <v>176.10768690352961</v>
      </c>
      <c r="AQ22" s="1549">
        <f t="shared" si="34"/>
        <v>181.83490143215704</v>
      </c>
      <c r="AR22" s="1549">
        <f t="shared" si="34"/>
        <v>369.78968521882393</v>
      </c>
      <c r="AS22" s="1549">
        <f t="shared" si="34"/>
        <v>120.50551855215679</v>
      </c>
      <c r="AT22" s="1549">
        <f t="shared" si="34"/>
        <v>391.77840019137273</v>
      </c>
      <c r="AU22" s="1549">
        <f t="shared" si="34"/>
        <v>238.7971668580393</v>
      </c>
      <c r="AV22" s="1549">
        <f t="shared" si="34"/>
        <v>576.19144888627488</v>
      </c>
      <c r="AW22" s="1549">
        <f t="shared" si="34"/>
        <v>811.28977287451016</v>
      </c>
      <c r="AX22" s="1549">
        <f t="shared" si="34"/>
        <v>-146.95766957960768</v>
      </c>
      <c r="AY22" s="1549">
        <f t="shared" si="34"/>
        <v>770.43895961882345</v>
      </c>
      <c r="AZ22" s="1549">
        <f>AZ11-AZ21</f>
        <v>115.25308294745082</v>
      </c>
      <c r="BA22" s="1549">
        <f t="shared" si="34"/>
        <v>316.19022156235269</v>
      </c>
      <c r="BB22" s="1549">
        <f t="shared" si="34"/>
        <v>410.60435217411748</v>
      </c>
      <c r="BC22" s="1549">
        <f t="shared" si="34"/>
        <v>-331.02539315607828</v>
      </c>
      <c r="BD22" s="1549">
        <f t="shared" si="34"/>
        <v>144.94044754039226</v>
      </c>
      <c r="BE22" s="1549">
        <f t="shared" si="34"/>
        <v>155.90011420705878</v>
      </c>
      <c r="BF22" s="1549">
        <f t="shared" si="34"/>
        <v>-90.9144928533334</v>
      </c>
      <c r="BG22" s="1549">
        <f t="shared" si="34"/>
        <v>270.48002266733897</v>
      </c>
      <c r="BH22" s="1549">
        <f t="shared" si="34"/>
        <v>3030.2536819067782</v>
      </c>
      <c r="BI22" s="1549">
        <f t="shared" si="34"/>
        <v>2905.1095458086274</v>
      </c>
      <c r="BJ22" s="1549">
        <f t="shared" si="34"/>
        <v>210.15798932761936</v>
      </c>
      <c r="BK22" s="1549">
        <f t="shared" si="34"/>
        <v>744.88770742061661</v>
      </c>
      <c r="BL22" s="1549">
        <f t="shared" si="34"/>
        <v>0</v>
      </c>
      <c r="BM22" s="1549">
        <f t="shared" si="34"/>
        <v>-182.45755607058825</v>
      </c>
      <c r="BN22" s="1549">
        <f t="shared" si="34"/>
        <v>-186.72837006823531</v>
      </c>
      <c r="BO22" s="1551"/>
      <c r="BP22" s="1550">
        <f t="shared" ref="BP22:CT22" si="35">BP11-BP21</f>
        <v>937.09898597803976</v>
      </c>
      <c r="BQ22" s="1549">
        <f t="shared" si="35"/>
        <v>616.9995961803927</v>
      </c>
      <c r="BR22" s="1549">
        <f t="shared" si="35"/>
        <v>615.32624448627462</v>
      </c>
      <c r="BS22" s="1549">
        <f t="shared" si="35"/>
        <v>520.30294109803935</v>
      </c>
      <c r="BT22" s="1549">
        <f t="shared" si="35"/>
        <v>449.76295651450971</v>
      </c>
      <c r="BU22" s="1549">
        <f t="shared" si="35"/>
        <v>566.36621330039202</v>
      </c>
      <c r="BV22" s="1549">
        <f t="shared" si="35"/>
        <v>334.08032656941191</v>
      </c>
      <c r="BW22" s="1549">
        <f t="shared" si="35"/>
        <v>331.85060482039239</v>
      </c>
      <c r="BX22" s="1549">
        <f t="shared" si="35"/>
        <v>650.1910185521574</v>
      </c>
      <c r="BY22" s="1549">
        <f t="shared" si="35"/>
        <v>239.99488860705878</v>
      </c>
      <c r="BZ22" s="1549">
        <f t="shared" si="35"/>
        <v>574.51983691294129</v>
      </c>
      <c r="CA22" s="1549">
        <f t="shared" si="35"/>
        <v>367.69587024627481</v>
      </c>
      <c r="CB22" s="1549">
        <f t="shared" si="35"/>
        <v>693.66830058039227</v>
      </c>
      <c r="CC22" s="1549">
        <f t="shared" si="35"/>
        <v>1099.2941796509808</v>
      </c>
      <c r="CD22" s="1549">
        <f t="shared" si="35"/>
        <v>-111.08813285803899</v>
      </c>
      <c r="CE22" s="1549">
        <f t="shared" si="35"/>
        <v>1132.8603296737253</v>
      </c>
      <c r="CF22" s="1549">
        <f t="shared" si="35"/>
        <v>289.68500498039225</v>
      </c>
      <c r="CG22" s="1549">
        <f t="shared" si="35"/>
        <v>460.2729065898036</v>
      </c>
      <c r="CH22" s="1549">
        <f t="shared" si="35"/>
        <v>710.3782562399997</v>
      </c>
      <c r="CI22" s="1549">
        <f t="shared" si="35"/>
        <v>-251.58070812862763</v>
      </c>
      <c r="CJ22" s="1549">
        <f t="shared" si="35"/>
        <v>427.37929160627448</v>
      </c>
      <c r="CK22" s="1549">
        <f t="shared" si="35"/>
        <v>435.83595827294107</v>
      </c>
      <c r="CL22" s="1549">
        <f t="shared" si="35"/>
        <v>215.11606222901946</v>
      </c>
      <c r="CM22" s="1549">
        <f t="shared" si="35"/>
        <v>439.71442096380974</v>
      </c>
      <c r="CN22" s="1549">
        <f t="shared" si="35"/>
        <v>4604.640551430587</v>
      </c>
      <c r="CO22" s="1549">
        <f t="shared" si="35"/>
        <v>4473.729213628907</v>
      </c>
      <c r="CP22" s="1549">
        <f t="shared" si="35"/>
        <v>778.5315255180949</v>
      </c>
      <c r="CQ22" s="1549">
        <f t="shared" si="35"/>
        <v>1440.2449070968078</v>
      </c>
      <c r="CR22" s="1549">
        <f>CR11-CR21</f>
        <v>0</v>
      </c>
      <c r="CS22" s="1549">
        <f t="shared" si="35"/>
        <v>-182.45755607058825</v>
      </c>
      <c r="CT22" s="1549">
        <f t="shared" si="35"/>
        <v>-186.72837006823531</v>
      </c>
      <c r="CV22" s="1508" t="s">
        <v>1191</v>
      </c>
      <c r="CW22" s="1552"/>
      <c r="CX22" s="1549">
        <f>CX11-CX21</f>
        <v>81.266591265098015</v>
      </c>
      <c r="CY22" s="1549">
        <f>CY11-CY21</f>
        <v>203.08165836705882</v>
      </c>
      <c r="CZ22" s="1549">
        <f>CZ11-CZ21</f>
        <v>116.26659126509801</v>
      </c>
      <c r="DA22" s="1549">
        <f>DA11-DA21</f>
        <v>148.24832503372551</v>
      </c>
      <c r="DB22" s="1549">
        <f t="shared" ref="DB22:DJ22" si="36">DB11-DB21</f>
        <v>371.58191977434194</v>
      </c>
      <c r="DC22" s="1549">
        <f t="shared" si="36"/>
        <v>662.446104715518</v>
      </c>
      <c r="DD22" s="1549">
        <f t="shared" si="36"/>
        <v>515.34407869072834</v>
      </c>
      <c r="DE22" s="1549">
        <f t="shared" si="36"/>
        <v>683.26322869072897</v>
      </c>
      <c r="DF22" s="1549">
        <f t="shared" si="36"/>
        <v>446.48235397972007</v>
      </c>
      <c r="DG22" s="1549">
        <f t="shared" si="36"/>
        <v>548.25497071736686</v>
      </c>
      <c r="DH22" s="1549">
        <f>DH11-DH21</f>
        <v>386.93915397972</v>
      </c>
      <c r="DI22" s="1549">
        <f t="shared" si="36"/>
        <v>611.41820684661047</v>
      </c>
      <c r="DJ22" s="1549">
        <f t="shared" si="36"/>
        <v>815.91017863778666</v>
      </c>
      <c r="DK22" s="1549">
        <f>DK11-DK21</f>
        <v>733.15175851647075</v>
      </c>
      <c r="DL22" s="1549">
        <f t="shared" ref="DL22:DS22" si="37">DL11-DL21</f>
        <v>526.56942960823494</v>
      </c>
      <c r="DM22" s="1549">
        <f t="shared" si="37"/>
        <v>1396.9352653507062</v>
      </c>
      <c r="DN22" s="1549">
        <f t="shared" si="37"/>
        <v>522.11517858028037</v>
      </c>
      <c r="DO22" s="1549">
        <f t="shared" si="37"/>
        <v>213.37500947137255</v>
      </c>
      <c r="DP22" s="1549">
        <f t="shared" si="37"/>
        <v>4996.4487990403341</v>
      </c>
      <c r="DQ22" s="1549" t="e">
        <f t="shared" si="37"/>
        <v>#REF!</v>
      </c>
      <c r="DR22" s="1549">
        <f t="shared" si="37"/>
        <v>-318.44866632941176</v>
      </c>
      <c r="DS22" s="1549">
        <f t="shared" si="37"/>
        <v>-219.22948032705884</v>
      </c>
      <c r="DT22" s="1456"/>
      <c r="DU22" s="1549">
        <f>DU11-DU21</f>
        <v>262.59992459843136</v>
      </c>
      <c r="DV22" s="1549">
        <f>DV11-DV21</f>
        <v>327.74832503372545</v>
      </c>
      <c r="DW22" s="1549">
        <f>DW11-DW21</f>
        <v>297.59992459843136</v>
      </c>
      <c r="DX22" s="1549">
        <f>DX11-DX21</f>
        <v>272.91499170039214</v>
      </c>
      <c r="DY22" s="1550">
        <f t="shared" ref="DY22:EG22" si="38">DY11-DY21</f>
        <v>670.5062959973111</v>
      </c>
      <c r="DZ22" s="1549">
        <f t="shared" si="38"/>
        <v>1050.117792522801</v>
      </c>
      <c r="EA22" s="1549">
        <f t="shared" si="38"/>
        <v>899.65584121916004</v>
      </c>
      <c r="EB22" s="1549">
        <f t="shared" si="38"/>
        <v>1123.5480412191603</v>
      </c>
      <c r="EC22" s="1549">
        <f t="shared" si="38"/>
        <v>760.22757451193297</v>
      </c>
      <c r="ED22" s="1549">
        <f t="shared" si="38"/>
        <v>894.59106349546232</v>
      </c>
      <c r="EE22" s="1549">
        <f>EE11-EE21</f>
        <v>601.19873990095243</v>
      </c>
      <c r="EF22" s="1549">
        <f t="shared" si="38"/>
        <v>985.5880120936697</v>
      </c>
      <c r="EG22" s="1549">
        <f t="shared" si="38"/>
        <v>1307.1291196301397</v>
      </c>
      <c r="EH22" s="1549">
        <f t="shared" ref="EH22:EN22" si="39">EH11-EH21</f>
        <v>1092.6267303364712</v>
      </c>
      <c r="EI22" s="1549">
        <f t="shared" si="39"/>
        <v>886.71254591999946</v>
      </c>
      <c r="EJ22" s="1549">
        <f t="shared" si="39"/>
        <v>1753.7835668541179</v>
      </c>
      <c r="EK22" s="1549">
        <f t="shared" si="39"/>
        <v>996.40826699596641</v>
      </c>
      <c r="EL22" s="1549">
        <f t="shared" si="39"/>
        <v>839.06938904549008</v>
      </c>
      <c r="EM22" s="1549">
        <f t="shared" si="39"/>
        <v>7031.4615986387662</v>
      </c>
      <c r="EN22" s="1549" t="e">
        <f t="shared" si="39"/>
        <v>#REF!</v>
      </c>
      <c r="EO22" s="1549">
        <f>EO11-EO21</f>
        <v>-318.44866632941176</v>
      </c>
      <c r="EP22" s="1549">
        <f>EP11-EP21</f>
        <v>-219.22948032705884</v>
      </c>
      <c r="EQ22" s="1456"/>
      <c r="ER22" s="1549" t="e">
        <f>ER11-ER21</f>
        <v>#REF!</v>
      </c>
      <c r="ES22" s="1549" t="e">
        <f>ES11-ES21</f>
        <v>#REF!</v>
      </c>
      <c r="ET22" s="1549" t="e">
        <f>ET11-ET21</f>
        <v>#REF!</v>
      </c>
      <c r="EU22" s="1549" t="e">
        <f>EU11-EU21</f>
        <v>#REF!</v>
      </c>
      <c r="EV22" s="1550" t="e">
        <f t="shared" ref="EV22:FD22" si="40">EV11-EV21</f>
        <v>#REF!</v>
      </c>
      <c r="EW22" s="1549" t="e">
        <f t="shared" si="40"/>
        <v>#REF!</v>
      </c>
      <c r="EX22" s="1549" t="e">
        <f t="shared" si="40"/>
        <v>#REF!</v>
      </c>
      <c r="EY22" s="1549" t="e">
        <f t="shared" si="40"/>
        <v>#REF!</v>
      </c>
      <c r="EZ22" s="1549" t="e">
        <f t="shared" si="40"/>
        <v>#REF!</v>
      </c>
      <c r="FA22" s="1549" t="e">
        <f t="shared" si="40"/>
        <v>#REF!</v>
      </c>
      <c r="FB22" s="1549" t="e">
        <f>FB11-FB21</f>
        <v>#REF!</v>
      </c>
      <c r="FC22" s="1549" t="e">
        <f t="shared" si="40"/>
        <v>#REF!</v>
      </c>
      <c r="FD22" s="1549" t="e">
        <f t="shared" si="40"/>
        <v>#REF!</v>
      </c>
      <c r="FE22" s="1549" t="e">
        <f t="shared" ref="FE22:FK22" si="41">FE11-FE21</f>
        <v>#REF!</v>
      </c>
      <c r="FF22" s="1549" t="e">
        <f t="shared" si="41"/>
        <v>#REF!</v>
      </c>
      <c r="FG22" s="1549" t="e">
        <f t="shared" si="41"/>
        <v>#REF!</v>
      </c>
      <c r="FH22" s="1549" t="e">
        <f t="shared" si="41"/>
        <v>#REF!</v>
      </c>
      <c r="FI22" s="1549" t="e">
        <f t="shared" si="41"/>
        <v>#REF!</v>
      </c>
      <c r="FJ22" s="1549" t="e">
        <f t="shared" si="41"/>
        <v>#REF!</v>
      </c>
      <c r="FK22" s="1549" t="e">
        <f t="shared" si="41"/>
        <v>#REF!</v>
      </c>
      <c r="FL22" s="1549" t="e">
        <f>FL11-FL21</f>
        <v>#REF!</v>
      </c>
      <c r="FM22" s="1549" t="e">
        <f>FM11-FM21</f>
        <v>#REF!</v>
      </c>
    </row>
    <row r="23" spans="1:169" ht="16.149999999999999" customHeight="1">
      <c r="A23" s="1463">
        <f>ROWS($A$1:A23)</f>
        <v>23</v>
      </c>
      <c r="B23" s="1548" t="s">
        <v>1190</v>
      </c>
      <c r="D23" s="3665">
        <f>'WW1'!R19</f>
        <v>535.4</v>
      </c>
      <c r="E23" s="1545">
        <f>'WW2'!R19</f>
        <v>535.4</v>
      </c>
      <c r="F23" s="1545">
        <f>'WW3'!R19</f>
        <v>455.4</v>
      </c>
      <c r="G23" s="1545">
        <f>'WW4'!R19</f>
        <v>455.4</v>
      </c>
      <c r="H23" s="1545">
        <f>WRo!R19</f>
        <v>535.4</v>
      </c>
      <c r="I23" s="1545">
        <f>Tr!R19</f>
        <v>535.4</v>
      </c>
      <c r="J23" s="1545">
        <f>WG!R19</f>
        <v>455.4</v>
      </c>
      <c r="K23" s="1545">
        <f>Di!R19</f>
        <v>355.4</v>
      </c>
      <c r="L23" s="1545">
        <f>SW!R19</f>
        <v>455.4</v>
      </c>
      <c r="M23" s="1545">
        <f>'SG-Fu'!R19</f>
        <v>455.4</v>
      </c>
      <c r="N23" s="1545">
        <f>BG!R19</f>
        <v>455.4</v>
      </c>
      <c r="O23" s="1545">
        <f>Ha!R19</f>
        <v>455.4</v>
      </c>
      <c r="P23" s="1545">
        <f>Du!R19</f>
        <v>455.4</v>
      </c>
      <c r="Q23" s="1545">
        <f>KöM!R19</f>
        <v>455.4</v>
      </c>
      <c r="R23" s="1545">
        <f>KH!R19</f>
        <v>455.4</v>
      </c>
      <c r="S23" s="1545">
        <f>WR!R19</f>
        <v>455.4</v>
      </c>
      <c r="T23" s="1545">
        <f>SR!R19</f>
        <v>455.4</v>
      </c>
      <c r="U23" s="1545">
        <f>SoBl!R19</f>
        <v>455.4</v>
      </c>
      <c r="V23" s="1545">
        <f>Soja!R19</f>
        <v>455.4</v>
      </c>
      <c r="W23" s="1545">
        <f>Öl!R19</f>
        <v>455.4</v>
      </c>
      <c r="X23" s="1545">
        <f>FE!R19</f>
        <v>555.4</v>
      </c>
      <c r="Y23" s="1545">
        <f>AB!R19</f>
        <v>455.4</v>
      </c>
      <c r="Z23" s="1545">
        <f>Lu!R19</f>
        <v>455.4</v>
      </c>
      <c r="AA23" s="1545">
        <f>ZR!R19</f>
        <v>455.4</v>
      </c>
      <c r="AB23" s="1545">
        <f>FrühKa!R19</f>
        <v>455.4</v>
      </c>
      <c r="AC23" s="1545">
        <f>FrühKaFolieBer!R19</f>
        <v>455.4</v>
      </c>
      <c r="AD23" s="1545">
        <f>SpKa!R19</f>
        <v>455.4</v>
      </c>
      <c r="AE23" s="1545">
        <f>SpKaBer!R19</f>
        <v>455.4</v>
      </c>
      <c r="AF23" s="1545">
        <f>'Kultur A'!S19</f>
        <v>0</v>
      </c>
      <c r="AG23" s="1545">
        <f>'FAKT-Brachebegrünung'!R19</f>
        <v>1085.4000000000001</v>
      </c>
      <c r="AH23" s="1545">
        <f>Begr!R19</f>
        <v>455.4</v>
      </c>
      <c r="AI23" s="1547"/>
      <c r="AJ23" s="1546">
        <f>'WW1'!S19</f>
        <v>535.4</v>
      </c>
      <c r="AK23" s="1545">
        <f>'WW2'!S19</f>
        <v>535.4</v>
      </c>
      <c r="AL23" s="1545">
        <f>'WW3'!S19</f>
        <v>455.4</v>
      </c>
      <c r="AM23" s="1545">
        <f>'WW4'!S19</f>
        <v>455.4</v>
      </c>
      <c r="AN23" s="1545">
        <f>WRo!S19</f>
        <v>535.4</v>
      </c>
      <c r="AO23" s="1545">
        <f>Tr!S19</f>
        <v>535.4</v>
      </c>
      <c r="AP23" s="1545">
        <f>WG!S19</f>
        <v>455.4</v>
      </c>
      <c r="AQ23" s="1545">
        <f>Di!S19</f>
        <v>355.4</v>
      </c>
      <c r="AR23" s="1545">
        <f>SW!S19</f>
        <v>455.4</v>
      </c>
      <c r="AS23" s="1545">
        <f>'SG-Fu'!S19</f>
        <v>455.4</v>
      </c>
      <c r="AT23" s="1545">
        <f>BG!S19</f>
        <v>455.4</v>
      </c>
      <c r="AU23" s="1545">
        <f>Ha!S19</f>
        <v>455.4</v>
      </c>
      <c r="AV23" s="1545">
        <f>Du!S19</f>
        <v>455.4</v>
      </c>
      <c r="AW23" s="1545">
        <f>KöM!S19</f>
        <v>455.4</v>
      </c>
      <c r="AX23" s="1545">
        <f>KH!S19</f>
        <v>455.4</v>
      </c>
      <c r="AY23" s="1545">
        <f>WR!S19</f>
        <v>455.4</v>
      </c>
      <c r="AZ23" s="1545">
        <f>SR!S19</f>
        <v>455.4</v>
      </c>
      <c r="BA23" s="1545">
        <f>SoBl!S19</f>
        <v>455.4</v>
      </c>
      <c r="BB23" s="1545">
        <f>Soja!S19</f>
        <v>455.4</v>
      </c>
      <c r="BC23" s="1545">
        <f>Öl!S19</f>
        <v>455.4</v>
      </c>
      <c r="BD23" s="1545">
        <f>FE!S19</f>
        <v>555.4</v>
      </c>
      <c r="BE23" s="1545">
        <f>AB!S19</f>
        <v>455.4</v>
      </c>
      <c r="BF23" s="1545">
        <f>Lu!S19</f>
        <v>455.4</v>
      </c>
      <c r="BG23" s="1545">
        <f>ZR!S19</f>
        <v>355.4</v>
      </c>
      <c r="BH23" s="1545">
        <f>FrühKa!S19</f>
        <v>455.4</v>
      </c>
      <c r="BI23" s="1545">
        <f>FrühKaFolieBer!S19</f>
        <v>455.4</v>
      </c>
      <c r="BJ23" s="1545">
        <f>SpKa!S19</f>
        <v>455.4</v>
      </c>
      <c r="BK23" s="1545">
        <f>SpKaBer!S19</f>
        <v>455.4</v>
      </c>
      <c r="BL23" s="1545">
        <v>0</v>
      </c>
      <c r="BM23" s="1545">
        <f>'FAKT-Brachebegrünung'!S19</f>
        <v>1085.4000000000001</v>
      </c>
      <c r="BN23" s="1545">
        <f>Begr!S19</f>
        <v>455.4</v>
      </c>
      <c r="BO23" s="1547"/>
      <c r="BP23" s="1546">
        <f>'WW1'!T19</f>
        <v>535.4</v>
      </c>
      <c r="BQ23" s="1545">
        <f>'WW2'!T19</f>
        <v>535.4</v>
      </c>
      <c r="BR23" s="1545">
        <f>'WW3'!T19</f>
        <v>455.4</v>
      </c>
      <c r="BS23" s="1545">
        <f>'WW4'!T19</f>
        <v>455.4</v>
      </c>
      <c r="BT23" s="1545">
        <f>WRo!T19</f>
        <v>535.4</v>
      </c>
      <c r="BU23" s="1545">
        <f>Tr!T19</f>
        <v>535.4</v>
      </c>
      <c r="BV23" s="1545">
        <f>WG!T19</f>
        <v>455.4</v>
      </c>
      <c r="BW23" s="1545">
        <f>Di!T19</f>
        <v>355.4</v>
      </c>
      <c r="BX23" s="1545">
        <f>SW!T19</f>
        <v>455.4</v>
      </c>
      <c r="BY23" s="1545">
        <f>'SG-Fu'!T19</f>
        <v>455.4</v>
      </c>
      <c r="BZ23" s="1545">
        <f>BG!T19</f>
        <v>455.4</v>
      </c>
      <c r="CA23" s="1545">
        <f>Ha!T19</f>
        <v>455.4</v>
      </c>
      <c r="CB23" s="1545">
        <f>Du!T19</f>
        <v>455.4</v>
      </c>
      <c r="CC23" s="1545">
        <f>KöM!T19</f>
        <v>455.4</v>
      </c>
      <c r="CD23" s="1545">
        <f>KH!T19</f>
        <v>455.4</v>
      </c>
      <c r="CE23" s="1545">
        <f>WR!T19</f>
        <v>455.4</v>
      </c>
      <c r="CF23" s="1545">
        <f>SR!T19</f>
        <v>455.4</v>
      </c>
      <c r="CG23" s="1545">
        <f>SoBl!T19</f>
        <v>455.4</v>
      </c>
      <c r="CH23" s="1545">
        <f>Soja!T19</f>
        <v>455.4</v>
      </c>
      <c r="CI23" s="1545">
        <f>Öl!T19</f>
        <v>455.4</v>
      </c>
      <c r="CJ23" s="1545">
        <f>FE!T19</f>
        <v>555.4</v>
      </c>
      <c r="CK23" s="1545">
        <f>AB!T19</f>
        <v>455.4</v>
      </c>
      <c r="CL23" s="1545">
        <f>Lu!T19</f>
        <v>455.4</v>
      </c>
      <c r="CM23" s="1545">
        <f>ZR!T19</f>
        <v>455.4</v>
      </c>
      <c r="CN23" s="1545">
        <f>FrühKa!T19</f>
        <v>455.4</v>
      </c>
      <c r="CO23" s="1545">
        <f>FrühKaFolieBer!T19</f>
        <v>455.4</v>
      </c>
      <c r="CP23" s="1545">
        <f>SpKa!T19</f>
        <v>455.4</v>
      </c>
      <c r="CQ23" s="1545">
        <f>SpKaBer!T19</f>
        <v>455.4</v>
      </c>
      <c r="CR23" s="1545">
        <f>'Kultur A'!U19</f>
        <v>0</v>
      </c>
      <c r="CS23" s="1545">
        <f>'FAKT-Brachebegrünung'!T19</f>
        <v>1085.4000000000001</v>
      </c>
      <c r="CT23" s="1545">
        <f>Begr!T19</f>
        <v>455.4</v>
      </c>
      <c r="CV23" s="1548" t="s">
        <v>1190</v>
      </c>
      <c r="CW23" s="1456"/>
      <c r="CX23" s="3665">
        <f>'Öko-KG1'!$R$19</f>
        <v>455.4</v>
      </c>
      <c r="CY23" s="1545">
        <f>'Öko-KG2'!$R$19</f>
        <v>695.4</v>
      </c>
      <c r="CZ23" s="1545">
        <f>'Öko-LU1'!$R$19</f>
        <v>695.4</v>
      </c>
      <c r="DA23" s="1545">
        <f>'Öko-LU2'!$R$19</f>
        <v>695.4</v>
      </c>
      <c r="DB23" s="1545">
        <f>'Öko-WW-Futter'!$R$19</f>
        <v>595.4</v>
      </c>
      <c r="DC23" s="1545">
        <f>'Öko-WW-Brot'!$R$19</f>
        <v>695.4</v>
      </c>
      <c r="DD23" s="1545">
        <f>'Öko-Dinkel'!$R$19</f>
        <v>595.4</v>
      </c>
      <c r="DE23" s="1545">
        <f>'Öko-Dinkel,gegerbt'!$R$19</f>
        <v>595.4</v>
      </c>
      <c r="DF23" s="1545">
        <f>'Öko-Roggen'!$R$19</f>
        <v>595.4</v>
      </c>
      <c r="DG23" s="1545">
        <f>'Öko-Hafer'!$R$19</f>
        <v>595.4</v>
      </c>
      <c r="DH23" s="1545">
        <f>'Öko-Wintergerste'!$R$19</f>
        <v>595.4</v>
      </c>
      <c r="DI23" s="1545">
        <f>'Öko-Braugerste'!$R$19</f>
        <v>595.4</v>
      </c>
      <c r="DJ23" s="1545">
        <f>'Öko-Körnermais'!$R$19</f>
        <v>595.4</v>
      </c>
      <c r="DK23" s="1545">
        <f>'Öko-Ackerbohnen'!$R$19</f>
        <v>595.4</v>
      </c>
      <c r="DL23" s="1545">
        <f>'Öko-Erbsen'!R19</f>
        <v>595.4</v>
      </c>
      <c r="DM23" s="1545">
        <f>'Öko-Sojabohnen'!R19</f>
        <v>595.4</v>
      </c>
      <c r="DN23" s="1545">
        <f>'Öko-Soblu'!$R$19</f>
        <v>595.4</v>
      </c>
      <c r="DO23" s="1545">
        <f>'Öko-Raps'!$R$19</f>
        <v>595.4</v>
      </c>
      <c r="DP23" s="1545">
        <f>'Öko-Kartoffel'!R19</f>
        <v>595.4</v>
      </c>
      <c r="DQ23" s="1545" t="e">
        <f>#REF!</f>
        <v>#REF!</v>
      </c>
      <c r="DR23" s="1545">
        <f>Begrün.!R19</f>
        <v>0</v>
      </c>
      <c r="DS23" s="1545">
        <f>Blühm.!$R$19</f>
        <v>100</v>
      </c>
      <c r="DT23" s="1456"/>
      <c r="DU23" s="1545">
        <f>'Öko-KG1'!$S$19</f>
        <v>455.4</v>
      </c>
      <c r="DV23" s="1545">
        <f>'Öko-KG2'!$S$19</f>
        <v>695.4</v>
      </c>
      <c r="DW23" s="1545">
        <f>'Öko-LU1'!$S$19</f>
        <v>695.4</v>
      </c>
      <c r="DX23" s="1545">
        <f>'Öko-LU2'!$S$19</f>
        <v>695.4</v>
      </c>
      <c r="DY23" s="1546">
        <f>'Öko-WW-Futter'!S19</f>
        <v>595.4</v>
      </c>
      <c r="DZ23" s="1545">
        <f>'Öko-WW-Brot'!S19</f>
        <v>695.4</v>
      </c>
      <c r="EA23" s="1545">
        <f>'Öko-Dinkel'!S19</f>
        <v>595.4</v>
      </c>
      <c r="EB23" s="1545">
        <f>'Öko-Dinkel,gegerbt'!$S$19</f>
        <v>595.4</v>
      </c>
      <c r="EC23" s="1545">
        <f>'Öko-Roggen'!S19</f>
        <v>595.4</v>
      </c>
      <c r="ED23" s="1545">
        <f>'Öko-Hafer'!S19</f>
        <v>595.4</v>
      </c>
      <c r="EE23" s="1545">
        <f>'Öko-Wintergerste'!S19</f>
        <v>595.4</v>
      </c>
      <c r="EF23" s="1545">
        <f>'Öko-Braugerste'!S19</f>
        <v>595.4</v>
      </c>
      <c r="EG23" s="1545">
        <f>'Öko-Körnermais'!S19</f>
        <v>595.4</v>
      </c>
      <c r="EH23" s="1545">
        <f>'Öko-Ackerbohnen'!S19</f>
        <v>595.4</v>
      </c>
      <c r="EI23" s="1545">
        <f>'Öko-Erbsen'!S19</f>
        <v>595.4</v>
      </c>
      <c r="EJ23" s="1545">
        <f>'Öko-Sojabohnen'!S19</f>
        <v>595.4</v>
      </c>
      <c r="EK23" s="1545">
        <f>'Öko-Soblu'!$S$19</f>
        <v>595.4</v>
      </c>
      <c r="EL23" s="1545">
        <f>'Öko-Raps'!$S$19</f>
        <v>595.4</v>
      </c>
      <c r="EM23" s="1545">
        <f>'Öko-Kartoffel'!S19</f>
        <v>595.4</v>
      </c>
      <c r="EN23" s="1545" t="e">
        <f>#REF!</f>
        <v>#REF!</v>
      </c>
      <c r="EO23" s="1545">
        <f>Begrün.!S19</f>
        <v>0</v>
      </c>
      <c r="EP23" s="1545">
        <f>Blühm.!$S$19</f>
        <v>100</v>
      </c>
      <c r="EQ23" s="1456"/>
      <c r="ER23" s="1545">
        <f>'Öko-KG1'!$T$19</f>
        <v>455.4</v>
      </c>
      <c r="ES23" s="1545">
        <f>'Öko-KG2'!$T$19</f>
        <v>695.4</v>
      </c>
      <c r="ET23" s="1545">
        <f>'Öko-LU1'!$T$19</f>
        <v>695.4</v>
      </c>
      <c r="EU23" s="1545">
        <f>'Öko-LU2'!$T$19</f>
        <v>695.4</v>
      </c>
      <c r="EV23" s="1546">
        <f>'Öko-WW-Futter'!T19</f>
        <v>595.4</v>
      </c>
      <c r="EW23" s="1545">
        <f>'Öko-WW-Brot'!T19</f>
        <v>695.4</v>
      </c>
      <c r="EX23" s="1545">
        <f>'Öko-Dinkel'!T19</f>
        <v>595.4</v>
      </c>
      <c r="EY23" s="1545">
        <f>'Öko-Dinkel,gegerbt'!$T$19</f>
        <v>595.4</v>
      </c>
      <c r="EZ23" s="1545">
        <f>'Öko-Roggen'!T19</f>
        <v>595.4</v>
      </c>
      <c r="FA23" s="1545">
        <f>'Öko-Hafer'!T19</f>
        <v>595.4</v>
      </c>
      <c r="FB23" s="1545">
        <f>'Öko-Wintergerste'!T19</f>
        <v>595.4</v>
      </c>
      <c r="FC23" s="1545">
        <f>'Öko-Braugerste'!T19</f>
        <v>595.4</v>
      </c>
      <c r="FD23" s="1545">
        <f>'Öko-Körnermais'!T19</f>
        <v>595.4</v>
      </c>
      <c r="FE23" s="1545">
        <f>'Öko-Ackerbohnen'!T19</f>
        <v>595.4</v>
      </c>
      <c r="FF23" s="1545">
        <f>'Öko-Erbsen'!T19</f>
        <v>595.4</v>
      </c>
      <c r="FG23" s="1545">
        <f>'Öko-Sojabohnen'!T19</f>
        <v>595.4</v>
      </c>
      <c r="FH23" s="1545">
        <f>'Öko-Soblu'!$T$19</f>
        <v>595.4</v>
      </c>
      <c r="FI23" s="1545">
        <f>'Öko-Raps'!$T$19</f>
        <v>595.4</v>
      </c>
      <c r="FJ23" s="1545">
        <f>'Öko-Kartoffel'!T19</f>
        <v>595.4</v>
      </c>
      <c r="FK23" s="1545" t="e">
        <f>#REF!</f>
        <v>#REF!</v>
      </c>
      <c r="FL23" s="1545">
        <f>Begrün.!T19</f>
        <v>0</v>
      </c>
      <c r="FM23" s="1545">
        <f>Blühm.!$T$19</f>
        <v>100</v>
      </c>
    </row>
    <row r="24" spans="1:169" ht="16.149999999999999" customHeight="1">
      <c r="A24" s="1463">
        <f>ROWS($A$1:A24)</f>
        <v>24</v>
      </c>
      <c r="B24" s="1512" t="s">
        <v>1189</v>
      </c>
      <c r="C24" s="1480"/>
      <c r="D24" s="3669">
        <f>D21*'SDK1'!$O$59%*'WW1'!$G$75/12</f>
        <v>10.725938813154903</v>
      </c>
      <c r="E24" s="1468">
        <f>E21*'SDK1'!$O$59%*'WW2'!$G$75/12</f>
        <v>9.4437322275745075</v>
      </c>
      <c r="F24" s="1468">
        <f>F21*'SDK1'!$O$59%*'WW3'!$G$75/12</f>
        <v>9.5071232215647061</v>
      </c>
      <c r="G24" s="1468">
        <f>G21*'SDK1'!$O$59%*'WW4'!$G$75/12</f>
        <v>9.9449514048980365</v>
      </c>
      <c r="H24" s="1468">
        <f>H21*'SDK1'!$O$59%*WRo!$G$75/12</f>
        <v>7.6787943733254886</v>
      </c>
      <c r="I24" s="1468">
        <f>I21*'SDK1'!$O$59%*Tr!$G$75/12</f>
        <v>8.6232183316588227</v>
      </c>
      <c r="J24" s="1468">
        <f>J21*'SDK1'!$O$59%*WG!$G$75/12</f>
        <v>9.0106890548980392</v>
      </c>
      <c r="K24" s="1468">
        <f>K21*'SDK1'!$O$59%*Di!$G$75/12</f>
        <v>9.0043862988882353</v>
      </c>
      <c r="L24" s="1468">
        <f>L21*'SDK1'!$O$59%*SW!$G$75/12</f>
        <v>5.4226769673823521</v>
      </c>
      <c r="M24" s="1468">
        <f>M21*'SDK1'!$O$59%*'SG-Fu'!$G$75/12</f>
        <v>5.8269824052254888</v>
      </c>
      <c r="N24" s="1468">
        <f>N21*'SDK1'!$O$59%*BG!$G$75/12</f>
        <v>5.5435189783137266</v>
      </c>
      <c r="O24" s="1468">
        <f>O21*'SDK1'!$O$59%*Ha!$G$75/12</f>
        <v>4.6161520926666659</v>
      </c>
      <c r="P24" s="1468">
        <f>P21*'SDK1'!$O$59%*Du!$G$75/12</f>
        <v>6.393161080392157</v>
      </c>
      <c r="Q24" s="1468">
        <f>Q21*'SDK1'!$O$59%*KöM!$G$75/12</f>
        <v>8.7877997952205877</v>
      </c>
      <c r="R24" s="1468">
        <f>R21*'SDK1'!$O$59%*KH!$G$75/12</f>
        <v>13.534738055135293</v>
      </c>
      <c r="S24" s="1468">
        <f>S21*'SDK1'!$O$59%*WR!$G$75/12</f>
        <v>9.2872080764098044</v>
      </c>
      <c r="T24" s="1468">
        <f>T21*'SDK1'!$O$59%*SR!$G$75/12</f>
        <v>6.4411977336372557</v>
      </c>
      <c r="U24" s="1468">
        <f>U21*'SDK1'!$O$59%*SoBl!$G$75/12</f>
        <v>6.2941195633235294</v>
      </c>
      <c r="V24" s="1468">
        <f>V21*'SDK1'!$O$59%*Soja!$G$75/12</f>
        <v>5.703143032656862</v>
      </c>
      <c r="W24" s="1468">
        <f>W21*'SDK1'!$O$59%*Öl!$G$75/12</f>
        <v>5.3451254886470574</v>
      </c>
      <c r="X24" s="1468">
        <f>X21*'SDK1'!$O$59%*FE!$G$75/12</f>
        <v>4.0013055362058827</v>
      </c>
      <c r="Y24" s="1468">
        <f>Y21*'SDK1'!$O$59%*AB!$G$75/12</f>
        <v>3.9711935905784324</v>
      </c>
      <c r="Z24" s="1468">
        <f>Z21*'SDK1'!$O$59%*Lu!$G$75/12</f>
        <v>4.0184065495980397</v>
      </c>
      <c r="AA24" s="1468">
        <f>AA21*'SDK1'!$O$59%*ZR!$G$75/12</f>
        <v>10.845523191662465</v>
      </c>
      <c r="AB24" s="1468">
        <f>AB21*'SDK1'!$O$59%*FrühKa!$G$75/12</f>
        <v>43.504999089273106</v>
      </c>
      <c r="AC24" s="1468">
        <f>AC21*'SDK1'!$O$59%*FrühKaFolieBer!$G$75/12</f>
        <v>54.84402828386694</v>
      </c>
      <c r="AD24" s="1468">
        <f>AD21*'SDK1'!$O$59%*SpKa!$G$75/12</f>
        <v>42.144534667892856</v>
      </c>
      <c r="AE24" s="1468">
        <f>AE21*'SDK1'!$O$59%*SpKaBer!$G$75/12</f>
        <v>45.69925122695448</v>
      </c>
      <c r="AF24" s="1468">
        <f>AF21*'SDK1'!$O$59%*'Kultur A'!$G$75/12</f>
        <v>0</v>
      </c>
      <c r="AG24" s="1468">
        <f>AG21*'SDK1'!$O$59%*'FAKT-Brachebegrünung'!$G$75/12</f>
        <v>1.1403597254411766</v>
      </c>
      <c r="AH24" s="1468">
        <f>AH21*'SDK1'!$O$59%*Begr!$G$75/12</f>
        <v>1.1670523129264705</v>
      </c>
      <c r="AI24" s="1465"/>
      <c r="AJ24" s="1466">
        <f>AJ21*'SDK1'!$O$59%*'WW1'!$G$75/12</f>
        <v>13.424565252137258</v>
      </c>
      <c r="AK24" s="1468">
        <f>AK21*'SDK1'!$O$59%*'WW2'!$G$75/12</f>
        <v>10.643211630498039</v>
      </c>
      <c r="AL24" s="1468">
        <f>AL21*'SDK1'!$O$59%*'WW3'!$G$75/12</f>
        <v>10.534717624488236</v>
      </c>
      <c r="AM24" s="1468">
        <f>AM21*'SDK1'!$O$59%*'WW4'!$G$75/12</f>
        <v>10.659087835145099</v>
      </c>
      <c r="AN24" s="1468">
        <f>AN21*'SDK1'!$O$59%*WRo!$G$75/12</f>
        <v>8.2284340520117638</v>
      </c>
      <c r="AO24" s="1468">
        <f>AO21*'SDK1'!$O$59%*Tr!$G$75/12</f>
        <v>9.5067403496882346</v>
      </c>
      <c r="AP24" s="1468">
        <f>AP21*'SDK1'!$O$59%*WG!$G$75/12</f>
        <v>9.8923910729274489</v>
      </c>
      <c r="AQ24" s="1468">
        <f>AQ21*'SDK1'!$O$59%*Di!$G$75/12</f>
        <v>9.7839446124686269</v>
      </c>
      <c r="AR24" s="1468">
        <f>AR21*'SDK1'!$O$59%*SW!$G$75/12</f>
        <v>6.4908978007156861</v>
      </c>
      <c r="AS24" s="1468">
        <f>AS21*'SDK1'!$O$59%*'SG-Fu'!$G$75/12</f>
        <v>6.2468405090490196</v>
      </c>
      <c r="AT24" s="1468">
        <f>AT21*'SDK1'!$O$59%*BG!$G$75/12</f>
        <v>5.928051665470587</v>
      </c>
      <c r="AU24" s="1468">
        <f>AU21*'SDK1'!$O$59%*Ha!$G$75/12</f>
        <v>5.0960593738039215</v>
      </c>
      <c r="AV24" s="1468">
        <f>AV21*'SDK1'!$O$59%*Du!$G$75/12</f>
        <v>7.1123451111274498</v>
      </c>
      <c r="AW24" s="1468">
        <f>AW21*'SDK1'!$O$59%*KöM!$G$75/12</f>
        <v>10.002355586200979</v>
      </c>
      <c r="AX24" s="1468">
        <f>AX21*'SDK1'!$O$59%*KH!$G$75/12</f>
        <v>14.712754608821564</v>
      </c>
      <c r="AY24" s="1468">
        <f>AY21*'SDK1'!$O$59%*WR!$G$75/12</f>
        <v>10.688659103335295</v>
      </c>
      <c r="AZ24" s="1468">
        <f>AZ21*'SDK1'!$O$59%*SR!$G$75/12</f>
        <v>7.0609182315784311</v>
      </c>
      <c r="BA24" s="1468">
        <f>BA21*'SDK1'!$O$59%*SoBl!$G$75/12</f>
        <v>6.8675611152352944</v>
      </c>
      <c r="BB24" s="1468">
        <f>BB21*'SDK1'!$O$59%*Soja!$G$75/12</f>
        <v>6.0680977989117642</v>
      </c>
      <c r="BC24" s="1468">
        <f>BC21*'SDK1'!$O$59%*Öl!$G$75/12</f>
        <v>5.7751587072254891</v>
      </c>
      <c r="BD24" s="1468">
        <f>BD21*'SDK1'!$O$59%*FE!$G$75/12</f>
        <v>4.577455536205882</v>
      </c>
      <c r="BE24" s="1468">
        <f>BE21*'SDK1'!$O$59%*AB!$G$75/12</f>
        <v>4.6110409528725489</v>
      </c>
      <c r="BF24" s="1468">
        <f>BF21*'SDK1'!$O$59%*Lu!$G$75/12</f>
        <v>4.4119655803333337</v>
      </c>
      <c r="BG24" s="1468">
        <f>BG21*'SDK1'!$O$59%*ZR!$G$75/12</f>
        <v>11.428041524995798</v>
      </c>
      <c r="BH24" s="1468">
        <f>BH21*'SDK1'!$O$59%*FrühKa!$G$75/12</f>
        <v>44.185914488082631</v>
      </c>
      <c r="BI24" s="1468">
        <f>BI21*'SDK1'!$O$59%*FrühKaFolieBer!$G$75/12</f>
        <v>55.4888986720294</v>
      </c>
      <c r="BJ24" s="1468">
        <f>BJ21*'SDK1'!$O$59%*SpKa!$G$75/12</f>
        <v>42.67401256670238</v>
      </c>
      <c r="BK24" s="1468">
        <f>BK21*'SDK1'!$O$59%*SpKaBer!$G$75/12</f>
        <v>46.281951828621146</v>
      </c>
      <c r="BL24" s="1468">
        <v>0</v>
      </c>
      <c r="BM24" s="1468">
        <f>BM21*'SDK1'!$O$59%*'FAKT-Brachebegrünung'!$G$75/12</f>
        <v>1.1403597254411766</v>
      </c>
      <c r="BN24" s="1468">
        <f>BN21*'SDK1'!$O$59%*Begr!$G$75/12</f>
        <v>1.1670523129264705</v>
      </c>
      <c r="BO24" s="1465"/>
      <c r="BP24" s="1466">
        <f>BP21*'SDK1'!$O$59%*'WW1'!$G$75/12</f>
        <v>14.886967206025489</v>
      </c>
      <c r="BQ24" s="1468">
        <f>BQ21*'SDK1'!$O$59%*'WW2'!$G$75/12</f>
        <v>11.663753533421568</v>
      </c>
      <c r="BR24" s="1468">
        <f>BR21*'SDK1'!$O$59%*'WW3'!$G$75/12</f>
        <v>11.523812027411765</v>
      </c>
      <c r="BS24" s="1468">
        <f>BS21*'SDK1'!$O$59%*'WW4'!$G$75/12</f>
        <v>11.373224265392155</v>
      </c>
      <c r="BT24" s="1468">
        <f>BT21*'SDK1'!$O$59%*WRo!$G$75/12</f>
        <v>8.839574130498038</v>
      </c>
      <c r="BU24" s="1468">
        <f>BU21*'SDK1'!$O$59%*Tr!$G$75/12</f>
        <v>10.426795633621566</v>
      </c>
      <c r="BV24" s="1468">
        <f>BV21*'SDK1'!$O$59%*WG!$G$75/12</f>
        <v>10.960130475850979</v>
      </c>
      <c r="BW24" s="1468">
        <f>BW21*'SDK1'!$O$59%*Di!$G$75/12</f>
        <v>10.367140541154901</v>
      </c>
      <c r="BX24" s="1468">
        <f>BX21*'SDK1'!$O$59%*SW!$G$75/12</f>
        <v>6.0925561340490191</v>
      </c>
      <c r="BY24" s="1468">
        <f>BY21*'SDK1'!$O$59%*'SG-Fu'!$G$75/12</f>
        <v>6.6666986128725485</v>
      </c>
      <c r="BZ24" s="1468">
        <f>BZ21*'SDK1'!$O$59%*BG!$G$75/12</f>
        <v>6.3125843526274501</v>
      </c>
      <c r="CA24" s="1468">
        <f>CA21*'SDK1'!$O$59%*Ha!$G$75/12</f>
        <v>5.4883591442941162</v>
      </c>
      <c r="CB24" s="1468">
        <f>CB21*'SDK1'!$O$59%*Du!$G$75/12</f>
        <v>7.3520731213725492</v>
      </c>
      <c r="CC24" s="1468">
        <f>CC21*'SDK1'!$O$59%*KöM!$G$75/12</f>
        <v>11.216911377181374</v>
      </c>
      <c r="CD24" s="1468">
        <f>CD21*'SDK1'!$O$59%*KH!$G$75/12</f>
        <v>15.890771162507841</v>
      </c>
      <c r="CE24" s="1468">
        <f>CE21*'SDK1'!$O$59%*WR!$G$75/12</f>
        <v>11.874972115354902</v>
      </c>
      <c r="CF24" s="1468">
        <f>CF21*'SDK1'!$O$59%*SR!$G$75/12</f>
        <v>7.5269687188725483</v>
      </c>
      <c r="CG24" s="1468">
        <f>CG21*'SDK1'!$O$59%*SoBl!$G$75/12</f>
        <v>7.4410026671470577</v>
      </c>
      <c r="CH24" s="1468">
        <f>CH21*'SDK1'!$O$59%*Soja!$G$75/12</f>
        <v>6.4330525651666655</v>
      </c>
      <c r="CI24" s="1468">
        <f>CI21*'SDK1'!$O$59%*Öl!$G$75/12</f>
        <v>6.2051919258039225</v>
      </c>
      <c r="CJ24" s="1468">
        <f>CJ21*'SDK1'!$O$59%*FE!$G$75/12</f>
        <v>5.1622127607941168</v>
      </c>
      <c r="CK24" s="1468">
        <f>CK21*'SDK1'!$O$59%*AB!$G$75/12</f>
        <v>5.2551919274607837</v>
      </c>
      <c r="CL24" s="1468">
        <f>CL21*'SDK1'!$O$59%*Lu!$G$75/12</f>
        <v>4.8055246110686278</v>
      </c>
      <c r="CM24" s="1468">
        <f>CM21*'SDK1'!$O$59%*ZR!$G$75/12</f>
        <v>12.28615986897619</v>
      </c>
      <c r="CN24" s="1468">
        <f>CN21*'SDK1'!$O$59%*FrühKa!$G$75/12</f>
        <v>44.866829886892155</v>
      </c>
      <c r="CO24" s="1468">
        <f>CO21*'SDK1'!$O$59%*FrühKaFolieBer!$G$75/12</f>
        <v>56.20585908148599</v>
      </c>
      <c r="CP24" s="1468">
        <f>CP21*'SDK1'!$O$59%*SpKa!$G$75/12</f>
        <v>43.259177965511903</v>
      </c>
      <c r="CQ24" s="1468">
        <f>CQ21*'SDK1'!$O$59%*SpKaBer!$G$75/12</f>
        <v>46.860969330644942</v>
      </c>
      <c r="CR24" s="1468">
        <f>CR21*'SDK1'!$O$59%*'Kultur A'!$G$75/12</f>
        <v>0</v>
      </c>
      <c r="CS24" s="1468">
        <f>CS21*'SDK1'!$O$59%*'FAKT-Brachebegrünung'!$G$75/12</f>
        <v>1.1403597254411766</v>
      </c>
      <c r="CT24" s="1468">
        <f>CT21*'SDK1'!$O$59%*Begr!$G$75/12</f>
        <v>1.1670523129264705</v>
      </c>
      <c r="CV24" s="1512" t="s">
        <v>1189</v>
      </c>
      <c r="CW24" s="1480"/>
      <c r="CX24" s="3669">
        <f>CX21*SDÖ1!$O$71%*'Öko-KG1'!$G$75/12</f>
        <v>-0.71108267356960753</v>
      </c>
      <c r="CY24" s="1468">
        <f>CY21*SDÖ1!$O$71%*'Öko-KG2'!$G$75/12</f>
        <v>-1.7769645107117646</v>
      </c>
      <c r="CZ24" s="1468">
        <f>CZ21*SDÖ1!$O$71%*'Öko-LU1'!$G$75/12</f>
        <v>-1.0173326735696075</v>
      </c>
      <c r="DA24" s="1468">
        <f>DA21*SDÖ1!$O$71%*'Öko-LU2'!$G$75/12</f>
        <v>-1.2971728440450983</v>
      </c>
      <c r="DB24" s="1468">
        <f>DB21*SDÖ1!$O$71%*'Öko-WW-Futter'!$G$75/12</f>
        <v>8.3879082019745077</v>
      </c>
      <c r="DC24" s="1468">
        <f>DC21*SDÖ1!$O$71%*'Öko-WW-Brot'!$G$75/12</f>
        <v>8.7207215837392145</v>
      </c>
      <c r="DD24" s="1468">
        <f>DD21*SDÖ1!$O$71%*'Öko-Roggen'!$G$75/12</f>
        <v>8.8968330614561264</v>
      </c>
      <c r="DE24" s="1468">
        <f>DE21*SDÖ1!$O$71%*'Öko-Dinkel,gegerbt'!$G$75/12</f>
        <v>10.797438936456127</v>
      </c>
      <c r="DF24" s="1468">
        <f>DF21*SDÖ1!$O$71%*'Öko-Roggen'!$G$75/12</f>
        <v>8.0326544026774513</v>
      </c>
      <c r="DG24" s="1468">
        <f>DG21*SDÖ1!$O$71%*'Öko-Hafer'!$G$75/12</f>
        <v>8.0092690062230378</v>
      </c>
      <c r="DH24" s="1468">
        <f>DH21*SDÖ1!$O$71%*'Öko-Wintergerste'!$G$75/12</f>
        <v>8.3147824026774497</v>
      </c>
      <c r="DI24" s="1468">
        <f>DI21*SDÖ1!$O$71%*'Öko-Braugerste'!$G$75/12</f>
        <v>7.6118922525921571</v>
      </c>
      <c r="DJ24" s="1468">
        <f>DJ21*SDÖ1!$O$71%*'Öko-Körnermais'!$G$75/12</f>
        <v>13.327035936919364</v>
      </c>
      <c r="DK24" s="1468">
        <f>DK21*SDÖ1!$O$71%*'Öko-Ackerbohnen'!$G$75/12</f>
        <v>5.6902189879808809</v>
      </c>
      <c r="DL24" s="1468">
        <f>DL21*SDÖ1!$O$71%*'Öko-Erbsen'!$G$75/12</f>
        <v>5.4672674909279406</v>
      </c>
      <c r="DM24" s="1468">
        <f>DM21*SDÖ1!$O$71%*'Öko-Erbsen'!$G$75/12</f>
        <v>7.7836914281813243</v>
      </c>
      <c r="DN24" s="1468">
        <f>DN21*SDÖ1!$O$71%*'Öko-Soblu'!$G$75/12</f>
        <v>10.053617187422548</v>
      </c>
      <c r="DO24" s="1468">
        <f>DO21*SDÖ1!$O$71%*'Öko-Raps'!$G$75/12</f>
        <v>6.6012186671254893</v>
      </c>
      <c r="DP24" s="1468">
        <f>DP21*SDÖ1!$O$71%*'Öko-Kartoffel'!$G$75/12</f>
        <v>33.512948008397053</v>
      </c>
      <c r="DQ24" s="1468" t="e">
        <f>DQ21*SDÖ1!$O$71%*#REF!/12</f>
        <v>#REF!</v>
      </c>
      <c r="DR24" s="1468">
        <f>DR21*SDÖ1!$O$71%*Begrün.!$G$75/12</f>
        <v>2.7864258303823526</v>
      </c>
      <c r="DS24" s="1468">
        <f>DS21*SDÖ1!$O$71%*Blühm.!$G$75/12</f>
        <v>1.9182579528617645</v>
      </c>
      <c r="DT24" s="1456"/>
      <c r="DU24" s="1468">
        <f>DU21*SDÖ1!$O$71%*'Öko-KG1'!$G$75/12</f>
        <v>-2.2977493402362743</v>
      </c>
      <c r="DV24" s="1468">
        <f>DV21*SDÖ1!$O$71%*'Öko-KG2'!$G$75/12</f>
        <v>-2.8677978440450977</v>
      </c>
      <c r="DW24" s="1468">
        <f>DW21*SDÖ1!$O$71%*'Öko-LU1'!$G$75/12</f>
        <v>-2.6039993402362742</v>
      </c>
      <c r="DX24" s="1468">
        <f>DX21*SDÖ1!$O$71%*'Öko-LU2'!$G$75/12</f>
        <v>-2.3880061773784313</v>
      </c>
      <c r="DY24" s="1466">
        <f>DY21*SDÖ1!$O$71%*'Öko-WW-Futter'!$G$75/12</f>
        <v>9.6520699100235277</v>
      </c>
      <c r="DZ24" s="1468">
        <f>DZ21*SDÖ1!$O$71%*'Öko-WW-Brot'!$G$75/12</f>
        <v>10.167635982092156</v>
      </c>
      <c r="EA24" s="1468">
        <f>EA21*SDÖ1!$O$71%*'Öko-Dinkel'!$G$75/12</f>
        <v>10.002803055999017</v>
      </c>
      <c r="EB24" s="1468">
        <f>EB21*SDÖ1!$O$71%*'Öko-Dinkel,gegerbt'!$G$75/12</f>
        <v>12.536944222665683</v>
      </c>
      <c r="EC24" s="1468">
        <f>EC21*SDÖ1!$O$71%*'Öko-Roggen'!$G$75/12</f>
        <v>9.2671753896872531</v>
      </c>
      <c r="ED24" s="1468">
        <f>ED21*SDÖ1!$O$71%*'Öko-Hafer'!$G$75/12</f>
        <v>9.2476615277480381</v>
      </c>
      <c r="EE24" s="1468">
        <f>EE21*SDÖ1!$O$71%*'Öko-Wintergerste'!$G$75/12</f>
        <v>10.340177692533333</v>
      </c>
      <c r="EF24" s="1468">
        <f>EF21*SDÖ1!$O$71%*'Öko-Braugerste'!$G$75/12</f>
        <v>8.6585069775137224</v>
      </c>
      <c r="EG24" s="1468">
        <f>EG21*SDÖ1!$O$71%*'Öko-Körnermais'!$G$75/12</f>
        <v>15.850953536569605</v>
      </c>
      <c r="EH24" s="1468">
        <f>EH21*SDÖ1!$O$71%*'Öko-Ackerbohnen'!$G$75/12</f>
        <v>6.5799119428892148</v>
      </c>
      <c r="EI24" s="1468">
        <f>EI21*SDÖ1!$O$71%*'Öko-Erbsen'!$G$75/12</f>
        <v>5.6742652232000017</v>
      </c>
      <c r="EJ24" s="1468">
        <f>EJ21*SDÖ1!$O$71%*'Öko-Sojabohnen'!$G$75/12</f>
        <v>8.1918937900264712</v>
      </c>
      <c r="EK24" s="1468">
        <f>EK21*SDÖ1!$O$71%*'Öko-Soblu'!$G$75/12</f>
        <v>13.214615163785295</v>
      </c>
      <c r="EL24" s="1468">
        <f>EL21*SDÖ1!$O$71%*'Öko-Raps'!$G$75/12</f>
        <v>8.7478178458519604</v>
      </c>
      <c r="EM24" s="1468">
        <f>EM21*SDÖ1!$O$71%*'Öko-Kartoffel'!$G$75/12</f>
        <v>35.01455476191078</v>
      </c>
      <c r="EN24" s="1468" t="e">
        <f>EN21*SDÖ1!$O$71%*#REF!/12</f>
        <v>#REF!</v>
      </c>
      <c r="EO24" s="1468">
        <f>EO21*SDÖ1!$O$71%*Begrün.!$G$75/12</f>
        <v>2.7864258303823526</v>
      </c>
      <c r="EP24" s="1468">
        <f>EP21*SDÖ1!$O$71%*Blühm.!$G$75/12</f>
        <v>1.9182579528617645</v>
      </c>
      <c r="EQ24" s="1456"/>
      <c r="ER24" s="1468">
        <f>ER21*SDÖ1!$O$71%*'Öko-KG1'!$G$75/12</f>
        <v>-3.8844160069029416</v>
      </c>
      <c r="ES24" s="1468">
        <f>ES21*SDÖ1!$O$71%*'Öko-KG2'!$G$75/12</f>
        <v>-3.958631177378432</v>
      </c>
      <c r="ET24" s="1468">
        <f>ET21*SDÖ1!$O$71%*'Öko-LU1'!$G$75/12</f>
        <v>-4.1906660069029416</v>
      </c>
      <c r="EU24" s="1468">
        <f>EU21*SDÖ1!$O$71%*'Öko-LU2'!$G$75/12</f>
        <v>-3.4788395107117647</v>
      </c>
      <c r="EV24" s="1466">
        <f>EV21*SDÖ1!$O$71%*'Öko-WW-Futter'!$G$75/12</f>
        <v>13.318138863365684</v>
      </c>
      <c r="EW24" s="1468">
        <f>EW21*SDÖ1!$O$71%*'Öko-WW-Brot'!$G$75/12</f>
        <v>13.061464778798035</v>
      </c>
      <c r="EX24" s="1468">
        <f>EX21*SDÖ1!$O$71%*'Öko-Dinkel'!$G$75/12</f>
        <v>11.266768764048038</v>
      </c>
      <c r="EY24" s="1468">
        <f>EY21*SDÖ1!$O$71%*'Öko-Dinkel,gegerbt'!$G$75/12</f>
        <v>14.276449508875245</v>
      </c>
      <c r="EZ24" s="1468">
        <f>EZ21*SDÖ1!$O$71%*'Öko-Roggen'!$G$75/12</f>
        <v>10.172779960094116</v>
      </c>
      <c r="FA24" s="1468">
        <f>FA21*SDÖ1!$O$71%*'Öko-Hafer'!$G$75/12</f>
        <v>10.537135685452451</v>
      </c>
      <c r="FB24" s="1468">
        <f>FB21*SDÖ1!$O$71%*'Öko-Wintergerste'!$G$75/12</f>
        <v>11.448241346209803</v>
      </c>
      <c r="FC24" s="1468">
        <f>FC21*SDÖ1!$O$71%*'Öko-Braugerste'!$G$75/12</f>
        <v>10.049652952435295</v>
      </c>
      <c r="FD24" s="1468">
        <f>FD21*SDÖ1!$O$71%*'Öko-Körnermais'!$G$75/12</f>
        <v>18.899871136219854</v>
      </c>
      <c r="FE24" s="1468">
        <f>FE21*SDÖ1!$O$71%*'Öko-Ackerbohnen'!$G$75/12</f>
        <v>6.1282298977975485</v>
      </c>
      <c r="FF24" s="1468">
        <f>FF21*SDÖ1!$O$71%*'Öko-Erbsen'!$G$75/12</f>
        <v>6.0317729207955884</v>
      </c>
      <c r="FG24" s="1468">
        <f>FG21*SDÖ1!$O$71%*'Öko-Sojabohnen'!$G$75/12</f>
        <v>9.1341777880510318</v>
      </c>
      <c r="FH24" s="1468">
        <f>FH21*SDÖ1!$O$71%*'Öko-Soblu'!$G$75/12</f>
        <v>16.687025439906861</v>
      </c>
      <c r="FI24" s="1468">
        <f>FI21*SDÖ1!$O$71%*'Öko-Raps'!$G$75/12</f>
        <v>10.576839429305881</v>
      </c>
      <c r="FJ24" s="1468">
        <f>FJ21*SDÖ1!$O$71%*'Öko-Kartoffel'!$G$75/12</f>
        <v>36.516161515424507</v>
      </c>
      <c r="FK24" s="1468" t="e">
        <f>FK21*SDÖ1!$O$71%*#REF!/12</f>
        <v>#REF!</v>
      </c>
      <c r="FL24" s="1468">
        <f>FL21*SDÖ1!$O$71%*Begrün.!$G$75/12</f>
        <v>2.7864258303823526</v>
      </c>
      <c r="FM24" s="1468">
        <f>FM21*SDÖ1!$O$71%*Blühm.!$G$75/12</f>
        <v>1.9182579528617645</v>
      </c>
    </row>
    <row r="25" spans="1:169" ht="18" customHeight="1">
      <c r="A25" s="1463">
        <f>ROWS($A$1:A25)</f>
        <v>25</v>
      </c>
      <c r="B25" s="1508" t="s">
        <v>1188</v>
      </c>
      <c r="C25" s="1507"/>
      <c r="D25" s="1504">
        <f t="shared" ref="D25:AH25" si="42">D22+D23-D24</f>
        <v>1104.1191492072373</v>
      </c>
      <c r="E25" s="1504">
        <f t="shared" si="42"/>
        <v>746.67258462105337</v>
      </c>
      <c r="F25" s="1504">
        <f t="shared" si="42"/>
        <v>609.69784193294527</v>
      </c>
      <c r="G25" s="1504">
        <f t="shared" si="42"/>
        <v>643.62917374961194</v>
      </c>
      <c r="H25" s="1504">
        <f t="shared" si="42"/>
        <v>720.81137248471373</v>
      </c>
      <c r="I25" s="1504">
        <f t="shared" si="42"/>
        <v>713.26611519304709</v>
      </c>
      <c r="J25" s="1504">
        <f t="shared" si="42"/>
        <v>443.26294276627851</v>
      </c>
      <c r="K25" s="1504">
        <f t="shared" si="42"/>
        <v>400.65622716150403</v>
      </c>
      <c r="L25" s="1504">
        <f t="shared" si="42"/>
        <v>774.01567491810818</v>
      </c>
      <c r="M25" s="1504">
        <f t="shared" si="42"/>
        <v>450.58916609202964</v>
      </c>
      <c r="N25" s="1504">
        <f t="shared" si="42"/>
        <v>658.89344449149007</v>
      </c>
      <c r="O25" s="1504">
        <f t="shared" si="42"/>
        <v>574.69951308066675</v>
      </c>
      <c r="P25" s="1504">
        <f t="shared" si="42"/>
        <v>672.76773272352966</v>
      </c>
      <c r="Q25" s="1504">
        <f t="shared" si="42"/>
        <v>969.89756630281909</v>
      </c>
      <c r="R25" s="1504">
        <f t="shared" si="42"/>
        <v>259.03805564368832</v>
      </c>
      <c r="S25" s="1504">
        <f t="shared" si="42"/>
        <v>878.71758319104117</v>
      </c>
      <c r="T25" s="1504">
        <f t="shared" si="42"/>
        <v>414.3671648844018</v>
      </c>
      <c r="U25" s="1504">
        <f t="shared" si="42"/>
        <v>621.21341697157834</v>
      </c>
      <c r="V25" s="1504">
        <f t="shared" si="42"/>
        <v>560.52730507557828</v>
      </c>
      <c r="W25" s="1504">
        <f t="shared" si="42"/>
        <v>39.584796327823653</v>
      </c>
      <c r="X25" s="1504">
        <f t="shared" si="42"/>
        <v>412.52314200418613</v>
      </c>
      <c r="Y25" s="1504">
        <f t="shared" si="42"/>
        <v>326.70449858353902</v>
      </c>
      <c r="Z25" s="1504">
        <f t="shared" si="42"/>
        <v>54.436545514715675</v>
      </c>
      <c r="AA25" s="1504">
        <f t="shared" si="42"/>
        <v>195.77076614234304</v>
      </c>
      <c r="AB25" s="1504">
        <f t="shared" si="42"/>
        <v>1867.7618132936955</v>
      </c>
      <c r="AC25" s="1504">
        <f t="shared" si="42"/>
        <v>1725.5114462974225</v>
      </c>
      <c r="AD25" s="1504">
        <f t="shared" si="42"/>
        <v>640.12991846924933</v>
      </c>
      <c r="AE25" s="1504">
        <f t="shared" si="42"/>
        <v>441.82055246032934</v>
      </c>
      <c r="AF25" s="1504">
        <f t="shared" si="42"/>
        <v>0</v>
      </c>
      <c r="AG25" s="1504">
        <f t="shared" si="42"/>
        <v>901.80208420397071</v>
      </c>
      <c r="AH25" s="1504">
        <f t="shared" si="42"/>
        <v>267.5045776188382</v>
      </c>
      <c r="AI25" s="1506"/>
      <c r="AJ25" s="1505">
        <f t="shared" ref="AJ25:BN25" si="43">AJ22+AJ23-AJ24</f>
        <v>1209.6060725988427</v>
      </c>
      <c r="AK25" s="1504">
        <f t="shared" si="43"/>
        <v>933.38974488401232</v>
      </c>
      <c r="AL25" s="1504">
        <f t="shared" si="43"/>
        <v>832.23088719590396</v>
      </c>
      <c r="AM25" s="1504">
        <f t="shared" si="43"/>
        <v>803.97944529112931</v>
      </c>
      <c r="AN25" s="1504">
        <f t="shared" si="43"/>
        <v>852.11243619426273</v>
      </c>
      <c r="AO25" s="1504">
        <f t="shared" si="43"/>
        <v>904.40864825737037</v>
      </c>
      <c r="AP25" s="1504">
        <f t="shared" si="43"/>
        <v>621.61529583060212</v>
      </c>
      <c r="AQ25" s="1504">
        <f t="shared" si="43"/>
        <v>527.45095681968837</v>
      </c>
      <c r="AR25" s="1504">
        <f t="shared" si="43"/>
        <v>818.69878741810817</v>
      </c>
      <c r="AS25" s="1504">
        <f t="shared" si="43"/>
        <v>569.65867804310778</v>
      </c>
      <c r="AT25" s="1504">
        <f t="shared" si="43"/>
        <v>841.25034852590215</v>
      </c>
      <c r="AU25" s="1504">
        <f t="shared" si="43"/>
        <v>689.1011074842354</v>
      </c>
      <c r="AV25" s="1504">
        <f t="shared" si="43"/>
        <v>1024.4791037751475</v>
      </c>
      <c r="AW25" s="1504">
        <f t="shared" si="43"/>
        <v>1256.6874172883092</v>
      </c>
      <c r="AX25" s="1504">
        <f t="shared" si="43"/>
        <v>293.72957581157073</v>
      </c>
      <c r="AY25" s="1504">
        <f t="shared" si="43"/>
        <v>1215.1503005154882</v>
      </c>
      <c r="AZ25" s="1504">
        <f t="shared" si="43"/>
        <v>563.5921647158724</v>
      </c>
      <c r="BA25" s="1504">
        <f t="shared" si="43"/>
        <v>764.72266044711739</v>
      </c>
      <c r="BB25" s="1504">
        <f t="shared" si="43"/>
        <v>859.93625437520575</v>
      </c>
      <c r="BC25" s="1504">
        <f t="shared" si="43"/>
        <v>118.59944813669621</v>
      </c>
      <c r="BD25" s="1504">
        <f t="shared" si="43"/>
        <v>695.76299200418634</v>
      </c>
      <c r="BE25" s="1504">
        <f t="shared" si="43"/>
        <v>606.68907325418616</v>
      </c>
      <c r="BF25" s="1504">
        <f t="shared" si="43"/>
        <v>360.07354156633323</v>
      </c>
      <c r="BG25" s="1504">
        <f t="shared" si="43"/>
        <v>614.45198114234313</v>
      </c>
      <c r="BH25" s="1504">
        <f t="shared" si="43"/>
        <v>3441.4677674186955</v>
      </c>
      <c r="BI25" s="1504">
        <f t="shared" si="43"/>
        <v>3305.0206471365982</v>
      </c>
      <c r="BJ25" s="1504">
        <f t="shared" si="43"/>
        <v>622.88397676091699</v>
      </c>
      <c r="BK25" s="1504">
        <f t="shared" si="43"/>
        <v>1154.0057555919955</v>
      </c>
      <c r="BL25" s="1504">
        <f t="shared" si="43"/>
        <v>0</v>
      </c>
      <c r="BM25" s="1504">
        <f t="shared" si="43"/>
        <v>901.80208420397071</v>
      </c>
      <c r="BN25" s="1504">
        <f t="shared" si="43"/>
        <v>267.5045776188382</v>
      </c>
      <c r="BO25" s="1506"/>
      <c r="BP25" s="1505">
        <f t="shared" ref="BP25:CT25" si="44">BP22+BP23-BP24</f>
        <v>1457.6120187720144</v>
      </c>
      <c r="BQ25" s="1504">
        <f t="shared" si="44"/>
        <v>1140.7358426469709</v>
      </c>
      <c r="BR25" s="1504">
        <f t="shared" si="44"/>
        <v>1059.2024324588626</v>
      </c>
      <c r="BS25" s="1504">
        <f t="shared" si="44"/>
        <v>964.32971683264714</v>
      </c>
      <c r="BT25" s="1504">
        <f t="shared" si="44"/>
        <v>976.32338238401167</v>
      </c>
      <c r="BU25" s="1504">
        <f t="shared" si="44"/>
        <v>1091.3394176667703</v>
      </c>
      <c r="BV25" s="1504">
        <f t="shared" si="44"/>
        <v>778.52019609356091</v>
      </c>
      <c r="BW25" s="1504">
        <f t="shared" si="44"/>
        <v>676.8834642792375</v>
      </c>
      <c r="BX25" s="1504">
        <f t="shared" si="44"/>
        <v>1099.4984624181084</v>
      </c>
      <c r="BY25" s="1504">
        <f t="shared" si="44"/>
        <v>688.72818999418621</v>
      </c>
      <c r="BZ25" s="1504">
        <f t="shared" si="44"/>
        <v>1023.6072525603138</v>
      </c>
      <c r="CA25" s="1504">
        <f t="shared" si="44"/>
        <v>817.60751110198066</v>
      </c>
      <c r="CB25" s="1504">
        <f t="shared" si="44"/>
        <v>1141.7162274590196</v>
      </c>
      <c r="CC25" s="1504">
        <f t="shared" si="44"/>
        <v>1543.4772682737996</v>
      </c>
      <c r="CD25" s="1504">
        <f t="shared" si="44"/>
        <v>328.42109597945313</v>
      </c>
      <c r="CE25" s="1504">
        <f t="shared" si="44"/>
        <v>1576.3853575583703</v>
      </c>
      <c r="CF25" s="1504">
        <f t="shared" si="44"/>
        <v>737.55803626151965</v>
      </c>
      <c r="CG25" s="1504">
        <f t="shared" si="44"/>
        <v>908.23190392265656</v>
      </c>
      <c r="CH25" s="1504">
        <f t="shared" si="44"/>
        <v>1159.3452036748331</v>
      </c>
      <c r="CI25" s="1504">
        <f t="shared" si="44"/>
        <v>197.61409994556843</v>
      </c>
      <c r="CJ25" s="1504">
        <f t="shared" si="44"/>
        <v>977.61707884548036</v>
      </c>
      <c r="CK25" s="1504">
        <f t="shared" si="44"/>
        <v>885.98076634548022</v>
      </c>
      <c r="CL25" s="1504">
        <f t="shared" si="44"/>
        <v>665.71053761795076</v>
      </c>
      <c r="CM25" s="1504">
        <f t="shared" si="44"/>
        <v>882.82826109483358</v>
      </c>
      <c r="CN25" s="1504">
        <f t="shared" si="44"/>
        <v>5015.1737215436942</v>
      </c>
      <c r="CO25" s="1504">
        <f t="shared" si="44"/>
        <v>4872.9233545474208</v>
      </c>
      <c r="CP25" s="1504">
        <f t="shared" si="44"/>
        <v>1190.672347552583</v>
      </c>
      <c r="CQ25" s="1504">
        <f t="shared" si="44"/>
        <v>1848.7839377661628</v>
      </c>
      <c r="CR25" s="1504">
        <f>CR22+CR23-CR24</f>
        <v>0</v>
      </c>
      <c r="CS25" s="1504">
        <f t="shared" si="44"/>
        <v>901.80208420397071</v>
      </c>
      <c r="CT25" s="1504">
        <f t="shared" si="44"/>
        <v>267.5045776188382</v>
      </c>
      <c r="CV25" s="1508" t="s">
        <v>1188</v>
      </c>
      <c r="CW25" s="1507"/>
      <c r="CX25" s="1504">
        <f>CX22+CX23-CX24</f>
        <v>537.37767393866761</v>
      </c>
      <c r="CY25" s="1504">
        <f>CY22+CY23-CY24</f>
        <v>900.25862287777056</v>
      </c>
      <c r="CZ25" s="1504">
        <f>CZ22+CZ23-CZ24</f>
        <v>812.68392393866759</v>
      </c>
      <c r="DA25" s="1504">
        <f>DA22+DA23-DA24</f>
        <v>844.94549787777066</v>
      </c>
      <c r="DB25" s="1504">
        <f t="shared" ref="DB25:DJ25" si="45">DB22+DB23-DB24</f>
        <v>958.59401157236744</v>
      </c>
      <c r="DC25" s="1504">
        <f t="shared" si="45"/>
        <v>1349.1253831317786</v>
      </c>
      <c r="DD25" s="1504">
        <f>DD22+DD23-DD24</f>
        <v>1101.847245629272</v>
      </c>
      <c r="DE25" s="1504">
        <f t="shared" si="45"/>
        <v>1267.8657897542728</v>
      </c>
      <c r="DF25" s="1504">
        <f t="shared" si="45"/>
        <v>1033.8496995770424</v>
      </c>
      <c r="DG25" s="1504">
        <f t="shared" si="45"/>
        <v>1135.6457017111436</v>
      </c>
      <c r="DH25" s="1504">
        <f>DH22+DH23-DH24</f>
        <v>974.02437157704253</v>
      </c>
      <c r="DI25" s="1504">
        <f t="shared" si="45"/>
        <v>1199.2063145940181</v>
      </c>
      <c r="DJ25" s="1504">
        <f t="shared" si="45"/>
        <v>1397.9831427008671</v>
      </c>
      <c r="DK25" s="1504">
        <f>DK22+DK23-DK24</f>
        <v>1322.8615395284899</v>
      </c>
      <c r="DL25" s="1504">
        <f t="shared" ref="DL25:DS25" si="46">DL22+DL23-DL24</f>
        <v>1116.5021621173069</v>
      </c>
      <c r="DM25" s="1504">
        <f t="shared" si="46"/>
        <v>1984.551573922525</v>
      </c>
      <c r="DN25" s="1504">
        <f t="shared" si="46"/>
        <v>1107.4615613928579</v>
      </c>
      <c r="DO25" s="1504">
        <f t="shared" si="46"/>
        <v>802.17379080424701</v>
      </c>
      <c r="DP25" s="1504">
        <f t="shared" si="46"/>
        <v>5558.3358510319367</v>
      </c>
      <c r="DQ25" s="1504" t="e">
        <f t="shared" si="46"/>
        <v>#REF!</v>
      </c>
      <c r="DR25" s="1504">
        <f t="shared" si="46"/>
        <v>-321.23509215979414</v>
      </c>
      <c r="DS25" s="1504">
        <f t="shared" si="46"/>
        <v>-121.1477382799206</v>
      </c>
      <c r="DT25" s="1456"/>
      <c r="DU25" s="1504">
        <f>DU22+DU23-DU24</f>
        <v>720.29767393866757</v>
      </c>
      <c r="DV25" s="1504">
        <f>DV22+DV23-DV24</f>
        <v>1026.0161228777706</v>
      </c>
      <c r="DW25" s="1504">
        <f>DW22+DW23-DW24</f>
        <v>995.60392393866766</v>
      </c>
      <c r="DX25" s="1504">
        <f>DX22+DX23-DX24</f>
        <v>970.70299787777049</v>
      </c>
      <c r="DY25" s="1505">
        <f t="shared" ref="DY25:EG25" si="47">DY22+DY23-DY24</f>
        <v>1256.2542260872876</v>
      </c>
      <c r="DZ25" s="1504">
        <f t="shared" si="47"/>
        <v>1735.3501565407087</v>
      </c>
      <c r="EA25" s="1504">
        <f t="shared" si="47"/>
        <v>1485.0530381631609</v>
      </c>
      <c r="EB25" s="1504">
        <f t="shared" si="47"/>
        <v>1706.4110969964945</v>
      </c>
      <c r="EC25" s="1504">
        <f t="shared" si="47"/>
        <v>1346.3603991222456</v>
      </c>
      <c r="ED25" s="1504">
        <f t="shared" si="47"/>
        <v>1480.7434019677141</v>
      </c>
      <c r="EE25" s="1504">
        <f>EE22+EE23-EE24</f>
        <v>1186.2585622084189</v>
      </c>
      <c r="EF25" s="1504">
        <f t="shared" si="47"/>
        <v>1572.3295051161558</v>
      </c>
      <c r="EG25" s="1504">
        <f t="shared" si="47"/>
        <v>1886.6781660935699</v>
      </c>
      <c r="EH25" s="1504">
        <f t="shared" ref="EH25:EN25" si="48">EH22+EH23-EH24</f>
        <v>1681.4468183935821</v>
      </c>
      <c r="EI25" s="1504">
        <f t="shared" si="48"/>
        <v>1476.4382806967992</v>
      </c>
      <c r="EJ25" s="1504">
        <f t="shared" si="48"/>
        <v>2340.9916730640916</v>
      </c>
      <c r="EK25" s="1504">
        <f t="shared" si="48"/>
        <v>1578.593651832181</v>
      </c>
      <c r="EL25" s="1504">
        <f t="shared" si="48"/>
        <v>1425.721571199638</v>
      </c>
      <c r="EM25" s="1504">
        <f t="shared" si="48"/>
        <v>7591.8470438768554</v>
      </c>
      <c r="EN25" s="1504" t="e">
        <f t="shared" si="48"/>
        <v>#REF!</v>
      </c>
      <c r="EO25" s="1504">
        <f>EO22+EO23-EO24</f>
        <v>-321.23509215979414</v>
      </c>
      <c r="EP25" s="1504">
        <f>EP22+EP23-EP24</f>
        <v>-121.1477382799206</v>
      </c>
      <c r="EQ25" s="1456"/>
      <c r="ER25" s="1504" t="e">
        <f>ER22+ER23-ER24</f>
        <v>#REF!</v>
      </c>
      <c r="ES25" s="1504" t="e">
        <f>ES22+ES23-ES24</f>
        <v>#REF!</v>
      </c>
      <c r="ET25" s="1504" t="e">
        <f>ET22+ET23-ET24</f>
        <v>#REF!</v>
      </c>
      <c r="EU25" s="1504" t="e">
        <f>EU22+EU23-EU24</f>
        <v>#REF!</v>
      </c>
      <c r="EV25" s="1505" t="e">
        <f t="shared" ref="EV25:FD25" si="49">EV22+EV23-EV24</f>
        <v>#REF!</v>
      </c>
      <c r="EW25" s="1504" t="e">
        <f t="shared" si="49"/>
        <v>#REF!</v>
      </c>
      <c r="EX25" s="1504" t="e">
        <f t="shared" si="49"/>
        <v>#REF!</v>
      </c>
      <c r="EY25" s="1504" t="e">
        <f t="shared" si="49"/>
        <v>#REF!</v>
      </c>
      <c r="EZ25" s="1504" t="e">
        <f t="shared" si="49"/>
        <v>#REF!</v>
      </c>
      <c r="FA25" s="1504" t="e">
        <f t="shared" si="49"/>
        <v>#REF!</v>
      </c>
      <c r="FB25" s="1504" t="e">
        <f>FB22+FB23-FB24</f>
        <v>#REF!</v>
      </c>
      <c r="FC25" s="1504" t="e">
        <f t="shared" si="49"/>
        <v>#REF!</v>
      </c>
      <c r="FD25" s="1504" t="e">
        <f t="shared" si="49"/>
        <v>#REF!</v>
      </c>
      <c r="FE25" s="1504" t="e">
        <f t="shared" ref="FE25:FK25" si="50">FE22+FE23-FE24</f>
        <v>#REF!</v>
      </c>
      <c r="FF25" s="1504" t="e">
        <f t="shared" si="50"/>
        <v>#REF!</v>
      </c>
      <c r="FG25" s="1504" t="e">
        <f t="shared" si="50"/>
        <v>#REF!</v>
      </c>
      <c r="FH25" s="1504" t="e">
        <f t="shared" si="50"/>
        <v>#REF!</v>
      </c>
      <c r="FI25" s="1504" t="e">
        <f t="shared" si="50"/>
        <v>#REF!</v>
      </c>
      <c r="FJ25" s="1504" t="e">
        <f t="shared" si="50"/>
        <v>#REF!</v>
      </c>
      <c r="FK25" s="1504" t="e">
        <f t="shared" si="50"/>
        <v>#REF!</v>
      </c>
      <c r="FL25" s="1504" t="e">
        <f>FL22+FL23-FL24</f>
        <v>#REF!</v>
      </c>
      <c r="FM25" s="1504" t="e">
        <f>FM22+FM23-FM24</f>
        <v>#REF!</v>
      </c>
    </row>
    <row r="26" spans="1:169" ht="18" customHeight="1">
      <c r="A26" s="1463">
        <f>ROWS($A$1:A26)</f>
        <v>26</v>
      </c>
      <c r="B26" s="1481"/>
      <c r="C26" s="1480"/>
      <c r="D26" s="1513"/>
      <c r="E26" s="1513"/>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5"/>
      <c r="AJ26" s="1514"/>
      <c r="AK26" s="1513"/>
      <c r="AL26" s="1513"/>
      <c r="AM26" s="1513"/>
      <c r="AN26" s="1513"/>
      <c r="AO26" s="1513"/>
      <c r="AP26" s="1513"/>
      <c r="AQ26" s="1513"/>
      <c r="AR26" s="1513"/>
      <c r="AS26" s="1513"/>
      <c r="AT26" s="1513"/>
      <c r="AU26" s="1513"/>
      <c r="AV26" s="1513"/>
      <c r="AW26" s="1513"/>
      <c r="AX26" s="1513"/>
      <c r="AY26" s="1513"/>
      <c r="AZ26" s="1513"/>
      <c r="BA26" s="1513"/>
      <c r="BB26" s="1513"/>
      <c r="BC26" s="1513"/>
      <c r="BD26" s="1513"/>
      <c r="BE26" s="1513"/>
      <c r="BF26" s="1513"/>
      <c r="BG26" s="1513"/>
      <c r="BH26" s="1513"/>
      <c r="BI26" s="1513"/>
      <c r="BJ26" s="1513"/>
      <c r="BK26" s="1513"/>
      <c r="BL26" s="1513"/>
      <c r="BM26" s="1513"/>
      <c r="BN26" s="1513"/>
      <c r="BO26" s="1515"/>
      <c r="BP26" s="1514"/>
      <c r="BQ26" s="1513"/>
      <c r="BR26" s="1513"/>
      <c r="BS26" s="1513"/>
      <c r="BT26" s="1513"/>
      <c r="BU26" s="1513"/>
      <c r="BV26" s="1513"/>
      <c r="BW26" s="1513"/>
      <c r="BX26" s="1513"/>
      <c r="BY26" s="1513"/>
      <c r="BZ26" s="1513"/>
      <c r="CA26" s="1513"/>
      <c r="CB26" s="1513"/>
      <c r="CC26" s="1513"/>
      <c r="CD26" s="1513"/>
      <c r="CE26" s="1513"/>
      <c r="CF26" s="1513"/>
      <c r="CG26" s="1513"/>
      <c r="CH26" s="1513"/>
      <c r="CI26" s="1513"/>
      <c r="CJ26" s="1513"/>
      <c r="CK26" s="1513"/>
      <c r="CL26" s="1513"/>
      <c r="CM26" s="1513"/>
      <c r="CN26" s="1513"/>
      <c r="CO26" s="1513"/>
      <c r="CP26" s="1513"/>
      <c r="CQ26" s="1513"/>
      <c r="CR26" s="1513"/>
      <c r="CS26" s="1513"/>
      <c r="CT26" s="1513"/>
      <c r="CV26" s="1481"/>
      <c r="CW26" s="1480"/>
      <c r="CX26" s="1513"/>
      <c r="CY26" s="1513"/>
      <c r="CZ26" s="1513"/>
      <c r="DA26" s="1513"/>
      <c r="DB26" s="1513"/>
      <c r="DC26" s="1513"/>
      <c r="DD26" s="1513"/>
      <c r="DE26" s="1513"/>
      <c r="DF26" s="1513"/>
      <c r="DG26" s="1513"/>
      <c r="DH26" s="1513"/>
      <c r="DI26" s="1513"/>
      <c r="DJ26" s="1513"/>
      <c r="DK26" s="1513"/>
      <c r="DL26" s="1513"/>
      <c r="DM26" s="1513"/>
      <c r="DN26" s="1513"/>
      <c r="DO26" s="1513"/>
      <c r="DP26" s="1513"/>
      <c r="DQ26" s="1513"/>
      <c r="DR26" s="1513"/>
      <c r="DS26" s="1513"/>
      <c r="DT26" s="1456"/>
      <c r="DU26" s="1513"/>
      <c r="DV26" s="1513"/>
      <c r="DW26" s="1513"/>
      <c r="DX26" s="1513"/>
      <c r="DY26" s="1514"/>
      <c r="DZ26" s="1513"/>
      <c r="EA26" s="1513"/>
      <c r="EB26" s="1513"/>
      <c r="EC26" s="1513"/>
      <c r="ED26" s="1513"/>
      <c r="EE26" s="1513"/>
      <c r="EF26" s="1513"/>
      <c r="EG26" s="1513"/>
      <c r="EH26" s="1513"/>
      <c r="EI26" s="1513"/>
      <c r="EJ26" s="1513"/>
      <c r="EK26" s="1513"/>
      <c r="EL26" s="1513"/>
      <c r="EM26" s="1513"/>
      <c r="EN26" s="1513"/>
      <c r="EO26" s="1513"/>
      <c r="EP26" s="1513"/>
      <c r="EQ26" s="1456"/>
      <c r="ER26" s="1513"/>
      <c r="ES26" s="1513"/>
      <c r="ET26" s="1513"/>
      <c r="EU26" s="1513"/>
      <c r="EV26" s="1514"/>
      <c r="EW26" s="1513"/>
      <c r="EX26" s="1513"/>
      <c r="EY26" s="1513"/>
      <c r="EZ26" s="1513"/>
      <c r="FA26" s="1513"/>
      <c r="FB26" s="1513"/>
      <c r="FC26" s="1513"/>
      <c r="FD26" s="1513"/>
      <c r="FE26" s="1513"/>
      <c r="FF26" s="1513"/>
      <c r="FG26" s="1513"/>
      <c r="FH26" s="1513"/>
      <c r="FI26" s="1513"/>
      <c r="FJ26" s="1513"/>
      <c r="FK26" s="1513"/>
      <c r="FL26" s="1513"/>
      <c r="FM26" s="1513"/>
    </row>
    <row r="27" spans="1:169" s="1539" customFormat="1" ht="18" customHeight="1">
      <c r="A27" s="1463">
        <f>ROWS($A$1:A27)</f>
        <v>27</v>
      </c>
      <c r="B27" s="1544" t="s">
        <v>1187</v>
      </c>
      <c r="C27" s="1543" t="s">
        <v>516</v>
      </c>
      <c r="D27" s="3664">
        <f>'WW1'!$I$59</f>
        <v>11.076000000000001</v>
      </c>
      <c r="E27" s="1540">
        <f>'WW2'!$I$59</f>
        <v>9.9720000000000013</v>
      </c>
      <c r="F27" s="1540">
        <f>'WW3'!$I$59</f>
        <v>9.9120000000000026</v>
      </c>
      <c r="G27" s="1540">
        <f>'WW4'!$I$59</f>
        <v>9.9120000000000026</v>
      </c>
      <c r="H27" s="1540">
        <f>WRo!$I$59</f>
        <v>9.2639999999999993</v>
      </c>
      <c r="I27" s="1540">
        <f>Tr!$I$59</f>
        <v>9.2639999999999993</v>
      </c>
      <c r="J27" s="1540">
        <f>WG!$I$59</f>
        <v>9.9120000000000026</v>
      </c>
      <c r="K27" s="1540">
        <f>Di!$I$59</f>
        <v>9.8520000000000003</v>
      </c>
      <c r="L27" s="1540">
        <f>SW!$I$59</f>
        <v>9.3240000000000016</v>
      </c>
      <c r="M27" s="1540">
        <f>'SG-Fu'!$I$59</f>
        <v>9.2040000000000006</v>
      </c>
      <c r="N27" s="1540">
        <f>BG!$I$59</f>
        <v>9.1439999999999984</v>
      </c>
      <c r="O27" s="1540">
        <f>Ha!$I$59</f>
        <v>8.4959999999999987</v>
      </c>
      <c r="P27" s="1540">
        <f>Du!$I$59</f>
        <v>10.632</v>
      </c>
      <c r="Q27" s="1540">
        <f>KöM!$I$59</f>
        <v>8.16</v>
      </c>
      <c r="R27" s="1540">
        <f>KH!$I$59</f>
        <v>8.9160000000000004</v>
      </c>
      <c r="S27" s="1540">
        <f>WR!$I$59</f>
        <v>10.188000000000001</v>
      </c>
      <c r="T27" s="1540">
        <f>SR!$I$59</f>
        <v>9.4680000000000017</v>
      </c>
      <c r="U27" s="1540">
        <f>SoBl!$I$59</f>
        <v>9.0839999999999996</v>
      </c>
      <c r="V27" s="1540">
        <f>Soja!$I$59</f>
        <v>7.5960000000000001</v>
      </c>
      <c r="W27" s="1540">
        <f>Öl!$I$59</f>
        <v>9.1439999999999984</v>
      </c>
      <c r="X27" s="1540">
        <f>FE!$I$59</f>
        <v>7.8119999999999994</v>
      </c>
      <c r="Y27" s="1540">
        <f>AB!$I$59</f>
        <v>7.74</v>
      </c>
      <c r="Z27" s="1540">
        <f>Lu!$I$59</f>
        <v>7.5000000000000009</v>
      </c>
      <c r="AA27" s="1540">
        <f>ZR!$I$59</f>
        <v>10.763999999999998</v>
      </c>
      <c r="AB27" s="1540">
        <f>FrühKa!$I$59</f>
        <v>21.440571428571428</v>
      </c>
      <c r="AC27" s="1540">
        <f>FrühKaFolieBer!$I$59</f>
        <v>37.025714285714287</v>
      </c>
      <c r="AD27" s="1540">
        <f>SpKa!$I$59</f>
        <v>24.374285714285712</v>
      </c>
      <c r="AE27" s="1540">
        <f>SpKaBer!$I$59</f>
        <v>34.321428571428569</v>
      </c>
      <c r="AF27" s="1540">
        <f>'Kultur A'!$I$59</f>
        <v>0</v>
      </c>
      <c r="AG27" s="1540">
        <f>'FAKT-Brachebegrünung'!$I$59</f>
        <v>6.6240000000000006</v>
      </c>
      <c r="AH27" s="1540">
        <f>Begr!$I$59</f>
        <v>7.7220000000000004</v>
      </c>
      <c r="AI27" s="1542"/>
      <c r="AJ27" s="1541">
        <f>'WW1'!$L$59</f>
        <v>12.192</v>
      </c>
      <c r="AK27" s="1540">
        <f>'WW2'!$L$59</f>
        <v>10.728</v>
      </c>
      <c r="AL27" s="1540">
        <f>'WW3'!$L$59</f>
        <v>10.667999999999999</v>
      </c>
      <c r="AM27" s="1540">
        <f>'WW4'!$L$59</f>
        <v>10.608000000000001</v>
      </c>
      <c r="AN27" s="1540">
        <f>WRo!$L$59</f>
        <v>9.3840000000000003</v>
      </c>
      <c r="AO27" s="1540">
        <f>Tr!$L$59</f>
        <v>9.4440000000000008</v>
      </c>
      <c r="AP27" s="1540">
        <f>WG!$L$59</f>
        <v>10.092000000000002</v>
      </c>
      <c r="AQ27" s="1540">
        <f>Di!$L$59</f>
        <v>10.548000000000002</v>
      </c>
      <c r="AR27" s="1540">
        <f>SW!$L$59</f>
        <v>9.3240000000000016</v>
      </c>
      <c r="AS27" s="1540">
        <f>'SG-Fu'!$L$59</f>
        <v>9.3240000000000016</v>
      </c>
      <c r="AT27" s="1540">
        <f>BG!$L$59</f>
        <v>9.2639999999999993</v>
      </c>
      <c r="AU27" s="1540">
        <f>Ha!$L$59</f>
        <v>9.2639999999999993</v>
      </c>
      <c r="AV27" s="1540">
        <f>Du!$L$59</f>
        <v>10.811999999999999</v>
      </c>
      <c r="AW27" s="1540">
        <f>KöM!$L$59</f>
        <v>8.4</v>
      </c>
      <c r="AX27" s="1540">
        <f>KH!$L$59</f>
        <v>9.0359999999999996</v>
      </c>
      <c r="AY27" s="1540">
        <f>WR!$L$59</f>
        <v>10.956</v>
      </c>
      <c r="AZ27" s="1540">
        <f>SR!$L$59</f>
        <v>10.188000000000001</v>
      </c>
      <c r="BA27" s="1540">
        <f>SoBl!$L$59</f>
        <v>9.1439999999999984</v>
      </c>
      <c r="BB27" s="1540">
        <f>Soja!$L$59</f>
        <v>7.74</v>
      </c>
      <c r="BC27" s="1540">
        <f>Öl!$L$59</f>
        <v>9.2040000000000006</v>
      </c>
      <c r="BD27" s="1540">
        <f>FE!$L$59</f>
        <v>7.8119999999999994</v>
      </c>
      <c r="BE27" s="1540">
        <f>AB!$L$59</f>
        <v>7.8119999999999994</v>
      </c>
      <c r="BF27" s="1540">
        <f>Lu!$L$59</f>
        <v>7.68</v>
      </c>
      <c r="BG27" s="1540">
        <f>ZR!$L$59</f>
        <v>10.763999999999998</v>
      </c>
      <c r="BH27" s="1540">
        <f>FrühKa!$L$59</f>
        <v>22.625714285714285</v>
      </c>
      <c r="BI27" s="1540">
        <f>FrühKaFolieBer!$L$59</f>
        <v>37.379999999999995</v>
      </c>
      <c r="BJ27" s="1540">
        <f>SpKa!$L$59</f>
        <v>25.088571428571427</v>
      </c>
      <c r="BK27" s="1540">
        <f>SpKaBer!$L$59</f>
        <v>34.921428571428571</v>
      </c>
      <c r="BL27" s="1540">
        <v>0</v>
      </c>
      <c r="BM27" s="1540">
        <f>'FAKT-Brachebegrünung'!$L$59</f>
        <v>6.6240000000000006</v>
      </c>
      <c r="BN27" s="1540">
        <f>Begr!$L$59</f>
        <v>7.7220000000000004</v>
      </c>
      <c r="BO27" s="1542"/>
      <c r="BP27" s="1541">
        <f>'WW1'!$O$59</f>
        <v>13.956000000000001</v>
      </c>
      <c r="BQ27" s="1540">
        <f>'WW2'!$O$59</f>
        <v>11.484000000000002</v>
      </c>
      <c r="BR27" s="1540">
        <f>'WW3'!$O$59</f>
        <v>11.423999999999999</v>
      </c>
      <c r="BS27" s="1540">
        <f>'WW4'!$O$59</f>
        <v>11.304000000000002</v>
      </c>
      <c r="BT27" s="1540">
        <f>WRo!$O$59</f>
        <v>10.728</v>
      </c>
      <c r="BU27" s="1540">
        <f>Tr!$O$59</f>
        <v>10.259999999999998</v>
      </c>
      <c r="BV27" s="1540">
        <f>WG!$O$59</f>
        <v>10.847999999999999</v>
      </c>
      <c r="BW27" s="1540">
        <f>Di!$O$59</f>
        <v>10.667999999999999</v>
      </c>
      <c r="BX27" s="1540">
        <f>SW!$O$59</f>
        <v>9.3240000000000016</v>
      </c>
      <c r="BY27" s="1540">
        <f>'SG-Fu'!$O$59</f>
        <v>9.4440000000000008</v>
      </c>
      <c r="BZ27" s="1540">
        <f>BG!$O$59</f>
        <v>9.3840000000000003</v>
      </c>
      <c r="CA27" s="1540">
        <f>Ha!$O$59</f>
        <v>9.3840000000000003</v>
      </c>
      <c r="CB27" s="1540">
        <f>Du!$O$59</f>
        <v>10.872</v>
      </c>
      <c r="CC27" s="1540">
        <f>KöM!$O$59</f>
        <v>8.64</v>
      </c>
      <c r="CD27" s="1540">
        <f>KH!$O$59</f>
        <v>9.1560000000000006</v>
      </c>
      <c r="CE27" s="1540">
        <f>WR!$O$59</f>
        <v>11.076000000000001</v>
      </c>
      <c r="CF27" s="1540">
        <f>SR!$O$59</f>
        <v>10.260000000000002</v>
      </c>
      <c r="CG27" s="1540">
        <f>SoBl!$O$59</f>
        <v>9.2039999999999988</v>
      </c>
      <c r="CH27" s="1540">
        <f>Soja!$O$59</f>
        <v>7.8840000000000003</v>
      </c>
      <c r="CI27" s="1540">
        <f>Öl!$O$59</f>
        <v>9.2639999999999993</v>
      </c>
      <c r="CJ27" s="1540">
        <f>FE!$O$59</f>
        <v>7.9559999999999995</v>
      </c>
      <c r="CK27" s="1540">
        <f>AB!$O$59</f>
        <v>7.9559999999999995</v>
      </c>
      <c r="CL27" s="1540">
        <f>Lu!$O$59</f>
        <v>7.8599999999999994</v>
      </c>
      <c r="CM27" s="1540">
        <f>ZR!$O$59</f>
        <v>11.411999999999999</v>
      </c>
      <c r="CN27" s="1540">
        <f>FrühKa!$O$59</f>
        <v>23.34</v>
      </c>
      <c r="CO27" s="1540">
        <f>FrühKaFolieBer!$O$59</f>
        <v>38.45428571428571</v>
      </c>
      <c r="CP27" s="1540">
        <f>SpKa!$O$59</f>
        <v>25.802857142857142</v>
      </c>
      <c r="CQ27" s="1540">
        <f>SpKaBer!$O$59</f>
        <v>35.50714285714286</v>
      </c>
      <c r="CR27" s="1540">
        <f>'Kultur A'!$O$59</f>
        <v>0</v>
      </c>
      <c r="CS27" s="1540">
        <f>'FAKT-Brachebegrünung'!$O$59</f>
        <v>6.6240000000000006</v>
      </c>
      <c r="CT27" s="1540">
        <f>Begr!$O$59</f>
        <v>7.7220000000000004</v>
      </c>
      <c r="CV27" s="1544" t="s">
        <v>1187</v>
      </c>
      <c r="CW27" s="1543" t="s">
        <v>516</v>
      </c>
      <c r="CX27" s="3664">
        <f>'Öko-KG1'!$I$59</f>
        <v>11.538</v>
      </c>
      <c r="CY27" s="1540">
        <f>'Öko-KG2'!$I$59</f>
        <v>8.4599999999999991</v>
      </c>
      <c r="CZ27" s="1540">
        <f>'Öko-LU1'!$I$59</f>
        <v>11.538</v>
      </c>
      <c r="DA27" s="1540">
        <f>'Öko-LU2'!$I$59</f>
        <v>8.4599999999999991</v>
      </c>
      <c r="DB27" s="1540">
        <f>'Öko-WW-Futter'!$I$59</f>
        <v>10.414285714285715</v>
      </c>
      <c r="DC27" s="1540">
        <f>'Öko-WW-Brot'!$I$59</f>
        <v>7.7862857142857145</v>
      </c>
      <c r="DD27" s="1540">
        <f>'Öko-Dinkel'!$I$59</f>
        <v>10.192499999999999</v>
      </c>
      <c r="DE27" s="1540">
        <f>'Öko-Dinkel,gegerbt'!$I$59</f>
        <v>10.192499999999999</v>
      </c>
      <c r="DF27" s="1540">
        <f>'Öko-Roggen'!$I$59</f>
        <v>10.082571428571429</v>
      </c>
      <c r="DG27" s="1540">
        <f>'Öko-Hafer'!$I$59</f>
        <v>10.055571428571428</v>
      </c>
      <c r="DH27" s="1540">
        <f>'Öko-Wintergerste'!$I$59</f>
        <v>10.082571428571429</v>
      </c>
      <c r="DI27" s="1540">
        <f>'Öko-Braugerste'!$I$59</f>
        <v>10.260000000000002</v>
      </c>
      <c r="DJ27" s="1540">
        <f>'Öko-Körnermais'!$I$59</f>
        <v>13.693500000000002</v>
      </c>
      <c r="DK27" s="1540">
        <f>'Öko-Ackerbohnen'!$I$59</f>
        <v>9.5850000000000009</v>
      </c>
      <c r="DL27" s="1540">
        <f>'Öko-Erbsen'!$I$59</f>
        <v>8.0190000000000001</v>
      </c>
      <c r="DM27" s="1540">
        <f>'Öko-Sojabohnen'!$I$59</f>
        <v>12.5739</v>
      </c>
      <c r="DN27" s="1540">
        <f>'Öko-Soblu'!$I$59</f>
        <v>23.5</v>
      </c>
      <c r="DO27" s="1540">
        <f>'Öko-Raps'!$I$59</f>
        <v>24.38</v>
      </c>
      <c r="DP27" s="1540">
        <f>'Öko-Kartoffel'!$I$59</f>
        <v>32.368000000000002</v>
      </c>
      <c r="DQ27" s="1540" t="e">
        <f>#REF!</f>
        <v>#REF!</v>
      </c>
      <c r="DR27" s="1540">
        <f>Begrün.!$I$59</f>
        <v>9.9359999999999999</v>
      </c>
      <c r="DS27" s="1540">
        <f>Blühm.!$I$59</f>
        <v>12.132000000000001</v>
      </c>
      <c r="DU27" s="1540">
        <f>'Öko-KG1'!$L$59</f>
        <v>11.538</v>
      </c>
      <c r="DV27" s="1540">
        <f>'Öko-KG2'!$L$59</f>
        <v>8.4599999999999991</v>
      </c>
      <c r="DW27" s="1540">
        <f>'Öko-LU1'!$L$59</f>
        <v>11.538</v>
      </c>
      <c r="DX27" s="1540">
        <f>'Öko-LU2'!$L$59</f>
        <v>8.4599999999999991</v>
      </c>
      <c r="DY27" s="1541">
        <f>'Öko-WW-Futter'!$L$59</f>
        <v>11.005714285714285</v>
      </c>
      <c r="DZ27" s="1540">
        <f>'Öko-WW-Brot'!$L$59</f>
        <v>8.1977142857142855</v>
      </c>
      <c r="EA27" s="1540">
        <f>'Öko-Dinkel'!$L$59</f>
        <v>10.709999999999999</v>
      </c>
      <c r="EB27" s="1540">
        <f>'Öko-Dinkel,gegerbt'!$L$59</f>
        <v>10.709999999999999</v>
      </c>
      <c r="EC27" s="1540">
        <f>'Öko-Roggen'!$L$59</f>
        <v>10.725428571428571</v>
      </c>
      <c r="ED27" s="1540">
        <f>'Öko-Hafer'!$L$59</f>
        <v>10.689428571428572</v>
      </c>
      <c r="EE27" s="1540">
        <f>'Öko-Wintergerste'!$L$59</f>
        <v>11.21142857142857</v>
      </c>
      <c r="EF27" s="1540">
        <f>'Öko-Braugerste'!$L$59</f>
        <v>10.8</v>
      </c>
      <c r="EG27" s="1540">
        <f>'Öko-Körnermais'!$L$59</f>
        <v>13.950000000000003</v>
      </c>
      <c r="EH27" s="1540">
        <f>'Öko-Ackerbohnen'!$L$59</f>
        <v>9.7379999999999995</v>
      </c>
      <c r="EI27" s="1540">
        <f>'Öko-Erbsen'!$L$59</f>
        <v>8.1539999999999999</v>
      </c>
      <c r="EJ27" s="1540">
        <f>'Öko-Sojabohnen'!$L$59</f>
        <v>12.635999999999999</v>
      </c>
      <c r="EK27" s="1540">
        <f>'Öko-Soblu'!$L$59</f>
        <v>23.7</v>
      </c>
      <c r="EL27" s="1540">
        <f>'Öko-Raps'!$L$59</f>
        <v>24.56</v>
      </c>
      <c r="EM27" s="1540">
        <f>'Öko-Kartoffel'!$L$59</f>
        <v>32.863999999999997</v>
      </c>
      <c r="EN27" s="1540" t="e">
        <f>#REF!</f>
        <v>#REF!</v>
      </c>
      <c r="EO27" s="1540">
        <f>Begrün.!$L$59</f>
        <v>9.9359999999999999</v>
      </c>
      <c r="EP27" s="1540">
        <f>Blühm.!$L$59</f>
        <v>12.132000000000001</v>
      </c>
      <c r="ER27" s="1540">
        <f>'Öko-KG1'!$O$59</f>
        <v>11.538</v>
      </c>
      <c r="ES27" s="1540">
        <f>'Öko-KG2'!$O$59</f>
        <v>8.4599999999999991</v>
      </c>
      <c r="ET27" s="1540">
        <f>'Öko-LU1'!$O$59</f>
        <v>11.538</v>
      </c>
      <c r="EU27" s="1540">
        <f>'Öko-LU2'!$O$59</f>
        <v>8.4599999999999991</v>
      </c>
      <c r="EV27" s="1541">
        <f>'Öko-WW-Futter'!$O$59</f>
        <v>12.720857142857145</v>
      </c>
      <c r="EW27" s="1540">
        <f>'Öko-WW-Brot'!$O$59</f>
        <v>9.0205714285714294</v>
      </c>
      <c r="EX27" s="1540">
        <f>'Öko-Dinkel'!$O$59</f>
        <v>11.301428571428572</v>
      </c>
      <c r="EY27" s="1540">
        <f>'Öko-Dinkel,gegerbt'!$O$59</f>
        <v>11.227499999999999</v>
      </c>
      <c r="EZ27" s="1540">
        <f>'Öko-Roggen'!$O$59</f>
        <v>8.7942857142857136</v>
      </c>
      <c r="FA27" s="1540">
        <f>'Öko-Hafer'!$O$59</f>
        <v>11.809285714285714</v>
      </c>
      <c r="FB27" s="1540">
        <f>'Öko-Wintergerste'!$O$59</f>
        <v>11.854285714285714</v>
      </c>
      <c r="FC27" s="1540">
        <f>'Öko-Braugerste'!$O$59</f>
        <v>11.34</v>
      </c>
      <c r="FD27" s="1540">
        <f>'Öko-Körnermais'!$O$59</f>
        <v>14.2065</v>
      </c>
      <c r="FE27" s="1540">
        <f>'Öko-Ackerbohnen'!$O$59</f>
        <v>9.891</v>
      </c>
      <c r="FF27" s="1540">
        <f>'Öko-Erbsen'!$O$59</f>
        <v>10.287000000000003</v>
      </c>
      <c r="FG27" s="1540">
        <f>'Öko-Sojabohnen'!$O$59</f>
        <v>13.184100000000001</v>
      </c>
      <c r="FH27" s="1540">
        <f>'Öko-Soblu'!$O$59</f>
        <v>23.619999999999997</v>
      </c>
      <c r="FI27" s="1540">
        <f>'Öko-Raps'!$O$59</f>
        <v>24.7</v>
      </c>
      <c r="FJ27" s="1540">
        <f>'Öko-Kartoffel'!$O$59</f>
        <v>33.799999999999997</v>
      </c>
      <c r="FK27" s="1540" t="e">
        <f>#REF!</f>
        <v>#REF!</v>
      </c>
      <c r="FL27" s="1540">
        <f>Begrün.!$O$59</f>
        <v>9.9359999999999999</v>
      </c>
      <c r="FM27" s="1540">
        <f>Blühm.!$O$59</f>
        <v>12.132000000000001</v>
      </c>
    </row>
    <row r="28" spans="1:169" ht="16.149999999999999" customHeight="1">
      <c r="A28" s="1463">
        <f>ROWS($A$1:A28)</f>
        <v>28</v>
      </c>
      <c r="B28" s="1538" t="s">
        <v>1186</v>
      </c>
      <c r="C28" s="1519" t="s">
        <v>171</v>
      </c>
      <c r="D28" s="3670">
        <f>'SDK4'!N8</f>
        <v>187</v>
      </c>
      <c r="E28" s="1516">
        <f>'SDK4'!$N$8</f>
        <v>187</v>
      </c>
      <c r="F28" s="1516">
        <f>'SDK4'!$N$8</f>
        <v>187</v>
      </c>
      <c r="G28" s="1516">
        <f>'SDK4'!$N$8</f>
        <v>187</v>
      </c>
      <c r="H28" s="1516">
        <f>'SDK4'!$N$8</f>
        <v>187</v>
      </c>
      <c r="I28" s="1516">
        <f>'SDK4'!$N$8</f>
        <v>187</v>
      </c>
      <c r="J28" s="1516">
        <f>'SDK4'!$N$8</f>
        <v>187</v>
      </c>
      <c r="K28" s="1516">
        <f>'SDK4'!$N$8</f>
        <v>187</v>
      </c>
      <c r="L28" s="1516">
        <f>'SDK4'!$N$8</f>
        <v>187</v>
      </c>
      <c r="M28" s="1516">
        <f>'SDK4'!$N$8</f>
        <v>187</v>
      </c>
      <c r="N28" s="1516">
        <f>'SDK4'!$N$8</f>
        <v>187</v>
      </c>
      <c r="O28" s="1516">
        <f>'SDK4'!$N$8</f>
        <v>187</v>
      </c>
      <c r="P28" s="1516">
        <f>'SDK4'!$N$8</f>
        <v>187</v>
      </c>
      <c r="Q28" s="1516">
        <f>'SDK4'!$N$8</f>
        <v>187</v>
      </c>
      <c r="R28" s="1516">
        <f>'SDK4'!$N$8</f>
        <v>187</v>
      </c>
      <c r="S28" s="1516">
        <f>'SDK4'!$N$8</f>
        <v>187</v>
      </c>
      <c r="T28" s="1516">
        <f>'SDK4'!$N$8</f>
        <v>187</v>
      </c>
      <c r="U28" s="1516">
        <f>'SDK4'!$N$8</f>
        <v>187</v>
      </c>
      <c r="V28" s="1516">
        <f>'SDK4'!$N$8</f>
        <v>187</v>
      </c>
      <c r="W28" s="1516">
        <f>'SDK4'!$N$8</f>
        <v>187</v>
      </c>
      <c r="X28" s="1516">
        <f>'SDK4'!$N$8</f>
        <v>187</v>
      </c>
      <c r="Y28" s="1516">
        <f>'SDK4'!$N$8</f>
        <v>187</v>
      </c>
      <c r="Z28" s="1516">
        <f>'SDK4'!$N$8</f>
        <v>187</v>
      </c>
      <c r="AA28" s="1516">
        <f>'SDK4'!$N$8</f>
        <v>187</v>
      </c>
      <c r="AB28" s="1516">
        <f>'SDK4'!$N$8</f>
        <v>187</v>
      </c>
      <c r="AC28" s="1516">
        <f>'SDK4'!$N$8</f>
        <v>187</v>
      </c>
      <c r="AD28" s="1516">
        <f>'SDK4'!$N$8</f>
        <v>187</v>
      </c>
      <c r="AE28" s="1516">
        <f>'SDK4'!$N$8</f>
        <v>187</v>
      </c>
      <c r="AF28" s="1516">
        <f>'SDK4'!$N$8</f>
        <v>187</v>
      </c>
      <c r="AG28" s="1516">
        <f>'SDK4'!$N$8</f>
        <v>187</v>
      </c>
      <c r="AH28" s="1516"/>
      <c r="AI28" s="1518"/>
      <c r="AJ28" s="1517">
        <f>'SDK4'!N8</f>
        <v>187</v>
      </c>
      <c r="AK28" s="1516">
        <f>'SDK4'!$N$8</f>
        <v>187</v>
      </c>
      <c r="AL28" s="1516">
        <f>'SDK4'!$N$8</f>
        <v>187</v>
      </c>
      <c r="AM28" s="1516">
        <f>'SDK4'!$N$8</f>
        <v>187</v>
      </c>
      <c r="AN28" s="1516">
        <f>'SDK4'!$N$8</f>
        <v>187</v>
      </c>
      <c r="AO28" s="1516">
        <f>'SDK4'!$N$8</f>
        <v>187</v>
      </c>
      <c r="AP28" s="1516">
        <f>'SDK4'!$N$8</f>
        <v>187</v>
      </c>
      <c r="AQ28" s="1516">
        <f>'SDK4'!$N$8</f>
        <v>187</v>
      </c>
      <c r="AR28" s="1516">
        <f>'SDK4'!$N$8</f>
        <v>187</v>
      </c>
      <c r="AS28" s="1516">
        <f>'SDK4'!$N$8</f>
        <v>187</v>
      </c>
      <c r="AT28" s="1516">
        <f>'SDK4'!$N$8</f>
        <v>187</v>
      </c>
      <c r="AU28" s="1516">
        <f>'SDK4'!$N$8</f>
        <v>187</v>
      </c>
      <c r="AV28" s="1516">
        <f>'SDK4'!$N$8</f>
        <v>187</v>
      </c>
      <c r="AW28" s="1516">
        <f>'SDK4'!$N$8</f>
        <v>187</v>
      </c>
      <c r="AX28" s="1516">
        <f>'SDK4'!$N$8</f>
        <v>187</v>
      </c>
      <c r="AY28" s="1516">
        <f>'SDK4'!$N$8</f>
        <v>187</v>
      </c>
      <c r="AZ28" s="1516">
        <f>'SDK4'!$N$8</f>
        <v>187</v>
      </c>
      <c r="BA28" s="1516">
        <f>'SDK4'!$N$8</f>
        <v>187</v>
      </c>
      <c r="BB28" s="1516">
        <f>'SDK4'!$N$8</f>
        <v>187</v>
      </c>
      <c r="BC28" s="1516">
        <f>'SDK4'!$N$8</f>
        <v>187</v>
      </c>
      <c r="BD28" s="1516">
        <f>'SDK4'!$N$8</f>
        <v>187</v>
      </c>
      <c r="BE28" s="1516">
        <f>'SDK4'!$N$8</f>
        <v>187</v>
      </c>
      <c r="BF28" s="1516">
        <f>'SDK4'!$N$8</f>
        <v>187</v>
      </c>
      <c r="BG28" s="1516">
        <f>'SDK4'!$N$8</f>
        <v>187</v>
      </c>
      <c r="BH28" s="1516">
        <f>'SDK4'!$N$8</f>
        <v>187</v>
      </c>
      <c r="BI28" s="1516">
        <f>'SDK4'!$N$8</f>
        <v>187</v>
      </c>
      <c r="BJ28" s="1516">
        <f>'SDK4'!$N$8</f>
        <v>187</v>
      </c>
      <c r="BK28" s="1516">
        <f>'SDK4'!$N$8</f>
        <v>187</v>
      </c>
      <c r="BL28" s="1516">
        <f>'SDK4'!$N$8</f>
        <v>187</v>
      </c>
      <c r="BM28" s="1516">
        <f>'SDK4'!$N$8</f>
        <v>187</v>
      </c>
      <c r="BN28" s="1516"/>
      <c r="BO28" s="1518"/>
      <c r="BP28" s="1517">
        <f>'SDK4'!N8</f>
        <v>187</v>
      </c>
      <c r="BQ28" s="1516">
        <f>'SDK4'!$N$8</f>
        <v>187</v>
      </c>
      <c r="BR28" s="1516">
        <f>'SDK4'!$N$8</f>
        <v>187</v>
      </c>
      <c r="BS28" s="1516">
        <f>'SDK4'!$N$8</f>
        <v>187</v>
      </c>
      <c r="BT28" s="1516">
        <f>'SDK4'!$N$8</f>
        <v>187</v>
      </c>
      <c r="BU28" s="1516">
        <f>'SDK4'!$N$8</f>
        <v>187</v>
      </c>
      <c r="BV28" s="1516">
        <f>'SDK4'!$N$8</f>
        <v>187</v>
      </c>
      <c r="BW28" s="1516">
        <f>'SDK4'!$N$8</f>
        <v>187</v>
      </c>
      <c r="BX28" s="1516">
        <f>'SDK4'!$N$8</f>
        <v>187</v>
      </c>
      <c r="BY28" s="1516">
        <f>'SDK4'!$N$8</f>
        <v>187</v>
      </c>
      <c r="BZ28" s="1516">
        <f>'SDK4'!$N$8</f>
        <v>187</v>
      </c>
      <c r="CA28" s="1516">
        <f>'SDK4'!$N$8</f>
        <v>187</v>
      </c>
      <c r="CB28" s="1516">
        <f>'SDK4'!$N$8</f>
        <v>187</v>
      </c>
      <c r="CC28" s="1516">
        <f>'SDK4'!$N$8</f>
        <v>187</v>
      </c>
      <c r="CD28" s="1516">
        <f>'SDK4'!$N$8</f>
        <v>187</v>
      </c>
      <c r="CE28" s="1516">
        <f>'SDK4'!$N$8</f>
        <v>187</v>
      </c>
      <c r="CF28" s="1516">
        <f>'SDK4'!$N$8</f>
        <v>187</v>
      </c>
      <c r="CG28" s="1516">
        <f>'SDK4'!$N$8</f>
        <v>187</v>
      </c>
      <c r="CH28" s="1516">
        <f>'SDK4'!$N$8</f>
        <v>187</v>
      </c>
      <c r="CI28" s="1516">
        <f>'SDK4'!$N$8</f>
        <v>187</v>
      </c>
      <c r="CJ28" s="1516">
        <f>'SDK4'!$N$8</f>
        <v>187</v>
      </c>
      <c r="CK28" s="1516">
        <f>'SDK4'!$N$8</f>
        <v>187</v>
      </c>
      <c r="CL28" s="1516">
        <f>'SDK4'!$N$8</f>
        <v>187</v>
      </c>
      <c r="CM28" s="1516">
        <f>'SDK4'!$N$8</f>
        <v>187</v>
      </c>
      <c r="CN28" s="1516">
        <f>'SDK4'!$N$8</f>
        <v>187</v>
      </c>
      <c r="CO28" s="1516">
        <f>'SDK4'!$N$8</f>
        <v>187</v>
      </c>
      <c r="CP28" s="1516">
        <f>'SDK4'!$N$8</f>
        <v>187</v>
      </c>
      <c r="CQ28" s="1516">
        <f>'SDK4'!$N$8</f>
        <v>187</v>
      </c>
      <c r="CR28" s="1516">
        <f>'SDK4'!$N$8</f>
        <v>187</v>
      </c>
      <c r="CS28" s="1516">
        <f>'SDK4'!$N$8</f>
        <v>187</v>
      </c>
      <c r="CT28" s="1516"/>
      <c r="CV28" s="1538" t="s">
        <v>1186</v>
      </c>
      <c r="CW28" s="1519" t="s">
        <v>171</v>
      </c>
      <c r="CX28" s="3670">
        <f>SDÖ4!$O$8</f>
        <v>189</v>
      </c>
      <c r="CY28" s="1516">
        <f>SDÖ4!$O$8</f>
        <v>189</v>
      </c>
      <c r="CZ28" s="1516">
        <f>SDÖ4!$O$8</f>
        <v>189</v>
      </c>
      <c r="DA28" s="1516">
        <f>SDÖ4!$O$8</f>
        <v>189</v>
      </c>
      <c r="DB28" s="1516">
        <f>SDÖ4!O76</f>
        <v>0</v>
      </c>
      <c r="DC28" s="1516">
        <f>SDÖ4!$O$8</f>
        <v>189</v>
      </c>
      <c r="DD28" s="1516">
        <f>SDÖ4!$O$8</f>
        <v>189</v>
      </c>
      <c r="DE28" s="1516">
        <f>SDÖ4!$O$8</f>
        <v>189</v>
      </c>
      <c r="DF28" s="1516">
        <f>SDÖ4!$O$8</f>
        <v>189</v>
      </c>
      <c r="DG28" s="1516">
        <f>SDÖ4!$O$8</f>
        <v>189</v>
      </c>
      <c r="DH28" s="1516">
        <f>SDÖ4!$O$8</f>
        <v>189</v>
      </c>
      <c r="DI28" s="1516">
        <f>SDÖ4!$O$8</f>
        <v>189</v>
      </c>
      <c r="DJ28" s="1516">
        <f>SDÖ4!$O$8</f>
        <v>189</v>
      </c>
      <c r="DK28" s="1516">
        <f>SDÖ4!$O$8</f>
        <v>189</v>
      </c>
      <c r="DL28" s="1516">
        <f>SDÖ4!$O$8</f>
        <v>189</v>
      </c>
      <c r="DM28" s="1516">
        <f>SDÖ4!$O$8</f>
        <v>189</v>
      </c>
      <c r="DN28" s="1516">
        <f>SDÖ4!$O$8</f>
        <v>189</v>
      </c>
      <c r="DO28" s="1516">
        <f>SDÖ4!$O$8</f>
        <v>189</v>
      </c>
      <c r="DP28" s="1516">
        <f>SDÖ4!$O$8</f>
        <v>189</v>
      </c>
      <c r="DQ28" s="1516">
        <f>SDÖ4!$O$8</f>
        <v>189</v>
      </c>
      <c r="DR28" s="1516">
        <f>SDÖ4!$O$8</f>
        <v>189</v>
      </c>
      <c r="DS28" s="1516">
        <f>SDÖ4!$O$8</f>
        <v>189</v>
      </c>
      <c r="DT28" s="1456"/>
      <c r="DU28" s="1516">
        <f>SDÖ4!$O$8</f>
        <v>189</v>
      </c>
      <c r="DV28" s="1516">
        <f>SDÖ4!$O$8</f>
        <v>189</v>
      </c>
      <c r="DW28" s="1516">
        <f>SDÖ4!$O$8</f>
        <v>189</v>
      </c>
      <c r="DX28" s="1516">
        <f>SDÖ4!$O$8</f>
        <v>189</v>
      </c>
      <c r="DY28" s="1516">
        <f>SDÖ4!$O$8</f>
        <v>189</v>
      </c>
      <c r="DZ28" s="1516">
        <f>SDÖ4!$O$8</f>
        <v>189</v>
      </c>
      <c r="EA28" s="1516">
        <f>SDÖ4!$O$8</f>
        <v>189</v>
      </c>
      <c r="EB28" s="1516">
        <f>SDÖ4!$O$8</f>
        <v>189</v>
      </c>
      <c r="EC28" s="1516">
        <f>SDÖ4!$O$8</f>
        <v>189</v>
      </c>
      <c r="ED28" s="1516">
        <f>SDÖ4!$O$8</f>
        <v>189</v>
      </c>
      <c r="EE28" s="1516">
        <f>SDÖ4!$O$8</f>
        <v>189</v>
      </c>
      <c r="EF28" s="1516">
        <f>SDÖ4!$O$8</f>
        <v>189</v>
      </c>
      <c r="EG28" s="1516">
        <f>SDÖ4!$O$8</f>
        <v>189</v>
      </c>
      <c r="EH28" s="1516">
        <f>SDÖ4!$O$8</f>
        <v>189</v>
      </c>
      <c r="EI28" s="1516">
        <f>SDÖ4!$O$8</f>
        <v>189</v>
      </c>
      <c r="EJ28" s="1516">
        <f>SDÖ4!$O$8</f>
        <v>189</v>
      </c>
      <c r="EK28" s="1516">
        <f>SDÖ4!$O$8</f>
        <v>189</v>
      </c>
      <c r="EL28" s="1516">
        <f>SDÖ4!$O$8</f>
        <v>189</v>
      </c>
      <c r="EM28" s="1516">
        <f>SDÖ4!$O$8</f>
        <v>189</v>
      </c>
      <c r="EN28" s="1516">
        <f>SDÖ4!$O$8</f>
        <v>189</v>
      </c>
      <c r="EO28" s="1516">
        <f>SDÖ4!$O$8</f>
        <v>189</v>
      </c>
      <c r="EP28" s="1516">
        <f>SDÖ4!$O$8</f>
        <v>189</v>
      </c>
      <c r="EQ28" s="1456"/>
      <c r="ER28" s="1516">
        <f>SDÖ4!$O$8</f>
        <v>189</v>
      </c>
      <c r="ES28" s="1516">
        <f>SDÖ4!$O$8</f>
        <v>189</v>
      </c>
      <c r="ET28" s="1516">
        <f>SDÖ4!$O$8</f>
        <v>189</v>
      </c>
      <c r="EU28" s="1516">
        <f>SDÖ4!$O$8</f>
        <v>189</v>
      </c>
      <c r="EV28" s="1517">
        <f>SDÖ4!O76</f>
        <v>0</v>
      </c>
      <c r="EW28" s="1516">
        <f>SDÖ4!$O$8</f>
        <v>189</v>
      </c>
      <c r="EX28" s="1516">
        <f>SDÖ4!$O$8</f>
        <v>189</v>
      </c>
      <c r="EY28" s="1516">
        <f>SDÖ4!$O$8</f>
        <v>189</v>
      </c>
      <c r="EZ28" s="1516">
        <f>SDÖ4!$O$8</f>
        <v>189</v>
      </c>
      <c r="FA28" s="1516">
        <f>SDÖ4!$O$8</f>
        <v>189</v>
      </c>
      <c r="FB28" s="1516">
        <f>SDÖ4!$O$8</f>
        <v>189</v>
      </c>
      <c r="FC28" s="1516">
        <f>SDÖ4!$O$8</f>
        <v>189</v>
      </c>
      <c r="FD28" s="1516">
        <f>SDÖ4!$O$8</f>
        <v>189</v>
      </c>
      <c r="FE28" s="1516">
        <f>SDÖ4!$O$8</f>
        <v>189</v>
      </c>
      <c r="FF28" s="1516">
        <f>SDÖ4!$O$8</f>
        <v>189</v>
      </c>
      <c r="FG28" s="1516">
        <f>SDÖ4!$O$8</f>
        <v>189</v>
      </c>
      <c r="FH28" s="1516">
        <f>SDÖ4!$O$8</f>
        <v>189</v>
      </c>
      <c r="FI28" s="1516">
        <f>SDÖ4!$O$8</f>
        <v>189</v>
      </c>
      <c r="FJ28" s="1516">
        <f>SDÖ4!$O$8</f>
        <v>189</v>
      </c>
      <c r="FK28" s="1516">
        <f>SDÖ4!$O$8</f>
        <v>189</v>
      </c>
      <c r="FL28" s="1516">
        <f>SDÖ4!$O$8</f>
        <v>189</v>
      </c>
      <c r="FM28" s="1516">
        <f>SDÖ4!$O$8</f>
        <v>189</v>
      </c>
    </row>
    <row r="29" spans="1:169" ht="16.149999999999999" customHeight="1">
      <c r="A29" s="1463">
        <f>ROWS($A$1:A29)</f>
        <v>29</v>
      </c>
      <c r="B29" s="1512" t="s">
        <v>1185</v>
      </c>
      <c r="C29" s="1480"/>
      <c r="D29" s="3669">
        <f>'SDK4'!N33</f>
        <v>30</v>
      </c>
      <c r="E29" s="1468">
        <f>'SDK4'!$N$33</f>
        <v>30</v>
      </c>
      <c r="F29" s="1468">
        <f>'SDK4'!$N$33</f>
        <v>30</v>
      </c>
      <c r="G29" s="1468">
        <f>'SDK4'!$N$33</f>
        <v>30</v>
      </c>
      <c r="H29" s="1468">
        <f>'SDK4'!$N$33</f>
        <v>30</v>
      </c>
      <c r="I29" s="1468">
        <f>'SDK4'!$N$33</f>
        <v>30</v>
      </c>
      <c r="J29" s="1468">
        <f>'SDK4'!$N$33</f>
        <v>30</v>
      </c>
      <c r="K29" s="1468">
        <f>'SDK4'!$N$33</f>
        <v>30</v>
      </c>
      <c r="L29" s="1468">
        <f>'SDK4'!$N$33</f>
        <v>30</v>
      </c>
      <c r="M29" s="1468">
        <f>'SDK4'!$N$33</f>
        <v>30</v>
      </c>
      <c r="N29" s="1468">
        <f>'SDK4'!$N$33</f>
        <v>30</v>
      </c>
      <c r="O29" s="1468">
        <f>'SDK4'!$N$33</f>
        <v>30</v>
      </c>
      <c r="P29" s="1468">
        <f>'SDK4'!$N$33</f>
        <v>30</v>
      </c>
      <c r="Q29" s="1468">
        <f>'SDK4'!$N$33</f>
        <v>30</v>
      </c>
      <c r="R29" s="1468">
        <f>'SDK4'!$N$33</f>
        <v>30</v>
      </c>
      <c r="S29" s="1468">
        <f>'SDK4'!$N$33</f>
        <v>30</v>
      </c>
      <c r="T29" s="1468">
        <f>'SDK4'!$N$33</f>
        <v>30</v>
      </c>
      <c r="U29" s="1468">
        <f>'SDK4'!$N$33</f>
        <v>30</v>
      </c>
      <c r="V29" s="1468">
        <f>'SDK4'!$N$33</f>
        <v>30</v>
      </c>
      <c r="W29" s="1468">
        <f>'SDK4'!$N$33</f>
        <v>30</v>
      </c>
      <c r="X29" s="1468">
        <f>'SDK4'!$N$33</f>
        <v>30</v>
      </c>
      <c r="Y29" s="1468">
        <f>'SDK4'!$N$33</f>
        <v>30</v>
      </c>
      <c r="Z29" s="1468">
        <f>'SDK4'!$N$33</f>
        <v>30</v>
      </c>
      <c r="AA29" s="1468">
        <f>'SDK4'!$N$33</f>
        <v>30</v>
      </c>
      <c r="AB29" s="1468">
        <f>'SDK4'!$N$33</f>
        <v>30</v>
      </c>
      <c r="AC29" s="1468">
        <f>'SDK4'!$N$33</f>
        <v>30</v>
      </c>
      <c r="AD29" s="1468">
        <f>'SDK4'!$N$33</f>
        <v>30</v>
      </c>
      <c r="AE29" s="1468">
        <f>'SDK4'!$N$33</f>
        <v>30</v>
      </c>
      <c r="AF29" s="1468">
        <f>'SDK4'!$N$33</f>
        <v>30</v>
      </c>
      <c r="AG29" s="1468">
        <f>'SDK4'!$N$33</f>
        <v>30</v>
      </c>
      <c r="AH29" s="1468"/>
      <c r="AI29" s="1465"/>
      <c r="AJ29" s="1466">
        <f>'SDK4'!N33</f>
        <v>30</v>
      </c>
      <c r="AK29" s="1468">
        <f>'SDK4'!$N$33</f>
        <v>30</v>
      </c>
      <c r="AL29" s="1468">
        <f>'SDK4'!$N$33</f>
        <v>30</v>
      </c>
      <c r="AM29" s="1468">
        <f>'SDK4'!$N$33</f>
        <v>30</v>
      </c>
      <c r="AN29" s="1468">
        <f>'SDK4'!$N$33</f>
        <v>30</v>
      </c>
      <c r="AO29" s="1468">
        <f>'SDK4'!$N$33</f>
        <v>30</v>
      </c>
      <c r="AP29" s="1468">
        <f>'SDK4'!$N$33</f>
        <v>30</v>
      </c>
      <c r="AQ29" s="1468">
        <f>'SDK4'!$N$33</f>
        <v>30</v>
      </c>
      <c r="AR29" s="1468">
        <f>'SDK4'!$N$33</f>
        <v>30</v>
      </c>
      <c r="AS29" s="1468">
        <f>'SDK4'!$N$33</f>
        <v>30</v>
      </c>
      <c r="AT29" s="1468">
        <f>'SDK4'!$N$33</f>
        <v>30</v>
      </c>
      <c r="AU29" s="1468">
        <f>'SDK4'!$N$33</f>
        <v>30</v>
      </c>
      <c r="AV29" s="1468">
        <f>'SDK4'!$N$33</f>
        <v>30</v>
      </c>
      <c r="AW29" s="1468">
        <f>'SDK4'!$N$33</f>
        <v>30</v>
      </c>
      <c r="AX29" s="1468">
        <f>'SDK4'!$N$33</f>
        <v>30</v>
      </c>
      <c r="AY29" s="1468">
        <f>'SDK4'!$N$33</f>
        <v>30</v>
      </c>
      <c r="AZ29" s="1468">
        <f>'SDK4'!$N$33</f>
        <v>30</v>
      </c>
      <c r="BA29" s="1468">
        <f>'SDK4'!$N$33</f>
        <v>30</v>
      </c>
      <c r="BB29" s="1468">
        <f>'SDK4'!$N$33</f>
        <v>30</v>
      </c>
      <c r="BC29" s="1468">
        <f>'SDK4'!$N$33</f>
        <v>30</v>
      </c>
      <c r="BD29" s="1468">
        <f>'SDK4'!$N$33</f>
        <v>30</v>
      </c>
      <c r="BE29" s="1468">
        <f>'SDK4'!$N$33</f>
        <v>30</v>
      </c>
      <c r="BF29" s="1468">
        <f>'SDK4'!$N$33</f>
        <v>30</v>
      </c>
      <c r="BG29" s="1468">
        <f>'SDK4'!$N$33</f>
        <v>30</v>
      </c>
      <c r="BH29" s="1468">
        <f>'SDK4'!$N$33</f>
        <v>30</v>
      </c>
      <c r="BI29" s="1468">
        <f>'SDK4'!$N$33</f>
        <v>30</v>
      </c>
      <c r="BJ29" s="1468">
        <f>'SDK4'!$N$33</f>
        <v>30</v>
      </c>
      <c r="BK29" s="1468">
        <f>'SDK4'!$N$33</f>
        <v>30</v>
      </c>
      <c r="BL29" s="1468">
        <f>'SDK4'!$N$33</f>
        <v>30</v>
      </c>
      <c r="BM29" s="1468">
        <f>'SDK4'!$N$33</f>
        <v>30</v>
      </c>
      <c r="BN29" s="1468"/>
      <c r="BO29" s="1465"/>
      <c r="BP29" s="1466">
        <f>'SDK4'!N33</f>
        <v>30</v>
      </c>
      <c r="BQ29" s="1468">
        <f>'SDK4'!$N$33</f>
        <v>30</v>
      </c>
      <c r="BR29" s="1468">
        <f>'SDK4'!$N$33</f>
        <v>30</v>
      </c>
      <c r="BS29" s="1468">
        <f>'SDK4'!$N$33</f>
        <v>30</v>
      </c>
      <c r="BT29" s="1468">
        <f>'SDK4'!$N$33</f>
        <v>30</v>
      </c>
      <c r="BU29" s="1468">
        <f>'SDK4'!$N$33</f>
        <v>30</v>
      </c>
      <c r="BV29" s="1468">
        <f>'SDK4'!$N$33</f>
        <v>30</v>
      </c>
      <c r="BW29" s="1468">
        <f>'SDK4'!$N$33</f>
        <v>30</v>
      </c>
      <c r="BX29" s="1468">
        <f>'SDK4'!$N$33</f>
        <v>30</v>
      </c>
      <c r="BY29" s="1468">
        <f>'SDK4'!$N$33</f>
        <v>30</v>
      </c>
      <c r="BZ29" s="1468">
        <f>'SDK4'!$N$33</f>
        <v>30</v>
      </c>
      <c r="CA29" s="1468">
        <f>'SDK4'!$N$33</f>
        <v>30</v>
      </c>
      <c r="CB29" s="1468">
        <f>'SDK4'!$N$33</f>
        <v>30</v>
      </c>
      <c r="CC29" s="1468">
        <f>'SDK4'!$N$33</f>
        <v>30</v>
      </c>
      <c r="CD29" s="1468">
        <f>'SDK4'!$N$33</f>
        <v>30</v>
      </c>
      <c r="CE29" s="1468">
        <f>'SDK4'!$N$33</f>
        <v>30</v>
      </c>
      <c r="CF29" s="1468">
        <f>'SDK4'!$N$33</f>
        <v>30</v>
      </c>
      <c r="CG29" s="1468">
        <f>'SDK4'!$N$33</f>
        <v>30</v>
      </c>
      <c r="CH29" s="1468">
        <f>'SDK4'!$N$33</f>
        <v>30</v>
      </c>
      <c r="CI29" s="1468">
        <f>'SDK4'!$N$33</f>
        <v>30</v>
      </c>
      <c r="CJ29" s="1468">
        <f>'SDK4'!$N$33</f>
        <v>30</v>
      </c>
      <c r="CK29" s="1468">
        <f>'SDK4'!$N$33</f>
        <v>30</v>
      </c>
      <c r="CL29" s="1468">
        <f>'SDK4'!$N$33</f>
        <v>30</v>
      </c>
      <c r="CM29" s="1468">
        <f>'SDK4'!$N$33</f>
        <v>30</v>
      </c>
      <c r="CN29" s="1468">
        <f>'SDK4'!$N$33</f>
        <v>30</v>
      </c>
      <c r="CO29" s="1468">
        <f>'SDK4'!$N$33</f>
        <v>30</v>
      </c>
      <c r="CP29" s="1468">
        <f>'SDK4'!$N$33</f>
        <v>30</v>
      </c>
      <c r="CQ29" s="1468">
        <f>'SDK4'!$N$33</f>
        <v>30</v>
      </c>
      <c r="CR29" s="1468">
        <f>'SDK4'!$N$33</f>
        <v>30</v>
      </c>
      <c r="CS29" s="1468">
        <f>'SDK4'!$N$33</f>
        <v>30</v>
      </c>
      <c r="CT29" s="1468"/>
      <c r="CV29" s="1512" t="s">
        <v>1185</v>
      </c>
      <c r="CW29" s="1480"/>
      <c r="CX29" s="3669">
        <f>SDÖ4!$O$19</f>
        <v>30</v>
      </c>
      <c r="CY29" s="1468">
        <f>SDÖ4!$O$19</f>
        <v>30</v>
      </c>
      <c r="CZ29" s="1468">
        <f>SDÖ4!$O$19</f>
        <v>30</v>
      </c>
      <c r="DA29" s="1468">
        <f>SDÖ4!$O$19</f>
        <v>30</v>
      </c>
      <c r="DB29" s="1468">
        <f>SDÖ4!$O$19</f>
        <v>30</v>
      </c>
      <c r="DC29" s="1468">
        <f>SDÖ4!$O$19</f>
        <v>30</v>
      </c>
      <c r="DD29" s="1468">
        <f>SDÖ4!$O$19</f>
        <v>30</v>
      </c>
      <c r="DE29" s="1468">
        <f>SDÖ4!$O$19</f>
        <v>30</v>
      </c>
      <c r="DF29" s="1468">
        <f>SDÖ4!$O$19</f>
        <v>30</v>
      </c>
      <c r="DG29" s="1468">
        <f>SDÖ4!$O$19</f>
        <v>30</v>
      </c>
      <c r="DH29" s="1468">
        <f>SDÖ4!$O$19</f>
        <v>30</v>
      </c>
      <c r="DI29" s="1468">
        <f>SDÖ4!$O$19</f>
        <v>30</v>
      </c>
      <c r="DJ29" s="1468">
        <f>SDÖ4!$O$19</f>
        <v>30</v>
      </c>
      <c r="DK29" s="1468">
        <f>SDÖ4!$O$19</f>
        <v>30</v>
      </c>
      <c r="DL29" s="1468">
        <f>SDÖ4!$O$19</f>
        <v>30</v>
      </c>
      <c r="DM29" s="1468">
        <f>SDÖ4!$O$19</f>
        <v>30</v>
      </c>
      <c r="DN29" s="1468">
        <f>SDÖ4!$O$19</f>
        <v>30</v>
      </c>
      <c r="DO29" s="1468">
        <f>SDÖ4!$O$19</f>
        <v>30</v>
      </c>
      <c r="DP29" s="1468">
        <f>SDÖ4!$O$19</f>
        <v>30</v>
      </c>
      <c r="DQ29" s="1468">
        <f>SDÖ4!$O$19</f>
        <v>30</v>
      </c>
      <c r="DR29" s="1468"/>
      <c r="DS29" s="1468">
        <f>SDÖ4!$O$19</f>
        <v>30</v>
      </c>
      <c r="DT29" s="1456"/>
      <c r="DU29" s="1468">
        <f>SDÖ4!$O$19</f>
        <v>30</v>
      </c>
      <c r="DV29" s="1468">
        <f>SDÖ4!$O$19</f>
        <v>30</v>
      </c>
      <c r="DW29" s="1468">
        <f>SDÖ4!$O$19</f>
        <v>30</v>
      </c>
      <c r="DX29" s="1468">
        <f>SDÖ4!$O$19</f>
        <v>30</v>
      </c>
      <c r="DY29" s="1466">
        <f>SDÖ4!$O$19</f>
        <v>30</v>
      </c>
      <c r="DZ29" s="1468">
        <f>SDÖ4!$O$19</f>
        <v>30</v>
      </c>
      <c r="EA29" s="1468">
        <f>SDÖ4!$O$19</f>
        <v>30</v>
      </c>
      <c r="EB29" s="1468">
        <f>SDÖ4!$O$19</f>
        <v>30</v>
      </c>
      <c r="EC29" s="1468">
        <f>SDÖ4!$O$19</f>
        <v>30</v>
      </c>
      <c r="ED29" s="1468">
        <f>SDÖ4!$O$19</f>
        <v>30</v>
      </c>
      <c r="EE29" s="1468">
        <f>SDÖ4!$O$19</f>
        <v>30</v>
      </c>
      <c r="EF29" s="1468">
        <f>SDÖ4!$O$19</f>
        <v>30</v>
      </c>
      <c r="EG29" s="1468">
        <f>SDÖ4!$O$19</f>
        <v>30</v>
      </c>
      <c r="EH29" s="1468">
        <f>SDÖ4!$O$19</f>
        <v>30</v>
      </c>
      <c r="EI29" s="1468">
        <f>SDÖ4!$O$19</f>
        <v>30</v>
      </c>
      <c r="EJ29" s="1468">
        <f>SDÖ4!$O$19</f>
        <v>30</v>
      </c>
      <c r="EK29" s="1468">
        <f>SDÖ4!$O$19</f>
        <v>30</v>
      </c>
      <c r="EL29" s="1468">
        <f>SDÖ4!$O$19</f>
        <v>30</v>
      </c>
      <c r="EM29" s="1468">
        <f>SDÖ4!$O$19</f>
        <v>30</v>
      </c>
      <c r="EN29" s="1468">
        <f>SDÖ4!$O$19</f>
        <v>30</v>
      </c>
      <c r="EO29" s="1468">
        <f>SDÖ4!$O$19</f>
        <v>30</v>
      </c>
      <c r="EP29" s="1468">
        <f>SDÖ4!$O$19</f>
        <v>30</v>
      </c>
      <c r="EQ29" s="1456"/>
      <c r="ER29" s="1468">
        <f>SDÖ4!$O$19</f>
        <v>30</v>
      </c>
      <c r="ES29" s="1468">
        <f>SDÖ4!$O$19</f>
        <v>30</v>
      </c>
      <c r="ET29" s="1468">
        <f>SDÖ4!$O$19</f>
        <v>30</v>
      </c>
      <c r="EU29" s="1468">
        <f>SDÖ4!$O$19</f>
        <v>30</v>
      </c>
      <c r="EV29" s="1466">
        <f>SDÖ4!$O$19</f>
        <v>30</v>
      </c>
      <c r="EW29" s="1468">
        <f>SDÖ4!$O$19</f>
        <v>30</v>
      </c>
      <c r="EX29" s="1468">
        <f>SDÖ4!$O$19</f>
        <v>30</v>
      </c>
      <c r="EY29" s="1468">
        <f>SDÖ4!$O$19</f>
        <v>30</v>
      </c>
      <c r="EZ29" s="1468">
        <f>SDÖ4!$O$19</f>
        <v>30</v>
      </c>
      <c r="FA29" s="1468">
        <f>SDÖ4!$O$19</f>
        <v>30</v>
      </c>
      <c r="FB29" s="1468">
        <f>SDÖ4!$O$19</f>
        <v>30</v>
      </c>
      <c r="FC29" s="1468">
        <f>SDÖ4!$O$19</f>
        <v>30</v>
      </c>
      <c r="FD29" s="1468">
        <f>SDÖ4!$O$19</f>
        <v>30</v>
      </c>
      <c r="FE29" s="1468">
        <f>SDÖ4!$O$19</f>
        <v>30</v>
      </c>
      <c r="FF29" s="1468">
        <f>SDÖ4!$O$19</f>
        <v>30</v>
      </c>
      <c r="FG29" s="1468">
        <f>SDÖ4!$O$19</f>
        <v>30</v>
      </c>
      <c r="FH29" s="1468">
        <f>SDÖ4!$O$19</f>
        <v>30</v>
      </c>
      <c r="FI29" s="1468">
        <f>SDÖ4!$O$19</f>
        <v>30</v>
      </c>
      <c r="FJ29" s="1468">
        <f>SDÖ4!$O$19</f>
        <v>30</v>
      </c>
      <c r="FK29" s="1468">
        <f>SDÖ4!$O$19</f>
        <v>30</v>
      </c>
      <c r="FL29" s="1468">
        <f>SDÖ4!$O$19</f>
        <v>30</v>
      </c>
      <c r="FM29" s="1468">
        <f>SDÖ4!$O$19</f>
        <v>30</v>
      </c>
    </row>
    <row r="30" spans="1:169" ht="16.149999999999999" customHeight="1">
      <c r="A30" s="1463">
        <f>ROWS($A$1:A30)</f>
        <v>30</v>
      </c>
      <c r="B30" s="1512" t="s">
        <v>1184</v>
      </c>
      <c r="C30" s="1480"/>
      <c r="D30" s="3669">
        <f>'SDK4'!$P$45</f>
        <v>253.33333333333334</v>
      </c>
      <c r="E30" s="1537">
        <f>'SDK4'!$P$45</f>
        <v>253.33333333333334</v>
      </c>
      <c r="F30" s="1537">
        <f>'SDK4'!$P$45</f>
        <v>253.33333333333334</v>
      </c>
      <c r="G30" s="1537">
        <f>'SDK4'!$P$45</f>
        <v>253.33333333333334</v>
      </c>
      <c r="H30" s="1537">
        <f>'SDK4'!$P$45</f>
        <v>253.33333333333334</v>
      </c>
      <c r="I30" s="1537">
        <f>'SDK4'!$P$45</f>
        <v>253.33333333333334</v>
      </c>
      <c r="J30" s="1537">
        <f>'SDK4'!$P$45</f>
        <v>253.33333333333334</v>
      </c>
      <c r="K30" s="1537">
        <f>'SDK4'!$P$45</f>
        <v>253.33333333333334</v>
      </c>
      <c r="L30" s="1537">
        <f>'SDK4'!$P$45</f>
        <v>253.33333333333334</v>
      </c>
      <c r="M30" s="1537">
        <f>'SDK4'!$P$45</f>
        <v>253.33333333333334</v>
      </c>
      <c r="N30" s="1537">
        <f>'SDK4'!$P$45</f>
        <v>253.33333333333334</v>
      </c>
      <c r="O30" s="1537">
        <f>'SDK4'!$P$45</f>
        <v>253.33333333333334</v>
      </c>
      <c r="P30" s="1537">
        <f>'SDK4'!$P$45</f>
        <v>253.33333333333334</v>
      </c>
      <c r="Q30" s="1537">
        <f>'SDK4'!$P$45</f>
        <v>253.33333333333334</v>
      </c>
      <c r="R30" s="1537">
        <f>'SDK4'!$P$45</f>
        <v>253.33333333333334</v>
      </c>
      <c r="S30" s="1537">
        <f>'SDK4'!$P$45</f>
        <v>253.33333333333334</v>
      </c>
      <c r="T30" s="1537">
        <f>'SDK4'!$P$45</f>
        <v>253.33333333333334</v>
      </c>
      <c r="U30" s="1537">
        <f>'SDK4'!$P$45</f>
        <v>253.33333333333334</v>
      </c>
      <c r="V30" s="1537">
        <f>'SDK4'!$P$45</f>
        <v>253.33333333333334</v>
      </c>
      <c r="W30" s="1537">
        <f>'SDK4'!$P$45</f>
        <v>253.33333333333334</v>
      </c>
      <c r="X30" s="1537">
        <f>'SDK4'!$P$45</f>
        <v>253.33333333333334</v>
      </c>
      <c r="Y30" s="1537">
        <f>'SDK4'!$P$45</f>
        <v>253.33333333333334</v>
      </c>
      <c r="Z30" s="1537">
        <f>'SDK4'!$P$45</f>
        <v>253.33333333333334</v>
      </c>
      <c r="AA30" s="1537">
        <f>'SDK4'!$P$45</f>
        <v>253.33333333333334</v>
      </c>
      <c r="AB30" s="1537">
        <f>'SDK4'!$P$45</f>
        <v>253.33333333333334</v>
      </c>
      <c r="AC30" s="1537">
        <f>'SDK4'!$P$45</f>
        <v>253.33333333333334</v>
      </c>
      <c r="AD30" s="1537">
        <f>'SDK4'!$P$45</f>
        <v>253.33333333333334</v>
      </c>
      <c r="AE30" s="1537">
        <f>'SDK4'!$P$45</f>
        <v>253.33333333333334</v>
      </c>
      <c r="AF30" s="1537">
        <f>'SDK4'!$P$45</f>
        <v>253.33333333333334</v>
      </c>
      <c r="AG30" s="1537">
        <f>'SDK4'!$P$45</f>
        <v>253.33333333333334</v>
      </c>
      <c r="AH30" s="1468"/>
      <c r="AI30" s="1465"/>
      <c r="AJ30" s="1466">
        <f>'SDK4'!$P$46</f>
        <v>303.33333333333331</v>
      </c>
      <c r="AK30" s="1466">
        <f>'SDK4'!$P$46</f>
        <v>303.33333333333331</v>
      </c>
      <c r="AL30" s="1466">
        <f>'SDK4'!$P$46</f>
        <v>303.33333333333331</v>
      </c>
      <c r="AM30" s="1466">
        <f>'SDK4'!$P$46</f>
        <v>303.33333333333331</v>
      </c>
      <c r="AN30" s="1466">
        <f>'SDK4'!$P$46</f>
        <v>303.33333333333331</v>
      </c>
      <c r="AO30" s="1466">
        <f>'SDK4'!$P$46</f>
        <v>303.33333333333331</v>
      </c>
      <c r="AP30" s="1466">
        <f>'SDK4'!$P$46</f>
        <v>303.33333333333331</v>
      </c>
      <c r="AQ30" s="1466">
        <f>'SDK4'!$P$46</f>
        <v>303.33333333333331</v>
      </c>
      <c r="AR30" s="1466">
        <f>'SDK4'!$P$46</f>
        <v>303.33333333333331</v>
      </c>
      <c r="AS30" s="1466">
        <f>'SDK4'!$P$46</f>
        <v>303.33333333333331</v>
      </c>
      <c r="AT30" s="1466">
        <f>'SDK4'!$P$46</f>
        <v>303.33333333333331</v>
      </c>
      <c r="AU30" s="1466">
        <f>'SDK4'!$P$46</f>
        <v>303.33333333333331</v>
      </c>
      <c r="AV30" s="1466">
        <f>'SDK4'!$P$46</f>
        <v>303.33333333333331</v>
      </c>
      <c r="AW30" s="1466">
        <f>'SDK4'!$P$46</f>
        <v>303.33333333333331</v>
      </c>
      <c r="AX30" s="1466">
        <f>'SDK4'!$P$46</f>
        <v>303.33333333333331</v>
      </c>
      <c r="AY30" s="1466">
        <f>'SDK4'!$P$46</f>
        <v>303.33333333333331</v>
      </c>
      <c r="AZ30" s="1466">
        <f>'SDK4'!$P$46</f>
        <v>303.33333333333331</v>
      </c>
      <c r="BA30" s="1466">
        <f>'SDK4'!$P$46</f>
        <v>303.33333333333331</v>
      </c>
      <c r="BB30" s="1466">
        <f>'SDK4'!$P$46</f>
        <v>303.33333333333331</v>
      </c>
      <c r="BC30" s="1466">
        <f>'SDK4'!$P$46</f>
        <v>303.33333333333331</v>
      </c>
      <c r="BD30" s="1466">
        <f>'SDK4'!$P$46</f>
        <v>303.33333333333331</v>
      </c>
      <c r="BE30" s="1466">
        <f>'SDK4'!$P$46</f>
        <v>303.33333333333331</v>
      </c>
      <c r="BF30" s="1466">
        <f>'SDK4'!$P$46</f>
        <v>303.33333333333331</v>
      </c>
      <c r="BG30" s="1466">
        <f>'SDK4'!$P$46</f>
        <v>303.33333333333331</v>
      </c>
      <c r="BH30" s="1466">
        <f>'SDK4'!$P$46</f>
        <v>303.33333333333331</v>
      </c>
      <c r="BI30" s="1466">
        <f>'SDK4'!$P$46</f>
        <v>303.33333333333331</v>
      </c>
      <c r="BJ30" s="1466">
        <f>'SDK4'!$P$46</f>
        <v>303.33333333333331</v>
      </c>
      <c r="BK30" s="1466">
        <f>'SDK4'!$P$46</f>
        <v>303.33333333333331</v>
      </c>
      <c r="BL30" s="1466">
        <f>'SDK4'!$P$46</f>
        <v>303.33333333333331</v>
      </c>
      <c r="BM30" s="1466">
        <f>'SDK4'!$P$46</f>
        <v>303.33333333333331</v>
      </c>
      <c r="BN30" s="1466">
        <f>'SDK4'!$P$46</f>
        <v>303.33333333333331</v>
      </c>
      <c r="BO30" s="1465"/>
      <c r="BP30" s="1466">
        <f>'SDK4'!$P$47</f>
        <v>353.33333333333331</v>
      </c>
      <c r="BQ30" s="1466">
        <f>'SDK4'!$P$47</f>
        <v>353.33333333333331</v>
      </c>
      <c r="BR30" s="1466">
        <f>'SDK4'!$P$47</f>
        <v>353.33333333333331</v>
      </c>
      <c r="BS30" s="1466">
        <f>'SDK4'!$P$47</f>
        <v>353.33333333333331</v>
      </c>
      <c r="BT30" s="1466">
        <f>'SDK4'!$P$47</f>
        <v>353.33333333333331</v>
      </c>
      <c r="BU30" s="1466">
        <f>'SDK4'!$P$47</f>
        <v>353.33333333333331</v>
      </c>
      <c r="BV30" s="1466">
        <f>'SDK4'!$P$47</f>
        <v>353.33333333333331</v>
      </c>
      <c r="BW30" s="1466">
        <f>'SDK4'!$P$47</f>
        <v>353.33333333333331</v>
      </c>
      <c r="BX30" s="1466">
        <f>'SDK4'!$P$47</f>
        <v>353.33333333333331</v>
      </c>
      <c r="BY30" s="1466">
        <f>'SDK4'!$P$47</f>
        <v>353.33333333333331</v>
      </c>
      <c r="BZ30" s="1466">
        <f>'SDK4'!$P$47</f>
        <v>353.33333333333331</v>
      </c>
      <c r="CA30" s="1466">
        <f>'SDK4'!$P$47</f>
        <v>353.33333333333331</v>
      </c>
      <c r="CB30" s="1466">
        <f>'SDK4'!$P$47</f>
        <v>353.33333333333331</v>
      </c>
      <c r="CC30" s="1466">
        <f>'SDK4'!$P$47</f>
        <v>353.33333333333331</v>
      </c>
      <c r="CD30" s="1466">
        <f>'SDK4'!$P$47</f>
        <v>353.33333333333331</v>
      </c>
      <c r="CE30" s="1466">
        <f>'SDK4'!$P$47</f>
        <v>353.33333333333331</v>
      </c>
      <c r="CF30" s="1466">
        <f>'SDK4'!$P$47</f>
        <v>353.33333333333331</v>
      </c>
      <c r="CG30" s="1466">
        <f>'SDK4'!$P$47</f>
        <v>353.33333333333331</v>
      </c>
      <c r="CH30" s="1466">
        <f>'SDK4'!$P$47</f>
        <v>353.33333333333331</v>
      </c>
      <c r="CI30" s="1466">
        <f>'SDK4'!$P$47</f>
        <v>353.33333333333331</v>
      </c>
      <c r="CJ30" s="1466">
        <f>'SDK4'!$P$47</f>
        <v>353.33333333333331</v>
      </c>
      <c r="CK30" s="1466">
        <f>'SDK4'!$P$47</f>
        <v>353.33333333333331</v>
      </c>
      <c r="CL30" s="1466">
        <f>'SDK4'!$P$47</f>
        <v>353.33333333333331</v>
      </c>
      <c r="CM30" s="1466">
        <f>'SDK4'!$P$47</f>
        <v>353.33333333333331</v>
      </c>
      <c r="CN30" s="1466">
        <f>'SDK4'!$P$47</f>
        <v>353.33333333333331</v>
      </c>
      <c r="CO30" s="1466">
        <f>'SDK4'!$P$47</f>
        <v>353.33333333333331</v>
      </c>
      <c r="CP30" s="1466">
        <f>'SDK4'!$P$47</f>
        <v>353.33333333333331</v>
      </c>
      <c r="CQ30" s="1466">
        <f>'SDK4'!$P$47</f>
        <v>353.33333333333331</v>
      </c>
      <c r="CR30" s="1466">
        <f>'SDK4'!$P$47</f>
        <v>353.33333333333331</v>
      </c>
      <c r="CS30" s="1466">
        <f>'SDK4'!$P$47</f>
        <v>353.33333333333331</v>
      </c>
      <c r="CT30" s="1466">
        <f>'SDK4'!$P$47</f>
        <v>353.33333333333331</v>
      </c>
      <c r="CV30" s="1512" t="s">
        <v>1184</v>
      </c>
      <c r="CW30" s="1480"/>
      <c r="CX30" s="3669">
        <f>SDÖ4!$O$48</f>
        <v>234.33333333333334</v>
      </c>
      <c r="CY30" s="1468">
        <f>SDÖ4!$O$48</f>
        <v>234.33333333333334</v>
      </c>
      <c r="CZ30" s="1468">
        <f>SDÖ4!$O$48</f>
        <v>234.33333333333334</v>
      </c>
      <c r="DA30" s="1468">
        <f>SDÖ4!$O$48</f>
        <v>234.33333333333334</v>
      </c>
      <c r="DB30" s="1468">
        <f>SDÖ4!$O$48</f>
        <v>234.33333333333334</v>
      </c>
      <c r="DC30" s="1468">
        <f>SDÖ4!$O$48</f>
        <v>234.33333333333334</v>
      </c>
      <c r="DD30" s="1468">
        <f>SDÖ4!$O$48</f>
        <v>234.33333333333334</v>
      </c>
      <c r="DE30" s="1468">
        <f>SDÖ4!$O$48</f>
        <v>234.33333333333334</v>
      </c>
      <c r="DF30" s="1468">
        <f>SDÖ4!$O$48</f>
        <v>234.33333333333334</v>
      </c>
      <c r="DG30" s="1468">
        <f>SDÖ4!$O$48</f>
        <v>234.33333333333334</v>
      </c>
      <c r="DH30" s="1468">
        <f>SDÖ4!$O$48</f>
        <v>234.33333333333334</v>
      </c>
      <c r="DI30" s="1468">
        <f>SDÖ4!$O$48</f>
        <v>234.33333333333334</v>
      </c>
      <c r="DJ30" s="1468">
        <f>SDÖ4!$O$48</f>
        <v>234.33333333333334</v>
      </c>
      <c r="DK30" s="1468">
        <f>SDÖ4!$O$48</f>
        <v>234.33333333333334</v>
      </c>
      <c r="DL30" s="1468">
        <f>SDÖ4!$O$48</f>
        <v>234.33333333333334</v>
      </c>
      <c r="DM30" s="1468">
        <f>SDÖ4!$O$48</f>
        <v>234.33333333333334</v>
      </c>
      <c r="DN30" s="1468">
        <f>SDÖ4!$O$48</f>
        <v>234.33333333333334</v>
      </c>
      <c r="DO30" s="1468">
        <f>SDÖ4!$O$48</f>
        <v>234.33333333333334</v>
      </c>
      <c r="DP30" s="1468">
        <f>SDÖ4!$O$48</f>
        <v>234.33333333333334</v>
      </c>
      <c r="DQ30" s="1468">
        <f>SDÖ4!$O$48</f>
        <v>234.33333333333334</v>
      </c>
      <c r="DR30" s="1468">
        <f>SDÖ4!$O$49</f>
        <v>260</v>
      </c>
      <c r="DS30" s="1468">
        <f>SDÖ4!$O$49</f>
        <v>260</v>
      </c>
      <c r="DT30" s="1456"/>
      <c r="DU30" s="1468">
        <f>SDÖ4!$O$49</f>
        <v>260</v>
      </c>
      <c r="DV30" s="1468">
        <f>SDÖ4!$O$49</f>
        <v>260</v>
      </c>
      <c r="DW30" s="1468">
        <f>SDÖ4!$O$49</f>
        <v>260</v>
      </c>
      <c r="DX30" s="1468">
        <f>SDÖ4!$O$49</f>
        <v>260</v>
      </c>
      <c r="DY30" s="1466">
        <f>SDÖ4!$O$49</f>
        <v>260</v>
      </c>
      <c r="DZ30" s="1468">
        <f>SDÖ4!$O$49</f>
        <v>260</v>
      </c>
      <c r="EA30" s="1468">
        <f>SDÖ4!$O$49</f>
        <v>260</v>
      </c>
      <c r="EB30" s="1468">
        <f>SDÖ4!$O$49</f>
        <v>260</v>
      </c>
      <c r="EC30" s="1468">
        <f>SDÖ4!$O$49</f>
        <v>260</v>
      </c>
      <c r="ED30" s="1468">
        <f>SDÖ4!$O$49</f>
        <v>260</v>
      </c>
      <c r="EE30" s="1468">
        <f>SDÖ4!$O$49</f>
        <v>260</v>
      </c>
      <c r="EF30" s="1468">
        <f>SDÖ4!$O$49</f>
        <v>260</v>
      </c>
      <c r="EG30" s="1468">
        <f>SDÖ4!$O$49</f>
        <v>260</v>
      </c>
      <c r="EH30" s="1468">
        <f>SDÖ4!$O$49</f>
        <v>260</v>
      </c>
      <c r="EI30" s="1468">
        <f>SDÖ4!$O$49</f>
        <v>260</v>
      </c>
      <c r="EJ30" s="1468">
        <f>SDÖ4!$O$49</f>
        <v>260</v>
      </c>
      <c r="EK30" s="1468">
        <f>SDÖ4!$O$49</f>
        <v>260</v>
      </c>
      <c r="EL30" s="1468">
        <f>SDÖ4!$O$49</f>
        <v>260</v>
      </c>
      <c r="EM30" s="1468">
        <f>SDÖ4!$O$49</f>
        <v>260</v>
      </c>
      <c r="EN30" s="1468">
        <f>SDÖ4!$O$49</f>
        <v>260</v>
      </c>
      <c r="EO30" s="1468">
        <f>SDÖ4!$O$49</f>
        <v>260</v>
      </c>
      <c r="EP30" s="1468">
        <f>SDÖ4!$O$49</f>
        <v>260</v>
      </c>
      <c r="EQ30" s="1456"/>
      <c r="ER30" s="1468">
        <f>SDÖ4!$O$49</f>
        <v>260</v>
      </c>
      <c r="ES30" s="1468">
        <f>SDÖ4!$O$49</f>
        <v>260</v>
      </c>
      <c r="ET30" s="1468">
        <f>SDÖ4!$O$49</f>
        <v>260</v>
      </c>
      <c r="EU30" s="1468">
        <f>SDÖ4!$O$49</f>
        <v>260</v>
      </c>
      <c r="EV30" s="1466">
        <f>SDÖ4!$O$49</f>
        <v>260</v>
      </c>
      <c r="EW30" s="1468">
        <f>SDÖ4!$O$49</f>
        <v>260</v>
      </c>
      <c r="EX30" s="1468">
        <f>SDÖ4!$O$49</f>
        <v>260</v>
      </c>
      <c r="EY30" s="1468">
        <f>SDÖ4!$O$49</f>
        <v>260</v>
      </c>
      <c r="EZ30" s="1468">
        <f>SDÖ4!$O$49</f>
        <v>260</v>
      </c>
      <c r="FA30" s="1468">
        <f>SDÖ4!$O$49</f>
        <v>260</v>
      </c>
      <c r="FB30" s="1468">
        <f>SDÖ4!$O$49</f>
        <v>260</v>
      </c>
      <c r="FC30" s="1468">
        <f>SDÖ4!$O$49</f>
        <v>260</v>
      </c>
      <c r="FD30" s="1468">
        <f>SDÖ4!$O$49</f>
        <v>260</v>
      </c>
      <c r="FE30" s="1468">
        <f>SDÖ4!$O$49</f>
        <v>260</v>
      </c>
      <c r="FF30" s="1468">
        <f>SDÖ4!$O$49</f>
        <v>260</v>
      </c>
      <c r="FG30" s="1468">
        <f>SDÖ4!$O$49</f>
        <v>260</v>
      </c>
      <c r="FH30" s="1468">
        <f>SDÖ4!$O$49</f>
        <v>260</v>
      </c>
      <c r="FI30" s="1468">
        <f>SDÖ4!$O$49</f>
        <v>260</v>
      </c>
      <c r="FJ30" s="1468">
        <f>SDÖ4!$O$49</f>
        <v>260</v>
      </c>
      <c r="FK30" s="1468">
        <f>SDÖ4!$O$49</f>
        <v>260</v>
      </c>
      <c r="FL30" s="1468">
        <f>SDÖ4!$O$49</f>
        <v>260</v>
      </c>
      <c r="FM30" s="1468">
        <f>SDÖ4!$O$49</f>
        <v>260</v>
      </c>
    </row>
    <row r="31" spans="1:169" ht="16.149999999999999" customHeight="1">
      <c r="A31" s="1463">
        <f>ROWS($A$1:A31)</f>
        <v>31</v>
      </c>
      <c r="B31" s="1512" t="s">
        <v>1183</v>
      </c>
      <c r="C31" s="1480"/>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f>AA6*'SDK4'!$P$52*'SDK1'!$M$62%</f>
        <v>0</v>
      </c>
      <c r="AB31" s="1468"/>
      <c r="AC31" s="1468"/>
      <c r="AD31" s="1468"/>
      <c r="AE31" s="1468"/>
      <c r="AF31" s="1468"/>
      <c r="AG31" s="1468"/>
      <c r="AH31" s="1468"/>
      <c r="AI31" s="1465"/>
      <c r="AJ31" s="1466"/>
      <c r="AK31" s="1468"/>
      <c r="AL31" s="1468"/>
      <c r="AM31" s="1468"/>
      <c r="AN31" s="1468"/>
      <c r="AO31" s="1468"/>
      <c r="AP31" s="1468"/>
      <c r="AQ31" s="1468"/>
      <c r="AR31" s="1468"/>
      <c r="AS31" s="1468"/>
      <c r="AT31" s="1468"/>
      <c r="AU31" s="1468"/>
      <c r="AV31" s="1468"/>
      <c r="AW31" s="1468"/>
      <c r="AX31" s="1468"/>
      <c r="AY31" s="1468"/>
      <c r="AZ31" s="1468"/>
      <c r="BA31" s="1468"/>
      <c r="BB31" s="1468"/>
      <c r="BC31" s="1468"/>
      <c r="BD31" s="1468"/>
      <c r="BE31" s="1468"/>
      <c r="BF31" s="1468"/>
      <c r="BG31" s="1468">
        <f>BG6*'SDK4'!$P$52*'SDK1'!$M$62%</f>
        <v>0</v>
      </c>
      <c r="BH31" s="1468"/>
      <c r="BI31" s="1468"/>
      <c r="BJ31" s="1468"/>
      <c r="BK31" s="1468"/>
      <c r="BL31" s="1468"/>
      <c r="BM31" s="1468"/>
      <c r="BN31" s="1468"/>
      <c r="BO31" s="1465"/>
      <c r="BP31" s="1466"/>
      <c r="BQ31" s="1468"/>
      <c r="BR31" s="1468"/>
      <c r="BS31" s="1468"/>
      <c r="BT31" s="1468"/>
      <c r="BU31" s="1468"/>
      <c r="BV31" s="1468"/>
      <c r="BW31" s="1468"/>
      <c r="BX31" s="1468"/>
      <c r="BY31" s="1468"/>
      <c r="BZ31" s="1468"/>
      <c r="CA31" s="1468"/>
      <c r="CB31" s="1468"/>
      <c r="CC31" s="1468"/>
      <c r="CD31" s="1468"/>
      <c r="CE31" s="1468"/>
      <c r="CF31" s="1468"/>
      <c r="CG31" s="1468"/>
      <c r="CH31" s="1468"/>
      <c r="CI31" s="1468"/>
      <c r="CJ31" s="1468"/>
      <c r="CK31" s="1468"/>
      <c r="CL31" s="1468"/>
      <c r="CM31" s="1468">
        <f>CM6*'SDK4'!$P$52*'SDK1'!$M$62%</f>
        <v>0</v>
      </c>
      <c r="CN31" s="1468"/>
      <c r="CO31" s="1468"/>
      <c r="CP31" s="1468"/>
      <c r="CQ31" s="1468"/>
      <c r="CR31" s="1468"/>
      <c r="CS31" s="1468"/>
      <c r="CT31" s="1468"/>
      <c r="CV31" s="4828" t="s">
        <v>1985</v>
      </c>
      <c r="CW31" s="4829"/>
      <c r="CX31" s="1468"/>
      <c r="CY31" s="1468"/>
      <c r="CZ31" s="1468"/>
      <c r="DA31" s="1468"/>
      <c r="DB31" s="1468"/>
      <c r="DC31" s="1468"/>
      <c r="DD31" s="1468"/>
      <c r="DE31" s="1468"/>
      <c r="DF31" s="1468"/>
      <c r="DG31" s="1468"/>
      <c r="DH31" s="1468"/>
      <c r="DI31" s="1468"/>
      <c r="DJ31" s="1468"/>
      <c r="DK31" s="1468"/>
      <c r="DL31" s="1468"/>
      <c r="DM31" s="1468"/>
      <c r="DN31" s="1468"/>
      <c r="DO31" s="1468"/>
      <c r="DP31" s="1468"/>
      <c r="DQ31" s="1468"/>
      <c r="DR31" s="1468"/>
      <c r="DS31" s="1468"/>
      <c r="DT31" s="1456"/>
      <c r="DU31" s="1468"/>
      <c r="DV31" s="1468"/>
      <c r="DW31" s="1468"/>
      <c r="DX31" s="1468"/>
      <c r="DY31" s="1466"/>
      <c r="DZ31" s="1468"/>
      <c r="EA31" s="1468"/>
      <c r="EB31" s="1468"/>
      <c r="EC31" s="1468"/>
      <c r="ED31" s="1468"/>
      <c r="EE31" s="1468"/>
      <c r="EF31" s="1468"/>
      <c r="EG31" s="1468"/>
      <c r="EH31" s="1468"/>
      <c r="EI31" s="1468"/>
      <c r="EJ31" s="1468"/>
      <c r="EK31" s="1468"/>
      <c r="EL31" s="1468"/>
      <c r="EM31" s="1468"/>
      <c r="EN31" s="1468"/>
      <c r="EO31" s="1468"/>
      <c r="EP31" s="1468"/>
      <c r="EQ31" s="1456"/>
      <c r="ER31" s="1468"/>
      <c r="ES31" s="1468"/>
      <c r="ET31" s="1468"/>
      <c r="EU31" s="1468"/>
      <c r="EV31" s="1466"/>
      <c r="EW31" s="1468"/>
      <c r="EX31" s="1468"/>
      <c r="EY31" s="1468"/>
      <c r="EZ31" s="1468"/>
      <c r="FA31" s="1468"/>
      <c r="FB31" s="1468"/>
      <c r="FC31" s="1468"/>
      <c r="FD31" s="1468"/>
      <c r="FE31" s="1468"/>
      <c r="FF31" s="1468"/>
      <c r="FG31" s="1468"/>
      <c r="FH31" s="1468"/>
      <c r="FI31" s="1468"/>
      <c r="FJ31" s="1468"/>
      <c r="FK31" s="1468"/>
      <c r="FL31" s="1468"/>
      <c r="FM31" s="1468"/>
    </row>
    <row r="32" spans="1:169" ht="16.149999999999999" customHeight="1">
      <c r="A32" s="1463">
        <f>ROWS($A$1:A32)</f>
        <v>32</v>
      </c>
      <c r="B32" s="1512" t="s">
        <v>1182</v>
      </c>
      <c r="C32" s="1536">
        <f>'SDK4'!P50</f>
        <v>16.833333333333332</v>
      </c>
      <c r="D32" s="1468">
        <f>$C$32*D27</f>
        <v>186.446</v>
      </c>
      <c r="E32" s="1468">
        <f t="shared" ref="E32:AH32" si="51">$C$32*E27</f>
        <v>167.86200000000002</v>
      </c>
      <c r="F32" s="1468">
        <f t="shared" si="51"/>
        <v>166.85200000000003</v>
      </c>
      <c r="G32" s="1468">
        <f t="shared" si="51"/>
        <v>166.85200000000003</v>
      </c>
      <c r="H32" s="1468">
        <f t="shared" si="51"/>
        <v>155.94399999999999</v>
      </c>
      <c r="I32" s="1468">
        <f t="shared" si="51"/>
        <v>155.94399999999999</v>
      </c>
      <c r="J32" s="1468">
        <f t="shared" si="51"/>
        <v>166.85200000000003</v>
      </c>
      <c r="K32" s="1468">
        <f t="shared" si="51"/>
        <v>165.84199999999998</v>
      </c>
      <c r="L32" s="1468">
        <f t="shared" si="51"/>
        <v>156.95400000000001</v>
      </c>
      <c r="M32" s="1468">
        <f t="shared" si="51"/>
        <v>154.934</v>
      </c>
      <c r="N32" s="1468">
        <f t="shared" si="51"/>
        <v>153.92399999999995</v>
      </c>
      <c r="O32" s="1468">
        <f t="shared" si="51"/>
        <v>143.01599999999996</v>
      </c>
      <c r="P32" s="1468">
        <f t="shared" si="51"/>
        <v>178.97199999999998</v>
      </c>
      <c r="Q32" s="1468">
        <f t="shared" si="51"/>
        <v>137.35999999999999</v>
      </c>
      <c r="R32" s="1468">
        <f t="shared" si="51"/>
        <v>150.08599999999998</v>
      </c>
      <c r="S32" s="1468">
        <f t="shared" si="51"/>
        <v>171.49799999999999</v>
      </c>
      <c r="T32" s="1468">
        <f t="shared" si="51"/>
        <v>159.37800000000001</v>
      </c>
      <c r="U32" s="1468">
        <f t="shared" si="51"/>
        <v>152.91399999999999</v>
      </c>
      <c r="V32" s="1468">
        <f t="shared" si="51"/>
        <v>127.86599999999999</v>
      </c>
      <c r="W32" s="1468">
        <f t="shared" si="51"/>
        <v>153.92399999999995</v>
      </c>
      <c r="X32" s="1468">
        <f t="shared" si="51"/>
        <v>131.50199999999998</v>
      </c>
      <c r="Y32" s="1468">
        <f t="shared" si="51"/>
        <v>130.29</v>
      </c>
      <c r="Z32" s="1468">
        <f t="shared" si="51"/>
        <v>126.25</v>
      </c>
      <c r="AA32" s="1468">
        <f t="shared" si="51"/>
        <v>181.19399999999996</v>
      </c>
      <c r="AB32" s="1468">
        <f t="shared" si="51"/>
        <v>360.91628571428566</v>
      </c>
      <c r="AC32" s="1468">
        <f t="shared" si="51"/>
        <v>623.26619047619045</v>
      </c>
      <c r="AD32" s="1468">
        <f t="shared" si="51"/>
        <v>410.3004761904761</v>
      </c>
      <c r="AE32" s="1468">
        <f t="shared" si="51"/>
        <v>577.74404761904759</v>
      </c>
      <c r="AF32" s="1468">
        <f t="shared" si="51"/>
        <v>0</v>
      </c>
      <c r="AG32" s="1468">
        <f t="shared" si="51"/>
        <v>111.504</v>
      </c>
      <c r="AH32" s="1468">
        <f t="shared" si="51"/>
        <v>129.98699999999999</v>
      </c>
      <c r="AI32" s="1465"/>
      <c r="AJ32" s="1466">
        <f t="shared" ref="AJ32:BN32" si="52">$C$32*AJ27</f>
        <v>205.232</v>
      </c>
      <c r="AK32" s="1468">
        <f t="shared" si="52"/>
        <v>180.58799999999999</v>
      </c>
      <c r="AL32" s="1468">
        <f t="shared" si="52"/>
        <v>179.57799999999997</v>
      </c>
      <c r="AM32" s="1468">
        <f t="shared" si="52"/>
        <v>178.56799999999998</v>
      </c>
      <c r="AN32" s="1468">
        <f t="shared" si="52"/>
        <v>157.964</v>
      </c>
      <c r="AO32" s="1468">
        <f t="shared" si="52"/>
        <v>158.97399999999999</v>
      </c>
      <c r="AP32" s="1468">
        <f t="shared" si="52"/>
        <v>169.88200000000003</v>
      </c>
      <c r="AQ32" s="1468">
        <f t="shared" si="52"/>
        <v>177.55800000000002</v>
      </c>
      <c r="AR32" s="1468">
        <f t="shared" si="52"/>
        <v>156.95400000000001</v>
      </c>
      <c r="AS32" s="1468">
        <f t="shared" si="52"/>
        <v>156.95400000000001</v>
      </c>
      <c r="AT32" s="1468">
        <f t="shared" si="52"/>
        <v>155.94399999999999</v>
      </c>
      <c r="AU32" s="1468">
        <f t="shared" si="52"/>
        <v>155.94399999999999</v>
      </c>
      <c r="AV32" s="1468">
        <f t="shared" si="52"/>
        <v>182.00199999999998</v>
      </c>
      <c r="AW32" s="1468">
        <f t="shared" si="52"/>
        <v>141.4</v>
      </c>
      <c r="AX32" s="1468">
        <f t="shared" si="52"/>
        <v>152.10599999999999</v>
      </c>
      <c r="AY32" s="1468">
        <f t="shared" si="52"/>
        <v>184.42599999999999</v>
      </c>
      <c r="AZ32" s="1468">
        <f t="shared" si="52"/>
        <v>171.49799999999999</v>
      </c>
      <c r="BA32" s="1468">
        <f t="shared" si="52"/>
        <v>153.92399999999995</v>
      </c>
      <c r="BB32" s="1468">
        <f t="shared" si="52"/>
        <v>130.29</v>
      </c>
      <c r="BC32" s="1468">
        <f t="shared" si="52"/>
        <v>154.934</v>
      </c>
      <c r="BD32" s="1468">
        <f t="shared" si="52"/>
        <v>131.50199999999998</v>
      </c>
      <c r="BE32" s="1468">
        <f t="shared" si="52"/>
        <v>131.50199999999998</v>
      </c>
      <c r="BF32" s="1468">
        <f t="shared" si="52"/>
        <v>129.27999999999997</v>
      </c>
      <c r="BG32" s="1468">
        <f t="shared" si="52"/>
        <v>181.19399999999996</v>
      </c>
      <c r="BH32" s="1468">
        <f t="shared" si="52"/>
        <v>380.86619047619041</v>
      </c>
      <c r="BI32" s="1468">
        <f t="shared" si="52"/>
        <v>629.2299999999999</v>
      </c>
      <c r="BJ32" s="1468">
        <f t="shared" si="52"/>
        <v>422.32428571428568</v>
      </c>
      <c r="BK32" s="1468">
        <f t="shared" si="52"/>
        <v>587.84404761904761</v>
      </c>
      <c r="BL32" s="1468">
        <f t="shared" si="52"/>
        <v>0</v>
      </c>
      <c r="BM32" s="1468">
        <f t="shared" si="52"/>
        <v>111.504</v>
      </c>
      <c r="BN32" s="1468">
        <f t="shared" si="52"/>
        <v>129.98699999999999</v>
      </c>
      <c r="BO32" s="1465"/>
      <c r="BP32" s="1466">
        <f t="shared" ref="BP32:CT32" si="53">$C$32*BP27</f>
        <v>234.92600000000002</v>
      </c>
      <c r="BQ32" s="1468">
        <f t="shared" si="53"/>
        <v>193.31400000000002</v>
      </c>
      <c r="BR32" s="1468">
        <f t="shared" si="53"/>
        <v>192.30399999999997</v>
      </c>
      <c r="BS32" s="1468">
        <f t="shared" si="53"/>
        <v>190.28400000000002</v>
      </c>
      <c r="BT32" s="1468">
        <f t="shared" si="53"/>
        <v>180.58799999999999</v>
      </c>
      <c r="BU32" s="1468">
        <f t="shared" si="53"/>
        <v>172.70999999999995</v>
      </c>
      <c r="BV32" s="1468">
        <f t="shared" si="53"/>
        <v>182.60799999999998</v>
      </c>
      <c r="BW32" s="1468">
        <f t="shared" si="53"/>
        <v>179.57799999999997</v>
      </c>
      <c r="BX32" s="1468">
        <f t="shared" si="53"/>
        <v>156.95400000000001</v>
      </c>
      <c r="BY32" s="1468">
        <f t="shared" si="53"/>
        <v>158.97399999999999</v>
      </c>
      <c r="BZ32" s="1468">
        <f t="shared" si="53"/>
        <v>157.964</v>
      </c>
      <c r="CA32" s="1468">
        <f t="shared" si="53"/>
        <v>157.964</v>
      </c>
      <c r="CB32" s="1468">
        <f t="shared" si="53"/>
        <v>183.01199999999997</v>
      </c>
      <c r="CC32" s="1468">
        <f t="shared" si="53"/>
        <v>145.44</v>
      </c>
      <c r="CD32" s="1468">
        <f t="shared" si="53"/>
        <v>154.126</v>
      </c>
      <c r="CE32" s="1468">
        <f t="shared" si="53"/>
        <v>186.446</v>
      </c>
      <c r="CF32" s="1468">
        <f t="shared" si="53"/>
        <v>172.71</v>
      </c>
      <c r="CG32" s="1468">
        <f t="shared" si="53"/>
        <v>154.93399999999997</v>
      </c>
      <c r="CH32" s="1468">
        <f t="shared" si="53"/>
        <v>132.714</v>
      </c>
      <c r="CI32" s="1468">
        <f t="shared" si="53"/>
        <v>155.94399999999999</v>
      </c>
      <c r="CJ32" s="1468">
        <f t="shared" si="53"/>
        <v>133.92599999999999</v>
      </c>
      <c r="CK32" s="1468">
        <f t="shared" si="53"/>
        <v>133.92599999999999</v>
      </c>
      <c r="CL32" s="1468">
        <f t="shared" si="53"/>
        <v>132.30999999999997</v>
      </c>
      <c r="CM32" s="1468">
        <f t="shared" si="53"/>
        <v>192.10199999999998</v>
      </c>
      <c r="CN32" s="1468">
        <f t="shared" si="53"/>
        <v>392.89</v>
      </c>
      <c r="CO32" s="1468">
        <f t="shared" si="53"/>
        <v>647.31380952380937</v>
      </c>
      <c r="CP32" s="1468">
        <f t="shared" si="53"/>
        <v>434.3480952380952</v>
      </c>
      <c r="CQ32" s="1468">
        <f t="shared" si="53"/>
        <v>597.70357142857142</v>
      </c>
      <c r="CR32" s="1468">
        <f>$C$32*CR27</f>
        <v>0</v>
      </c>
      <c r="CS32" s="1468">
        <f t="shared" si="53"/>
        <v>111.504</v>
      </c>
      <c r="CT32" s="1468">
        <f t="shared" si="53"/>
        <v>129.98699999999999</v>
      </c>
      <c r="CV32" s="1512" t="s">
        <v>1182</v>
      </c>
      <c r="CW32" s="1482">
        <f>SDÖ4!O121</f>
        <v>0</v>
      </c>
      <c r="CX32" s="1468">
        <f>$C$32*CX27</f>
        <v>194.22299999999998</v>
      </c>
      <c r="CY32" s="1468">
        <f>$C$32*CY27</f>
        <v>142.40999999999997</v>
      </c>
      <c r="CZ32" s="1468">
        <f>$C$32*CZ27</f>
        <v>194.22299999999998</v>
      </c>
      <c r="DA32" s="1468">
        <f>$C$32*DA27</f>
        <v>142.40999999999997</v>
      </c>
      <c r="DB32" s="1468">
        <f t="shared" ref="DB32:DJ32" si="54">$C$32*DB27</f>
        <v>175.30714285714285</v>
      </c>
      <c r="DC32" s="1468">
        <f t="shared" si="54"/>
        <v>131.06914285714285</v>
      </c>
      <c r="DD32" s="1468">
        <f>$C$32*DD27</f>
        <v>171.57374999999996</v>
      </c>
      <c r="DE32" s="1468">
        <f t="shared" si="54"/>
        <v>171.57374999999996</v>
      </c>
      <c r="DF32" s="1468">
        <f t="shared" si="54"/>
        <v>169.72328571428571</v>
      </c>
      <c r="DG32" s="1468">
        <f t="shared" si="54"/>
        <v>169.26878571428568</v>
      </c>
      <c r="DH32" s="1468">
        <f>$C$32*DH27</f>
        <v>169.72328571428571</v>
      </c>
      <c r="DI32" s="1468">
        <f t="shared" si="54"/>
        <v>172.71</v>
      </c>
      <c r="DJ32" s="1468">
        <f t="shared" si="54"/>
        <v>230.50725000000003</v>
      </c>
      <c r="DK32" s="1468">
        <f>$C$32*DK27</f>
        <v>161.3475</v>
      </c>
      <c r="DL32" s="1468">
        <f t="shared" ref="DL32:DS32" si="55">$C$32*DL27</f>
        <v>134.98650000000001</v>
      </c>
      <c r="DM32" s="1468">
        <f t="shared" si="55"/>
        <v>211.66064999999998</v>
      </c>
      <c r="DN32" s="1468">
        <f t="shared" si="55"/>
        <v>395.58333333333331</v>
      </c>
      <c r="DO32" s="1468">
        <f t="shared" si="55"/>
        <v>410.39666666666665</v>
      </c>
      <c r="DP32" s="1468">
        <f t="shared" si="55"/>
        <v>544.86133333333328</v>
      </c>
      <c r="DQ32" s="1468" t="e">
        <f t="shared" si="55"/>
        <v>#REF!</v>
      </c>
      <c r="DR32" s="1468">
        <f t="shared" si="55"/>
        <v>167.256</v>
      </c>
      <c r="DS32" s="1468">
        <f t="shared" si="55"/>
        <v>204.22200000000001</v>
      </c>
      <c r="DT32" s="1456"/>
      <c r="DU32" s="1468">
        <f>$C$32*DU27</f>
        <v>194.22299999999998</v>
      </c>
      <c r="DV32" s="1468">
        <f>$C$32*DV27</f>
        <v>142.40999999999997</v>
      </c>
      <c r="DW32" s="1468">
        <f>$C$32*DW27</f>
        <v>194.22299999999998</v>
      </c>
      <c r="DX32" s="1468">
        <f>$C$32*DX27</f>
        <v>142.40999999999997</v>
      </c>
      <c r="DY32" s="1466">
        <f t="shared" ref="DY32:EG32" si="56">$C$32*DY27</f>
        <v>185.26285714285711</v>
      </c>
      <c r="DZ32" s="1468">
        <f t="shared" si="56"/>
        <v>137.99485714285714</v>
      </c>
      <c r="EA32" s="1468">
        <f t="shared" si="56"/>
        <v>180.28499999999997</v>
      </c>
      <c r="EB32" s="1468">
        <f t="shared" si="56"/>
        <v>180.28499999999997</v>
      </c>
      <c r="EC32" s="1468">
        <f t="shared" si="56"/>
        <v>180.54471428571426</v>
      </c>
      <c r="ED32" s="1468">
        <f t="shared" si="56"/>
        <v>179.93871428571427</v>
      </c>
      <c r="EE32" s="1468">
        <f>$C$32*EE27</f>
        <v>188.72571428571425</v>
      </c>
      <c r="EF32" s="1468">
        <f t="shared" si="56"/>
        <v>181.8</v>
      </c>
      <c r="EG32" s="1468">
        <f t="shared" si="56"/>
        <v>234.82500000000005</v>
      </c>
      <c r="EH32" s="1468">
        <f t="shared" ref="EH32:EN32" si="57">$C$32*EH27</f>
        <v>163.92299999999997</v>
      </c>
      <c r="EI32" s="1468">
        <f t="shared" si="57"/>
        <v>137.25899999999999</v>
      </c>
      <c r="EJ32" s="1468">
        <f t="shared" si="57"/>
        <v>212.70599999999996</v>
      </c>
      <c r="EK32" s="1468">
        <f t="shared" si="57"/>
        <v>398.94999999999993</v>
      </c>
      <c r="EL32" s="1468">
        <f t="shared" si="57"/>
        <v>413.42666666666662</v>
      </c>
      <c r="EM32" s="1468">
        <f t="shared" si="57"/>
        <v>553.21066666666661</v>
      </c>
      <c r="EN32" s="1468" t="e">
        <f t="shared" si="57"/>
        <v>#REF!</v>
      </c>
      <c r="EO32" s="1468">
        <f>$C$32*EO27</f>
        <v>167.256</v>
      </c>
      <c r="EP32" s="1468">
        <f>$C$32*EP27</f>
        <v>204.22200000000001</v>
      </c>
      <c r="EQ32" s="1456"/>
      <c r="ER32" s="1468">
        <f>$C$32*ER27</f>
        <v>194.22299999999998</v>
      </c>
      <c r="ES32" s="1468">
        <f>$C$32*ES27</f>
        <v>142.40999999999997</v>
      </c>
      <c r="ET32" s="1468">
        <f>$C$32*ET27</f>
        <v>194.22299999999998</v>
      </c>
      <c r="EU32" s="1468">
        <f>$C$32*EU27</f>
        <v>142.40999999999997</v>
      </c>
      <c r="EV32" s="1466">
        <f t="shared" ref="EV32:FD32" si="58">$C$32*EV27</f>
        <v>214.1344285714286</v>
      </c>
      <c r="EW32" s="1468">
        <f t="shared" si="58"/>
        <v>151.84628571428573</v>
      </c>
      <c r="EX32" s="1468">
        <f t="shared" si="58"/>
        <v>190.24071428571426</v>
      </c>
      <c r="EY32" s="1468">
        <f t="shared" si="58"/>
        <v>188.99624999999997</v>
      </c>
      <c r="EZ32" s="1468">
        <f t="shared" si="58"/>
        <v>148.03714285714284</v>
      </c>
      <c r="FA32" s="1468">
        <f t="shared" si="58"/>
        <v>198.78964285714284</v>
      </c>
      <c r="FB32" s="1468">
        <f>$C$32*FB27</f>
        <v>199.54714285714283</v>
      </c>
      <c r="FC32" s="1468">
        <f t="shared" si="58"/>
        <v>190.89</v>
      </c>
      <c r="FD32" s="1468">
        <f t="shared" si="58"/>
        <v>239.14274999999998</v>
      </c>
      <c r="FE32" s="1468">
        <f t="shared" ref="FE32:FK32" si="59">$C$32*FE27</f>
        <v>166.49849999999998</v>
      </c>
      <c r="FF32" s="1468">
        <f t="shared" si="59"/>
        <v>173.16450000000003</v>
      </c>
      <c r="FG32" s="1468">
        <f t="shared" si="59"/>
        <v>221.93234999999999</v>
      </c>
      <c r="FH32" s="1468">
        <f t="shared" si="59"/>
        <v>397.60333333333324</v>
      </c>
      <c r="FI32" s="1468">
        <f t="shared" si="59"/>
        <v>415.7833333333333</v>
      </c>
      <c r="FJ32" s="1468">
        <f t="shared" si="59"/>
        <v>568.96666666666658</v>
      </c>
      <c r="FK32" s="1468" t="e">
        <f t="shared" si="59"/>
        <v>#REF!</v>
      </c>
      <c r="FL32" s="1468">
        <f>$C$32*FL27</f>
        <v>167.256</v>
      </c>
      <c r="FM32" s="1468">
        <f>$C$32*FM27</f>
        <v>204.22200000000001</v>
      </c>
    </row>
    <row r="33" spans="1:169" ht="16.149999999999999" customHeight="1">
      <c r="A33" s="1463">
        <f>ROWS($A$1:A33)</f>
        <v>33</v>
      </c>
      <c r="B33" s="1512" t="s">
        <v>1181</v>
      </c>
      <c r="C33" s="1480"/>
      <c r="D33" s="3669">
        <f>'SDK4'!$P$48</f>
        <v>115</v>
      </c>
      <c r="E33" s="1468">
        <f>'SDK4'!$P$48</f>
        <v>115</v>
      </c>
      <c r="F33" s="1468">
        <f>'SDK4'!$P$48</f>
        <v>115</v>
      </c>
      <c r="G33" s="1468">
        <f>'SDK4'!$P$48</f>
        <v>115</v>
      </c>
      <c r="H33" s="1468">
        <f>'SDK4'!$P$48</f>
        <v>115</v>
      </c>
      <c r="I33" s="1468">
        <f>'SDK4'!$P$48</f>
        <v>115</v>
      </c>
      <c r="J33" s="1468">
        <f>'SDK4'!$P$48</f>
        <v>115</v>
      </c>
      <c r="K33" s="1468">
        <f>'SDK4'!$P$48</f>
        <v>115</v>
      </c>
      <c r="L33" s="1468">
        <f>'SDK4'!$P$48</f>
        <v>115</v>
      </c>
      <c r="M33" s="1468">
        <f>'SDK4'!$P$48</f>
        <v>115</v>
      </c>
      <c r="N33" s="1468">
        <f>'SDK4'!$P$48</f>
        <v>115</v>
      </c>
      <c r="O33" s="1468">
        <f>'SDK4'!$P$48</f>
        <v>115</v>
      </c>
      <c r="P33" s="1468">
        <f>'SDK4'!$P$48</f>
        <v>115</v>
      </c>
      <c r="Q33" s="1468">
        <f>'SDK4'!$P$48</f>
        <v>115</v>
      </c>
      <c r="R33" s="1468">
        <f>'SDK4'!$P$48</f>
        <v>115</v>
      </c>
      <c r="S33" s="1468">
        <f>'SDK4'!$P$48</f>
        <v>115</v>
      </c>
      <c r="T33" s="1468">
        <f>'SDK4'!$P$48</f>
        <v>115</v>
      </c>
      <c r="U33" s="1468">
        <f>'SDK4'!$P$48</f>
        <v>115</v>
      </c>
      <c r="V33" s="1468">
        <f>'SDK4'!$P$48</f>
        <v>115</v>
      </c>
      <c r="W33" s="1468">
        <f>'SDK4'!$P$48</f>
        <v>115</v>
      </c>
      <c r="X33" s="1468">
        <f>'SDK4'!$P$48</f>
        <v>115</v>
      </c>
      <c r="Y33" s="1468">
        <f>'SDK4'!$P$48</f>
        <v>115</v>
      </c>
      <c r="Z33" s="1468">
        <f>'SDK4'!$P$48</f>
        <v>115</v>
      </c>
      <c r="AA33" s="1468">
        <f>'SDK4'!$P$48</f>
        <v>115</v>
      </c>
      <c r="AB33" s="1468">
        <f>'SDK4'!$P$48</f>
        <v>115</v>
      </c>
      <c r="AC33" s="1468">
        <f>'SDK4'!$P$48</f>
        <v>115</v>
      </c>
      <c r="AD33" s="1468">
        <f>'SDK4'!$P$48</f>
        <v>115</v>
      </c>
      <c r="AE33" s="1468">
        <f>'SDK4'!$P$48</f>
        <v>115</v>
      </c>
      <c r="AF33" s="1468">
        <f>'SDK4'!$P$48</f>
        <v>115</v>
      </c>
      <c r="AG33" s="1468">
        <f>'SDK4'!$P$48</f>
        <v>115</v>
      </c>
      <c r="AH33" s="1468"/>
      <c r="AI33" s="1468"/>
      <c r="AJ33" s="1466">
        <f>'SDK4'!$P$48</f>
        <v>115</v>
      </c>
      <c r="AK33" s="1466">
        <f>'SDK4'!$P$48</f>
        <v>115</v>
      </c>
      <c r="AL33" s="1466">
        <f>'SDK4'!$P$48</f>
        <v>115</v>
      </c>
      <c r="AM33" s="1466">
        <f>'SDK4'!$P$48</f>
        <v>115</v>
      </c>
      <c r="AN33" s="1466">
        <f>'SDK4'!$P$48</f>
        <v>115</v>
      </c>
      <c r="AO33" s="1466">
        <f>'SDK4'!$P$48</f>
        <v>115</v>
      </c>
      <c r="AP33" s="1466">
        <f>'SDK4'!$P$48</f>
        <v>115</v>
      </c>
      <c r="AQ33" s="1466">
        <f>'SDK4'!$P$48</f>
        <v>115</v>
      </c>
      <c r="AR33" s="1466">
        <f>'SDK4'!$P$48</f>
        <v>115</v>
      </c>
      <c r="AS33" s="1466">
        <f>'SDK4'!$P$48</f>
        <v>115</v>
      </c>
      <c r="AT33" s="1466">
        <f>'SDK4'!$P$48</f>
        <v>115</v>
      </c>
      <c r="AU33" s="1466">
        <f>'SDK4'!$P$48</f>
        <v>115</v>
      </c>
      <c r="AV33" s="1466">
        <f>'SDK4'!$P$48</f>
        <v>115</v>
      </c>
      <c r="AW33" s="1466">
        <f>'SDK4'!$P$48</f>
        <v>115</v>
      </c>
      <c r="AX33" s="1466">
        <f>'SDK4'!$P$48</f>
        <v>115</v>
      </c>
      <c r="AY33" s="1466">
        <f>'SDK4'!$P$48</f>
        <v>115</v>
      </c>
      <c r="AZ33" s="1466">
        <f>'SDK4'!$P$48</f>
        <v>115</v>
      </c>
      <c r="BA33" s="1466">
        <f>'SDK4'!$P$48</f>
        <v>115</v>
      </c>
      <c r="BB33" s="1466">
        <f>'SDK4'!$P$48</f>
        <v>115</v>
      </c>
      <c r="BC33" s="1466">
        <f>'SDK4'!$P$48</f>
        <v>115</v>
      </c>
      <c r="BD33" s="1466">
        <f>'SDK4'!$P$48</f>
        <v>115</v>
      </c>
      <c r="BE33" s="1466">
        <f>'SDK4'!$P$48</f>
        <v>115</v>
      </c>
      <c r="BF33" s="1466">
        <f>'SDK4'!$P$48</f>
        <v>115</v>
      </c>
      <c r="BG33" s="1466">
        <f>'SDK4'!$P$48</f>
        <v>115</v>
      </c>
      <c r="BH33" s="1466">
        <f>'SDK4'!$P$48</f>
        <v>115</v>
      </c>
      <c r="BI33" s="1466">
        <f>'SDK4'!$P$48</f>
        <v>115</v>
      </c>
      <c r="BJ33" s="1466">
        <f>'SDK4'!$P$48</f>
        <v>115</v>
      </c>
      <c r="BK33" s="1466">
        <f>'SDK4'!$P$48</f>
        <v>115</v>
      </c>
      <c r="BL33" s="1466">
        <f>'SDK4'!$P$48</f>
        <v>115</v>
      </c>
      <c r="BM33" s="1466">
        <f>'SDK4'!$P$48</f>
        <v>115</v>
      </c>
      <c r="BN33" s="1468"/>
      <c r="BO33" s="1468"/>
      <c r="BP33" s="1466">
        <f>'SDK4'!$P$48</f>
        <v>115</v>
      </c>
      <c r="BQ33" s="1466">
        <f>'SDK4'!$P$48</f>
        <v>115</v>
      </c>
      <c r="BR33" s="1466">
        <f>'SDK4'!$P$48</f>
        <v>115</v>
      </c>
      <c r="BS33" s="1466">
        <f>'SDK4'!$P$48</f>
        <v>115</v>
      </c>
      <c r="BT33" s="1466">
        <f>'SDK4'!$P$48</f>
        <v>115</v>
      </c>
      <c r="BU33" s="1466">
        <f>'SDK4'!$P$48</f>
        <v>115</v>
      </c>
      <c r="BV33" s="1466">
        <f>'SDK4'!$P$48</f>
        <v>115</v>
      </c>
      <c r="BW33" s="1466">
        <f>'SDK4'!$P$48</f>
        <v>115</v>
      </c>
      <c r="BX33" s="1466">
        <f>'SDK4'!$P$48</f>
        <v>115</v>
      </c>
      <c r="BY33" s="1466">
        <f>'SDK4'!$P$48</f>
        <v>115</v>
      </c>
      <c r="BZ33" s="1466">
        <f>'SDK4'!$P$48</f>
        <v>115</v>
      </c>
      <c r="CA33" s="1466">
        <f>'SDK4'!$P$48</f>
        <v>115</v>
      </c>
      <c r="CB33" s="1466">
        <f>'SDK4'!$P$48</f>
        <v>115</v>
      </c>
      <c r="CC33" s="1466">
        <f>'SDK4'!$P$48</f>
        <v>115</v>
      </c>
      <c r="CD33" s="1466">
        <f>'SDK4'!$P$48</f>
        <v>115</v>
      </c>
      <c r="CE33" s="1466">
        <f>'SDK4'!$P$48</f>
        <v>115</v>
      </c>
      <c r="CF33" s="1466">
        <f>'SDK4'!$P$48</f>
        <v>115</v>
      </c>
      <c r="CG33" s="1466">
        <f>'SDK4'!$P$48</f>
        <v>115</v>
      </c>
      <c r="CH33" s="1466">
        <f>'SDK4'!$P$48</f>
        <v>115</v>
      </c>
      <c r="CI33" s="1466">
        <f>'SDK4'!$P$48</f>
        <v>115</v>
      </c>
      <c r="CJ33" s="1466">
        <f>'SDK4'!$P$48</f>
        <v>115</v>
      </c>
      <c r="CK33" s="1466">
        <f>'SDK4'!$P$48</f>
        <v>115</v>
      </c>
      <c r="CL33" s="1466">
        <f>'SDK4'!$P$48</f>
        <v>115</v>
      </c>
      <c r="CM33" s="1466">
        <f>'SDK4'!$P$48</f>
        <v>115</v>
      </c>
      <c r="CN33" s="1466">
        <f>'SDK4'!$P$48</f>
        <v>115</v>
      </c>
      <c r="CO33" s="1466">
        <f>'SDK4'!$P$48</f>
        <v>115</v>
      </c>
      <c r="CP33" s="1466">
        <f>'SDK4'!$P$48</f>
        <v>115</v>
      </c>
      <c r="CQ33" s="1466">
        <f>'SDK4'!$P$48</f>
        <v>115</v>
      </c>
      <c r="CR33" s="1466">
        <f>'SDK4'!$P$48</f>
        <v>115</v>
      </c>
      <c r="CS33" s="1466">
        <f>'SDK4'!$P$48</f>
        <v>115</v>
      </c>
      <c r="CT33" s="1466"/>
      <c r="CV33" s="1512" t="s">
        <v>1181</v>
      </c>
      <c r="CW33" s="1480"/>
      <c r="CX33" s="3669">
        <f>SDÖ4!$O$51</f>
        <v>115</v>
      </c>
      <c r="CY33" s="1468">
        <f>SDÖ4!$O$51</f>
        <v>115</v>
      </c>
      <c r="CZ33" s="1468">
        <f>SDÖ4!$O$51</f>
        <v>115</v>
      </c>
      <c r="DA33" s="1468">
        <f>SDÖ4!$O$51</f>
        <v>115</v>
      </c>
      <c r="DB33" s="1468">
        <f>SDÖ4!$O$51</f>
        <v>115</v>
      </c>
      <c r="DC33" s="1468">
        <f>SDÖ4!$O$51</f>
        <v>115</v>
      </c>
      <c r="DD33" s="1468">
        <f>SDÖ4!$O$51</f>
        <v>115</v>
      </c>
      <c r="DE33" s="1468">
        <f>SDÖ4!$O$51</f>
        <v>115</v>
      </c>
      <c r="DF33" s="1468">
        <f>SDÖ4!$O$51</f>
        <v>115</v>
      </c>
      <c r="DG33" s="1468">
        <f>SDÖ4!$O$51</f>
        <v>115</v>
      </c>
      <c r="DH33" s="1468">
        <f>SDÖ4!$O$51</f>
        <v>115</v>
      </c>
      <c r="DI33" s="1468">
        <f>SDÖ4!$O$51</f>
        <v>115</v>
      </c>
      <c r="DJ33" s="1468">
        <f>SDÖ4!$O$51</f>
        <v>115</v>
      </c>
      <c r="DK33" s="1468">
        <f>SDÖ4!$O$51</f>
        <v>115</v>
      </c>
      <c r="DL33" s="1468">
        <f>SDÖ4!$O$51</f>
        <v>115</v>
      </c>
      <c r="DM33" s="1468">
        <f>SDÖ4!$O$51</f>
        <v>115</v>
      </c>
      <c r="DN33" s="1468">
        <f>SDÖ4!$O$51</f>
        <v>115</v>
      </c>
      <c r="DO33" s="1468">
        <f>SDÖ4!$O$51</f>
        <v>115</v>
      </c>
      <c r="DP33" s="1468">
        <f>SDÖ4!$O$51</f>
        <v>115</v>
      </c>
      <c r="DQ33" s="1468">
        <f>SDÖ4!$O$51</f>
        <v>115</v>
      </c>
      <c r="DR33" s="1468">
        <f>SDÖ4!$O$51</f>
        <v>115</v>
      </c>
      <c r="DS33" s="1468">
        <f>SDÖ4!$O$51</f>
        <v>115</v>
      </c>
      <c r="DT33" s="1456"/>
      <c r="DU33" s="1468">
        <f>SDÖ4!$O$51</f>
        <v>115</v>
      </c>
      <c r="DV33" s="1468">
        <f>SDÖ4!$O$51</f>
        <v>115</v>
      </c>
      <c r="DW33" s="1468">
        <f>SDÖ4!$O$51</f>
        <v>115</v>
      </c>
      <c r="DX33" s="1468">
        <f>SDÖ4!$O$51</f>
        <v>115</v>
      </c>
      <c r="DY33" s="1466">
        <f>SDÖ4!$O$51</f>
        <v>115</v>
      </c>
      <c r="DZ33" s="1466">
        <f>SDÖ4!$O$51</f>
        <v>115</v>
      </c>
      <c r="EA33" s="1466">
        <f>SDÖ4!$O$51</f>
        <v>115</v>
      </c>
      <c r="EB33" s="1466">
        <f>SDÖ4!$O$51</f>
        <v>115</v>
      </c>
      <c r="EC33" s="1466">
        <f>SDÖ4!$O$51</f>
        <v>115</v>
      </c>
      <c r="ED33" s="1466">
        <f>SDÖ4!$O$51</f>
        <v>115</v>
      </c>
      <c r="EE33" s="1466">
        <f>SDÖ4!$O$51</f>
        <v>115</v>
      </c>
      <c r="EF33" s="1466">
        <f>SDÖ4!$O$51</f>
        <v>115</v>
      </c>
      <c r="EG33" s="1466">
        <f>SDÖ4!$O$51</f>
        <v>115</v>
      </c>
      <c r="EH33" s="1466">
        <f>SDÖ4!$O$51</f>
        <v>115</v>
      </c>
      <c r="EI33" s="1466">
        <f>SDÖ4!$O$51</f>
        <v>115</v>
      </c>
      <c r="EJ33" s="1466">
        <f>SDÖ4!$O$51</f>
        <v>115</v>
      </c>
      <c r="EK33" s="1466">
        <f>SDÖ4!$O$51</f>
        <v>115</v>
      </c>
      <c r="EL33" s="1466">
        <f>SDÖ4!$O$51</f>
        <v>115</v>
      </c>
      <c r="EM33" s="1466">
        <f>SDÖ4!$O$51</f>
        <v>115</v>
      </c>
      <c r="EN33" s="1466">
        <f>SDÖ4!$O$51</f>
        <v>115</v>
      </c>
      <c r="EO33" s="1466">
        <f>SDÖ4!$O$51</f>
        <v>115</v>
      </c>
      <c r="EP33" s="1466">
        <f>SDÖ4!$O$51</f>
        <v>115</v>
      </c>
      <c r="EQ33" s="1456"/>
      <c r="ER33" s="1468">
        <f>SDÖ4!$O$51</f>
        <v>115</v>
      </c>
      <c r="ES33" s="1466">
        <f>SDÖ4!$O$51</f>
        <v>115</v>
      </c>
      <c r="ET33" s="1466">
        <f>SDÖ4!$O$51</f>
        <v>115</v>
      </c>
      <c r="EU33" s="1466">
        <f>SDÖ4!$O$51</f>
        <v>115</v>
      </c>
      <c r="EV33" s="1466">
        <f>SDÖ4!$O$51</f>
        <v>115</v>
      </c>
      <c r="EW33" s="1466">
        <f>SDÖ4!$O$51</f>
        <v>115</v>
      </c>
      <c r="EX33" s="1466">
        <f>SDÖ4!$O$51</f>
        <v>115</v>
      </c>
      <c r="EY33" s="1466">
        <f>SDÖ4!$O$51</f>
        <v>115</v>
      </c>
      <c r="EZ33" s="1466">
        <f>SDÖ4!$O$51</f>
        <v>115</v>
      </c>
      <c r="FA33" s="1466">
        <f>SDÖ4!$O$51</f>
        <v>115</v>
      </c>
      <c r="FB33" s="1466">
        <f>SDÖ4!$O$51</f>
        <v>115</v>
      </c>
      <c r="FC33" s="1466">
        <f>SDÖ4!$O$51</f>
        <v>115</v>
      </c>
      <c r="FD33" s="1466">
        <f>SDÖ4!$O$51</f>
        <v>115</v>
      </c>
      <c r="FE33" s="1466">
        <f>SDÖ4!$O$51</f>
        <v>115</v>
      </c>
      <c r="FF33" s="1466">
        <f>SDÖ4!$O$51</f>
        <v>115</v>
      </c>
      <c r="FG33" s="1466">
        <f>SDÖ4!$O$51</f>
        <v>115</v>
      </c>
      <c r="FH33" s="1466">
        <f>SDÖ4!$O$51</f>
        <v>115</v>
      </c>
      <c r="FI33" s="1466">
        <f>SDÖ4!$O$51</f>
        <v>115</v>
      </c>
      <c r="FJ33" s="1466">
        <f>SDÖ4!$O$51</f>
        <v>115</v>
      </c>
      <c r="FK33" s="1466">
        <f>SDÖ4!$O$51</f>
        <v>115</v>
      </c>
      <c r="FL33" s="1466">
        <f>SDÖ4!$O$51</f>
        <v>115</v>
      </c>
      <c r="FM33" s="1466">
        <f>SDÖ4!$O$51</f>
        <v>115</v>
      </c>
    </row>
    <row r="34" spans="1:169" ht="18" customHeight="1">
      <c r="A34" s="1463">
        <f>ROWS($A$1:A34)</f>
        <v>34</v>
      </c>
      <c r="B34" s="1535" t="s">
        <v>1180</v>
      </c>
      <c r="C34" s="1534"/>
      <c r="D34" s="1531">
        <f t="shared" ref="D34:AH34" si="60">SUM(D28:D33)</f>
        <v>771.7793333333334</v>
      </c>
      <c r="E34" s="1531">
        <f t="shared" si="60"/>
        <v>753.19533333333334</v>
      </c>
      <c r="F34" s="1531">
        <f t="shared" si="60"/>
        <v>752.18533333333335</v>
      </c>
      <c r="G34" s="1531">
        <f t="shared" si="60"/>
        <v>752.18533333333335</v>
      </c>
      <c r="H34" s="1531">
        <f t="shared" si="60"/>
        <v>741.27733333333333</v>
      </c>
      <c r="I34" s="1531">
        <f t="shared" si="60"/>
        <v>741.27733333333333</v>
      </c>
      <c r="J34" s="1531">
        <f t="shared" si="60"/>
        <v>752.18533333333335</v>
      </c>
      <c r="K34" s="1531">
        <f t="shared" si="60"/>
        <v>751.17533333333336</v>
      </c>
      <c r="L34" s="1531">
        <f t="shared" si="60"/>
        <v>742.28733333333344</v>
      </c>
      <c r="M34" s="1531">
        <f t="shared" si="60"/>
        <v>740.26733333333334</v>
      </c>
      <c r="N34" s="1531">
        <f t="shared" si="60"/>
        <v>739.25733333333335</v>
      </c>
      <c r="O34" s="1531">
        <f t="shared" si="60"/>
        <v>728.34933333333333</v>
      </c>
      <c r="P34" s="1531">
        <f t="shared" si="60"/>
        <v>764.30533333333335</v>
      </c>
      <c r="Q34" s="1531">
        <f t="shared" si="60"/>
        <v>722.69333333333338</v>
      </c>
      <c r="R34" s="1531">
        <f t="shared" si="60"/>
        <v>735.41933333333338</v>
      </c>
      <c r="S34" s="1531">
        <f t="shared" si="60"/>
        <v>756.8313333333333</v>
      </c>
      <c r="T34" s="1531">
        <f t="shared" si="60"/>
        <v>744.71133333333341</v>
      </c>
      <c r="U34" s="1531">
        <f t="shared" si="60"/>
        <v>738.24733333333336</v>
      </c>
      <c r="V34" s="1531">
        <f t="shared" si="60"/>
        <v>713.19933333333336</v>
      </c>
      <c r="W34" s="1531">
        <f t="shared" si="60"/>
        <v>739.25733333333335</v>
      </c>
      <c r="X34" s="1531">
        <f t="shared" si="60"/>
        <v>716.83533333333332</v>
      </c>
      <c r="Y34" s="1531">
        <f t="shared" si="60"/>
        <v>715.62333333333333</v>
      </c>
      <c r="Z34" s="1531">
        <f t="shared" si="60"/>
        <v>711.58333333333337</v>
      </c>
      <c r="AA34" s="1531">
        <f t="shared" si="60"/>
        <v>766.52733333333333</v>
      </c>
      <c r="AB34" s="1531">
        <f t="shared" si="60"/>
        <v>946.24961904761903</v>
      </c>
      <c r="AC34" s="1531">
        <f t="shared" si="60"/>
        <v>1208.5995238095238</v>
      </c>
      <c r="AD34" s="1531">
        <f t="shared" si="60"/>
        <v>995.63380952380953</v>
      </c>
      <c r="AE34" s="1531">
        <f t="shared" si="60"/>
        <v>1163.077380952381</v>
      </c>
      <c r="AF34" s="1531">
        <f t="shared" si="60"/>
        <v>585.33333333333337</v>
      </c>
      <c r="AG34" s="1531">
        <f t="shared" si="60"/>
        <v>696.83733333333339</v>
      </c>
      <c r="AH34" s="1531">
        <f t="shared" si="60"/>
        <v>129.98699999999999</v>
      </c>
      <c r="AI34" s="1533"/>
      <c r="AJ34" s="1532">
        <f t="shared" ref="AJ34:BN34" si="61">SUM(AJ28:AJ33)</f>
        <v>840.56533333333323</v>
      </c>
      <c r="AK34" s="1531">
        <f t="shared" si="61"/>
        <v>815.92133333333322</v>
      </c>
      <c r="AL34" s="1531">
        <f t="shared" si="61"/>
        <v>814.91133333333323</v>
      </c>
      <c r="AM34" s="1531">
        <f t="shared" si="61"/>
        <v>813.90133333333324</v>
      </c>
      <c r="AN34" s="1531">
        <f t="shared" si="61"/>
        <v>793.2973333333332</v>
      </c>
      <c r="AO34" s="1531">
        <f t="shared" si="61"/>
        <v>794.30733333333319</v>
      </c>
      <c r="AP34" s="1531">
        <f t="shared" si="61"/>
        <v>805.21533333333332</v>
      </c>
      <c r="AQ34" s="1531">
        <f t="shared" si="61"/>
        <v>812.89133333333325</v>
      </c>
      <c r="AR34" s="1531">
        <f t="shared" si="61"/>
        <v>792.28733333333321</v>
      </c>
      <c r="AS34" s="1531">
        <f t="shared" si="61"/>
        <v>792.28733333333321</v>
      </c>
      <c r="AT34" s="1531">
        <f t="shared" si="61"/>
        <v>791.27733333333322</v>
      </c>
      <c r="AU34" s="1531">
        <f t="shared" si="61"/>
        <v>791.27733333333322</v>
      </c>
      <c r="AV34" s="1531">
        <f t="shared" si="61"/>
        <v>817.33533333333321</v>
      </c>
      <c r="AW34" s="1531">
        <f t="shared" si="61"/>
        <v>776.73333333333323</v>
      </c>
      <c r="AX34" s="1531">
        <f t="shared" si="61"/>
        <v>787.43933333333325</v>
      </c>
      <c r="AY34" s="1531">
        <f t="shared" si="61"/>
        <v>819.75933333333319</v>
      </c>
      <c r="AZ34" s="1531">
        <f t="shared" si="61"/>
        <v>806.8313333333333</v>
      </c>
      <c r="BA34" s="1531">
        <f t="shared" si="61"/>
        <v>789.25733333333324</v>
      </c>
      <c r="BB34" s="1531">
        <f t="shared" si="61"/>
        <v>765.62333333333322</v>
      </c>
      <c r="BC34" s="1531">
        <f t="shared" si="61"/>
        <v>790.26733333333323</v>
      </c>
      <c r="BD34" s="1531">
        <f t="shared" si="61"/>
        <v>766.83533333333321</v>
      </c>
      <c r="BE34" s="1531">
        <f t="shared" si="61"/>
        <v>766.83533333333321</v>
      </c>
      <c r="BF34" s="1531">
        <f t="shared" si="61"/>
        <v>764.61333333333323</v>
      </c>
      <c r="BG34" s="1531">
        <f t="shared" si="61"/>
        <v>816.52733333333322</v>
      </c>
      <c r="BH34" s="1531">
        <f t="shared" si="61"/>
        <v>1016.1995238095237</v>
      </c>
      <c r="BI34" s="1531">
        <f t="shared" si="61"/>
        <v>1264.563333333333</v>
      </c>
      <c r="BJ34" s="1531">
        <f t="shared" si="61"/>
        <v>1057.6576190476189</v>
      </c>
      <c r="BK34" s="1531">
        <f t="shared" si="61"/>
        <v>1223.1773809523809</v>
      </c>
      <c r="BL34" s="1531">
        <f t="shared" si="61"/>
        <v>635.33333333333326</v>
      </c>
      <c r="BM34" s="1531">
        <f t="shared" si="61"/>
        <v>746.83733333333328</v>
      </c>
      <c r="BN34" s="1531">
        <f t="shared" si="61"/>
        <v>433.32033333333334</v>
      </c>
      <c r="BO34" s="1533"/>
      <c r="BP34" s="1532">
        <f t="shared" ref="BP34:CT34" si="62">SUM(BP28:BP33)</f>
        <v>920.2593333333333</v>
      </c>
      <c r="BQ34" s="1531">
        <f t="shared" si="62"/>
        <v>878.64733333333334</v>
      </c>
      <c r="BR34" s="1531">
        <f t="shared" si="62"/>
        <v>877.63733333333323</v>
      </c>
      <c r="BS34" s="1531">
        <f t="shared" si="62"/>
        <v>875.61733333333325</v>
      </c>
      <c r="BT34" s="1531">
        <f t="shared" si="62"/>
        <v>865.92133333333322</v>
      </c>
      <c r="BU34" s="1531">
        <f t="shared" si="62"/>
        <v>858.04333333333318</v>
      </c>
      <c r="BV34" s="1531">
        <f t="shared" si="62"/>
        <v>867.9413333333332</v>
      </c>
      <c r="BW34" s="1531">
        <f t="shared" si="62"/>
        <v>864.91133333333323</v>
      </c>
      <c r="BX34" s="1531">
        <f t="shared" si="62"/>
        <v>842.28733333333321</v>
      </c>
      <c r="BY34" s="1531">
        <f t="shared" si="62"/>
        <v>844.30733333333319</v>
      </c>
      <c r="BZ34" s="1531">
        <f t="shared" si="62"/>
        <v>843.2973333333332</v>
      </c>
      <c r="CA34" s="1531">
        <f t="shared" si="62"/>
        <v>843.2973333333332</v>
      </c>
      <c r="CB34" s="1531">
        <f t="shared" si="62"/>
        <v>868.3453333333332</v>
      </c>
      <c r="CC34" s="1531">
        <f t="shared" si="62"/>
        <v>830.77333333333331</v>
      </c>
      <c r="CD34" s="1531">
        <f t="shared" si="62"/>
        <v>839.45933333333323</v>
      </c>
      <c r="CE34" s="1531">
        <f t="shared" si="62"/>
        <v>871.77933333333328</v>
      </c>
      <c r="CF34" s="1531">
        <f t="shared" si="62"/>
        <v>858.04333333333329</v>
      </c>
      <c r="CG34" s="1531">
        <f t="shared" si="62"/>
        <v>840.26733333333323</v>
      </c>
      <c r="CH34" s="1531">
        <f t="shared" si="62"/>
        <v>818.0473333333332</v>
      </c>
      <c r="CI34" s="1531">
        <f t="shared" si="62"/>
        <v>841.27733333333322</v>
      </c>
      <c r="CJ34" s="1531">
        <f t="shared" si="62"/>
        <v>819.25933333333319</v>
      </c>
      <c r="CK34" s="1531">
        <f t="shared" si="62"/>
        <v>819.25933333333319</v>
      </c>
      <c r="CL34" s="1531">
        <f t="shared" si="62"/>
        <v>817.6433333333332</v>
      </c>
      <c r="CM34" s="1531">
        <f t="shared" si="62"/>
        <v>877.43533333333323</v>
      </c>
      <c r="CN34" s="1531">
        <f t="shared" si="62"/>
        <v>1078.2233333333334</v>
      </c>
      <c r="CO34" s="1531">
        <f t="shared" si="62"/>
        <v>1332.6471428571426</v>
      </c>
      <c r="CP34" s="1531">
        <f t="shared" si="62"/>
        <v>1119.6814285714286</v>
      </c>
      <c r="CQ34" s="1531">
        <f t="shared" si="62"/>
        <v>1283.0369047619047</v>
      </c>
      <c r="CR34" s="1531">
        <f>SUM(CR28:CR33)</f>
        <v>685.33333333333326</v>
      </c>
      <c r="CS34" s="1531">
        <f t="shared" si="62"/>
        <v>796.83733333333328</v>
      </c>
      <c r="CT34" s="1531">
        <f t="shared" si="62"/>
        <v>483.32033333333334</v>
      </c>
      <c r="CV34" s="1535" t="s">
        <v>1180</v>
      </c>
      <c r="CW34" s="1534"/>
      <c r="CX34" s="1531">
        <f t="shared" ref="CX34:DS34" si="63">SUM(CX28:CX33)</f>
        <v>762.55633333333333</v>
      </c>
      <c r="CY34" s="1531">
        <f t="shared" si="63"/>
        <v>710.74333333333334</v>
      </c>
      <c r="CZ34" s="1531">
        <f t="shared" si="63"/>
        <v>762.55633333333333</v>
      </c>
      <c r="DA34" s="1531">
        <f t="shared" si="63"/>
        <v>710.74333333333334</v>
      </c>
      <c r="DB34" s="1531">
        <f t="shared" si="63"/>
        <v>554.64047619047619</v>
      </c>
      <c r="DC34" s="1531">
        <f t="shared" si="63"/>
        <v>699.40247619047625</v>
      </c>
      <c r="DD34" s="1531">
        <f t="shared" si="63"/>
        <v>739.90708333333328</v>
      </c>
      <c r="DE34" s="1531">
        <f t="shared" si="63"/>
        <v>739.90708333333328</v>
      </c>
      <c r="DF34" s="1531">
        <f t="shared" si="63"/>
        <v>738.05661904761905</v>
      </c>
      <c r="DG34" s="1531">
        <f t="shared" si="63"/>
        <v>737.602119047619</v>
      </c>
      <c r="DH34" s="1531">
        <f t="shared" si="63"/>
        <v>738.05661904761905</v>
      </c>
      <c r="DI34" s="1531">
        <f t="shared" si="63"/>
        <v>741.04333333333341</v>
      </c>
      <c r="DJ34" s="1531">
        <f t="shared" si="63"/>
        <v>798.84058333333337</v>
      </c>
      <c r="DK34" s="1531">
        <f t="shared" si="63"/>
        <v>729.68083333333334</v>
      </c>
      <c r="DL34" s="1531">
        <f t="shared" si="63"/>
        <v>703.31983333333335</v>
      </c>
      <c r="DM34" s="1531">
        <f t="shared" si="63"/>
        <v>779.99398333333329</v>
      </c>
      <c r="DN34" s="1531">
        <f t="shared" si="63"/>
        <v>963.91666666666674</v>
      </c>
      <c r="DO34" s="1531">
        <f t="shared" si="63"/>
        <v>978.73</v>
      </c>
      <c r="DP34" s="1531">
        <f t="shared" si="63"/>
        <v>1113.1946666666668</v>
      </c>
      <c r="DQ34" s="1531" t="e">
        <f t="shared" si="63"/>
        <v>#REF!</v>
      </c>
      <c r="DR34" s="1531">
        <f t="shared" si="63"/>
        <v>731.25599999999997</v>
      </c>
      <c r="DS34" s="1531">
        <f t="shared" si="63"/>
        <v>798.22199999999998</v>
      </c>
      <c r="DT34" s="1456"/>
      <c r="DU34" s="1531">
        <f>SUM(DU28:DU33)</f>
        <v>788.22299999999996</v>
      </c>
      <c r="DV34" s="1531">
        <f>SUM(DV28:DV33)</f>
        <v>736.41</v>
      </c>
      <c r="DW34" s="1531">
        <f>SUM(DW28:DW33)</f>
        <v>788.22299999999996</v>
      </c>
      <c r="DX34" s="1531">
        <f>SUM(DX28:DX33)</f>
        <v>736.41</v>
      </c>
      <c r="DY34" s="1532">
        <f t="shared" ref="DY34:EG34" si="64">SUM(DY28:DY33)</f>
        <v>779.26285714285711</v>
      </c>
      <c r="DZ34" s="1531">
        <f t="shared" si="64"/>
        <v>731.9948571428572</v>
      </c>
      <c r="EA34" s="1531">
        <f t="shared" si="64"/>
        <v>774.28499999999997</v>
      </c>
      <c r="EB34" s="1531">
        <f t="shared" si="64"/>
        <v>774.28499999999997</v>
      </c>
      <c r="EC34" s="1531">
        <f t="shared" si="64"/>
        <v>774.54471428571424</v>
      </c>
      <c r="ED34" s="1531">
        <f t="shared" si="64"/>
        <v>773.93871428571424</v>
      </c>
      <c r="EE34" s="1531">
        <f>SUM(EE28:EE33)</f>
        <v>782.72571428571428</v>
      </c>
      <c r="EF34" s="1531">
        <f t="shared" si="64"/>
        <v>775.8</v>
      </c>
      <c r="EG34" s="1531">
        <f t="shared" si="64"/>
        <v>828.82500000000005</v>
      </c>
      <c r="EH34" s="1531">
        <f t="shared" ref="EH34:EN34" si="65">SUM(EH28:EH33)</f>
        <v>757.923</v>
      </c>
      <c r="EI34" s="1531">
        <f t="shared" si="65"/>
        <v>731.25900000000001</v>
      </c>
      <c r="EJ34" s="1531">
        <f t="shared" si="65"/>
        <v>806.7059999999999</v>
      </c>
      <c r="EK34" s="1531">
        <f t="shared" si="65"/>
        <v>992.94999999999993</v>
      </c>
      <c r="EL34" s="1531">
        <f t="shared" si="65"/>
        <v>1007.4266666666666</v>
      </c>
      <c r="EM34" s="1531">
        <f t="shared" si="65"/>
        <v>1147.2106666666666</v>
      </c>
      <c r="EN34" s="1531" t="e">
        <f t="shared" si="65"/>
        <v>#REF!</v>
      </c>
      <c r="EO34" s="1531">
        <f>SUM(EO28:EO33)</f>
        <v>761.25599999999997</v>
      </c>
      <c r="EP34" s="1531">
        <f>SUM(EP28:EP33)</f>
        <v>798.22199999999998</v>
      </c>
      <c r="EQ34" s="1456"/>
      <c r="ER34" s="1531">
        <f>SUM(ER28:ER33)</f>
        <v>788.22299999999996</v>
      </c>
      <c r="ES34" s="1531">
        <f>SUM(ES28:ES33)</f>
        <v>736.41</v>
      </c>
      <c r="ET34" s="1531">
        <f>SUM(ET28:ET33)</f>
        <v>788.22299999999996</v>
      </c>
      <c r="EU34" s="1531">
        <f>SUM(EU28:EU33)</f>
        <v>736.41</v>
      </c>
      <c r="EV34" s="1532">
        <f t="shared" ref="EV34:FD34" si="66">SUM(EV28:EV33)</f>
        <v>619.13442857142854</v>
      </c>
      <c r="EW34" s="1531">
        <f t="shared" si="66"/>
        <v>745.84628571428573</v>
      </c>
      <c r="EX34" s="1531">
        <f t="shared" si="66"/>
        <v>784.24071428571426</v>
      </c>
      <c r="EY34" s="1531">
        <f t="shared" si="66"/>
        <v>782.99624999999992</v>
      </c>
      <c r="EZ34" s="1531">
        <f t="shared" si="66"/>
        <v>742.03714285714284</v>
      </c>
      <c r="FA34" s="1531">
        <f t="shared" si="66"/>
        <v>792.78964285714278</v>
      </c>
      <c r="FB34" s="1531">
        <f>SUM(FB28:FB33)</f>
        <v>793.54714285714283</v>
      </c>
      <c r="FC34" s="1531">
        <f t="shared" si="66"/>
        <v>784.89</v>
      </c>
      <c r="FD34" s="1531">
        <f t="shared" si="66"/>
        <v>833.14274999999998</v>
      </c>
      <c r="FE34" s="1531">
        <f t="shared" ref="FE34:FK34" si="67">SUM(FE28:FE33)</f>
        <v>760.49849999999992</v>
      </c>
      <c r="FF34" s="1531">
        <f t="shared" si="67"/>
        <v>767.16450000000009</v>
      </c>
      <c r="FG34" s="1531">
        <f t="shared" si="67"/>
        <v>815.93235000000004</v>
      </c>
      <c r="FH34" s="1531">
        <f t="shared" si="67"/>
        <v>991.60333333333324</v>
      </c>
      <c r="FI34" s="1531">
        <f t="shared" si="67"/>
        <v>1009.7833333333333</v>
      </c>
      <c r="FJ34" s="1531">
        <f t="shared" si="67"/>
        <v>1162.9666666666667</v>
      </c>
      <c r="FK34" s="1531" t="e">
        <f t="shared" si="67"/>
        <v>#REF!</v>
      </c>
      <c r="FL34" s="1531">
        <f>SUM(FL28:FL33)</f>
        <v>761.25599999999997</v>
      </c>
      <c r="FM34" s="1531">
        <f>SUM(FM28:FM33)</f>
        <v>798.22199999999998</v>
      </c>
    </row>
    <row r="35" spans="1:169" ht="18" customHeight="1">
      <c r="A35" s="1463">
        <f>ROWS($A$1:A35)</f>
        <v>35</v>
      </c>
      <c r="B35" s="1481" t="s">
        <v>1179</v>
      </c>
      <c r="C35" s="1480" t="s">
        <v>171</v>
      </c>
      <c r="D35" s="1513">
        <f t="shared" ref="D35:AH35" si="68">D22-D34-D24</f>
        <v>-203.06018412609589</v>
      </c>
      <c r="E35" s="1513">
        <f t="shared" si="68"/>
        <v>-541.92274871227994</v>
      </c>
      <c r="F35" s="1513">
        <f t="shared" si="68"/>
        <v>-597.88749140038806</v>
      </c>
      <c r="G35" s="1513">
        <f t="shared" si="68"/>
        <v>-563.95615958372139</v>
      </c>
      <c r="H35" s="1513">
        <f t="shared" si="68"/>
        <v>-555.86596084861958</v>
      </c>
      <c r="I35" s="1513">
        <f t="shared" si="68"/>
        <v>-563.41121814028622</v>
      </c>
      <c r="J35" s="1513">
        <f t="shared" si="68"/>
        <v>-764.32239056705487</v>
      </c>
      <c r="K35" s="1513">
        <f t="shared" si="68"/>
        <v>-705.9191061718293</v>
      </c>
      <c r="L35" s="1513">
        <f t="shared" si="68"/>
        <v>-423.67165841522524</v>
      </c>
      <c r="M35" s="1513">
        <f t="shared" si="68"/>
        <v>-745.07816724130373</v>
      </c>
      <c r="N35" s="1513">
        <f t="shared" si="68"/>
        <v>-535.76388884184325</v>
      </c>
      <c r="O35" s="1513">
        <f t="shared" si="68"/>
        <v>-609.04982025266656</v>
      </c>
      <c r="P35" s="1513">
        <f t="shared" si="68"/>
        <v>-546.93760060980367</v>
      </c>
      <c r="Q35" s="1513">
        <f t="shared" si="68"/>
        <v>-208.19576703051425</v>
      </c>
      <c r="R35" s="1513">
        <f t="shared" si="68"/>
        <v>-931.78127768964509</v>
      </c>
      <c r="S35" s="1513">
        <f t="shared" si="68"/>
        <v>-333.51375014229211</v>
      </c>
      <c r="T35" s="1513">
        <f t="shared" si="68"/>
        <v>-785.74416844893165</v>
      </c>
      <c r="U35" s="1513">
        <f t="shared" si="68"/>
        <v>-572.433916361755</v>
      </c>
      <c r="V35" s="1513">
        <f t="shared" si="68"/>
        <v>-608.07202825775505</v>
      </c>
      <c r="W35" s="1513">
        <f t="shared" si="68"/>
        <v>-1155.0725370055095</v>
      </c>
      <c r="X35" s="1513">
        <f t="shared" si="68"/>
        <v>-859.71219132914723</v>
      </c>
      <c r="Y35" s="1513">
        <f t="shared" si="68"/>
        <v>-844.31883474979429</v>
      </c>
      <c r="Z35" s="1513">
        <f t="shared" si="68"/>
        <v>-1112.5467878186175</v>
      </c>
      <c r="AA35" s="1513">
        <f t="shared" si="68"/>
        <v>-1026.1565671909902</v>
      </c>
      <c r="AB35" s="1513">
        <f t="shared" si="68"/>
        <v>466.11219424607629</v>
      </c>
      <c r="AC35" s="1513">
        <f t="shared" si="68"/>
        <v>61.511922487898552</v>
      </c>
      <c r="AD35" s="1513">
        <f t="shared" si="68"/>
        <v>-810.90389105456029</v>
      </c>
      <c r="AE35" s="1513">
        <f t="shared" si="68"/>
        <v>-1176.6568284920515</v>
      </c>
      <c r="AF35" s="1513">
        <f t="shared" si="68"/>
        <v>-585.33333333333337</v>
      </c>
      <c r="AG35" s="1513">
        <f t="shared" si="68"/>
        <v>-880.43524912936277</v>
      </c>
      <c r="AH35" s="1513">
        <f t="shared" si="68"/>
        <v>-317.88242238116175</v>
      </c>
      <c r="AI35" s="1515"/>
      <c r="AJ35" s="1514">
        <f t="shared" ref="AJ35:BN35" si="69">AJ22-AJ34-AJ24</f>
        <v>-166.35926073449042</v>
      </c>
      <c r="AK35" s="1514">
        <f t="shared" si="69"/>
        <v>-417.93158844932088</v>
      </c>
      <c r="AL35" s="1514">
        <f t="shared" si="69"/>
        <v>-438.08044613742919</v>
      </c>
      <c r="AM35" s="1514">
        <f t="shared" si="69"/>
        <v>-465.32188804220391</v>
      </c>
      <c r="AN35" s="1514">
        <f t="shared" si="69"/>
        <v>-476.58489713907051</v>
      </c>
      <c r="AO35" s="1514">
        <f t="shared" si="69"/>
        <v>-425.29868507596279</v>
      </c>
      <c r="AP35" s="1514">
        <f t="shared" si="69"/>
        <v>-639.00003750273117</v>
      </c>
      <c r="AQ35" s="1514">
        <f t="shared" si="69"/>
        <v>-640.84037651364486</v>
      </c>
      <c r="AR35" s="1514">
        <f t="shared" si="69"/>
        <v>-428.98854591522496</v>
      </c>
      <c r="AS35" s="1514">
        <f t="shared" si="69"/>
        <v>-678.0286552902254</v>
      </c>
      <c r="AT35" s="1514">
        <f t="shared" si="69"/>
        <v>-405.4269848074311</v>
      </c>
      <c r="AU35" s="1514">
        <f t="shared" si="69"/>
        <v>-557.5762258490978</v>
      </c>
      <c r="AV35" s="1514">
        <f t="shared" si="69"/>
        <v>-248.25622955818577</v>
      </c>
      <c r="AW35" s="1514">
        <f t="shared" si="69"/>
        <v>24.554083954975951</v>
      </c>
      <c r="AX35" s="1514">
        <f t="shared" si="69"/>
        <v>-949.1097575217625</v>
      </c>
      <c r="AY35" s="1514">
        <f t="shared" si="69"/>
        <v>-60.009032817845039</v>
      </c>
      <c r="AZ35" s="1514">
        <f t="shared" si="69"/>
        <v>-698.63916861746088</v>
      </c>
      <c r="BA35" s="1514">
        <f t="shared" si="69"/>
        <v>-479.93467288621582</v>
      </c>
      <c r="BB35" s="1514">
        <f t="shared" si="69"/>
        <v>-361.08707895812751</v>
      </c>
      <c r="BC35" s="1514">
        <f t="shared" si="69"/>
        <v>-1127.067885196637</v>
      </c>
      <c r="BD35" s="1514">
        <f t="shared" si="69"/>
        <v>-626.47234132914684</v>
      </c>
      <c r="BE35" s="1514">
        <f t="shared" si="69"/>
        <v>-615.54626007914703</v>
      </c>
      <c r="BF35" s="1514">
        <f t="shared" si="69"/>
        <v>-859.93979176699997</v>
      </c>
      <c r="BG35" s="1514">
        <f t="shared" si="69"/>
        <v>-557.47535219099007</v>
      </c>
      <c r="BH35" s="1514">
        <f t="shared" si="69"/>
        <v>1969.8682436091717</v>
      </c>
      <c r="BI35" s="1514">
        <f t="shared" si="69"/>
        <v>1585.0573138032651</v>
      </c>
      <c r="BJ35" s="1514">
        <f t="shared" si="69"/>
        <v>-890.17364228670192</v>
      </c>
      <c r="BK35" s="1514">
        <f t="shared" si="69"/>
        <v>-524.57162536038538</v>
      </c>
      <c r="BL35" s="1514">
        <f t="shared" si="69"/>
        <v>-635.33333333333326</v>
      </c>
      <c r="BM35" s="1514">
        <f t="shared" si="69"/>
        <v>-930.43524912936266</v>
      </c>
      <c r="BN35" s="1513">
        <f t="shared" si="69"/>
        <v>-621.21575571449512</v>
      </c>
      <c r="BO35" s="1515"/>
      <c r="BP35" s="1514">
        <f t="shared" ref="BP35:CT35" si="70">BP22-BP34-BP24</f>
        <v>1.9526854386809731</v>
      </c>
      <c r="BQ35" s="1514">
        <f t="shared" si="70"/>
        <v>-273.31149068636222</v>
      </c>
      <c r="BR35" s="1514">
        <f t="shared" si="70"/>
        <v>-273.83490087447035</v>
      </c>
      <c r="BS35" s="1514">
        <f t="shared" si="70"/>
        <v>-366.68761650068603</v>
      </c>
      <c r="BT35" s="1514">
        <f t="shared" si="70"/>
        <v>-424.99795094932153</v>
      </c>
      <c r="BU35" s="1514">
        <f t="shared" si="70"/>
        <v>-302.10391566656273</v>
      </c>
      <c r="BV35" s="1514">
        <f t="shared" si="70"/>
        <v>-544.82113723977227</v>
      </c>
      <c r="BW35" s="1514">
        <f t="shared" si="70"/>
        <v>-543.42786905409571</v>
      </c>
      <c r="BX35" s="1514">
        <f t="shared" si="70"/>
        <v>-198.18887091522481</v>
      </c>
      <c r="BY35" s="1514">
        <f t="shared" si="70"/>
        <v>-610.97914333914696</v>
      </c>
      <c r="BZ35" s="1514">
        <f t="shared" si="70"/>
        <v>-275.09008077301934</v>
      </c>
      <c r="CA35" s="1514">
        <f t="shared" si="70"/>
        <v>-481.08982223135251</v>
      </c>
      <c r="CB35" s="1514">
        <f t="shared" si="70"/>
        <v>-182.02910587431347</v>
      </c>
      <c r="CC35" s="1514">
        <f t="shared" si="70"/>
        <v>257.30393494046615</v>
      </c>
      <c r="CD35" s="1514">
        <f t="shared" si="70"/>
        <v>-966.43823735388003</v>
      </c>
      <c r="CE35" s="1514">
        <f t="shared" si="70"/>
        <v>249.20602422503717</v>
      </c>
      <c r="CF35" s="1514">
        <f t="shared" si="70"/>
        <v>-575.88529707181362</v>
      </c>
      <c r="CG35" s="1514">
        <f t="shared" si="70"/>
        <v>-387.4354294106767</v>
      </c>
      <c r="CH35" s="1514">
        <f t="shared" si="70"/>
        <v>-114.10212965850016</v>
      </c>
      <c r="CI35" s="1514">
        <f t="shared" si="70"/>
        <v>-1099.063233387765</v>
      </c>
      <c r="CJ35" s="1514">
        <f t="shared" si="70"/>
        <v>-397.0422544878528</v>
      </c>
      <c r="CK35" s="1514">
        <f t="shared" si="70"/>
        <v>-388.67856698785289</v>
      </c>
      <c r="CL35" s="1514">
        <f t="shared" si="70"/>
        <v>-607.33279571538242</v>
      </c>
      <c r="CM35" s="1514">
        <f t="shared" si="70"/>
        <v>-450.00707223849969</v>
      </c>
      <c r="CN35" s="1514">
        <f t="shared" si="70"/>
        <v>3481.5503882103617</v>
      </c>
      <c r="CO35" s="1514">
        <f t="shared" si="70"/>
        <v>3084.8762116902785</v>
      </c>
      <c r="CP35" s="1514">
        <f t="shared" si="70"/>
        <v>-384.4090810188456</v>
      </c>
      <c r="CQ35" s="1514">
        <f t="shared" si="70"/>
        <v>110.34703300425815</v>
      </c>
      <c r="CR35" s="1514">
        <f>CR22-CR34-CR24</f>
        <v>-685.33333333333326</v>
      </c>
      <c r="CS35" s="1514">
        <f t="shared" si="70"/>
        <v>-980.43524912936266</v>
      </c>
      <c r="CT35" s="1514">
        <f t="shared" si="70"/>
        <v>-671.21575571449512</v>
      </c>
      <c r="CV35" s="1481" t="s">
        <v>1179</v>
      </c>
      <c r="CW35" s="1480" t="s">
        <v>171</v>
      </c>
      <c r="CX35" s="1513">
        <f t="shared" ref="CX35:DS35" si="71">CX22-CX34-CX24</f>
        <v>-680.57865939466569</v>
      </c>
      <c r="CY35" s="1513">
        <f t="shared" si="71"/>
        <v>-505.88471045556275</v>
      </c>
      <c r="CZ35" s="1513">
        <f t="shared" si="71"/>
        <v>-645.27240939466571</v>
      </c>
      <c r="DA35" s="1513">
        <f t="shared" si="71"/>
        <v>-561.19783545556277</v>
      </c>
      <c r="DB35" s="1513">
        <f t="shared" si="71"/>
        <v>-191.44646461810876</v>
      </c>
      <c r="DC35" s="1513">
        <f t="shared" si="71"/>
        <v>-45.677093058697459</v>
      </c>
      <c r="DD35" s="1513">
        <f t="shared" si="71"/>
        <v>-233.45983770406107</v>
      </c>
      <c r="DE35" s="1513">
        <f t="shared" si="71"/>
        <v>-67.441293579060442</v>
      </c>
      <c r="DF35" s="1513">
        <f t="shared" si="71"/>
        <v>-299.60691947057643</v>
      </c>
      <c r="DG35" s="1513">
        <f t="shared" si="71"/>
        <v>-197.35641733647518</v>
      </c>
      <c r="DH35" s="1513">
        <f>DH22-DH34-DH24</f>
        <v>-359.4322474705765</v>
      </c>
      <c r="DI35" s="1513">
        <f t="shared" si="71"/>
        <v>-137.23701873931509</v>
      </c>
      <c r="DJ35" s="1513">
        <f t="shared" si="71"/>
        <v>3.7425593675339233</v>
      </c>
      <c r="DK35" s="1513">
        <f t="shared" si="71"/>
        <v>-2.2192938048434705</v>
      </c>
      <c r="DL35" s="1513">
        <f t="shared" si="71"/>
        <v>-182.21767121602636</v>
      </c>
      <c r="DM35" s="1513">
        <f t="shared" si="71"/>
        <v>609.15759058919161</v>
      </c>
      <c r="DN35" s="1513">
        <f t="shared" si="71"/>
        <v>-451.85510527380893</v>
      </c>
      <c r="DO35" s="1513">
        <f t="shared" si="71"/>
        <v>-771.95620919575299</v>
      </c>
      <c r="DP35" s="1513">
        <f t="shared" si="71"/>
        <v>3849.7411843652703</v>
      </c>
      <c r="DQ35" s="1513" t="e">
        <f t="shared" si="71"/>
        <v>#REF!</v>
      </c>
      <c r="DR35" s="1513">
        <f t="shared" si="71"/>
        <v>-1052.4910921597941</v>
      </c>
      <c r="DS35" s="1513">
        <f t="shared" si="71"/>
        <v>-1019.3697382799205</v>
      </c>
      <c r="DT35" s="1456"/>
      <c r="DU35" s="1513">
        <f>DU22-DU34-DU24</f>
        <v>-523.32532606133236</v>
      </c>
      <c r="DV35" s="1513">
        <f>DV22-DV34-DV24</f>
        <v>-405.79387712222945</v>
      </c>
      <c r="DW35" s="1513">
        <f>DW22-DW34-DW24</f>
        <v>-488.01907606133233</v>
      </c>
      <c r="DX35" s="1513">
        <f>DX22-DX34-DX24</f>
        <v>-461.1070021222294</v>
      </c>
      <c r="DY35" s="1514">
        <f t="shared" ref="DY35:EG35" si="72">DY22-DY34-DY24</f>
        <v>-118.40863105556954</v>
      </c>
      <c r="DZ35" s="1514">
        <f t="shared" si="72"/>
        <v>307.9552993978516</v>
      </c>
      <c r="EA35" s="1514">
        <f t="shared" si="72"/>
        <v>115.36803816316106</v>
      </c>
      <c r="EB35" s="1514">
        <f t="shared" si="72"/>
        <v>336.72609699649462</v>
      </c>
      <c r="EC35" s="1514">
        <f t="shared" si="72"/>
        <v>-23.584315163468517</v>
      </c>
      <c r="ED35" s="1514">
        <f t="shared" si="72"/>
        <v>111.40468768200004</v>
      </c>
      <c r="EE35" s="1514">
        <f>EE22-EE34-EE24</f>
        <v>-191.86715207729517</v>
      </c>
      <c r="EF35" s="1514">
        <f t="shared" si="72"/>
        <v>201.12950511615603</v>
      </c>
      <c r="EG35" s="1514">
        <f t="shared" si="72"/>
        <v>462.45316609357008</v>
      </c>
      <c r="EH35" s="1514">
        <f t="shared" ref="EH35:EN35" si="73">EH22-EH34-EH24</f>
        <v>328.12381839358193</v>
      </c>
      <c r="EI35" s="1514">
        <f t="shared" si="73"/>
        <v>149.77928069679945</v>
      </c>
      <c r="EJ35" s="1514">
        <f t="shared" si="73"/>
        <v>938.88567306409152</v>
      </c>
      <c r="EK35" s="1514">
        <f t="shared" si="73"/>
        <v>-9.7563481678188122</v>
      </c>
      <c r="EL35" s="1514">
        <f t="shared" si="73"/>
        <v>-177.10509546702849</v>
      </c>
      <c r="EM35" s="1514">
        <f t="shared" si="73"/>
        <v>5849.2363772101889</v>
      </c>
      <c r="EN35" s="1514" t="e">
        <f t="shared" si="73"/>
        <v>#REF!</v>
      </c>
      <c r="EO35" s="1514">
        <f>EO22-EO34-EO24</f>
        <v>-1082.4910921597941</v>
      </c>
      <c r="EP35" s="1514">
        <f>EP22-EP34-EP24</f>
        <v>-1019.3697382799205</v>
      </c>
      <c r="EQ35" s="1456"/>
      <c r="ER35" s="1513" t="e">
        <f>ER22-ER34-ER24</f>
        <v>#REF!</v>
      </c>
      <c r="ES35" s="1514" t="e">
        <f>ES22-ES34-ES24</f>
        <v>#REF!</v>
      </c>
      <c r="ET35" s="1514" t="e">
        <f>ET22-ET34-ET24</f>
        <v>#REF!</v>
      </c>
      <c r="EU35" s="1514" t="e">
        <f>EU22-EU34-EU24</f>
        <v>#REF!</v>
      </c>
      <c r="EV35" s="1514" t="e">
        <f t="shared" ref="EV35:FD35" si="74">EV22-EV34-EV24</f>
        <v>#REF!</v>
      </c>
      <c r="EW35" s="1514" t="e">
        <f t="shared" si="74"/>
        <v>#REF!</v>
      </c>
      <c r="EX35" s="1514" t="e">
        <f t="shared" si="74"/>
        <v>#REF!</v>
      </c>
      <c r="EY35" s="1514" t="e">
        <f t="shared" si="74"/>
        <v>#REF!</v>
      </c>
      <c r="EZ35" s="1514" t="e">
        <f t="shared" si="74"/>
        <v>#REF!</v>
      </c>
      <c r="FA35" s="1514" t="e">
        <f t="shared" si="74"/>
        <v>#REF!</v>
      </c>
      <c r="FB35" s="1514" t="e">
        <f>FB22-FB34-FB24</f>
        <v>#REF!</v>
      </c>
      <c r="FC35" s="1514" t="e">
        <f t="shared" si="74"/>
        <v>#REF!</v>
      </c>
      <c r="FD35" s="1514" t="e">
        <f t="shared" si="74"/>
        <v>#REF!</v>
      </c>
      <c r="FE35" s="1514" t="e">
        <f t="shared" ref="FE35:FK35" si="75">FE22-FE34-FE24</f>
        <v>#REF!</v>
      </c>
      <c r="FF35" s="1514" t="e">
        <f t="shared" si="75"/>
        <v>#REF!</v>
      </c>
      <c r="FG35" s="1514" t="e">
        <f t="shared" si="75"/>
        <v>#REF!</v>
      </c>
      <c r="FH35" s="1514" t="e">
        <f t="shared" si="75"/>
        <v>#REF!</v>
      </c>
      <c r="FI35" s="1514" t="e">
        <f t="shared" si="75"/>
        <v>#REF!</v>
      </c>
      <c r="FJ35" s="1514" t="e">
        <f t="shared" si="75"/>
        <v>#REF!</v>
      </c>
      <c r="FK35" s="1514" t="e">
        <f t="shared" si="75"/>
        <v>#REF!</v>
      </c>
      <c r="FL35" s="1514" t="e">
        <f>FL22-FL34-FL24</f>
        <v>#REF!</v>
      </c>
      <c r="FM35" s="1514" t="e">
        <f>FM22-FM34-FM24</f>
        <v>#REF!</v>
      </c>
    </row>
    <row r="36" spans="1:169" s="1474" customFormat="1" ht="16.149999999999999" customHeight="1">
      <c r="A36" s="1463">
        <f>ROWS($A$1:A36)</f>
        <v>36</v>
      </c>
      <c r="B36" s="1525"/>
      <c r="C36" s="1530" t="s">
        <v>228</v>
      </c>
      <c r="D36" s="1521">
        <f t="shared" ref="D36:AH36" si="76">IF(D6=0,0,D35/D6)</f>
        <v>-3.1240028327091673</v>
      </c>
      <c r="E36" s="1521">
        <f t="shared" si="76"/>
        <v>-9.0320458118713329</v>
      </c>
      <c r="F36" s="1521">
        <f t="shared" si="76"/>
        <v>-10.870681661825238</v>
      </c>
      <c r="G36" s="1521">
        <f t="shared" si="76"/>
        <v>-10.253748356067662</v>
      </c>
      <c r="H36" s="1521">
        <f t="shared" si="76"/>
        <v>-10.106653833611265</v>
      </c>
      <c r="I36" s="1521">
        <f t="shared" si="76"/>
        <v>-9.3901869690047697</v>
      </c>
      <c r="J36" s="1521">
        <f t="shared" si="76"/>
        <v>-13.896770737582816</v>
      </c>
      <c r="K36" s="1521">
        <f t="shared" si="76"/>
        <v>-14.118382123436586</v>
      </c>
      <c r="L36" s="1521">
        <f t="shared" si="76"/>
        <v>-7.7031210620950041</v>
      </c>
      <c r="M36" s="1521">
        <f t="shared" si="76"/>
        <v>-14.901563344826075</v>
      </c>
      <c r="N36" s="1521">
        <f t="shared" si="76"/>
        <v>-13.394097221046081</v>
      </c>
      <c r="O36" s="1521">
        <f t="shared" si="76"/>
        <v>-13.534440450059257</v>
      </c>
      <c r="P36" s="1521">
        <f t="shared" si="76"/>
        <v>-13.673440015245092</v>
      </c>
      <c r="Q36" s="1521">
        <f t="shared" si="76"/>
        <v>-2.6024470878814281</v>
      </c>
      <c r="R36" s="1521">
        <f t="shared" si="76"/>
        <v>-11.647265971120564</v>
      </c>
      <c r="S36" s="1521">
        <f t="shared" si="76"/>
        <v>-11.11712500474307</v>
      </c>
      <c r="T36" s="1521">
        <f t="shared" si="76"/>
        <v>-39.287208422446582</v>
      </c>
      <c r="U36" s="1521">
        <f t="shared" si="76"/>
        <v>-22.897356654470201</v>
      </c>
      <c r="V36" s="1521">
        <f t="shared" si="76"/>
        <v>-30.403601412887753</v>
      </c>
      <c r="W36" s="1521">
        <f t="shared" si="76"/>
        <v>-77.004835800367303</v>
      </c>
      <c r="X36" s="1521">
        <f t="shared" si="76"/>
        <v>-42.985609566457363</v>
      </c>
      <c r="Y36" s="1521">
        <f t="shared" si="76"/>
        <v>-42.215941737489715</v>
      </c>
      <c r="Z36" s="1521">
        <f t="shared" si="76"/>
        <v>-111.25467878186176</v>
      </c>
      <c r="AA36" s="1521">
        <f t="shared" si="76"/>
        <v>-2.9318759062599722</v>
      </c>
      <c r="AB36" s="1521">
        <f t="shared" si="76"/>
        <v>1.8644487769843052</v>
      </c>
      <c r="AC36" s="1521">
        <f t="shared" si="76"/>
        <v>0.20503974162632851</v>
      </c>
      <c r="AD36" s="1521">
        <f t="shared" si="76"/>
        <v>-2.2216544960398914</v>
      </c>
      <c r="AE36" s="1521">
        <f t="shared" si="76"/>
        <v>-3.0722110404492207</v>
      </c>
      <c r="AF36" s="1521">
        <f t="shared" si="76"/>
        <v>0</v>
      </c>
      <c r="AG36" s="1521">
        <f t="shared" si="76"/>
        <v>-880.43524912936277</v>
      </c>
      <c r="AH36" s="1521">
        <f t="shared" si="76"/>
        <v>-317.88242238116175</v>
      </c>
      <c r="AI36" s="1523"/>
      <c r="AJ36" s="1522">
        <f t="shared" ref="AJ36:BN36" si="77">IF(AJ6=0,0,AJ35/AJ6)</f>
        <v>-2.0794907591811302</v>
      </c>
      <c r="AK36" s="1521">
        <f t="shared" si="77"/>
        <v>-5.5724211793242784</v>
      </c>
      <c r="AL36" s="1521">
        <f t="shared" si="77"/>
        <v>-6.2582920876775603</v>
      </c>
      <c r="AM36" s="1521">
        <f t="shared" si="77"/>
        <v>-7.1587982775723678</v>
      </c>
      <c r="AN36" s="1521">
        <f t="shared" si="77"/>
        <v>-7.3320753406010848</v>
      </c>
      <c r="AO36" s="1521">
        <f t="shared" si="77"/>
        <v>-5.6706491343461707</v>
      </c>
      <c r="AP36" s="1521">
        <f t="shared" si="77"/>
        <v>-9.1285719643247312</v>
      </c>
      <c r="AQ36" s="1521">
        <f t="shared" si="77"/>
        <v>-10.68067294189408</v>
      </c>
      <c r="AR36" s="1521">
        <f t="shared" si="77"/>
        <v>-6.5998237833111535</v>
      </c>
      <c r="AS36" s="1521">
        <f t="shared" si="77"/>
        <v>-11.300477588170423</v>
      </c>
      <c r="AT36" s="1521">
        <f t="shared" si="77"/>
        <v>-8.2740200981108387</v>
      </c>
      <c r="AU36" s="1521">
        <f t="shared" si="77"/>
        <v>-10.137749560892686</v>
      </c>
      <c r="AV36" s="1521">
        <f t="shared" si="77"/>
        <v>-4.5137496283306504</v>
      </c>
      <c r="AW36" s="1521">
        <f t="shared" si="77"/>
        <v>0.2455408395497595</v>
      </c>
      <c r="AX36" s="1521">
        <f t="shared" si="77"/>
        <v>-10.545663972464029</v>
      </c>
      <c r="AY36" s="1521">
        <f t="shared" si="77"/>
        <v>-1.5002258204461261</v>
      </c>
      <c r="AZ36" s="1521">
        <f t="shared" si="77"/>
        <v>-27.945566744698436</v>
      </c>
      <c r="BA36" s="1521">
        <f t="shared" si="77"/>
        <v>-15.997822429540527</v>
      </c>
      <c r="BB36" s="1521">
        <f t="shared" si="77"/>
        <v>-13.373595516967685</v>
      </c>
      <c r="BC36" s="1521">
        <f t="shared" si="77"/>
        <v>-56.353394259831852</v>
      </c>
      <c r="BD36" s="1521">
        <f t="shared" si="77"/>
        <v>-17.899209752261338</v>
      </c>
      <c r="BE36" s="1521">
        <f t="shared" si="77"/>
        <v>-17.587036002261343</v>
      </c>
      <c r="BF36" s="1521">
        <f t="shared" si="77"/>
        <v>-34.397591670680001</v>
      </c>
      <c r="BG36" s="1521">
        <f t="shared" si="77"/>
        <v>-0.7636648660150549</v>
      </c>
      <c r="BH36" s="1521">
        <f t="shared" si="77"/>
        <v>6.5662274786972388</v>
      </c>
      <c r="BI36" s="1521">
        <f t="shared" si="77"/>
        <v>4.5287351822950432</v>
      </c>
      <c r="BJ36" s="1521">
        <f t="shared" si="77"/>
        <v>-2.4321684215483659</v>
      </c>
      <c r="BK36" s="1521">
        <f t="shared" si="77"/>
        <v>-1.2342861773185538</v>
      </c>
      <c r="BL36" s="1521">
        <f t="shared" si="77"/>
        <v>0</v>
      </c>
      <c r="BM36" s="1521">
        <f t="shared" si="77"/>
        <v>-930.43524912936266</v>
      </c>
      <c r="BN36" s="1521">
        <f t="shared" si="77"/>
        <v>-621.21575571449512</v>
      </c>
      <c r="BO36" s="1523"/>
      <c r="BP36" s="1522">
        <f t="shared" ref="BP36:CT36" si="78">IF(BP6=0,0,BP35/BP6)</f>
        <v>2.0554583565062876E-2</v>
      </c>
      <c r="BQ36" s="1521">
        <f t="shared" si="78"/>
        <v>-3.0367943409595801</v>
      </c>
      <c r="BR36" s="1521">
        <f t="shared" si="78"/>
        <v>-3.2215870691114157</v>
      </c>
      <c r="BS36" s="1521">
        <f t="shared" si="78"/>
        <v>-4.8891682200091475</v>
      </c>
      <c r="BT36" s="1521">
        <f t="shared" si="78"/>
        <v>-5.6666393459909541</v>
      </c>
      <c r="BU36" s="1521">
        <f t="shared" si="78"/>
        <v>-3.3567101740729193</v>
      </c>
      <c r="BV36" s="1521">
        <f t="shared" si="78"/>
        <v>-6.409660438114968</v>
      </c>
      <c r="BW36" s="1521">
        <f t="shared" si="78"/>
        <v>-7.7632552722013672</v>
      </c>
      <c r="BX36" s="1521">
        <f t="shared" si="78"/>
        <v>-2.6425182788696642</v>
      </c>
      <c r="BY36" s="1521">
        <f t="shared" si="78"/>
        <v>-8.7282734762735288</v>
      </c>
      <c r="BZ36" s="1521">
        <f t="shared" si="78"/>
        <v>-4.7429324271210227</v>
      </c>
      <c r="CA36" s="1521">
        <f t="shared" si="78"/>
        <v>-7.4013818804823464</v>
      </c>
      <c r="CB36" s="1521">
        <f t="shared" si="78"/>
        <v>-3.0338184312385579</v>
      </c>
      <c r="CC36" s="1521">
        <f t="shared" si="78"/>
        <v>2.1441994578372179</v>
      </c>
      <c r="CD36" s="1521">
        <f t="shared" si="78"/>
        <v>-9.6643823735387997</v>
      </c>
      <c r="CE36" s="1521">
        <f t="shared" si="78"/>
        <v>4.9841204845007434</v>
      </c>
      <c r="CF36" s="1521">
        <f t="shared" si="78"/>
        <v>-19.196176569060455</v>
      </c>
      <c r="CG36" s="1521">
        <f t="shared" si="78"/>
        <v>-11.069583697447905</v>
      </c>
      <c r="CH36" s="1521">
        <f t="shared" si="78"/>
        <v>-3.3559449899558871</v>
      </c>
      <c r="CI36" s="1521">
        <f t="shared" si="78"/>
        <v>-43.962529335510595</v>
      </c>
      <c r="CJ36" s="1521">
        <f t="shared" si="78"/>
        <v>-7.9408450897570564</v>
      </c>
      <c r="CK36" s="1521">
        <f t="shared" si="78"/>
        <v>-7.7735713397570576</v>
      </c>
      <c r="CL36" s="1521">
        <f t="shared" si="78"/>
        <v>-15.18331989288456</v>
      </c>
      <c r="CM36" s="1521">
        <f t="shared" si="78"/>
        <v>-0.5294200849864702</v>
      </c>
      <c r="CN36" s="1521">
        <f t="shared" si="78"/>
        <v>9.9472868234581764</v>
      </c>
      <c r="CO36" s="1521">
        <f t="shared" si="78"/>
        <v>7.7121905292256967</v>
      </c>
      <c r="CP36" s="1521">
        <f t="shared" si="78"/>
        <v>-0.96102270254711397</v>
      </c>
      <c r="CQ36" s="1521">
        <f t="shared" si="78"/>
        <v>0.23679620816364411</v>
      </c>
      <c r="CR36" s="1521">
        <f>IF(CR6=0,0,CR35/CR6)</f>
        <v>0</v>
      </c>
      <c r="CS36" s="1521">
        <f t="shared" si="78"/>
        <v>-980.43524912936266</v>
      </c>
      <c r="CT36" s="1521">
        <f t="shared" si="78"/>
        <v>-671.21575571449512</v>
      </c>
      <c r="CV36" s="1525"/>
      <c r="CW36" s="1530" t="s">
        <v>228</v>
      </c>
      <c r="CX36" s="1521">
        <f t="shared" ref="CX36:DQ36" si="79">IF(CX6=0,0,CX35/CX6)</f>
        <v>-2.2685955313155524</v>
      </c>
      <c r="CY36" s="1521">
        <f t="shared" si="79"/>
        <v>-1.2647117761389068</v>
      </c>
      <c r="CZ36" s="1521">
        <f t="shared" si="79"/>
        <v>-2.1509080313155522</v>
      </c>
      <c r="DA36" s="1521">
        <f t="shared" si="79"/>
        <v>-1.6034223870158937</v>
      </c>
      <c r="DB36" s="1521">
        <f t="shared" si="79"/>
        <v>-6.3815488206036255</v>
      </c>
      <c r="DC36" s="1521">
        <f t="shared" si="79"/>
        <v>-1.5225697686232487</v>
      </c>
      <c r="DD36" s="1521">
        <f t="shared" si="79"/>
        <v>-8.8937081030118499</v>
      </c>
      <c r="DE36" s="1521">
        <f t="shared" si="79"/>
        <v>-3.8346151288733723</v>
      </c>
      <c r="DF36" s="1521">
        <f t="shared" si="79"/>
        <v>-9.9868973156858818</v>
      </c>
      <c r="DG36" s="1521">
        <f t="shared" si="79"/>
        <v>-6.5785472445491724</v>
      </c>
      <c r="DH36" s="1521">
        <f>IF(DH6=0,0,DH35/DH6)</f>
        <v>-11.981074915685884</v>
      </c>
      <c r="DI36" s="1521">
        <f t="shared" si="79"/>
        <v>-5.8089743381720673</v>
      </c>
      <c r="DJ36" s="1521">
        <f t="shared" si="79"/>
        <v>6.2375989458898724E-2</v>
      </c>
      <c r="DK36" s="1521">
        <f t="shared" si="79"/>
        <v>-8.4544525898798878E-2</v>
      </c>
      <c r="DL36" s="1521">
        <f t="shared" si="79"/>
        <v>-8.0985631651567278</v>
      </c>
      <c r="DM36" s="1521">
        <f t="shared" si="79"/>
        <v>23.888532964282025</v>
      </c>
      <c r="DN36" s="1521">
        <f t="shared" si="79"/>
        <v>-22.592755263690446</v>
      </c>
      <c r="DO36" s="1521">
        <f t="shared" si="79"/>
        <v>-77.195620919575305</v>
      </c>
      <c r="DP36" s="1521">
        <f t="shared" si="79"/>
        <v>25.664941229101803</v>
      </c>
      <c r="DQ36" s="1521" t="e">
        <f t="shared" si="79"/>
        <v>#REF!</v>
      </c>
      <c r="DR36" s="1521">
        <f>IF(DR6=0,0,DR35/DR6)</f>
        <v>0</v>
      </c>
      <c r="DS36" s="1521">
        <f>IF(DS6=0,0,DS35/DS6)</f>
        <v>0</v>
      </c>
      <c r="DU36" s="1521">
        <f>IF(DU6=0,0,DU35/DU6)</f>
        <v>-1.3083133151533308</v>
      </c>
      <c r="DV36" s="1521">
        <f>IF(DV6=0,0,DV35/DV6)</f>
        <v>-0.81158775424445895</v>
      </c>
      <c r="DW36" s="1521">
        <f>IF(DW6=0,0,DW35/DW6)</f>
        <v>-1.2200476901533308</v>
      </c>
      <c r="DX36" s="1521">
        <f>IF(DX6=0,0,DX35/DX6)</f>
        <v>-1.0246822269382876</v>
      </c>
      <c r="DY36" s="1522">
        <f t="shared" ref="DY36:EG36" si="80">IF(DY6=0,0,DY35/DY6)</f>
        <v>-2.9602157763892385</v>
      </c>
      <c r="DZ36" s="1521">
        <f t="shared" si="80"/>
        <v>7.6988824849462905</v>
      </c>
      <c r="EA36" s="1521">
        <f t="shared" si="80"/>
        <v>3.2962296618046016</v>
      </c>
      <c r="EB36" s="1521">
        <f t="shared" si="80"/>
        <v>14.359321833539214</v>
      </c>
      <c r="EC36" s="1521">
        <f t="shared" si="80"/>
        <v>-0.58960787908671297</v>
      </c>
      <c r="ED36" s="1521">
        <f t="shared" si="80"/>
        <v>2.7851171920500013</v>
      </c>
      <c r="EE36" s="1521">
        <f>IF(EE6=0,0,EE35/EE6)</f>
        <v>-4.7966788019323792</v>
      </c>
      <c r="EF36" s="1521">
        <f t="shared" si="80"/>
        <v>6.3850636544811437</v>
      </c>
      <c r="EG36" s="1521">
        <f t="shared" si="80"/>
        <v>5.7806645761696256</v>
      </c>
      <c r="EH36" s="1521">
        <f t="shared" ref="EH36:EN36" si="81">IF(EH6=0,0,EH35/EH6)</f>
        <v>9.3749662398166258</v>
      </c>
      <c r="EI36" s="1521">
        <f t="shared" si="81"/>
        <v>4.9926426898933149</v>
      </c>
      <c r="EJ36" s="1521">
        <f t="shared" si="81"/>
        <v>31.296189102136385</v>
      </c>
      <c r="EK36" s="1521">
        <f t="shared" si="81"/>
        <v>-0.3252116055939604</v>
      </c>
      <c r="EL36" s="1521">
        <f t="shared" si="81"/>
        <v>-9.3213208140541308</v>
      </c>
      <c r="EM36" s="1521">
        <f t="shared" si="81"/>
        <v>31.195927345121007</v>
      </c>
      <c r="EN36" s="1521" t="e">
        <f t="shared" si="81"/>
        <v>#REF!</v>
      </c>
      <c r="EO36" s="1521">
        <f>IF(EO6=0,0,EO35/EO6)</f>
        <v>0</v>
      </c>
      <c r="EP36" s="1521">
        <f>IF(EP6=0,0,EP35/EP6)</f>
        <v>0</v>
      </c>
      <c r="ER36" s="1521" t="e">
        <f>IF(ER6=0,0,ER35/ER6)</f>
        <v>#REF!</v>
      </c>
      <c r="ES36" s="1521" t="e">
        <f>IF(ES6=0,0,ES35/ES6)</f>
        <v>#REF!</v>
      </c>
      <c r="ET36" s="1521" t="e">
        <f>IF(ET6=0,0,ET35/ET6)</f>
        <v>#REF!</v>
      </c>
      <c r="EU36" s="1521" t="e">
        <f>IF(EU6=0,0,EU35/EU6)</f>
        <v>#REF!</v>
      </c>
      <c r="EV36" s="1522" t="e">
        <f t="shared" ref="EV36:FD36" si="82">IF(EV6=0,0,EV35/EV6)</f>
        <v>#REF!</v>
      </c>
      <c r="EW36" s="1521" t="e">
        <f t="shared" si="82"/>
        <v>#REF!</v>
      </c>
      <c r="EX36" s="1521" t="e">
        <f t="shared" si="82"/>
        <v>#REF!</v>
      </c>
      <c r="EY36" s="1521" t="e">
        <f t="shared" si="82"/>
        <v>#REF!</v>
      </c>
      <c r="EZ36" s="1521" t="e">
        <f t="shared" si="82"/>
        <v>#REF!</v>
      </c>
      <c r="FA36" s="1521" t="e">
        <f t="shared" si="82"/>
        <v>#REF!</v>
      </c>
      <c r="FB36" s="1521" t="e">
        <f>IF(FB6=0,0,FB35/FB6)</f>
        <v>#REF!</v>
      </c>
      <c r="FC36" s="1521" t="e">
        <f t="shared" si="82"/>
        <v>#REF!</v>
      </c>
      <c r="FD36" s="1521" t="e">
        <f t="shared" si="82"/>
        <v>#REF!</v>
      </c>
      <c r="FE36" s="1521" t="e">
        <f t="shared" ref="FE36:FK36" si="83">IF(FE6=0,0,FE35/FE6)</f>
        <v>#REF!</v>
      </c>
      <c r="FF36" s="1521" t="e">
        <f t="shared" si="83"/>
        <v>#REF!</v>
      </c>
      <c r="FG36" s="1521" t="e">
        <f t="shared" si="83"/>
        <v>#REF!</v>
      </c>
      <c r="FH36" s="1521" t="e">
        <f t="shared" si="83"/>
        <v>#REF!</v>
      </c>
      <c r="FI36" s="1521" t="e">
        <f t="shared" si="83"/>
        <v>#REF!</v>
      </c>
      <c r="FJ36" s="1521" t="e">
        <f t="shared" si="83"/>
        <v>#REF!</v>
      </c>
      <c r="FK36" s="1521" t="e">
        <f t="shared" si="83"/>
        <v>#REF!</v>
      </c>
      <c r="FL36" s="1521">
        <f>IF(FL6=0,0,FL35/FL6)</f>
        <v>0</v>
      </c>
      <c r="FM36" s="1521">
        <f>IF(FM6=0,0,FM35/FM6)</f>
        <v>0</v>
      </c>
    </row>
    <row r="37" spans="1:169" ht="16.149999999999999" customHeight="1">
      <c r="A37" s="1463">
        <f>ROWS($A$1:A37)</f>
        <v>37</v>
      </c>
      <c r="B37" s="1467" t="s">
        <v>1178</v>
      </c>
      <c r="D37" s="3662">
        <f>'WW1'!$R$19</f>
        <v>535.4</v>
      </c>
      <c r="E37" s="1468">
        <f>'WW2'!$R$19</f>
        <v>535.4</v>
      </c>
      <c r="F37" s="1468">
        <f>'WW3'!$R$19</f>
        <v>455.4</v>
      </c>
      <c r="G37" s="1468">
        <f>'WW4'!$R$19</f>
        <v>455.4</v>
      </c>
      <c r="H37" s="1468">
        <f>WRo!$R$19</f>
        <v>535.4</v>
      </c>
      <c r="I37" s="1468">
        <f>Tr!$R$19</f>
        <v>535.4</v>
      </c>
      <c r="J37" s="1468">
        <f>WG!$R$19</f>
        <v>455.4</v>
      </c>
      <c r="K37" s="1468">
        <f>Di!$R$19</f>
        <v>355.4</v>
      </c>
      <c r="L37" s="1468">
        <f>SW!$R$19</f>
        <v>455.4</v>
      </c>
      <c r="M37" s="1468">
        <f>'SG-Fu'!$R$19</f>
        <v>455.4</v>
      </c>
      <c r="N37" s="1468">
        <f>BG!$R$19</f>
        <v>455.4</v>
      </c>
      <c r="O37" s="1468">
        <f>Ha!$R$19</f>
        <v>455.4</v>
      </c>
      <c r="P37" s="1468">
        <f>Du!$R$19</f>
        <v>455.4</v>
      </c>
      <c r="Q37" s="1468">
        <f>KöM!$R$19</f>
        <v>455.4</v>
      </c>
      <c r="R37" s="1468">
        <f>KH!$R$19</f>
        <v>455.4</v>
      </c>
      <c r="S37" s="1468">
        <f>WR!$R$19</f>
        <v>455.4</v>
      </c>
      <c r="T37" s="1468">
        <f>SR!$R$19</f>
        <v>455.4</v>
      </c>
      <c r="U37" s="1468">
        <f>SoBl!$R$19</f>
        <v>455.4</v>
      </c>
      <c r="V37" s="1468">
        <f>Soja!$R$19</f>
        <v>455.4</v>
      </c>
      <c r="W37" s="1468">
        <f>Öl!$R$19</f>
        <v>455.4</v>
      </c>
      <c r="X37" s="1468">
        <f>FE!$R$19</f>
        <v>555.4</v>
      </c>
      <c r="Y37" s="1468">
        <f>AB!$R$19</f>
        <v>455.4</v>
      </c>
      <c r="Z37" s="1468">
        <f>Lu!$R$19</f>
        <v>455.4</v>
      </c>
      <c r="AA37" s="1468">
        <f>ZR!$R$19</f>
        <v>455.4</v>
      </c>
      <c r="AB37" s="1468">
        <f>FrühKa!$R$19</f>
        <v>455.4</v>
      </c>
      <c r="AC37" s="1468">
        <f>FrühKaFolieBer!$R$19</f>
        <v>455.4</v>
      </c>
      <c r="AD37" s="1468">
        <f>SpKa!$R$19</f>
        <v>455.4</v>
      </c>
      <c r="AE37" s="1468">
        <f>SpKaBer!$R$19</f>
        <v>455.4</v>
      </c>
      <c r="AF37" s="1468">
        <f>'Kultur A'!$R$19</f>
        <v>0</v>
      </c>
      <c r="AG37" s="1468">
        <f>'FAKT-Brachebegrünung'!$R$19</f>
        <v>1085.4000000000001</v>
      </c>
      <c r="AH37" s="1468">
        <f>Begr!$R$19</f>
        <v>455.4</v>
      </c>
      <c r="AI37" s="1465"/>
      <c r="AJ37" s="1466">
        <f>'WW1'!$S$19</f>
        <v>535.4</v>
      </c>
      <c r="AK37" s="1468">
        <f>'WW2'!$S$19</f>
        <v>535.4</v>
      </c>
      <c r="AL37" s="1468">
        <f>'WW3'!$S$19</f>
        <v>455.4</v>
      </c>
      <c r="AM37" s="1468">
        <f>'WW4'!$S$19</f>
        <v>455.4</v>
      </c>
      <c r="AN37" s="1468">
        <f>WRo!$S$19</f>
        <v>535.4</v>
      </c>
      <c r="AO37" s="1468">
        <f>Tr!$S$19</f>
        <v>535.4</v>
      </c>
      <c r="AP37" s="1468">
        <f>WG!$S$19</f>
        <v>455.4</v>
      </c>
      <c r="AQ37" s="1468">
        <f>Di!$S$19</f>
        <v>355.4</v>
      </c>
      <c r="AR37" s="1468">
        <f>SW!$S$19</f>
        <v>455.4</v>
      </c>
      <c r="AS37" s="1468">
        <f>'SG-Fu'!$S$19</f>
        <v>455.4</v>
      </c>
      <c r="AT37" s="1468">
        <f>BG!$S$19</f>
        <v>455.4</v>
      </c>
      <c r="AU37" s="1468">
        <f>Ha!$S$19</f>
        <v>455.4</v>
      </c>
      <c r="AV37" s="1468">
        <f>Du!$S$19</f>
        <v>455.4</v>
      </c>
      <c r="AW37" s="1468">
        <f>KöM!$S$19</f>
        <v>455.4</v>
      </c>
      <c r="AX37" s="1468">
        <f>KH!$S$19</f>
        <v>455.4</v>
      </c>
      <c r="AY37" s="1468">
        <f>WR!$S$19</f>
        <v>455.4</v>
      </c>
      <c r="AZ37" s="1468">
        <f>SR!$S$19</f>
        <v>455.4</v>
      </c>
      <c r="BA37" s="1468">
        <f>SoBl!$S$19</f>
        <v>455.4</v>
      </c>
      <c r="BB37" s="1468">
        <f>Soja!$S$19</f>
        <v>455.4</v>
      </c>
      <c r="BC37" s="1468">
        <f>Öl!$S$19</f>
        <v>455.4</v>
      </c>
      <c r="BD37" s="1468">
        <f>FE!$S$19</f>
        <v>555.4</v>
      </c>
      <c r="BE37" s="1468">
        <f>AB!$S$19</f>
        <v>455.4</v>
      </c>
      <c r="BF37" s="1468">
        <f>Lu!$S$19</f>
        <v>455.4</v>
      </c>
      <c r="BG37" s="1468">
        <f>ZR!$S$19</f>
        <v>355.4</v>
      </c>
      <c r="BH37" s="1468">
        <f>FrühKa!$S$19</f>
        <v>455.4</v>
      </c>
      <c r="BI37" s="1468">
        <f>FrühKaFolieBer!$S$19</f>
        <v>455.4</v>
      </c>
      <c r="BJ37" s="1468">
        <f>SpKa!$S$19</f>
        <v>455.4</v>
      </c>
      <c r="BK37" s="1468">
        <f>SpKaBer!$S$19</f>
        <v>455.4</v>
      </c>
      <c r="BL37" s="1468">
        <v>0</v>
      </c>
      <c r="BM37" s="1468">
        <f>'FAKT-Brachebegrünung'!$S$19</f>
        <v>1085.4000000000001</v>
      </c>
      <c r="BN37" s="1468">
        <f>Begr!$S$19</f>
        <v>455.4</v>
      </c>
      <c r="BO37" s="1465"/>
      <c r="BP37" s="1466">
        <f>'WW1'!$T$19</f>
        <v>535.4</v>
      </c>
      <c r="BQ37" s="1468">
        <f>'WW2'!$T$19</f>
        <v>535.4</v>
      </c>
      <c r="BR37" s="1468">
        <f>'WW3'!$T$19</f>
        <v>455.4</v>
      </c>
      <c r="BS37" s="1468">
        <f>'WW4'!$T$19</f>
        <v>455.4</v>
      </c>
      <c r="BT37" s="1468">
        <f>WRo!$T$19</f>
        <v>535.4</v>
      </c>
      <c r="BU37" s="1468">
        <f>Tr!$T$19</f>
        <v>535.4</v>
      </c>
      <c r="BV37" s="1468">
        <f>WG!$T$19</f>
        <v>455.4</v>
      </c>
      <c r="BW37" s="1468">
        <f>Di!$T$19</f>
        <v>355.4</v>
      </c>
      <c r="BX37" s="1468">
        <f>SW!$T$19</f>
        <v>455.4</v>
      </c>
      <c r="BY37" s="1468">
        <f>'SG-Fu'!$T$19</f>
        <v>455.4</v>
      </c>
      <c r="BZ37" s="1468">
        <f>BG!$T$19</f>
        <v>455.4</v>
      </c>
      <c r="CA37" s="1468">
        <f>Ha!$T$19</f>
        <v>455.4</v>
      </c>
      <c r="CB37" s="1468">
        <f>Du!$T$19</f>
        <v>455.4</v>
      </c>
      <c r="CC37" s="1468">
        <f>KöM!$T$19</f>
        <v>455.4</v>
      </c>
      <c r="CD37" s="1468">
        <f>KH!$T$19</f>
        <v>455.4</v>
      </c>
      <c r="CE37" s="1468">
        <f>WR!$T$19</f>
        <v>455.4</v>
      </c>
      <c r="CF37" s="1468">
        <f>SR!$T$19</f>
        <v>455.4</v>
      </c>
      <c r="CG37" s="1468">
        <f>SoBl!$T$19</f>
        <v>455.4</v>
      </c>
      <c r="CH37" s="1468">
        <f>Soja!$T$19</f>
        <v>455.4</v>
      </c>
      <c r="CI37" s="1468">
        <f>Öl!$T$19</f>
        <v>455.4</v>
      </c>
      <c r="CJ37" s="1468">
        <f>FE!$T$19</f>
        <v>555.4</v>
      </c>
      <c r="CK37" s="1468">
        <f>AB!$T$19</f>
        <v>455.4</v>
      </c>
      <c r="CL37" s="1468">
        <f>Lu!$T$19</f>
        <v>455.4</v>
      </c>
      <c r="CM37" s="1468">
        <f>ZR!$T$19</f>
        <v>455.4</v>
      </c>
      <c r="CN37" s="1468">
        <f>FrühKa!$T$19</f>
        <v>455.4</v>
      </c>
      <c r="CO37" s="1468">
        <f>FrühKaFolieBer!$T$19</f>
        <v>455.4</v>
      </c>
      <c r="CP37" s="1468">
        <f>SpKa!$T$19</f>
        <v>455.4</v>
      </c>
      <c r="CQ37" s="1468">
        <f>SpKaBer!$T$19</f>
        <v>455.4</v>
      </c>
      <c r="CR37" s="1468">
        <f>'Kultur A'!$T$19</f>
        <v>0</v>
      </c>
      <c r="CS37" s="1468">
        <f>'FAKT-Brachebegrünung'!$T$19</f>
        <v>1085.4000000000001</v>
      </c>
      <c r="CT37" s="1468">
        <f>Begr!$T$19</f>
        <v>455.4</v>
      </c>
      <c r="CV37" s="1467" t="s">
        <v>1178</v>
      </c>
      <c r="CW37" s="1456"/>
      <c r="CX37" s="3662">
        <f>'Öko-KG1'!$R$19</f>
        <v>455.4</v>
      </c>
      <c r="CY37" s="1468">
        <f>'Öko-KG2'!$R$19</f>
        <v>695.4</v>
      </c>
      <c r="CZ37" s="1468">
        <f>'Öko-LU1'!$R$19</f>
        <v>695.4</v>
      </c>
      <c r="DA37" s="1468">
        <f>'Öko-LU2'!$R$19</f>
        <v>695.4</v>
      </c>
      <c r="DB37" s="1468">
        <f>'Öko-WW-Futter'!$R$19</f>
        <v>595.4</v>
      </c>
      <c r="DC37" s="1468">
        <f>'Öko-WW-Brot'!$R$19</f>
        <v>695.4</v>
      </c>
      <c r="DD37" s="1468">
        <f>'Öko-Dinkel'!$R$19</f>
        <v>595.4</v>
      </c>
      <c r="DE37" s="1468">
        <f>'Öko-Dinkel,gegerbt'!$R$19</f>
        <v>595.4</v>
      </c>
      <c r="DF37" s="1468">
        <f>'Öko-Roggen'!$R$19</f>
        <v>595.4</v>
      </c>
      <c r="DG37" s="1468">
        <f>'Öko-Hafer'!$R$19</f>
        <v>595.4</v>
      </c>
      <c r="DH37" s="1468">
        <f>'Öko-Wintergerste'!$R$19</f>
        <v>595.4</v>
      </c>
      <c r="DI37" s="1468">
        <f>'Öko-Braugerste'!$R$19</f>
        <v>595.4</v>
      </c>
      <c r="DJ37" s="1468">
        <f>'Öko-Körnermais'!$R$19</f>
        <v>595.4</v>
      </c>
      <c r="DK37" s="1468">
        <f>'Öko-Ackerbohnen'!$R$19</f>
        <v>595.4</v>
      </c>
      <c r="DL37" s="1468">
        <f>'Öko-Erbsen'!$R$19</f>
        <v>595.4</v>
      </c>
      <c r="DM37" s="1468">
        <f>'Öko-Sojabohnen'!$R$19</f>
        <v>595.4</v>
      </c>
      <c r="DN37" s="1468">
        <f>'Öko-Soblu'!$R$19</f>
        <v>595.4</v>
      </c>
      <c r="DO37" s="1468">
        <f>'Öko-Raps'!$R$19</f>
        <v>595.4</v>
      </c>
      <c r="DP37" s="1468">
        <f>'Öko-Kartoffel'!$R$19</f>
        <v>595.4</v>
      </c>
      <c r="DQ37" s="1468" t="e">
        <f>#REF!</f>
        <v>#REF!</v>
      </c>
      <c r="DR37" s="1468">
        <f>Begrün.!$R$19</f>
        <v>0</v>
      </c>
      <c r="DS37" s="1468">
        <f>Blühm.!$R$19</f>
        <v>100</v>
      </c>
      <c r="DT37" s="1456"/>
      <c r="DU37" s="1468">
        <f>'Öko-KG1'!$S$19</f>
        <v>455.4</v>
      </c>
      <c r="DV37" s="1468">
        <f>'Öko-KG2'!$S$19</f>
        <v>695.4</v>
      </c>
      <c r="DW37" s="1468">
        <f>'Öko-LU1'!$S$19</f>
        <v>695.4</v>
      </c>
      <c r="DX37" s="1468">
        <f>'Öko-LU2'!$S$19</f>
        <v>695.4</v>
      </c>
      <c r="DY37" s="1466">
        <f>'Öko-WW-Futter'!$S$19</f>
        <v>595.4</v>
      </c>
      <c r="DZ37" s="1468">
        <f>'Öko-WW-Brot'!$S$19</f>
        <v>695.4</v>
      </c>
      <c r="EA37" s="1468">
        <f>'Öko-Dinkel'!$S$19</f>
        <v>595.4</v>
      </c>
      <c r="EB37" s="1468">
        <f>'Öko-Dinkel,gegerbt'!$S$19</f>
        <v>595.4</v>
      </c>
      <c r="EC37" s="1468">
        <f>'Öko-Roggen'!$S$19</f>
        <v>595.4</v>
      </c>
      <c r="ED37" s="1468">
        <f>'Öko-Hafer'!$S$19</f>
        <v>595.4</v>
      </c>
      <c r="EE37" s="1468">
        <f>'Öko-Wintergerste'!$S$19</f>
        <v>595.4</v>
      </c>
      <c r="EF37" s="1468">
        <f>'Öko-Braugerste'!$S$19</f>
        <v>595.4</v>
      </c>
      <c r="EG37" s="1468">
        <f>'Öko-Körnermais'!$S$19</f>
        <v>595.4</v>
      </c>
      <c r="EH37" s="1468">
        <f>'Öko-Ackerbohnen'!$S$19</f>
        <v>595.4</v>
      </c>
      <c r="EI37" s="1468">
        <f>'Öko-Erbsen'!$S$19</f>
        <v>595.4</v>
      </c>
      <c r="EJ37" s="1468">
        <f>'Öko-Sojabohnen'!$S$19</f>
        <v>595.4</v>
      </c>
      <c r="EK37" s="1468">
        <f>'Öko-Soblu'!$S$19</f>
        <v>595.4</v>
      </c>
      <c r="EL37" s="1468">
        <f>'Öko-Raps'!$S$19</f>
        <v>595.4</v>
      </c>
      <c r="EM37" s="1468">
        <f>'Öko-Kartoffel'!$S$19</f>
        <v>595.4</v>
      </c>
      <c r="EN37" s="1468" t="e">
        <f>#REF!</f>
        <v>#REF!</v>
      </c>
      <c r="EO37" s="1468">
        <f>Begrün.!$S$19</f>
        <v>0</v>
      </c>
      <c r="EP37" s="1468">
        <f>Blühm.!$S$19</f>
        <v>100</v>
      </c>
      <c r="EQ37" s="1456"/>
      <c r="ER37" s="1468">
        <f>'Öko-KG1'!$T$19</f>
        <v>455.4</v>
      </c>
      <c r="ES37" s="1468">
        <f>'Öko-KG2'!$T$19</f>
        <v>695.4</v>
      </c>
      <c r="ET37" s="1468">
        <f>'Öko-LU1'!$T$19</f>
        <v>695.4</v>
      </c>
      <c r="EU37" s="1468">
        <f>'Öko-LU2'!$T$19</f>
        <v>695.4</v>
      </c>
      <c r="EV37" s="1466">
        <f>'Öko-WW-Futter'!$T$19</f>
        <v>595.4</v>
      </c>
      <c r="EW37" s="1468">
        <f>'Öko-WW-Brot'!$T$19</f>
        <v>695.4</v>
      </c>
      <c r="EX37" s="1468">
        <f>'Öko-Dinkel'!$T$19</f>
        <v>595.4</v>
      </c>
      <c r="EY37" s="1468">
        <f>'Öko-Dinkel,gegerbt'!$T$19</f>
        <v>595.4</v>
      </c>
      <c r="EZ37" s="1468">
        <f>'Öko-Roggen'!$T$19</f>
        <v>595.4</v>
      </c>
      <c r="FA37" s="1468">
        <f>'Öko-Hafer'!$T$19</f>
        <v>595.4</v>
      </c>
      <c r="FB37" s="1468">
        <f>'Öko-Wintergerste'!$T$19</f>
        <v>595.4</v>
      </c>
      <c r="FC37" s="1468">
        <f>'Öko-Braugerste'!$T$19</f>
        <v>595.4</v>
      </c>
      <c r="FD37" s="1468">
        <f>'Öko-Körnermais'!$T$19</f>
        <v>595.4</v>
      </c>
      <c r="FE37" s="1468">
        <f>'Öko-Ackerbohnen'!$T$19</f>
        <v>595.4</v>
      </c>
      <c r="FF37" s="1468">
        <f>'Öko-Erbsen'!$T$19</f>
        <v>595.4</v>
      </c>
      <c r="FG37" s="1468">
        <f>'Öko-Sojabohnen'!$T$19</f>
        <v>595.4</v>
      </c>
      <c r="FH37" s="1468">
        <f>'Öko-Soblu'!$T$19</f>
        <v>595.4</v>
      </c>
      <c r="FI37" s="1468">
        <f>'Öko-Raps'!$T$19</f>
        <v>595.4</v>
      </c>
      <c r="FJ37" s="1468">
        <f>'Öko-Kartoffel'!$T$19</f>
        <v>595.4</v>
      </c>
      <c r="FK37" s="1468" t="e">
        <f>#REF!</f>
        <v>#REF!</v>
      </c>
      <c r="FL37" s="1468">
        <f>Begrün.!$T$19</f>
        <v>0</v>
      </c>
      <c r="FM37" s="1468">
        <f>Blühm.!$T$19</f>
        <v>100</v>
      </c>
    </row>
    <row r="38" spans="1:169" s="1474" customFormat="1" ht="16.149999999999999" customHeight="1">
      <c r="A38" s="1463">
        <f>ROWS($A$1:A38)</f>
        <v>38</v>
      </c>
      <c r="B38" s="1520" t="s">
        <v>1177</v>
      </c>
      <c r="C38" s="1529" t="s">
        <v>171</v>
      </c>
      <c r="D38" s="1526">
        <f t="shared" ref="D38:AH38" si="84">D35+D37</f>
        <v>332.33981587390406</v>
      </c>
      <c r="E38" s="1526">
        <f t="shared" si="84"/>
        <v>-6.522748712279963</v>
      </c>
      <c r="F38" s="1526">
        <f t="shared" si="84"/>
        <v>-142.48749140038808</v>
      </c>
      <c r="G38" s="1526">
        <f t="shared" si="84"/>
        <v>-108.55615958372141</v>
      </c>
      <c r="H38" s="1526">
        <f t="shared" si="84"/>
        <v>-20.465960848619602</v>
      </c>
      <c r="I38" s="1526">
        <f t="shared" si="84"/>
        <v>-28.011218140286246</v>
      </c>
      <c r="J38" s="1526">
        <f t="shared" si="84"/>
        <v>-308.92239056705489</v>
      </c>
      <c r="K38" s="1526">
        <f t="shared" si="84"/>
        <v>-350.51910617182932</v>
      </c>
      <c r="L38" s="1526">
        <f t="shared" si="84"/>
        <v>31.728341584774739</v>
      </c>
      <c r="M38" s="1526">
        <f t="shared" si="84"/>
        <v>-289.67816724130375</v>
      </c>
      <c r="N38" s="1526">
        <f t="shared" si="84"/>
        <v>-80.363888841843277</v>
      </c>
      <c r="O38" s="1526">
        <f t="shared" si="84"/>
        <v>-153.64982025266659</v>
      </c>
      <c r="P38" s="1526">
        <f t="shared" si="84"/>
        <v>-91.53760060980369</v>
      </c>
      <c r="Q38" s="1526">
        <f t="shared" si="84"/>
        <v>247.20423296948573</v>
      </c>
      <c r="R38" s="1526">
        <f t="shared" si="84"/>
        <v>-476.38127768964512</v>
      </c>
      <c r="S38" s="1526">
        <f t="shared" si="84"/>
        <v>121.88624985770787</v>
      </c>
      <c r="T38" s="1526">
        <f t="shared" si="84"/>
        <v>-330.34416844893167</v>
      </c>
      <c r="U38" s="1526">
        <f t="shared" si="84"/>
        <v>-117.03391636175502</v>
      </c>
      <c r="V38" s="1526">
        <f t="shared" si="84"/>
        <v>-152.67202825775507</v>
      </c>
      <c r="W38" s="1526">
        <f t="shared" si="84"/>
        <v>-699.67253700550953</v>
      </c>
      <c r="X38" s="1526">
        <f t="shared" si="84"/>
        <v>-304.31219132914725</v>
      </c>
      <c r="Y38" s="1526">
        <f t="shared" si="84"/>
        <v>-388.91883474979431</v>
      </c>
      <c r="Z38" s="1526">
        <f t="shared" si="84"/>
        <v>-657.14678781861755</v>
      </c>
      <c r="AA38" s="1526">
        <f t="shared" si="84"/>
        <v>-570.75656719099027</v>
      </c>
      <c r="AB38" s="1526">
        <f t="shared" si="84"/>
        <v>921.51219424607621</v>
      </c>
      <c r="AC38" s="1526">
        <f t="shared" si="84"/>
        <v>516.91192248789855</v>
      </c>
      <c r="AD38" s="1526">
        <f t="shared" si="84"/>
        <v>-355.50389105456031</v>
      </c>
      <c r="AE38" s="1526">
        <f t="shared" si="84"/>
        <v>-721.25682849205157</v>
      </c>
      <c r="AF38" s="1526">
        <f t="shared" si="84"/>
        <v>-585.33333333333337</v>
      </c>
      <c r="AG38" s="1526">
        <f t="shared" si="84"/>
        <v>204.96475087063732</v>
      </c>
      <c r="AH38" s="1526">
        <f t="shared" si="84"/>
        <v>137.51757761883823</v>
      </c>
      <c r="AI38" s="1528"/>
      <c r="AJ38" s="1527">
        <f t="shared" ref="AJ38:BN38" si="85">AJ35+AJ37</f>
        <v>369.04073926550956</v>
      </c>
      <c r="AK38" s="1526">
        <f t="shared" si="85"/>
        <v>117.46841155067909</v>
      </c>
      <c r="AL38" s="1526">
        <f t="shared" si="85"/>
        <v>17.319553862570785</v>
      </c>
      <c r="AM38" s="1526">
        <f t="shared" si="85"/>
        <v>-9.9218880422039319</v>
      </c>
      <c r="AN38" s="1526">
        <f t="shared" si="85"/>
        <v>58.815102860929471</v>
      </c>
      <c r="AO38" s="1526">
        <f t="shared" si="85"/>
        <v>110.10131492403718</v>
      </c>
      <c r="AP38" s="1526">
        <f t="shared" si="85"/>
        <v>-183.6000375027312</v>
      </c>
      <c r="AQ38" s="1526">
        <f t="shared" si="85"/>
        <v>-285.44037651364488</v>
      </c>
      <c r="AR38" s="1526">
        <f t="shared" si="85"/>
        <v>26.411454084775016</v>
      </c>
      <c r="AS38" s="1526">
        <f t="shared" si="85"/>
        <v>-222.62865529022542</v>
      </c>
      <c r="AT38" s="1526">
        <f t="shared" si="85"/>
        <v>49.97301519256888</v>
      </c>
      <c r="AU38" s="1526">
        <f t="shared" si="85"/>
        <v>-102.17622584909782</v>
      </c>
      <c r="AV38" s="1526">
        <f t="shared" si="85"/>
        <v>207.14377044181421</v>
      </c>
      <c r="AW38" s="1526">
        <f t="shared" si="85"/>
        <v>479.95408395497594</v>
      </c>
      <c r="AX38" s="1526">
        <f t="shared" si="85"/>
        <v>-493.70975752176253</v>
      </c>
      <c r="AY38" s="1526">
        <f t="shared" si="85"/>
        <v>395.39096718215495</v>
      </c>
      <c r="AZ38" s="1526">
        <f t="shared" si="85"/>
        <v>-243.2391686174609</v>
      </c>
      <c r="BA38" s="1526">
        <f t="shared" si="85"/>
        <v>-24.534672886215844</v>
      </c>
      <c r="BB38" s="1526">
        <f t="shared" si="85"/>
        <v>94.312921041872471</v>
      </c>
      <c r="BC38" s="1526">
        <f t="shared" si="85"/>
        <v>-671.66788519663703</v>
      </c>
      <c r="BD38" s="1526">
        <f t="shared" si="85"/>
        <v>-71.072341329146866</v>
      </c>
      <c r="BE38" s="1526">
        <f t="shared" si="85"/>
        <v>-160.14626007914705</v>
      </c>
      <c r="BF38" s="1526">
        <f t="shared" si="85"/>
        <v>-404.539791767</v>
      </c>
      <c r="BG38" s="1526">
        <f t="shared" si="85"/>
        <v>-202.07535219099009</v>
      </c>
      <c r="BH38" s="1526">
        <f t="shared" si="85"/>
        <v>2425.2682436091718</v>
      </c>
      <c r="BI38" s="1526">
        <f t="shared" si="85"/>
        <v>2040.4573138032652</v>
      </c>
      <c r="BJ38" s="1526">
        <f t="shared" si="85"/>
        <v>-434.77364228670194</v>
      </c>
      <c r="BK38" s="1526">
        <f t="shared" si="85"/>
        <v>-69.171625360385406</v>
      </c>
      <c r="BL38" s="1526">
        <f t="shared" si="85"/>
        <v>-635.33333333333326</v>
      </c>
      <c r="BM38" s="1526">
        <f t="shared" si="85"/>
        <v>154.96475087063743</v>
      </c>
      <c r="BN38" s="1526">
        <f t="shared" si="85"/>
        <v>-165.81575571449514</v>
      </c>
      <c r="BO38" s="1528"/>
      <c r="BP38" s="1527">
        <f t="shared" ref="BP38:CT38" si="86">BP35+BP37</f>
        <v>537.35268543868096</v>
      </c>
      <c r="BQ38" s="1526">
        <f t="shared" si="86"/>
        <v>262.08850931363776</v>
      </c>
      <c r="BR38" s="1526">
        <f t="shared" si="86"/>
        <v>181.56509912552963</v>
      </c>
      <c r="BS38" s="1526">
        <f t="shared" si="86"/>
        <v>88.712383499313944</v>
      </c>
      <c r="BT38" s="1526">
        <f t="shared" si="86"/>
        <v>110.40204905067844</v>
      </c>
      <c r="BU38" s="1526">
        <f t="shared" si="86"/>
        <v>233.29608433343725</v>
      </c>
      <c r="BV38" s="1526">
        <f t="shared" si="86"/>
        <v>-89.421137239772293</v>
      </c>
      <c r="BW38" s="1526">
        <f t="shared" si="86"/>
        <v>-188.02786905409573</v>
      </c>
      <c r="BX38" s="1526">
        <f t="shared" si="86"/>
        <v>257.21112908477517</v>
      </c>
      <c r="BY38" s="1526">
        <f t="shared" si="86"/>
        <v>-155.57914333914698</v>
      </c>
      <c r="BZ38" s="1526">
        <f t="shared" si="86"/>
        <v>180.30991922698064</v>
      </c>
      <c r="CA38" s="1526">
        <f t="shared" si="86"/>
        <v>-25.689822231352537</v>
      </c>
      <c r="CB38" s="1526">
        <f t="shared" si="86"/>
        <v>273.3708941256865</v>
      </c>
      <c r="CC38" s="1526">
        <f t="shared" si="86"/>
        <v>712.70393494046607</v>
      </c>
      <c r="CD38" s="1526">
        <f t="shared" si="86"/>
        <v>-511.03823735388005</v>
      </c>
      <c r="CE38" s="1526">
        <f t="shared" si="86"/>
        <v>704.60602422503712</v>
      </c>
      <c r="CF38" s="1526">
        <f t="shared" si="86"/>
        <v>-120.48529707181365</v>
      </c>
      <c r="CG38" s="1526">
        <f t="shared" si="86"/>
        <v>67.964570589323273</v>
      </c>
      <c r="CH38" s="1526">
        <f t="shared" si="86"/>
        <v>341.29787034149979</v>
      </c>
      <c r="CI38" s="1526">
        <f t="shared" si="86"/>
        <v>-643.66323338776499</v>
      </c>
      <c r="CJ38" s="1526">
        <f t="shared" si="86"/>
        <v>158.35774551214718</v>
      </c>
      <c r="CK38" s="1526">
        <f t="shared" si="86"/>
        <v>66.721433012147088</v>
      </c>
      <c r="CL38" s="1526">
        <f t="shared" si="86"/>
        <v>-151.93279571538244</v>
      </c>
      <c r="CM38" s="1526">
        <f t="shared" si="86"/>
        <v>5.3929277615002889</v>
      </c>
      <c r="CN38" s="1526">
        <f t="shared" si="86"/>
        <v>3936.9503882103618</v>
      </c>
      <c r="CO38" s="1526">
        <f t="shared" si="86"/>
        <v>3540.2762116902786</v>
      </c>
      <c r="CP38" s="1526">
        <f t="shared" si="86"/>
        <v>70.99091898115438</v>
      </c>
      <c r="CQ38" s="1526">
        <f t="shared" si="86"/>
        <v>565.74703300425813</v>
      </c>
      <c r="CR38" s="1526">
        <f>CR35+CR37</f>
        <v>-685.33333333333326</v>
      </c>
      <c r="CS38" s="1526">
        <f t="shared" si="86"/>
        <v>104.96475087063743</v>
      </c>
      <c r="CT38" s="1526">
        <f t="shared" si="86"/>
        <v>-215.81575571449514</v>
      </c>
      <c r="CU38" s="1455"/>
      <c r="CV38" s="1520" t="s">
        <v>1177</v>
      </c>
      <c r="CW38" s="1529" t="s">
        <v>171</v>
      </c>
      <c r="CX38" s="1526">
        <f>CX37+CX35</f>
        <v>-225.17865939466571</v>
      </c>
      <c r="CY38" s="1526">
        <f t="shared" ref="CY38:DS38" si="87">CY35+CY37</f>
        <v>189.51528954443722</v>
      </c>
      <c r="CZ38" s="1526">
        <f t="shared" si="87"/>
        <v>50.127590605334262</v>
      </c>
      <c r="DA38" s="1526">
        <f t="shared" si="87"/>
        <v>134.20216454443721</v>
      </c>
      <c r="DB38" s="1526">
        <f t="shared" si="87"/>
        <v>403.95353538189124</v>
      </c>
      <c r="DC38" s="1526">
        <f t="shared" si="87"/>
        <v>649.72290694130254</v>
      </c>
      <c r="DD38" s="1526">
        <f t="shared" si="87"/>
        <v>361.94016229593888</v>
      </c>
      <c r="DE38" s="1526">
        <f t="shared" si="87"/>
        <v>527.95870642093951</v>
      </c>
      <c r="DF38" s="1526">
        <f t="shared" si="87"/>
        <v>295.79308052942355</v>
      </c>
      <c r="DG38" s="1526">
        <f t="shared" si="87"/>
        <v>398.04358266352483</v>
      </c>
      <c r="DH38" s="1526">
        <f>DH35+DH37</f>
        <v>235.96775252942348</v>
      </c>
      <c r="DI38" s="1526">
        <f t="shared" si="87"/>
        <v>458.16298126068489</v>
      </c>
      <c r="DJ38" s="1526">
        <f t="shared" si="87"/>
        <v>599.14255936753386</v>
      </c>
      <c r="DK38" s="1526">
        <f t="shared" si="87"/>
        <v>593.18070619515652</v>
      </c>
      <c r="DL38" s="1526">
        <f t="shared" si="87"/>
        <v>413.18232878397362</v>
      </c>
      <c r="DM38" s="1526">
        <f t="shared" si="87"/>
        <v>1204.5575905891915</v>
      </c>
      <c r="DN38" s="1526">
        <f t="shared" si="87"/>
        <v>143.54489472619105</v>
      </c>
      <c r="DO38" s="1526">
        <f t="shared" si="87"/>
        <v>-176.55620919575301</v>
      </c>
      <c r="DP38" s="1526">
        <f t="shared" si="87"/>
        <v>4445.1411843652704</v>
      </c>
      <c r="DQ38" s="1526" t="e">
        <f t="shared" si="87"/>
        <v>#REF!</v>
      </c>
      <c r="DR38" s="1526">
        <f t="shared" si="87"/>
        <v>-1052.4910921597941</v>
      </c>
      <c r="DS38" s="1526">
        <f t="shared" si="87"/>
        <v>-919.36973827992051</v>
      </c>
      <c r="DU38" s="1526">
        <f>DU35+DU37</f>
        <v>-67.925326061332385</v>
      </c>
      <c r="DV38" s="1526">
        <f>DV35+DV37</f>
        <v>289.60612287777053</v>
      </c>
      <c r="DW38" s="1526">
        <f>DW35+DW37</f>
        <v>207.38092393866765</v>
      </c>
      <c r="DX38" s="1526">
        <f>DX35+DX37</f>
        <v>234.29299787777057</v>
      </c>
      <c r="DY38" s="1527">
        <f t="shared" ref="DY38:EG38" si="88">DY35+DY37</f>
        <v>476.99136894443041</v>
      </c>
      <c r="DZ38" s="1526">
        <f t="shared" si="88"/>
        <v>1003.3552993978516</v>
      </c>
      <c r="EA38" s="1526">
        <f t="shared" si="88"/>
        <v>710.76803816316101</v>
      </c>
      <c r="EB38" s="1526">
        <f t="shared" si="88"/>
        <v>932.12609699649465</v>
      </c>
      <c r="EC38" s="1526">
        <f t="shared" si="88"/>
        <v>571.81568483653143</v>
      </c>
      <c r="ED38" s="1526">
        <f t="shared" si="88"/>
        <v>706.80468768200001</v>
      </c>
      <c r="EE38" s="1526">
        <f>EE35+EE37</f>
        <v>403.53284792270483</v>
      </c>
      <c r="EF38" s="1526">
        <f t="shared" si="88"/>
        <v>796.52950511615597</v>
      </c>
      <c r="EG38" s="1526">
        <f t="shared" si="88"/>
        <v>1057.8531660935701</v>
      </c>
      <c r="EH38" s="1526">
        <f t="shared" ref="EH38:EN38" si="89">EH35+EH37</f>
        <v>923.52381839358191</v>
      </c>
      <c r="EI38" s="1526">
        <f t="shared" si="89"/>
        <v>745.17928069679942</v>
      </c>
      <c r="EJ38" s="1526">
        <f t="shared" si="89"/>
        <v>1534.2856730640915</v>
      </c>
      <c r="EK38" s="1526">
        <f t="shared" si="89"/>
        <v>585.64365183218115</v>
      </c>
      <c r="EL38" s="1526">
        <f t="shared" si="89"/>
        <v>418.29490453297149</v>
      </c>
      <c r="EM38" s="1526">
        <f t="shared" si="89"/>
        <v>6444.6363772101886</v>
      </c>
      <c r="EN38" s="1526" t="e">
        <f t="shared" si="89"/>
        <v>#REF!</v>
      </c>
      <c r="EO38" s="1526">
        <f>EO35+EO37</f>
        <v>-1082.4910921597941</v>
      </c>
      <c r="EP38" s="1526">
        <f>EP35+EP37</f>
        <v>-919.36973827992051</v>
      </c>
      <c r="ER38" s="1526" t="e">
        <f>ER35+ER37</f>
        <v>#REF!</v>
      </c>
      <c r="ES38" s="1526" t="e">
        <f>ES35+ES37</f>
        <v>#REF!</v>
      </c>
      <c r="ET38" s="1526" t="e">
        <f>ET35+ET37</f>
        <v>#REF!</v>
      </c>
      <c r="EU38" s="1526" t="e">
        <f>EU35+EU37</f>
        <v>#REF!</v>
      </c>
      <c r="EV38" s="1527" t="e">
        <f t="shared" ref="EV38:FD38" si="90">EV35+EV37</f>
        <v>#REF!</v>
      </c>
      <c r="EW38" s="1526" t="e">
        <f t="shared" si="90"/>
        <v>#REF!</v>
      </c>
      <c r="EX38" s="1526" t="e">
        <f t="shared" si="90"/>
        <v>#REF!</v>
      </c>
      <c r="EY38" s="1526" t="e">
        <f t="shared" si="90"/>
        <v>#REF!</v>
      </c>
      <c r="EZ38" s="1526" t="e">
        <f t="shared" si="90"/>
        <v>#REF!</v>
      </c>
      <c r="FA38" s="1526" t="e">
        <f t="shared" si="90"/>
        <v>#REF!</v>
      </c>
      <c r="FB38" s="1526" t="e">
        <f>FB35+FB37</f>
        <v>#REF!</v>
      </c>
      <c r="FC38" s="1526" t="e">
        <f t="shared" si="90"/>
        <v>#REF!</v>
      </c>
      <c r="FD38" s="1526" t="e">
        <f t="shared" si="90"/>
        <v>#REF!</v>
      </c>
      <c r="FE38" s="1526" t="e">
        <f t="shared" ref="FE38:FK38" si="91">FE35+FE37</f>
        <v>#REF!</v>
      </c>
      <c r="FF38" s="1526" t="e">
        <f t="shared" si="91"/>
        <v>#REF!</v>
      </c>
      <c r="FG38" s="1526" t="e">
        <f t="shared" si="91"/>
        <v>#REF!</v>
      </c>
      <c r="FH38" s="1526" t="e">
        <f t="shared" si="91"/>
        <v>#REF!</v>
      </c>
      <c r="FI38" s="1526" t="e">
        <f t="shared" si="91"/>
        <v>#REF!</v>
      </c>
      <c r="FJ38" s="1526" t="e">
        <f t="shared" si="91"/>
        <v>#REF!</v>
      </c>
      <c r="FK38" s="1526" t="e">
        <f t="shared" si="91"/>
        <v>#REF!</v>
      </c>
      <c r="FL38" s="1526" t="e">
        <f>FL35+FL37</f>
        <v>#REF!</v>
      </c>
      <c r="FM38" s="1526" t="e">
        <f>FM35+FM37</f>
        <v>#REF!</v>
      </c>
    </row>
    <row r="39" spans="1:169" s="1474" customFormat="1" ht="16.149999999999999" customHeight="1">
      <c r="A39" s="1463">
        <f>ROWS($A$1:A39)</f>
        <v>39</v>
      </c>
      <c r="B39" s="1525"/>
      <c r="C39" s="1524" t="s">
        <v>228</v>
      </c>
      <c r="D39" s="1521">
        <f>IF(D6=0,0,D38/D6)</f>
        <v>5.1129202442139086</v>
      </c>
      <c r="E39" s="1521">
        <f t="shared" ref="E39:AH39" si="92">IF(E6=0,0,E38/E6)</f>
        <v>-0.10871247853799938</v>
      </c>
      <c r="F39" s="1521">
        <f t="shared" si="92"/>
        <v>-2.5906816618252377</v>
      </c>
      <c r="G39" s="1521">
        <f t="shared" si="92"/>
        <v>-1.9737483560676621</v>
      </c>
      <c r="H39" s="1521">
        <f t="shared" si="92"/>
        <v>-0.37210837906581096</v>
      </c>
      <c r="I39" s="1521">
        <f t="shared" si="92"/>
        <v>-0.46685363567143745</v>
      </c>
      <c r="J39" s="1521">
        <f t="shared" si="92"/>
        <v>-5.616770737582816</v>
      </c>
      <c r="K39" s="1521">
        <f t="shared" si="92"/>
        <v>-7.0103821234365862</v>
      </c>
      <c r="L39" s="1521">
        <f t="shared" si="92"/>
        <v>0.57687893790499523</v>
      </c>
      <c r="M39" s="1521">
        <f t="shared" si="92"/>
        <v>-5.793563344826075</v>
      </c>
      <c r="N39" s="1521">
        <f t="shared" si="92"/>
        <v>-2.009097221046082</v>
      </c>
      <c r="O39" s="1521">
        <f t="shared" si="92"/>
        <v>-3.4144404500592573</v>
      </c>
      <c r="P39" s="1521">
        <f t="shared" si="92"/>
        <v>-2.2884400152450923</v>
      </c>
      <c r="Q39" s="1521">
        <f t="shared" si="92"/>
        <v>3.0900529121185718</v>
      </c>
      <c r="R39" s="1521">
        <f t="shared" si="92"/>
        <v>-5.9547659711205636</v>
      </c>
      <c r="S39" s="1521">
        <f t="shared" si="92"/>
        <v>4.0628749952569292</v>
      </c>
      <c r="T39" s="1521">
        <f t="shared" si="92"/>
        <v>-16.517208422446583</v>
      </c>
      <c r="U39" s="1521">
        <f t="shared" si="92"/>
        <v>-4.6813566544702008</v>
      </c>
      <c r="V39" s="1521">
        <f t="shared" si="92"/>
        <v>-7.6336014128877538</v>
      </c>
      <c r="W39" s="1521">
        <f t="shared" si="92"/>
        <v>-46.644835800367304</v>
      </c>
      <c r="X39" s="1521">
        <f t="shared" si="92"/>
        <v>-15.215609566457363</v>
      </c>
      <c r="Y39" s="1521">
        <f t="shared" si="92"/>
        <v>-19.445941737489715</v>
      </c>
      <c r="Z39" s="1521">
        <f t="shared" si="92"/>
        <v>-65.71467878186175</v>
      </c>
      <c r="AA39" s="1521">
        <f t="shared" si="92"/>
        <v>-1.630733049117115</v>
      </c>
      <c r="AB39" s="1521">
        <f t="shared" si="92"/>
        <v>3.6860487769843049</v>
      </c>
      <c r="AC39" s="1521">
        <f t="shared" si="92"/>
        <v>1.7230397416263286</v>
      </c>
      <c r="AD39" s="1521">
        <f t="shared" si="92"/>
        <v>-0.97398326316317896</v>
      </c>
      <c r="AE39" s="1521">
        <f t="shared" si="92"/>
        <v>-1.883177097890474</v>
      </c>
      <c r="AF39" s="1521">
        <f t="shared" si="92"/>
        <v>0</v>
      </c>
      <c r="AG39" s="1521">
        <f t="shared" si="92"/>
        <v>204.96475087063732</v>
      </c>
      <c r="AH39" s="1521">
        <f t="shared" si="92"/>
        <v>137.51757761883823</v>
      </c>
      <c r="AI39" s="1523"/>
      <c r="AJ39" s="1522">
        <f t="shared" ref="AJ39:BN39" si="93">IF(AJ6=0,0,AJ38/AJ6)</f>
        <v>4.6130092408188696</v>
      </c>
      <c r="AK39" s="1521">
        <f t="shared" si="93"/>
        <v>1.5662454873423879</v>
      </c>
      <c r="AL39" s="1521">
        <f t="shared" si="93"/>
        <v>0.24742219803672549</v>
      </c>
      <c r="AM39" s="1521">
        <f t="shared" si="93"/>
        <v>-0.15264443141852202</v>
      </c>
      <c r="AN39" s="1521">
        <f t="shared" si="93"/>
        <v>0.90484773632199189</v>
      </c>
      <c r="AO39" s="1521">
        <f t="shared" si="93"/>
        <v>1.4680175323204958</v>
      </c>
      <c r="AP39" s="1521">
        <f t="shared" si="93"/>
        <v>-2.6228576786104458</v>
      </c>
      <c r="AQ39" s="1521">
        <f t="shared" si="93"/>
        <v>-4.7573396085607476</v>
      </c>
      <c r="AR39" s="1521">
        <f t="shared" si="93"/>
        <v>0.40633006284269257</v>
      </c>
      <c r="AS39" s="1521">
        <f t="shared" si="93"/>
        <v>-3.7104775881704239</v>
      </c>
      <c r="AT39" s="1521">
        <f t="shared" si="93"/>
        <v>1.019857452909569</v>
      </c>
      <c r="AU39" s="1521">
        <f t="shared" si="93"/>
        <v>-1.8577495608926875</v>
      </c>
      <c r="AV39" s="1521">
        <f t="shared" si="93"/>
        <v>3.7662503716693494</v>
      </c>
      <c r="AW39" s="1521">
        <f t="shared" si="93"/>
        <v>4.7995408395497599</v>
      </c>
      <c r="AX39" s="1521">
        <f t="shared" si="93"/>
        <v>-5.4856639724640281</v>
      </c>
      <c r="AY39" s="1521">
        <f t="shared" si="93"/>
        <v>9.8847741795538742</v>
      </c>
      <c r="AZ39" s="1521">
        <f t="shared" si="93"/>
        <v>-9.7295667446984364</v>
      </c>
      <c r="BA39" s="1521">
        <f t="shared" si="93"/>
        <v>-0.8178224295405282</v>
      </c>
      <c r="BB39" s="1521">
        <f t="shared" si="93"/>
        <v>3.4930711496989804</v>
      </c>
      <c r="BC39" s="1521">
        <f t="shared" si="93"/>
        <v>-33.583394259831849</v>
      </c>
      <c r="BD39" s="1521">
        <f t="shared" si="93"/>
        <v>-2.0306383236899106</v>
      </c>
      <c r="BE39" s="1521">
        <f t="shared" si="93"/>
        <v>-4.5756074308327728</v>
      </c>
      <c r="BF39" s="1521">
        <f t="shared" si="93"/>
        <v>-16.18159167068</v>
      </c>
      <c r="BG39" s="1521">
        <f t="shared" si="93"/>
        <v>-0.27681555094656174</v>
      </c>
      <c r="BH39" s="1521">
        <f t="shared" si="93"/>
        <v>8.0842274786972386</v>
      </c>
      <c r="BI39" s="1521">
        <f t="shared" si="93"/>
        <v>5.8298780394379008</v>
      </c>
      <c r="BJ39" s="1521">
        <f t="shared" si="93"/>
        <v>-1.1879061264663988</v>
      </c>
      <c r="BK39" s="1521">
        <f t="shared" si="93"/>
        <v>-0.16275676555384802</v>
      </c>
      <c r="BL39" s="1521">
        <f t="shared" si="93"/>
        <v>0</v>
      </c>
      <c r="BM39" s="1521">
        <f t="shared" si="93"/>
        <v>154.96475087063743</v>
      </c>
      <c r="BN39" s="1521">
        <f t="shared" si="93"/>
        <v>-165.81575571449514</v>
      </c>
      <c r="BO39" s="1523"/>
      <c r="BP39" s="1522">
        <f t="shared" ref="BP39:CT39" si="94">IF(BP6=0,0,BP38/BP6)</f>
        <v>5.6563440572492736</v>
      </c>
      <c r="BQ39" s="1521">
        <f t="shared" si="94"/>
        <v>2.9120945479293083</v>
      </c>
      <c r="BR39" s="1521">
        <f t="shared" si="94"/>
        <v>2.1360599897121131</v>
      </c>
      <c r="BS39" s="1521">
        <f t="shared" si="94"/>
        <v>1.1828317799908525</v>
      </c>
      <c r="BT39" s="1521">
        <f t="shared" si="94"/>
        <v>1.4720273206757126</v>
      </c>
      <c r="BU39" s="1521">
        <f t="shared" si="94"/>
        <v>2.5921787148159696</v>
      </c>
      <c r="BV39" s="1521">
        <f t="shared" si="94"/>
        <v>-1.0520133792914388</v>
      </c>
      <c r="BW39" s="1521">
        <f t="shared" si="94"/>
        <v>-2.6861124150585103</v>
      </c>
      <c r="BX39" s="1521">
        <f t="shared" si="94"/>
        <v>3.4294817211303354</v>
      </c>
      <c r="BY39" s="1521">
        <f t="shared" si="94"/>
        <v>-2.2225591905592426</v>
      </c>
      <c r="BZ39" s="1521">
        <f t="shared" si="94"/>
        <v>3.1087917108100109</v>
      </c>
      <c r="CA39" s="1521">
        <f t="shared" si="94"/>
        <v>-0.39522803432850057</v>
      </c>
      <c r="CB39" s="1521">
        <f t="shared" si="94"/>
        <v>4.556181568761442</v>
      </c>
      <c r="CC39" s="1521">
        <f t="shared" si="94"/>
        <v>5.9391994578372174</v>
      </c>
      <c r="CD39" s="1521">
        <f t="shared" si="94"/>
        <v>-5.1103823735388003</v>
      </c>
      <c r="CE39" s="1521">
        <f t="shared" si="94"/>
        <v>14.092120484500743</v>
      </c>
      <c r="CF39" s="1521">
        <f t="shared" si="94"/>
        <v>-4.0161765690604545</v>
      </c>
      <c r="CG39" s="1521">
        <f t="shared" si="94"/>
        <v>1.9418448739806649</v>
      </c>
      <c r="CH39" s="1521">
        <f t="shared" si="94"/>
        <v>10.038172657102935</v>
      </c>
      <c r="CI39" s="1521">
        <f t="shared" si="94"/>
        <v>-25.746529335510601</v>
      </c>
      <c r="CJ39" s="1521">
        <f t="shared" si="94"/>
        <v>3.1671549102429437</v>
      </c>
      <c r="CK39" s="1521">
        <f t="shared" si="94"/>
        <v>1.3344286602429418</v>
      </c>
      <c r="CL39" s="1521">
        <f t="shared" si="94"/>
        <v>-3.7983198928845612</v>
      </c>
      <c r="CM39" s="1521">
        <f t="shared" si="94"/>
        <v>6.3446208958826932E-3</v>
      </c>
      <c r="CN39" s="1521">
        <f t="shared" si="94"/>
        <v>11.248429680601033</v>
      </c>
      <c r="CO39" s="1521">
        <f t="shared" si="94"/>
        <v>8.8506905292256963</v>
      </c>
      <c r="CP39" s="1521">
        <f t="shared" si="94"/>
        <v>0.17747729745288596</v>
      </c>
      <c r="CQ39" s="1521">
        <f t="shared" si="94"/>
        <v>1.2140494270477642</v>
      </c>
      <c r="CR39" s="1521">
        <f>IF(CR6=0,0,CR38/CR6)</f>
        <v>0</v>
      </c>
      <c r="CS39" s="1521">
        <f t="shared" si="94"/>
        <v>104.96475087063743</v>
      </c>
      <c r="CT39" s="1521">
        <f t="shared" si="94"/>
        <v>-215.81575571449514</v>
      </c>
      <c r="CV39" s="1525"/>
      <c r="CW39" s="1524" t="s">
        <v>228</v>
      </c>
      <c r="CX39" s="1521">
        <f>IF(CX6=0,0,CX38/CX6)</f>
        <v>-0.75059553131555234</v>
      </c>
      <c r="CY39" s="1521">
        <f>IF(CY6=0,0,CY38/CY6)</f>
        <v>0.47378822386109304</v>
      </c>
      <c r="CZ39" s="1521">
        <f t="shared" ref="CZ39:DS39" si="95">IF(CZ6=0,0,CZ38/CZ6)</f>
        <v>0.16709196868444753</v>
      </c>
      <c r="DA39" s="1521">
        <f t="shared" si="95"/>
        <v>0.3834347558412492</v>
      </c>
      <c r="DB39" s="1521">
        <f t="shared" si="95"/>
        <v>13.465117846063041</v>
      </c>
      <c r="DC39" s="1521">
        <f t="shared" si="95"/>
        <v>21.65743023137675</v>
      </c>
      <c r="DD39" s="1521">
        <f t="shared" si="95"/>
        <v>13.788196658892909</v>
      </c>
      <c r="DE39" s="1521">
        <f t="shared" si="95"/>
        <v>30.018974067999398</v>
      </c>
      <c r="DF39" s="1521">
        <f t="shared" si="95"/>
        <v>9.8597693509807858</v>
      </c>
      <c r="DG39" s="1521">
        <f t="shared" si="95"/>
        <v>13.268119422117495</v>
      </c>
      <c r="DH39" s="1521">
        <f>IF(DH6=0,0,DH38/DH6)</f>
        <v>7.8655917509807827</v>
      </c>
      <c r="DI39" s="1521">
        <f t="shared" si="95"/>
        <v>19.393142063944335</v>
      </c>
      <c r="DJ39" s="1521">
        <f t="shared" si="95"/>
        <v>9.9857093227922302</v>
      </c>
      <c r="DK39" s="1521">
        <f t="shared" si="95"/>
        <v>22.597360236005962</v>
      </c>
      <c r="DL39" s="1521">
        <f t="shared" si="95"/>
        <v>18.363659057065494</v>
      </c>
      <c r="DM39" s="1521">
        <f t="shared" si="95"/>
        <v>47.237552572125153</v>
      </c>
      <c r="DN39" s="1521">
        <f t="shared" si="95"/>
        <v>7.177244736309552</v>
      </c>
      <c r="DO39" s="1521">
        <f t="shared" si="95"/>
        <v>-17.655620919575302</v>
      </c>
      <c r="DP39" s="1521">
        <f t="shared" si="95"/>
        <v>29.634274562435134</v>
      </c>
      <c r="DQ39" s="1521" t="e">
        <f t="shared" si="95"/>
        <v>#REF!</v>
      </c>
      <c r="DR39" s="1521">
        <f t="shared" si="95"/>
        <v>0</v>
      </c>
      <c r="DS39" s="1521">
        <f t="shared" si="95"/>
        <v>0</v>
      </c>
      <c r="DU39" s="1521">
        <f>IF(DU6=0,0,DU38/DU6)</f>
        <v>-0.16981331515333095</v>
      </c>
      <c r="DV39" s="1521">
        <f>IF(DV6=0,0,DV38/DV6)</f>
        <v>0.57921224575554109</v>
      </c>
      <c r="DW39" s="1521">
        <f>IF(DW6=0,0,DW38/DW6)</f>
        <v>0.51845230984666912</v>
      </c>
      <c r="DX39" s="1521">
        <f>IF(DX6=0,0,DX38/DX6)</f>
        <v>0.52065110639504575</v>
      </c>
      <c r="DY39" s="1522">
        <f t="shared" ref="DY39:EG39" si="96">IF(DY6=0,0,DY38/DY6)</f>
        <v>11.924784223610761</v>
      </c>
      <c r="DZ39" s="1521">
        <f t="shared" si="96"/>
        <v>25.08388248494629</v>
      </c>
      <c r="EA39" s="1521">
        <f t="shared" si="96"/>
        <v>20.307658233233173</v>
      </c>
      <c r="EB39" s="1521">
        <f t="shared" si="96"/>
        <v>39.749513731193794</v>
      </c>
      <c r="EC39" s="1521">
        <f t="shared" si="96"/>
        <v>14.295392120913286</v>
      </c>
      <c r="ED39" s="1521">
        <f t="shared" si="96"/>
        <v>17.67011719205</v>
      </c>
      <c r="EE39" s="1521">
        <f>IF(EE6=0,0,EE38/EE6)</f>
        <v>10.088321198067622</v>
      </c>
      <c r="EF39" s="1521">
        <f t="shared" si="96"/>
        <v>25.286650956068442</v>
      </c>
      <c r="EG39" s="1521">
        <f t="shared" si="96"/>
        <v>13.223164576169626</v>
      </c>
      <c r="EH39" s="1521">
        <f t="shared" ref="EH39:EN39" si="97">IF(EH6=0,0,EH38/EH6)</f>
        <v>26.386394811245196</v>
      </c>
      <c r="EI39" s="1521">
        <f t="shared" si="97"/>
        <v>24.83930935655998</v>
      </c>
      <c r="EJ39" s="1521">
        <f t="shared" si="97"/>
        <v>51.142855768803052</v>
      </c>
      <c r="EK39" s="1521">
        <f t="shared" si="97"/>
        <v>19.521455061072704</v>
      </c>
      <c r="EL39" s="1521">
        <f t="shared" si="97"/>
        <v>22.015521291209026</v>
      </c>
      <c r="EM39" s="1521">
        <f t="shared" si="97"/>
        <v>34.371394011787672</v>
      </c>
      <c r="EN39" s="1521" t="e">
        <f t="shared" si="97"/>
        <v>#REF!</v>
      </c>
      <c r="EO39" s="1521">
        <f>IF(EO6=0,0,EO38/EO6)</f>
        <v>0</v>
      </c>
      <c r="EP39" s="1521">
        <f>IF(EP6=0,0,EP38/EP6)</f>
        <v>0</v>
      </c>
      <c r="ER39" s="1521" t="e">
        <f>IF(ER6=0,0,ER38/ER6)</f>
        <v>#REF!</v>
      </c>
      <c r="ES39" s="1521" t="e">
        <f>IF(ES6=0,0,ES38/ES6)</f>
        <v>#REF!</v>
      </c>
      <c r="ET39" s="1521" t="e">
        <f>IF(ET6=0,0,ET38/ET6)</f>
        <v>#REF!</v>
      </c>
      <c r="EU39" s="1521" t="e">
        <f>IF(EU6=0,0,EU38/EU6)</f>
        <v>#REF!</v>
      </c>
      <c r="EV39" s="1522" t="e">
        <f t="shared" ref="EV39:FD39" si="98">IF(EV6=0,0,EV38/EV6)</f>
        <v>#REF!</v>
      </c>
      <c r="EW39" s="1521" t="e">
        <f t="shared" si="98"/>
        <v>#REF!</v>
      </c>
      <c r="EX39" s="1521" t="e">
        <f t="shared" si="98"/>
        <v>#REF!</v>
      </c>
      <c r="EY39" s="1521" t="e">
        <f t="shared" si="98"/>
        <v>#REF!</v>
      </c>
      <c r="EZ39" s="1521" t="e">
        <f t="shared" si="98"/>
        <v>#REF!</v>
      </c>
      <c r="FA39" s="1521" t="e">
        <f t="shared" si="98"/>
        <v>#REF!</v>
      </c>
      <c r="FB39" s="1521" t="e">
        <f>IF(FB6=0,0,FB38/FB6)</f>
        <v>#REF!</v>
      </c>
      <c r="FC39" s="1521" t="e">
        <f t="shared" si="98"/>
        <v>#REF!</v>
      </c>
      <c r="FD39" s="1521" t="e">
        <f t="shared" si="98"/>
        <v>#REF!</v>
      </c>
      <c r="FE39" s="1521" t="e">
        <f t="shared" ref="FE39:FK39" si="99">IF(FE6=0,0,FE38/FE6)</f>
        <v>#REF!</v>
      </c>
      <c r="FF39" s="1521" t="e">
        <f t="shared" si="99"/>
        <v>#REF!</v>
      </c>
      <c r="FG39" s="1521" t="e">
        <f t="shared" si="99"/>
        <v>#REF!</v>
      </c>
      <c r="FH39" s="1521" t="e">
        <f t="shared" si="99"/>
        <v>#REF!</v>
      </c>
      <c r="FI39" s="1521" t="e">
        <f t="shared" si="99"/>
        <v>#REF!</v>
      </c>
      <c r="FJ39" s="1521" t="e">
        <f t="shared" si="99"/>
        <v>#REF!</v>
      </c>
      <c r="FK39" s="1521" t="e">
        <f t="shared" si="99"/>
        <v>#REF!</v>
      </c>
      <c r="FL39" s="1521">
        <f>IF(FL6=0,0,FL38/FL6)</f>
        <v>0</v>
      </c>
      <c r="FM39" s="1521">
        <f>IF(FM6=0,0,FM38/FM6)</f>
        <v>0</v>
      </c>
    </row>
    <row r="40" spans="1:169" s="1474" customFormat="1" ht="16.149999999999999" customHeight="1">
      <c r="A40" s="1463">
        <f>ROWS($A$1:A40)</f>
        <v>40</v>
      </c>
      <c r="B40" s="1483"/>
      <c r="C40" s="1482"/>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c r="AA40" s="1484"/>
      <c r="AB40" s="1484"/>
      <c r="AC40" s="1484"/>
      <c r="AD40" s="1484"/>
      <c r="AE40" s="1484"/>
      <c r="AF40" s="1484"/>
      <c r="AG40" s="1484"/>
      <c r="AH40" s="1484"/>
      <c r="AI40" s="1486"/>
      <c r="AJ40" s="1485"/>
      <c r="AK40" s="1484"/>
      <c r="AL40" s="1484"/>
      <c r="AM40" s="1484"/>
      <c r="AN40" s="1484"/>
      <c r="AO40" s="1484"/>
      <c r="AP40" s="1484"/>
      <c r="AQ40" s="1484"/>
      <c r="AR40" s="1484"/>
      <c r="AS40" s="1484"/>
      <c r="AT40" s="1484"/>
      <c r="AU40" s="1484"/>
      <c r="AV40" s="1484"/>
      <c r="AW40" s="1484"/>
      <c r="AX40" s="1484"/>
      <c r="AY40" s="1484"/>
      <c r="AZ40" s="1484"/>
      <c r="BA40" s="1484"/>
      <c r="BB40" s="1484"/>
      <c r="BC40" s="1484"/>
      <c r="BD40" s="1484"/>
      <c r="BE40" s="1484"/>
      <c r="BF40" s="1484"/>
      <c r="BG40" s="1484"/>
      <c r="BH40" s="1484"/>
      <c r="BI40" s="1484"/>
      <c r="BJ40" s="1484"/>
      <c r="BK40" s="1484"/>
      <c r="BL40" s="1484"/>
      <c r="BM40" s="1484"/>
      <c r="BN40" s="1484"/>
      <c r="BO40" s="1486"/>
      <c r="BP40" s="1485"/>
      <c r="BQ40" s="1484"/>
      <c r="BR40" s="1484"/>
      <c r="BS40" s="1484"/>
      <c r="BT40" s="1484"/>
      <c r="BU40" s="1484"/>
      <c r="BV40" s="1484"/>
      <c r="BW40" s="1484"/>
      <c r="BX40" s="1484"/>
      <c r="BY40" s="1484"/>
      <c r="BZ40" s="1484"/>
      <c r="CA40" s="1484"/>
      <c r="CB40" s="1484"/>
      <c r="CC40" s="1484"/>
      <c r="CD40" s="1484"/>
      <c r="CE40" s="1484"/>
      <c r="CF40" s="1484"/>
      <c r="CG40" s="1484"/>
      <c r="CH40" s="1484"/>
      <c r="CI40" s="1484"/>
      <c r="CJ40" s="1484"/>
      <c r="CK40" s="1484"/>
      <c r="CL40" s="1484"/>
      <c r="CM40" s="1484"/>
      <c r="CN40" s="1484"/>
      <c r="CO40" s="1484"/>
      <c r="CP40" s="1484"/>
      <c r="CQ40" s="1484"/>
      <c r="CR40" s="1484"/>
      <c r="CS40" s="1484"/>
      <c r="CT40" s="1484"/>
      <c r="CV40" s="1483"/>
      <c r="CW40" s="1482"/>
      <c r="CX40" s="1484"/>
      <c r="CY40" s="1484"/>
      <c r="CZ40" s="1484"/>
      <c r="DA40" s="1484"/>
      <c r="DB40" s="1484"/>
      <c r="DC40" s="1484"/>
      <c r="DD40" s="1484"/>
      <c r="DE40" s="1484"/>
      <c r="DF40" s="1484"/>
      <c r="DG40" s="1484"/>
      <c r="DH40" s="1484"/>
      <c r="DI40" s="1484"/>
      <c r="DJ40" s="1484"/>
      <c r="DK40" s="1484"/>
      <c r="DL40" s="1484"/>
      <c r="DM40" s="1484"/>
      <c r="DN40" s="1484"/>
      <c r="DO40" s="1484"/>
      <c r="DP40" s="1484"/>
      <c r="DQ40" s="1484"/>
      <c r="DR40" s="1484"/>
      <c r="DS40" s="1484"/>
      <c r="DU40" s="1484"/>
      <c r="DV40" s="1484"/>
      <c r="DW40" s="1484"/>
      <c r="DX40" s="1484"/>
      <c r="DY40" s="1485"/>
      <c r="DZ40" s="1484"/>
      <c r="EA40" s="1484"/>
      <c r="EB40" s="1484"/>
      <c r="EC40" s="1484"/>
      <c r="ED40" s="1484"/>
      <c r="EE40" s="1484"/>
      <c r="EF40" s="1484"/>
      <c r="EG40" s="1484"/>
      <c r="EH40" s="1484"/>
      <c r="EI40" s="1484"/>
      <c r="EJ40" s="1484"/>
      <c r="EK40" s="1484"/>
      <c r="EL40" s="1484"/>
      <c r="EM40" s="1484"/>
      <c r="EN40" s="1484"/>
      <c r="EO40" s="1484"/>
      <c r="EP40" s="1484"/>
      <c r="ER40" s="1484"/>
      <c r="ES40" s="1484"/>
      <c r="ET40" s="1484"/>
      <c r="EU40" s="1484"/>
      <c r="EV40" s="1485"/>
      <c r="EW40" s="1484"/>
      <c r="EX40" s="1484"/>
      <c r="EY40" s="1484"/>
      <c r="EZ40" s="1484"/>
      <c r="FA40" s="1484"/>
      <c r="FB40" s="1484"/>
      <c r="FC40" s="1484"/>
      <c r="FD40" s="1484"/>
      <c r="FE40" s="1484"/>
      <c r="FF40" s="1484"/>
      <c r="FG40" s="1484"/>
      <c r="FH40" s="1484"/>
      <c r="FI40" s="1484"/>
      <c r="FJ40" s="1484"/>
      <c r="FK40" s="1484"/>
      <c r="FL40" s="1484"/>
      <c r="FM40" s="1484"/>
    </row>
    <row r="41" spans="1:169" ht="18" customHeight="1">
      <c r="A41" s="1463">
        <f>ROWS($A$1:A41)</f>
        <v>41</v>
      </c>
      <c r="B41" s="1520" t="s">
        <v>1111</v>
      </c>
      <c r="C41" s="1519"/>
      <c r="D41" s="1516"/>
      <c r="E41" s="1516"/>
      <c r="F41" s="1516"/>
      <c r="G41" s="1516"/>
      <c r="H41" s="1516"/>
      <c r="I41" s="1516"/>
      <c r="J41" s="1516"/>
      <c r="K41" s="1516"/>
      <c r="L41" s="1516"/>
      <c r="M41" s="1516"/>
      <c r="N41" s="1516"/>
      <c r="O41" s="1516"/>
      <c r="P41" s="1516"/>
      <c r="Q41" s="1516"/>
      <c r="R41" s="1516"/>
      <c r="S41" s="1516"/>
      <c r="T41" s="1516"/>
      <c r="U41" s="1516"/>
      <c r="V41" s="1516"/>
      <c r="W41" s="1516"/>
      <c r="X41" s="1516"/>
      <c r="Y41" s="1516"/>
      <c r="Z41" s="1516"/>
      <c r="AA41" s="1516"/>
      <c r="AB41" s="1516"/>
      <c r="AC41" s="1516"/>
      <c r="AD41" s="1516"/>
      <c r="AE41" s="1516"/>
      <c r="AF41" s="1516"/>
      <c r="AG41" s="1516"/>
      <c r="AH41" s="1516"/>
      <c r="AI41" s="1518"/>
      <c r="AJ41" s="1517"/>
      <c r="AK41" s="1516"/>
      <c r="AL41" s="1516"/>
      <c r="AM41" s="1516"/>
      <c r="AN41" s="1516"/>
      <c r="AO41" s="1516"/>
      <c r="AP41" s="1516"/>
      <c r="AQ41" s="1516"/>
      <c r="AR41" s="1516"/>
      <c r="AS41" s="1516"/>
      <c r="AT41" s="1516"/>
      <c r="AU41" s="1516"/>
      <c r="AV41" s="1516"/>
      <c r="AW41" s="1516"/>
      <c r="AX41" s="1516"/>
      <c r="AY41" s="1516"/>
      <c r="AZ41" s="1516"/>
      <c r="BA41" s="1516"/>
      <c r="BB41" s="1516"/>
      <c r="BC41" s="1516"/>
      <c r="BD41" s="1516"/>
      <c r="BE41" s="1516"/>
      <c r="BF41" s="1516"/>
      <c r="BG41" s="1516"/>
      <c r="BH41" s="1516"/>
      <c r="BI41" s="1516"/>
      <c r="BJ41" s="1516"/>
      <c r="BK41" s="1516"/>
      <c r="BL41" s="1516"/>
      <c r="BM41" s="1516"/>
      <c r="BN41" s="1516"/>
      <c r="BO41" s="1518"/>
      <c r="BP41" s="1517"/>
      <c r="BQ41" s="1516"/>
      <c r="BR41" s="1516"/>
      <c r="BS41" s="1516"/>
      <c r="BT41" s="1516"/>
      <c r="BU41" s="1516"/>
      <c r="BV41" s="1516"/>
      <c r="BW41" s="1516"/>
      <c r="BX41" s="1516"/>
      <c r="BY41" s="1516"/>
      <c r="BZ41" s="1516"/>
      <c r="CA41" s="1516"/>
      <c r="CB41" s="1516"/>
      <c r="CC41" s="1516"/>
      <c r="CD41" s="1516"/>
      <c r="CE41" s="1516"/>
      <c r="CF41" s="1516"/>
      <c r="CG41" s="1516"/>
      <c r="CH41" s="1516"/>
      <c r="CI41" s="1516"/>
      <c r="CJ41" s="1516"/>
      <c r="CK41" s="1516"/>
      <c r="CL41" s="1516"/>
      <c r="CM41" s="1516"/>
      <c r="CN41" s="1516"/>
      <c r="CO41" s="1516"/>
      <c r="CP41" s="1516"/>
      <c r="CQ41" s="1516"/>
      <c r="CR41" s="1516"/>
      <c r="CS41" s="1516"/>
      <c r="CT41" s="1516"/>
      <c r="CV41" s="1520" t="s">
        <v>1111</v>
      </c>
      <c r="CW41" s="1519"/>
      <c r="CX41" s="1516"/>
      <c r="CY41" s="1516"/>
      <c r="CZ41" s="1516"/>
      <c r="DA41" s="1516"/>
      <c r="DB41" s="1516"/>
      <c r="DC41" s="1516"/>
      <c r="DD41" s="1516"/>
      <c r="DE41" s="1516"/>
      <c r="DF41" s="1516"/>
      <c r="DG41" s="1516"/>
      <c r="DH41" s="1516"/>
      <c r="DI41" s="1516"/>
      <c r="DJ41" s="1516"/>
      <c r="DK41" s="1516"/>
      <c r="DL41" s="1516"/>
      <c r="DM41" s="1516"/>
      <c r="DN41" s="1516"/>
      <c r="DO41" s="1516"/>
      <c r="DP41" s="1516"/>
      <c r="DQ41" s="1516"/>
      <c r="DR41" s="1516"/>
      <c r="DS41" s="1516"/>
      <c r="DT41" s="1456"/>
      <c r="DU41" s="1516"/>
      <c r="DV41" s="1516"/>
      <c r="DW41" s="1516"/>
      <c r="DX41" s="1516"/>
      <c r="DY41" s="1517"/>
      <c r="DZ41" s="1516"/>
      <c r="EA41" s="1516"/>
      <c r="EB41" s="1516"/>
      <c r="EC41" s="1516"/>
      <c r="ED41" s="1516"/>
      <c r="EE41" s="1516"/>
      <c r="EF41" s="1516"/>
      <c r="EG41" s="1516"/>
      <c r="EH41" s="1516"/>
      <c r="EI41" s="1516"/>
      <c r="EJ41" s="1516"/>
      <c r="EK41" s="1516"/>
      <c r="EL41" s="1516"/>
      <c r="EM41" s="1516"/>
      <c r="EN41" s="1516"/>
      <c r="EO41" s="1516"/>
      <c r="EP41" s="1516"/>
      <c r="EQ41" s="1456"/>
      <c r="ER41" s="1516"/>
      <c r="ES41" s="1516"/>
      <c r="ET41" s="1516"/>
      <c r="EU41" s="1516"/>
      <c r="EV41" s="1517"/>
      <c r="EW41" s="1516"/>
      <c r="EX41" s="1516"/>
      <c r="EY41" s="1516"/>
      <c r="EZ41" s="1516"/>
      <c r="FA41" s="1516"/>
      <c r="FB41" s="1516"/>
      <c r="FC41" s="1516"/>
      <c r="FD41" s="1516"/>
      <c r="FE41" s="1516"/>
      <c r="FF41" s="1516"/>
      <c r="FG41" s="1516"/>
      <c r="FH41" s="1516"/>
      <c r="FI41" s="1516"/>
      <c r="FJ41" s="1516"/>
      <c r="FK41" s="1516"/>
      <c r="FL41" s="1516"/>
      <c r="FM41" s="1516"/>
    </row>
    <row r="42" spans="1:169" s="1474" customFormat="1" ht="18" customHeight="1">
      <c r="A42" s="1463">
        <f>ROWS($A$1:A42)</f>
        <v>42</v>
      </c>
      <c r="B42" s="1503" t="s">
        <v>1176</v>
      </c>
      <c r="C42" s="1482" t="s">
        <v>1060</v>
      </c>
      <c r="D42" s="1475">
        <f>IF(D27=0,0,(D38+D32)/D27)</f>
        <v>46.838733827546413</v>
      </c>
      <c r="E42" s="1475">
        <f t="shared" ref="E42:AH42" si="100">IF(E27=0,0,(E38+E32)/E27)</f>
        <v>16.179226964271965</v>
      </c>
      <c r="F42" s="1475">
        <f t="shared" si="100"/>
        <v>2.4580819813974926</v>
      </c>
      <c r="G42" s="1475">
        <f t="shared" si="100"/>
        <v>5.8813398321507879</v>
      </c>
      <c r="H42" s="1475">
        <f t="shared" si="100"/>
        <v>14.6241406683269</v>
      </c>
      <c r="I42" s="1475">
        <f t="shared" si="100"/>
        <v>13.809669889865473</v>
      </c>
      <c r="J42" s="1475">
        <f t="shared" si="100"/>
        <v>-14.333170961163724</v>
      </c>
      <c r="K42" s="1475">
        <f t="shared" si="100"/>
        <v>-18.745138669491407</v>
      </c>
      <c r="L42" s="1475">
        <f t="shared" si="100"/>
        <v>20.236201371168459</v>
      </c>
      <c r="M42" s="1475">
        <f t="shared" si="100"/>
        <v>-14.639740030563205</v>
      </c>
      <c r="N42" s="1475">
        <f t="shared" si="100"/>
        <v>8.0446315789760163</v>
      </c>
      <c r="O42" s="1475">
        <f t="shared" si="100"/>
        <v>-1.2516266775737552</v>
      </c>
      <c r="P42" s="1475">
        <f t="shared" si="100"/>
        <v>8.2237019742472057</v>
      </c>
      <c r="Q42" s="1475">
        <f t="shared" si="100"/>
        <v>47.127969726652658</v>
      </c>
      <c r="R42" s="1475">
        <f t="shared" si="100"/>
        <v>-36.596599112791061</v>
      </c>
      <c r="S42" s="1475">
        <f t="shared" si="100"/>
        <v>28.797040622075759</v>
      </c>
      <c r="T42" s="1475">
        <f t="shared" si="100"/>
        <v>-18.057263249781542</v>
      </c>
      <c r="U42" s="1475">
        <f t="shared" si="100"/>
        <v>3.9498110566099704</v>
      </c>
      <c r="V42" s="1475">
        <f t="shared" si="100"/>
        <v>-3.2656698601573311</v>
      </c>
      <c r="W42" s="1475">
        <f t="shared" si="100"/>
        <v>-59.683785761757399</v>
      </c>
      <c r="X42" s="1475">
        <f t="shared" si="100"/>
        <v>-22.121120241826329</v>
      </c>
      <c r="Y42" s="1475">
        <f t="shared" si="100"/>
        <v>-33.414578133048366</v>
      </c>
      <c r="Z42" s="1475">
        <f t="shared" si="100"/>
        <v>-70.786238375815671</v>
      </c>
      <c r="AA42" s="1475">
        <f t="shared" si="100"/>
        <v>-36.19124555843463</v>
      </c>
      <c r="AB42" s="1475">
        <f t="shared" si="100"/>
        <v>59.81316702461644</v>
      </c>
      <c r="AC42" s="1475">
        <f t="shared" si="100"/>
        <v>30.794223284005799</v>
      </c>
      <c r="AD42" s="1475">
        <f t="shared" si="100"/>
        <v>2.2481309105111391</v>
      </c>
      <c r="AE42" s="1475">
        <f t="shared" si="100"/>
        <v>-4.181433781939762</v>
      </c>
      <c r="AF42" s="1475">
        <f t="shared" si="100"/>
        <v>0</v>
      </c>
      <c r="AG42" s="1475">
        <f t="shared" si="100"/>
        <v>47.776079539649352</v>
      </c>
      <c r="AH42" s="1475">
        <f t="shared" si="100"/>
        <v>34.641877443516989</v>
      </c>
      <c r="AI42" s="1477"/>
      <c r="AJ42" s="1476">
        <f t="shared" ref="AJ42:BN42" si="101">IF(AJ27=0,0,(AJ38+AJ32)/AJ27)</f>
        <v>47.102422840018832</v>
      </c>
      <c r="AK42" s="1475">
        <f t="shared" si="101"/>
        <v>27.783036125156514</v>
      </c>
      <c r="AL42" s="1475">
        <f t="shared" si="101"/>
        <v>18.456838569794787</v>
      </c>
      <c r="AM42" s="1475">
        <f t="shared" si="101"/>
        <v>15.898012062386504</v>
      </c>
      <c r="AN42" s="1475">
        <f t="shared" si="101"/>
        <v>23.100927414847554</v>
      </c>
      <c r="AO42" s="1475">
        <f t="shared" si="101"/>
        <v>28.491668246933202</v>
      </c>
      <c r="AP42" s="1475">
        <f t="shared" si="101"/>
        <v>-1.3592982067708246</v>
      </c>
      <c r="AQ42" s="1475">
        <f t="shared" si="101"/>
        <v>-10.227756590220405</v>
      </c>
      <c r="AR42" s="1475">
        <f t="shared" si="101"/>
        <v>19.665964616556735</v>
      </c>
      <c r="AS42" s="1475">
        <f t="shared" si="101"/>
        <v>-7.0436138234904986</v>
      </c>
      <c r="AT42" s="1475">
        <f t="shared" si="101"/>
        <v>22.227657080372289</v>
      </c>
      <c r="AU42" s="1475">
        <f t="shared" si="101"/>
        <v>5.8039479869281276</v>
      </c>
      <c r="AV42" s="1475">
        <f t="shared" si="101"/>
        <v>35.992024643157066</v>
      </c>
      <c r="AW42" s="1475">
        <f t="shared" si="101"/>
        <v>73.970724280354275</v>
      </c>
      <c r="AX42" s="1475">
        <f t="shared" si="101"/>
        <v>-37.80475404180639</v>
      </c>
      <c r="AY42" s="1475">
        <f t="shared" si="101"/>
        <v>52.922322670879424</v>
      </c>
      <c r="AZ42" s="1475">
        <f t="shared" si="101"/>
        <v>-7.0417322946074705</v>
      </c>
      <c r="BA42" s="1475">
        <f t="shared" si="101"/>
        <v>14.150188879460206</v>
      </c>
      <c r="BB42" s="1475">
        <f t="shared" si="101"/>
        <v>29.018465250887914</v>
      </c>
      <c r="BC42" s="1475">
        <f t="shared" si="101"/>
        <v>-56.142316948787162</v>
      </c>
      <c r="BD42" s="1475">
        <f t="shared" si="101"/>
        <v>7.7354913813176038</v>
      </c>
      <c r="BE42" s="1475">
        <f t="shared" si="101"/>
        <v>-3.6666999589281972</v>
      </c>
      <c r="BF42" s="1475">
        <f t="shared" si="101"/>
        <v>-35.841118719661466</v>
      </c>
      <c r="BG42" s="1475">
        <f t="shared" si="101"/>
        <v>-1.9399249527118296</v>
      </c>
      <c r="BH42" s="1475">
        <f t="shared" si="101"/>
        <v>124.02412576460118</v>
      </c>
      <c r="BI42" s="1475">
        <f t="shared" si="101"/>
        <v>71.420206361778099</v>
      </c>
      <c r="BJ42" s="1475">
        <f t="shared" si="101"/>
        <v>-0.4962162396476133</v>
      </c>
      <c r="BK42" s="1475">
        <f t="shared" si="101"/>
        <v>14.852554533895011</v>
      </c>
      <c r="BL42" s="1475">
        <f t="shared" si="101"/>
        <v>0</v>
      </c>
      <c r="BM42" s="1475">
        <f t="shared" si="101"/>
        <v>40.22777036090541</v>
      </c>
      <c r="BN42" s="1475">
        <f t="shared" si="101"/>
        <v>-4.6398285048556263</v>
      </c>
      <c r="BO42" s="1477"/>
      <c r="BP42" s="1476">
        <f t="shared" ref="BP42:CT42" si="102">IF(BP27=0,0,(BP38+BP32)/BP27)</f>
        <v>55.336678520971695</v>
      </c>
      <c r="BQ42" s="1475">
        <f t="shared" si="102"/>
        <v>39.655390918986214</v>
      </c>
      <c r="BR42" s="1475">
        <f t="shared" si="102"/>
        <v>32.726636828215128</v>
      </c>
      <c r="BS42" s="1475">
        <f t="shared" si="102"/>
        <v>24.681208731361814</v>
      </c>
      <c r="BT42" s="1475">
        <f t="shared" si="102"/>
        <v>27.124352074075169</v>
      </c>
      <c r="BU42" s="1475">
        <f t="shared" si="102"/>
        <v>39.571743112420791</v>
      </c>
      <c r="BV42" s="1475">
        <f t="shared" si="102"/>
        <v>8.5902343989885406</v>
      </c>
      <c r="BW42" s="1475">
        <f t="shared" si="102"/>
        <v>-0.79207621429469044</v>
      </c>
      <c r="BX42" s="1475">
        <f t="shared" si="102"/>
        <v>44.419254513596641</v>
      </c>
      <c r="BY42" s="1475">
        <f t="shared" si="102"/>
        <v>0.35947232749396529</v>
      </c>
      <c r="BZ42" s="1475">
        <f t="shared" si="102"/>
        <v>36.047945356668862</v>
      </c>
      <c r="CA42" s="1475">
        <f t="shared" si="102"/>
        <v>14.095713743462005</v>
      </c>
      <c r="CB42" s="1475">
        <f t="shared" si="102"/>
        <v>41.977823227160272</v>
      </c>
      <c r="CC42" s="1475">
        <f t="shared" si="102"/>
        <v>99.322214692183579</v>
      </c>
      <c r="CD42" s="1475">
        <f t="shared" si="102"/>
        <v>-38.981240427466147</v>
      </c>
      <c r="CE42" s="1475">
        <f t="shared" si="102"/>
        <v>80.44890070648583</v>
      </c>
      <c r="CF42" s="1475">
        <f t="shared" si="102"/>
        <v>5.0901269910513012</v>
      </c>
      <c r="CG42" s="1475">
        <f t="shared" si="102"/>
        <v>24.21757611791865</v>
      </c>
      <c r="CH42" s="1475">
        <f t="shared" si="102"/>
        <v>60.123271225456591</v>
      </c>
      <c r="CI42" s="1475">
        <f t="shared" si="102"/>
        <v>-52.646722084171529</v>
      </c>
      <c r="CJ42" s="1475">
        <f t="shared" si="102"/>
        <v>36.737524574176369</v>
      </c>
      <c r="CK42" s="1475">
        <f t="shared" si="102"/>
        <v>25.219637130737443</v>
      </c>
      <c r="CL42" s="1475">
        <f t="shared" si="102"/>
        <v>-2.4965388950868279</v>
      </c>
      <c r="CM42" s="1475">
        <f t="shared" si="102"/>
        <v>17.305899733745203</v>
      </c>
      <c r="CN42" s="1475">
        <f t="shared" si="102"/>
        <v>185.51158475622802</v>
      </c>
      <c r="CO42" s="1475">
        <f t="shared" si="102"/>
        <v>108.89787557953272</v>
      </c>
      <c r="CP42" s="1475">
        <f t="shared" si="102"/>
        <v>19.584614658037577</v>
      </c>
      <c r="CQ42" s="1475">
        <f t="shared" si="102"/>
        <v>32.766663572841708</v>
      </c>
      <c r="CR42" s="1475">
        <f>IF(CR27=0,0,(CR38+CR32)/CR27)</f>
        <v>0</v>
      </c>
      <c r="CS42" s="1475">
        <f t="shared" si="102"/>
        <v>32.679461182161447</v>
      </c>
      <c r="CT42" s="1475">
        <f t="shared" si="102"/>
        <v>-11.114834979862101</v>
      </c>
      <c r="CV42" s="1503" t="s">
        <v>1176</v>
      </c>
      <c r="CW42" s="1482" t="s">
        <v>1060</v>
      </c>
      <c r="CX42" s="1475">
        <f>IF(CX27=0,0,(CX38+CX32)/CX27)</f>
        <v>-2.6829311314496214</v>
      </c>
      <c r="CY42" s="1475">
        <f>IF(CY27=0,0,(CY38+CY32)/CY27)</f>
        <v>39.234667794850736</v>
      </c>
      <c r="CZ42" s="1475">
        <f t="shared" ref="CZ42:DS42" si="103">IF(CZ27=0,0,(CZ38+CZ32)/CZ27)</f>
        <v>21.177898301727705</v>
      </c>
      <c r="DA42" s="1475">
        <f t="shared" si="103"/>
        <v>32.696473350406286</v>
      </c>
      <c r="DB42" s="1475">
        <f t="shared" si="103"/>
        <v>55.6217386512104</v>
      </c>
      <c r="DC42" s="1475">
        <f t="shared" si="103"/>
        <v>100.27785756254804</v>
      </c>
      <c r="DD42" s="1475">
        <f t="shared" si="103"/>
        <v>52.343773588024412</v>
      </c>
      <c r="DE42" s="1475">
        <f t="shared" si="103"/>
        <v>68.632078137938635</v>
      </c>
      <c r="DF42" s="1475">
        <f t="shared" si="103"/>
        <v>46.1704010273168</v>
      </c>
      <c r="DG42" s="1475">
        <f t="shared" si="103"/>
        <v>56.417715532891137</v>
      </c>
      <c r="DH42" s="1475">
        <f>IF(DH27=0,0,(DH38+DH32)/DH27)</f>
        <v>40.236862304201935</v>
      </c>
      <c r="DI42" s="1475">
        <f t="shared" si="103"/>
        <v>61.488594664784095</v>
      </c>
      <c r="DJ42" s="1475">
        <f t="shared" si="103"/>
        <v>60.587125962502924</v>
      </c>
      <c r="DK42" s="1475">
        <f t="shared" si="103"/>
        <v>78.719687657293321</v>
      </c>
      <c r="DL42" s="1475">
        <f t="shared" si="103"/>
        <v>68.358751563034488</v>
      </c>
      <c r="DM42" s="1475">
        <f t="shared" si="103"/>
        <v>112.6315813382635</v>
      </c>
      <c r="DN42" s="1475">
        <f t="shared" si="103"/>
        <v>22.941626725937208</v>
      </c>
      <c r="DO42" s="1475">
        <f t="shared" si="103"/>
        <v>9.5914871809234477</v>
      </c>
      <c r="DP42" s="1475">
        <f t="shared" si="103"/>
        <v>154.1646848028486</v>
      </c>
      <c r="DQ42" s="1475" t="e">
        <f t="shared" si="103"/>
        <v>#REF!</v>
      </c>
      <c r="DR42" s="1475">
        <f t="shared" si="103"/>
        <v>-89.093708953280412</v>
      </c>
      <c r="DS42" s="1475">
        <f t="shared" si="103"/>
        <v>-58.947225377507458</v>
      </c>
      <c r="DU42" s="1475">
        <f>IF(DU27=0,0,(DU38+DU32)/DU27)</f>
        <v>10.946236257468158</v>
      </c>
      <c r="DV42" s="1475">
        <f>IF(DV27=0,0,(DV38+DV32)/DV27)</f>
        <v>51.065735564748294</v>
      </c>
      <c r="DW42" s="1475">
        <f>IF(DW27=0,0,(DW38+DW32)/DW27)</f>
        <v>34.807065690645487</v>
      </c>
      <c r="DX42" s="1475">
        <f>IF(DX27=0,0,(DX38+DX32)/DX27)</f>
        <v>44.527541120303852</v>
      </c>
      <c r="DY42" s="1476">
        <f t="shared" ref="DY42:EG42" si="104">IF(DY27=0,0,(DY38+DY32)/DY27)</f>
        <v>60.173670594639312</v>
      </c>
      <c r="DZ42" s="1475">
        <f t="shared" si="104"/>
        <v>139.22785263810403</v>
      </c>
      <c r="EA42" s="1475">
        <f t="shared" si="104"/>
        <v>83.19822952036985</v>
      </c>
      <c r="EB42" s="1475">
        <f t="shared" si="104"/>
        <v>103.86658235261388</v>
      </c>
      <c r="EC42" s="1475">
        <f t="shared" si="104"/>
        <v>70.147350673375954</v>
      </c>
      <c r="ED42" s="1475">
        <f t="shared" si="104"/>
        <v>82.955173519552019</v>
      </c>
      <c r="EE42" s="1475">
        <f>IF(EE27=0,0,(EE38+EE32)/EE27)</f>
        <v>52.82632435600069</v>
      </c>
      <c r="EF42" s="1475">
        <f t="shared" si="104"/>
        <v>90.586065288532964</v>
      </c>
      <c r="EG42" s="1475">
        <f t="shared" si="104"/>
        <v>92.665101512083865</v>
      </c>
      <c r="EH42" s="1475">
        <f t="shared" ref="EH42:EN42" si="105">IF(EH27=0,0,(EH38+EH32)/EH27)</f>
        <v>111.6704475655763</v>
      </c>
      <c r="EI42" s="1475">
        <f t="shared" si="105"/>
        <v>108.22152081147897</v>
      </c>
      <c r="EJ42" s="1475">
        <f t="shared" si="105"/>
        <v>138.25511815955142</v>
      </c>
      <c r="EK42" s="1475">
        <f t="shared" si="105"/>
        <v>41.544035942286122</v>
      </c>
      <c r="EL42" s="1475">
        <f t="shared" si="105"/>
        <v>33.864884820832174</v>
      </c>
      <c r="EM42" s="1475">
        <f t="shared" si="105"/>
        <v>212.9335152104691</v>
      </c>
      <c r="EN42" s="1475" t="e">
        <f t="shared" si="105"/>
        <v>#REF!</v>
      </c>
      <c r="EO42" s="1475">
        <f>IF(EO27=0,0,(EO38+EO32)/EO27)</f>
        <v>-92.113032624777986</v>
      </c>
      <c r="EP42" s="1475">
        <f>IF(EP27=0,0,(EP38+EP32)/EP27)</f>
        <v>-58.947225377507458</v>
      </c>
      <c r="ER42" s="1475" t="e">
        <f>IF(ER27=0,0,(ER38+ER32)/ER27)</f>
        <v>#REF!</v>
      </c>
      <c r="ES42" s="1475" t="e">
        <f>IF(ES27=0,0,(ES38+ES32)/ES27)</f>
        <v>#REF!</v>
      </c>
      <c r="ET42" s="1475" t="e">
        <f>IF(ET27=0,0,(ET38+ET32)/ET27)</f>
        <v>#REF!</v>
      </c>
      <c r="EU42" s="1475" t="e">
        <f>IF(EU27=0,0,(EU38+EU32)/EU27)</f>
        <v>#REF!</v>
      </c>
      <c r="EV42" s="1476" t="e">
        <f t="shared" ref="EV42:FD42" si="106">IF(EV27=0,0,(EV38+EV32)/EV27)</f>
        <v>#REF!</v>
      </c>
      <c r="EW42" s="1475" t="e">
        <f t="shared" si="106"/>
        <v>#REF!</v>
      </c>
      <c r="EX42" s="1475" t="e">
        <f t="shared" si="106"/>
        <v>#REF!</v>
      </c>
      <c r="EY42" s="1475" t="e">
        <f t="shared" si="106"/>
        <v>#REF!</v>
      </c>
      <c r="EZ42" s="1475" t="e">
        <f t="shared" si="106"/>
        <v>#REF!</v>
      </c>
      <c r="FA42" s="1475" t="e">
        <f t="shared" si="106"/>
        <v>#REF!</v>
      </c>
      <c r="FB42" s="1475" t="e">
        <f>IF(FB27=0,0,(FB38+FB32)/FB27)</f>
        <v>#REF!</v>
      </c>
      <c r="FC42" s="1475" t="e">
        <f t="shared" si="106"/>
        <v>#REF!</v>
      </c>
      <c r="FD42" s="1475" t="e">
        <f t="shared" si="106"/>
        <v>#REF!</v>
      </c>
      <c r="FE42" s="1475" t="e">
        <f t="shared" ref="FE42:FK42" si="107">IF(FE27=0,0,(FE38+FE32)/FE27)</f>
        <v>#REF!</v>
      </c>
      <c r="FF42" s="1475" t="e">
        <f t="shared" si="107"/>
        <v>#REF!</v>
      </c>
      <c r="FG42" s="1475" t="e">
        <f t="shared" si="107"/>
        <v>#REF!</v>
      </c>
      <c r="FH42" s="1475" t="e">
        <f t="shared" si="107"/>
        <v>#REF!</v>
      </c>
      <c r="FI42" s="1475" t="e">
        <f t="shared" si="107"/>
        <v>#REF!</v>
      </c>
      <c r="FJ42" s="1475" t="e">
        <f t="shared" si="107"/>
        <v>#REF!</v>
      </c>
      <c r="FK42" s="1475" t="e">
        <f t="shared" si="107"/>
        <v>#REF!</v>
      </c>
      <c r="FL42" s="1475" t="e">
        <f>IF(FL27=0,0,(FL38+FL32)/FL27)</f>
        <v>#REF!</v>
      </c>
      <c r="FM42" s="1475" t="e">
        <f>IF(FM27=0,0,(FM38+FM32)/FM27)</f>
        <v>#REF!</v>
      </c>
    </row>
    <row r="43" spans="1:169" ht="18" customHeight="1">
      <c r="A43" s="1463">
        <f>ROWS($A$1:A43)</f>
        <v>43</v>
      </c>
      <c r="B43" s="1481" t="s">
        <v>1175</v>
      </c>
      <c r="C43" s="1480" t="s">
        <v>228</v>
      </c>
      <c r="D43" s="1513">
        <f t="shared" ref="D43:AH43" si="108">IF(D31=0,0,IF(D6=0,0,(D38+D31)/D6))</f>
        <v>0</v>
      </c>
      <c r="E43" s="1513">
        <f t="shared" si="108"/>
        <v>0</v>
      </c>
      <c r="F43" s="1513">
        <f t="shared" si="108"/>
        <v>0</v>
      </c>
      <c r="G43" s="1513">
        <f t="shared" si="108"/>
        <v>0</v>
      </c>
      <c r="H43" s="1513">
        <f t="shared" si="108"/>
        <v>0</v>
      </c>
      <c r="I43" s="1513">
        <f t="shared" si="108"/>
        <v>0</v>
      </c>
      <c r="J43" s="1513">
        <f t="shared" si="108"/>
        <v>0</v>
      </c>
      <c r="K43" s="1513">
        <f t="shared" si="108"/>
        <v>0</v>
      </c>
      <c r="L43" s="1513">
        <f t="shared" si="108"/>
        <v>0</v>
      </c>
      <c r="M43" s="1513">
        <f t="shared" si="108"/>
        <v>0</v>
      </c>
      <c r="N43" s="1513">
        <f t="shared" si="108"/>
        <v>0</v>
      </c>
      <c r="O43" s="1513">
        <f t="shared" si="108"/>
        <v>0</v>
      </c>
      <c r="P43" s="1513">
        <f t="shared" si="108"/>
        <v>0</v>
      </c>
      <c r="Q43" s="1513">
        <f t="shared" si="108"/>
        <v>0</v>
      </c>
      <c r="R43" s="1513">
        <f t="shared" si="108"/>
        <v>0</v>
      </c>
      <c r="S43" s="1513">
        <f t="shared" si="108"/>
        <v>0</v>
      </c>
      <c r="T43" s="1513">
        <f t="shared" si="108"/>
        <v>0</v>
      </c>
      <c r="U43" s="1513">
        <f t="shared" si="108"/>
        <v>0</v>
      </c>
      <c r="V43" s="1513">
        <f t="shared" si="108"/>
        <v>0</v>
      </c>
      <c r="W43" s="1513">
        <f t="shared" si="108"/>
        <v>0</v>
      </c>
      <c r="X43" s="1513">
        <f t="shared" si="108"/>
        <v>0</v>
      </c>
      <c r="Y43" s="1513">
        <f t="shared" si="108"/>
        <v>0</v>
      </c>
      <c r="Z43" s="1513">
        <f t="shared" si="108"/>
        <v>0</v>
      </c>
      <c r="AA43" s="1513">
        <f t="shared" si="108"/>
        <v>0</v>
      </c>
      <c r="AB43" s="1513">
        <f t="shared" si="108"/>
        <v>0</v>
      </c>
      <c r="AC43" s="1513">
        <f t="shared" si="108"/>
        <v>0</v>
      </c>
      <c r="AD43" s="1513">
        <f t="shared" si="108"/>
        <v>0</v>
      </c>
      <c r="AE43" s="1513">
        <f t="shared" si="108"/>
        <v>0</v>
      </c>
      <c r="AF43" s="1513">
        <f t="shared" si="108"/>
        <v>0</v>
      </c>
      <c r="AG43" s="1513">
        <f t="shared" si="108"/>
        <v>0</v>
      </c>
      <c r="AH43" s="1513">
        <f t="shared" si="108"/>
        <v>0</v>
      </c>
      <c r="AI43" s="1515"/>
      <c r="AJ43" s="1514">
        <f t="shared" ref="AJ43:BN43" si="109">IF(AJ31=0,0,IF(AJ6=0,0,(AJ38+AJ31)/AJ6))</f>
        <v>0</v>
      </c>
      <c r="AK43" s="1513">
        <f t="shared" si="109"/>
        <v>0</v>
      </c>
      <c r="AL43" s="1513">
        <f t="shared" si="109"/>
        <v>0</v>
      </c>
      <c r="AM43" s="1513">
        <f t="shared" si="109"/>
        <v>0</v>
      </c>
      <c r="AN43" s="1513">
        <f t="shared" si="109"/>
        <v>0</v>
      </c>
      <c r="AO43" s="1513">
        <f t="shared" si="109"/>
        <v>0</v>
      </c>
      <c r="AP43" s="1513">
        <f t="shared" si="109"/>
        <v>0</v>
      </c>
      <c r="AQ43" s="1513">
        <f t="shared" si="109"/>
        <v>0</v>
      </c>
      <c r="AR43" s="1513">
        <f t="shared" si="109"/>
        <v>0</v>
      </c>
      <c r="AS43" s="1513">
        <f t="shared" si="109"/>
        <v>0</v>
      </c>
      <c r="AT43" s="1513">
        <f t="shared" si="109"/>
        <v>0</v>
      </c>
      <c r="AU43" s="1513">
        <f t="shared" si="109"/>
        <v>0</v>
      </c>
      <c r="AV43" s="1513">
        <f t="shared" si="109"/>
        <v>0</v>
      </c>
      <c r="AW43" s="1513">
        <f t="shared" si="109"/>
        <v>0</v>
      </c>
      <c r="AX43" s="1513">
        <f t="shared" si="109"/>
        <v>0</v>
      </c>
      <c r="AY43" s="1513">
        <f t="shared" si="109"/>
        <v>0</v>
      </c>
      <c r="AZ43" s="1513">
        <f t="shared" si="109"/>
        <v>0</v>
      </c>
      <c r="BA43" s="1513">
        <f t="shared" si="109"/>
        <v>0</v>
      </c>
      <c r="BB43" s="1513">
        <f t="shared" si="109"/>
        <v>0</v>
      </c>
      <c r="BC43" s="1513">
        <f t="shared" si="109"/>
        <v>0</v>
      </c>
      <c r="BD43" s="1513">
        <f t="shared" si="109"/>
        <v>0</v>
      </c>
      <c r="BE43" s="1513">
        <f t="shared" si="109"/>
        <v>0</v>
      </c>
      <c r="BF43" s="1513">
        <f t="shared" si="109"/>
        <v>0</v>
      </c>
      <c r="BG43" s="1513">
        <f t="shared" si="109"/>
        <v>0</v>
      </c>
      <c r="BH43" s="1513">
        <f t="shared" si="109"/>
        <v>0</v>
      </c>
      <c r="BI43" s="1513">
        <f t="shared" si="109"/>
        <v>0</v>
      </c>
      <c r="BJ43" s="1513">
        <f t="shared" si="109"/>
        <v>0</v>
      </c>
      <c r="BK43" s="1513">
        <f t="shared" si="109"/>
        <v>0</v>
      </c>
      <c r="BL43" s="1513">
        <f t="shared" si="109"/>
        <v>0</v>
      </c>
      <c r="BM43" s="1513">
        <f t="shared" si="109"/>
        <v>0</v>
      </c>
      <c r="BN43" s="1513">
        <f t="shared" si="109"/>
        <v>0</v>
      </c>
      <c r="BO43" s="1515"/>
      <c r="BP43" s="1514">
        <f t="shared" ref="BP43:CT43" si="110">IF(BP31=0,0,IF(BP6=0,0,(BP38+BP31)/BP6))</f>
        <v>0</v>
      </c>
      <c r="BQ43" s="1513">
        <f t="shared" si="110"/>
        <v>0</v>
      </c>
      <c r="BR43" s="1513">
        <f t="shared" si="110"/>
        <v>0</v>
      </c>
      <c r="BS43" s="1513">
        <f t="shared" si="110"/>
        <v>0</v>
      </c>
      <c r="BT43" s="1513">
        <f t="shared" si="110"/>
        <v>0</v>
      </c>
      <c r="BU43" s="1513">
        <f t="shared" si="110"/>
        <v>0</v>
      </c>
      <c r="BV43" s="1513">
        <f t="shared" si="110"/>
        <v>0</v>
      </c>
      <c r="BW43" s="1513">
        <f t="shared" si="110"/>
        <v>0</v>
      </c>
      <c r="BX43" s="1513">
        <f t="shared" si="110"/>
        <v>0</v>
      </c>
      <c r="BY43" s="1513">
        <f t="shared" si="110"/>
        <v>0</v>
      </c>
      <c r="BZ43" s="1513">
        <f t="shared" si="110"/>
        <v>0</v>
      </c>
      <c r="CA43" s="1513">
        <f t="shared" si="110"/>
        <v>0</v>
      </c>
      <c r="CB43" s="1513">
        <f t="shared" si="110"/>
        <v>0</v>
      </c>
      <c r="CC43" s="1513">
        <f t="shared" si="110"/>
        <v>0</v>
      </c>
      <c r="CD43" s="1513">
        <f t="shared" si="110"/>
        <v>0</v>
      </c>
      <c r="CE43" s="1513">
        <f t="shared" si="110"/>
        <v>0</v>
      </c>
      <c r="CF43" s="1513">
        <f t="shared" si="110"/>
        <v>0</v>
      </c>
      <c r="CG43" s="1513">
        <f t="shared" si="110"/>
        <v>0</v>
      </c>
      <c r="CH43" s="1513">
        <f t="shared" si="110"/>
        <v>0</v>
      </c>
      <c r="CI43" s="1513">
        <f t="shared" si="110"/>
        <v>0</v>
      </c>
      <c r="CJ43" s="1513">
        <f t="shared" si="110"/>
        <v>0</v>
      </c>
      <c r="CK43" s="1513">
        <f t="shared" si="110"/>
        <v>0</v>
      </c>
      <c r="CL43" s="1513">
        <f t="shared" si="110"/>
        <v>0</v>
      </c>
      <c r="CM43" s="1513">
        <f t="shared" si="110"/>
        <v>0</v>
      </c>
      <c r="CN43" s="1513">
        <f t="shared" si="110"/>
        <v>0</v>
      </c>
      <c r="CO43" s="1513">
        <f t="shared" si="110"/>
        <v>0</v>
      </c>
      <c r="CP43" s="1513">
        <f t="shared" si="110"/>
        <v>0</v>
      </c>
      <c r="CQ43" s="1513">
        <f t="shared" si="110"/>
        <v>0</v>
      </c>
      <c r="CR43" s="1513">
        <f>IF(CR31=0,0,IF(CR6=0,0,(CR38+CR31)/CR6))</f>
        <v>0</v>
      </c>
      <c r="CS43" s="1513">
        <f t="shared" si="110"/>
        <v>0</v>
      </c>
      <c r="CT43" s="1513">
        <f t="shared" si="110"/>
        <v>0</v>
      </c>
      <c r="CV43" s="1481" t="s">
        <v>1175</v>
      </c>
      <c r="CW43" s="1480" t="s">
        <v>228</v>
      </c>
      <c r="CX43" s="1513">
        <f>IF(CX31=0,0,IF(CX6=0,0,(CX38+CX31)/CX6))</f>
        <v>0</v>
      </c>
      <c r="CY43" s="1513">
        <f>IF(CY31=0,0,IF(CY6=0,0,(CY38+CY31)/CY6))</f>
        <v>0</v>
      </c>
      <c r="CZ43" s="1513">
        <f>IF(CZ31=0,0,IF(CZ6=0,0,(CZ38+CZ31)/CZ6))</f>
        <v>0</v>
      </c>
      <c r="DA43" s="1513">
        <f>IF(DA31=0,0,IF(DA6=0,0,(DA38+DA31)/DA6))</f>
        <v>0</v>
      </c>
      <c r="DB43" s="1513">
        <f t="shared" ref="DB43:DJ43" si="111">IF(DB31=0,0,IF(DB6=0,0,(DB38+DB31)/DB6))</f>
        <v>0</v>
      </c>
      <c r="DC43" s="1513">
        <f t="shared" si="111"/>
        <v>0</v>
      </c>
      <c r="DD43" s="1513">
        <f>IF(DD31=0,0,IF(DD6=0,0,(DD38+DD31)/DD6))</f>
        <v>0</v>
      </c>
      <c r="DE43" s="1513">
        <f t="shared" si="111"/>
        <v>0</v>
      </c>
      <c r="DF43" s="1513">
        <f t="shared" si="111"/>
        <v>0</v>
      </c>
      <c r="DG43" s="1513">
        <f t="shared" si="111"/>
        <v>0</v>
      </c>
      <c r="DH43" s="1513">
        <f>IF(DH31=0,0,IF(DH6=0,0,(DH38+DH31)/DH6))</f>
        <v>0</v>
      </c>
      <c r="DI43" s="1513">
        <f t="shared" si="111"/>
        <v>0</v>
      </c>
      <c r="DJ43" s="1513">
        <f t="shared" si="111"/>
        <v>0</v>
      </c>
      <c r="DK43" s="1513">
        <f>IF(DK31=0,0,IF(DK6=0,0,(DK38+DK31)/DK6))</f>
        <v>0</v>
      </c>
      <c r="DL43" s="1513">
        <f t="shared" ref="DL43:DS43" si="112">IF(DL31=0,0,IF(DL6=0,0,(DL38+DL31)/DL6))</f>
        <v>0</v>
      </c>
      <c r="DM43" s="1513">
        <f t="shared" si="112"/>
        <v>0</v>
      </c>
      <c r="DN43" s="1513">
        <f t="shared" si="112"/>
        <v>0</v>
      </c>
      <c r="DO43" s="1513">
        <f t="shared" si="112"/>
        <v>0</v>
      </c>
      <c r="DP43" s="1513">
        <f t="shared" si="112"/>
        <v>0</v>
      </c>
      <c r="DQ43" s="1513">
        <f t="shared" si="112"/>
        <v>0</v>
      </c>
      <c r="DR43" s="1513">
        <f t="shared" si="112"/>
        <v>0</v>
      </c>
      <c r="DS43" s="1513">
        <f t="shared" si="112"/>
        <v>0</v>
      </c>
      <c r="DT43" s="1456"/>
      <c r="DU43" s="1513">
        <f>IF(DU31=0,0,IF(DU6=0,0,(DU38+DU31)/DU6))</f>
        <v>0</v>
      </c>
      <c r="DV43" s="1513">
        <f>IF(DV31=0,0,IF(DV6=0,0,(DV38+DV31)/DV6))</f>
        <v>0</v>
      </c>
      <c r="DW43" s="1513">
        <f>IF(DW31=0,0,IF(DW6=0,0,(DW38+DW31)/DW6))</f>
        <v>0</v>
      </c>
      <c r="DX43" s="1513">
        <f>IF(DX31=0,0,IF(DX6=0,0,(DX38+DX31)/DX6))</f>
        <v>0</v>
      </c>
      <c r="DY43" s="1514">
        <f t="shared" ref="DY43:EG43" si="113">IF(DY31=0,0,IF(DY6=0,0,(DY38+DY31)/DY6))</f>
        <v>0</v>
      </c>
      <c r="DZ43" s="1513">
        <f t="shared" si="113"/>
        <v>0</v>
      </c>
      <c r="EA43" s="1513">
        <f t="shared" si="113"/>
        <v>0</v>
      </c>
      <c r="EB43" s="1513">
        <f t="shared" si="113"/>
        <v>0</v>
      </c>
      <c r="EC43" s="1513">
        <f t="shared" si="113"/>
        <v>0</v>
      </c>
      <c r="ED43" s="1513">
        <f t="shared" si="113"/>
        <v>0</v>
      </c>
      <c r="EE43" s="1513">
        <f>IF(EE31=0,0,IF(EE6=0,0,(EE38+EE31)/EE6))</f>
        <v>0</v>
      </c>
      <c r="EF43" s="1513">
        <f t="shared" si="113"/>
        <v>0</v>
      </c>
      <c r="EG43" s="1513">
        <f t="shared" si="113"/>
        <v>0</v>
      </c>
      <c r="EH43" s="1513">
        <f t="shared" ref="EH43:EN43" si="114">IF(EH31=0,0,IF(EH6=0,0,(EH38+EH31)/EH6))</f>
        <v>0</v>
      </c>
      <c r="EI43" s="1513">
        <f t="shared" si="114"/>
        <v>0</v>
      </c>
      <c r="EJ43" s="1513">
        <f t="shared" si="114"/>
        <v>0</v>
      </c>
      <c r="EK43" s="1513">
        <f t="shared" si="114"/>
        <v>0</v>
      </c>
      <c r="EL43" s="1513">
        <f t="shared" si="114"/>
        <v>0</v>
      </c>
      <c r="EM43" s="1513">
        <f t="shared" si="114"/>
        <v>0</v>
      </c>
      <c r="EN43" s="1513">
        <f t="shared" si="114"/>
        <v>0</v>
      </c>
      <c r="EO43" s="1513">
        <f>IF(EO31=0,0,IF(EO6=0,0,(EO38+EO31)/EO6))</f>
        <v>0</v>
      </c>
      <c r="EP43" s="1513">
        <f>IF(EP31=0,0,IF(EP6=0,0,(EP38+EP31)/EP6))</f>
        <v>0</v>
      </c>
      <c r="EQ43" s="1456"/>
      <c r="ER43" s="1513">
        <f>IF(ER31=0,0,IF(ER6=0,0,(ER38+ER31)/ER6))</f>
        <v>0</v>
      </c>
      <c r="ES43" s="1513">
        <f>IF(ES31=0,0,IF(ES6=0,0,(ES38+ES31)/ES6))</f>
        <v>0</v>
      </c>
      <c r="ET43" s="1513">
        <f>IF(ET31=0,0,IF(ET6=0,0,(ET38+ET31)/ET6))</f>
        <v>0</v>
      </c>
      <c r="EU43" s="1513">
        <f>IF(EU31=0,0,IF(EU6=0,0,(EU38+EU31)/EU6))</f>
        <v>0</v>
      </c>
      <c r="EV43" s="1514">
        <f t="shared" ref="EV43:FD43" si="115">IF(EV31=0,0,IF(EV6=0,0,(EV38+EV31)/EV6))</f>
        <v>0</v>
      </c>
      <c r="EW43" s="1513">
        <f t="shared" si="115"/>
        <v>0</v>
      </c>
      <c r="EX43" s="1513">
        <f t="shared" si="115"/>
        <v>0</v>
      </c>
      <c r="EY43" s="1513">
        <f t="shared" si="115"/>
        <v>0</v>
      </c>
      <c r="EZ43" s="1513">
        <f t="shared" si="115"/>
        <v>0</v>
      </c>
      <c r="FA43" s="1513">
        <f t="shared" si="115"/>
        <v>0</v>
      </c>
      <c r="FB43" s="1513">
        <f>IF(FB31=0,0,IF(FB6=0,0,(FB38+FB31)/FB6))</f>
        <v>0</v>
      </c>
      <c r="FC43" s="1513">
        <f t="shared" si="115"/>
        <v>0</v>
      </c>
      <c r="FD43" s="1513">
        <f t="shared" si="115"/>
        <v>0</v>
      </c>
      <c r="FE43" s="1513">
        <f t="shared" ref="FE43:FK43" si="116">IF(FE31=0,0,IF(FE6=0,0,(FE38+FE31)/FE6))</f>
        <v>0</v>
      </c>
      <c r="FF43" s="1513">
        <f t="shared" si="116"/>
        <v>0</v>
      </c>
      <c r="FG43" s="1513">
        <f t="shared" si="116"/>
        <v>0</v>
      </c>
      <c r="FH43" s="1513">
        <f t="shared" si="116"/>
        <v>0</v>
      </c>
      <c r="FI43" s="1513">
        <f t="shared" si="116"/>
        <v>0</v>
      </c>
      <c r="FJ43" s="1513">
        <f t="shared" si="116"/>
        <v>0</v>
      </c>
      <c r="FK43" s="1513">
        <f t="shared" si="116"/>
        <v>0</v>
      </c>
      <c r="FL43" s="1513">
        <f>IF(FL31=0,0,IF(FL6=0,0,(FL38+FL31)/FL6))</f>
        <v>0</v>
      </c>
      <c r="FM43" s="1513">
        <f>IF(FM31=0,0,IF(FM6=0,0,(FM38+FM31)/FM6))</f>
        <v>0</v>
      </c>
    </row>
    <row r="44" spans="1:169" ht="18" customHeight="1">
      <c r="A44" s="1463">
        <f>ROWS($A$1:A44)</f>
        <v>44</v>
      </c>
      <c r="B44" s="1481" t="s">
        <v>1174</v>
      </c>
      <c r="C44" s="1480" t="s">
        <v>171</v>
      </c>
      <c r="D44" s="1513">
        <f>D38+D30</f>
        <v>585.67314920723743</v>
      </c>
      <c r="E44" s="1513">
        <f t="shared" ref="E44:AH44" si="117">E38+E30</f>
        <v>246.81058462105338</v>
      </c>
      <c r="F44" s="1513">
        <f t="shared" si="117"/>
        <v>110.84584193294526</v>
      </c>
      <c r="G44" s="1513">
        <f t="shared" si="117"/>
        <v>144.77717374961193</v>
      </c>
      <c r="H44" s="1513">
        <f t="shared" si="117"/>
        <v>232.86737248471374</v>
      </c>
      <c r="I44" s="1513">
        <f t="shared" si="117"/>
        <v>225.3221151930471</v>
      </c>
      <c r="J44" s="1513">
        <f t="shared" si="117"/>
        <v>-55.589057233721547</v>
      </c>
      <c r="K44" s="1513">
        <f t="shared" si="117"/>
        <v>-97.185772838495978</v>
      </c>
      <c r="L44" s="1513">
        <f t="shared" si="117"/>
        <v>285.06167491810811</v>
      </c>
      <c r="M44" s="1513">
        <f t="shared" si="117"/>
        <v>-36.344833907970411</v>
      </c>
      <c r="N44" s="1513">
        <f t="shared" si="117"/>
        <v>172.96944449149007</v>
      </c>
      <c r="O44" s="1513">
        <f t="shared" si="117"/>
        <v>99.683513080666756</v>
      </c>
      <c r="P44" s="1513">
        <f t="shared" si="117"/>
        <v>161.79573272352965</v>
      </c>
      <c r="Q44" s="1513">
        <f t="shared" si="117"/>
        <v>500.53756630281907</v>
      </c>
      <c r="R44" s="1513">
        <f t="shared" si="117"/>
        <v>-223.04794435631177</v>
      </c>
      <c r="S44" s="1513">
        <f t="shared" si="117"/>
        <v>375.21958319104124</v>
      </c>
      <c r="T44" s="1513">
        <f t="shared" si="117"/>
        <v>-77.010835115598326</v>
      </c>
      <c r="U44" s="1513">
        <f t="shared" si="117"/>
        <v>136.29941697157832</v>
      </c>
      <c r="V44" s="1513">
        <f t="shared" si="117"/>
        <v>100.66130507557827</v>
      </c>
      <c r="W44" s="1513">
        <f t="shared" si="117"/>
        <v>-446.33920367217615</v>
      </c>
      <c r="X44" s="1513">
        <f t="shared" si="117"/>
        <v>-50.978857995813911</v>
      </c>
      <c r="Y44" s="1513">
        <f t="shared" si="117"/>
        <v>-135.58550141646097</v>
      </c>
      <c r="Z44" s="1513">
        <f t="shared" si="117"/>
        <v>-403.81345448528418</v>
      </c>
      <c r="AA44" s="1513">
        <f t="shared" si="117"/>
        <v>-317.4232338576569</v>
      </c>
      <c r="AB44" s="1513">
        <f t="shared" si="117"/>
        <v>1174.8455275794095</v>
      </c>
      <c r="AC44" s="1513">
        <f t="shared" si="117"/>
        <v>770.24525582123192</v>
      </c>
      <c r="AD44" s="1513">
        <f t="shared" si="117"/>
        <v>-102.17055772122697</v>
      </c>
      <c r="AE44" s="1513">
        <f t="shared" si="117"/>
        <v>-467.9234951587182</v>
      </c>
      <c r="AF44" s="1513">
        <f t="shared" si="117"/>
        <v>-332</v>
      </c>
      <c r="AG44" s="1513">
        <f t="shared" si="117"/>
        <v>458.29808420397069</v>
      </c>
      <c r="AH44" s="1513">
        <f t="shared" si="117"/>
        <v>137.51757761883823</v>
      </c>
      <c r="AI44" s="1515"/>
      <c r="AJ44" s="1514">
        <f t="shared" ref="AJ44:BN44" si="118">AJ38+AJ30</f>
        <v>672.37407259884287</v>
      </c>
      <c r="AK44" s="1513">
        <f t="shared" si="118"/>
        <v>420.80174488401241</v>
      </c>
      <c r="AL44" s="1513">
        <f t="shared" si="118"/>
        <v>320.6528871959041</v>
      </c>
      <c r="AM44" s="1513">
        <f t="shared" si="118"/>
        <v>293.41144529112938</v>
      </c>
      <c r="AN44" s="1513">
        <f t="shared" si="118"/>
        <v>362.14843619426279</v>
      </c>
      <c r="AO44" s="1513">
        <f t="shared" si="118"/>
        <v>413.4346482573705</v>
      </c>
      <c r="AP44" s="1513">
        <f t="shared" si="118"/>
        <v>119.73329583060212</v>
      </c>
      <c r="AQ44" s="1513">
        <f t="shared" si="118"/>
        <v>17.892956819688436</v>
      </c>
      <c r="AR44" s="1513">
        <f t="shared" si="118"/>
        <v>329.74478741810833</v>
      </c>
      <c r="AS44" s="1513">
        <f t="shared" si="118"/>
        <v>80.70467804310789</v>
      </c>
      <c r="AT44" s="1513">
        <f t="shared" si="118"/>
        <v>353.30634852590219</v>
      </c>
      <c r="AU44" s="1513">
        <f t="shared" si="118"/>
        <v>201.1571074842355</v>
      </c>
      <c r="AV44" s="1513">
        <f t="shared" si="118"/>
        <v>510.4771037751475</v>
      </c>
      <c r="AW44" s="1513">
        <f t="shared" si="118"/>
        <v>783.28741728830926</v>
      </c>
      <c r="AX44" s="1513">
        <f t="shared" si="118"/>
        <v>-190.37642418842921</v>
      </c>
      <c r="AY44" s="1513">
        <f t="shared" si="118"/>
        <v>698.72430051548827</v>
      </c>
      <c r="AZ44" s="1513">
        <f t="shared" si="118"/>
        <v>60.094164715872409</v>
      </c>
      <c r="BA44" s="1513">
        <f t="shared" si="118"/>
        <v>278.79866044711747</v>
      </c>
      <c r="BB44" s="1513">
        <f t="shared" si="118"/>
        <v>397.64625437520579</v>
      </c>
      <c r="BC44" s="1513">
        <f t="shared" si="118"/>
        <v>-368.33455186330372</v>
      </c>
      <c r="BD44" s="1513">
        <f t="shared" si="118"/>
        <v>232.26099200418645</v>
      </c>
      <c r="BE44" s="1513">
        <f t="shared" si="118"/>
        <v>143.18707325418626</v>
      </c>
      <c r="BF44" s="1513">
        <f t="shared" si="118"/>
        <v>-101.20645843366668</v>
      </c>
      <c r="BG44" s="1513">
        <f t="shared" si="118"/>
        <v>101.25798114234323</v>
      </c>
      <c r="BH44" s="1513">
        <f t="shared" si="118"/>
        <v>2728.6015769425053</v>
      </c>
      <c r="BI44" s="1513">
        <f t="shared" si="118"/>
        <v>2343.7906471365986</v>
      </c>
      <c r="BJ44" s="1513">
        <f t="shared" si="118"/>
        <v>-131.44030895336863</v>
      </c>
      <c r="BK44" s="1513">
        <f t="shared" si="118"/>
        <v>234.16170797294791</v>
      </c>
      <c r="BL44" s="1513">
        <f t="shared" si="118"/>
        <v>-331.99999999999994</v>
      </c>
      <c r="BM44" s="1513">
        <f t="shared" si="118"/>
        <v>458.29808420397075</v>
      </c>
      <c r="BN44" s="1513">
        <f t="shared" si="118"/>
        <v>137.51757761883817</v>
      </c>
      <c r="BO44" s="1515"/>
      <c r="BP44" s="1514">
        <f t="shared" ref="BP44:CT44" si="119">BP38+BP30</f>
        <v>890.68601877201422</v>
      </c>
      <c r="BQ44" s="1513">
        <f t="shared" si="119"/>
        <v>615.42184264697107</v>
      </c>
      <c r="BR44" s="1513">
        <f t="shared" si="119"/>
        <v>534.898432458863</v>
      </c>
      <c r="BS44" s="1513">
        <f t="shared" si="119"/>
        <v>442.04571683264726</v>
      </c>
      <c r="BT44" s="1513">
        <f t="shared" si="119"/>
        <v>463.73538238401176</v>
      </c>
      <c r="BU44" s="1513">
        <f t="shared" si="119"/>
        <v>586.62941766677056</v>
      </c>
      <c r="BV44" s="1513">
        <f t="shared" si="119"/>
        <v>263.91219609356102</v>
      </c>
      <c r="BW44" s="1513">
        <f t="shared" si="119"/>
        <v>165.30546427923758</v>
      </c>
      <c r="BX44" s="1513">
        <f t="shared" si="119"/>
        <v>610.54446241810842</v>
      </c>
      <c r="BY44" s="1513">
        <f t="shared" si="119"/>
        <v>197.75418999418633</v>
      </c>
      <c r="BZ44" s="1513">
        <f t="shared" si="119"/>
        <v>533.64325256031395</v>
      </c>
      <c r="CA44" s="1513">
        <f t="shared" si="119"/>
        <v>327.64351110198078</v>
      </c>
      <c r="CB44" s="1513">
        <f t="shared" si="119"/>
        <v>626.70422745901988</v>
      </c>
      <c r="CC44" s="1513">
        <f t="shared" si="119"/>
        <v>1066.0372682737993</v>
      </c>
      <c r="CD44" s="1513">
        <f t="shared" si="119"/>
        <v>-157.70490402054673</v>
      </c>
      <c r="CE44" s="1513">
        <f t="shared" si="119"/>
        <v>1057.9393575583704</v>
      </c>
      <c r="CF44" s="1513">
        <f t="shared" si="119"/>
        <v>232.84803626151967</v>
      </c>
      <c r="CG44" s="1513">
        <f t="shared" si="119"/>
        <v>421.29790392265659</v>
      </c>
      <c r="CH44" s="1513">
        <f t="shared" si="119"/>
        <v>694.63120367483316</v>
      </c>
      <c r="CI44" s="1513">
        <f t="shared" si="119"/>
        <v>-290.32990005443168</v>
      </c>
      <c r="CJ44" s="1513">
        <f t="shared" si="119"/>
        <v>511.69107884548049</v>
      </c>
      <c r="CK44" s="1513">
        <f t="shared" si="119"/>
        <v>420.0547663454804</v>
      </c>
      <c r="CL44" s="1513">
        <f t="shared" si="119"/>
        <v>201.40053761795087</v>
      </c>
      <c r="CM44" s="1513">
        <f t="shared" si="119"/>
        <v>358.7262610948336</v>
      </c>
      <c r="CN44" s="1513">
        <f t="shared" si="119"/>
        <v>4290.2837215436948</v>
      </c>
      <c r="CO44" s="1513">
        <f t="shared" si="119"/>
        <v>3893.6095450236121</v>
      </c>
      <c r="CP44" s="1513">
        <f t="shared" si="119"/>
        <v>424.32425231448769</v>
      </c>
      <c r="CQ44" s="1513">
        <f t="shared" si="119"/>
        <v>919.08036633759139</v>
      </c>
      <c r="CR44" s="1513">
        <f>CR38+CR30</f>
        <v>-331.99999999999994</v>
      </c>
      <c r="CS44" s="1513">
        <f t="shared" si="119"/>
        <v>458.29808420397075</v>
      </c>
      <c r="CT44" s="1513">
        <f t="shared" si="119"/>
        <v>137.51757761883817</v>
      </c>
      <c r="CV44" s="1481" t="s">
        <v>1174</v>
      </c>
      <c r="CW44" s="1480" t="s">
        <v>171</v>
      </c>
      <c r="CX44" s="1513">
        <f>CX38+CX30</f>
        <v>9.1546739386676279</v>
      </c>
      <c r="CY44" s="1513">
        <f t="shared" ref="CY44:DS44" si="120">CY38+CY30</f>
        <v>423.84862287777059</v>
      </c>
      <c r="CZ44" s="1513">
        <f t="shared" si="120"/>
        <v>284.46092393866763</v>
      </c>
      <c r="DA44" s="1513">
        <f t="shared" si="120"/>
        <v>368.53549787777058</v>
      </c>
      <c r="DB44" s="1513">
        <f t="shared" si="120"/>
        <v>638.28686871522461</v>
      </c>
      <c r="DC44" s="1513">
        <f t="shared" si="120"/>
        <v>884.05624027463591</v>
      </c>
      <c r="DD44" s="1513">
        <f t="shared" si="120"/>
        <v>596.27349562927225</v>
      </c>
      <c r="DE44" s="1513">
        <f t="shared" si="120"/>
        <v>762.29203975427288</v>
      </c>
      <c r="DF44" s="1513">
        <f t="shared" si="120"/>
        <v>530.12641386275686</v>
      </c>
      <c r="DG44" s="1513">
        <f t="shared" si="120"/>
        <v>632.3769159968582</v>
      </c>
      <c r="DH44" s="1513">
        <f>DH38+DH30</f>
        <v>470.30108586275685</v>
      </c>
      <c r="DI44" s="1513">
        <f t="shared" si="120"/>
        <v>692.49631459401826</v>
      </c>
      <c r="DJ44" s="1513">
        <f t="shared" si="120"/>
        <v>833.47589270086723</v>
      </c>
      <c r="DK44" s="1513">
        <f t="shared" si="120"/>
        <v>827.51403952848989</v>
      </c>
      <c r="DL44" s="1513">
        <f t="shared" si="120"/>
        <v>647.51566211730699</v>
      </c>
      <c r="DM44" s="1513">
        <f t="shared" si="120"/>
        <v>1438.8909239225247</v>
      </c>
      <c r="DN44" s="1513">
        <f t="shared" si="120"/>
        <v>377.87822805952442</v>
      </c>
      <c r="DO44" s="1513">
        <f t="shared" si="120"/>
        <v>57.77712413758033</v>
      </c>
      <c r="DP44" s="1513">
        <f t="shared" si="120"/>
        <v>4679.4745176986034</v>
      </c>
      <c r="DQ44" s="1513" t="e">
        <f t="shared" si="120"/>
        <v>#REF!</v>
      </c>
      <c r="DR44" s="1513">
        <f t="shared" si="120"/>
        <v>-792.49109215979411</v>
      </c>
      <c r="DS44" s="1513">
        <f t="shared" si="120"/>
        <v>-659.36973827992051</v>
      </c>
      <c r="DT44" s="1456"/>
      <c r="DU44" s="1513">
        <f>DU38+DU30</f>
        <v>192.07467393866762</v>
      </c>
      <c r="DV44" s="1513">
        <f>DV38+DV30</f>
        <v>549.60612287777053</v>
      </c>
      <c r="DW44" s="1513">
        <f>DW38+DW30</f>
        <v>467.38092393866765</v>
      </c>
      <c r="DX44" s="1513">
        <f>DX38+DX30</f>
        <v>494.29299787777057</v>
      </c>
      <c r="DY44" s="1514">
        <f t="shared" ref="DY44:EG44" si="121">DY38+DY30</f>
        <v>736.99136894443041</v>
      </c>
      <c r="DZ44" s="1513">
        <f t="shared" si="121"/>
        <v>1263.3552993978515</v>
      </c>
      <c r="EA44" s="1513">
        <f t="shared" si="121"/>
        <v>970.76803816316101</v>
      </c>
      <c r="EB44" s="1513">
        <f t="shared" si="121"/>
        <v>1192.1260969964947</v>
      </c>
      <c r="EC44" s="1513">
        <f t="shared" si="121"/>
        <v>831.81568483653143</v>
      </c>
      <c r="ED44" s="1513">
        <f t="shared" si="121"/>
        <v>966.80468768200001</v>
      </c>
      <c r="EE44" s="1513">
        <f>EE38+EE30</f>
        <v>663.53284792270483</v>
      </c>
      <c r="EF44" s="1513">
        <f t="shared" si="121"/>
        <v>1056.5295051161561</v>
      </c>
      <c r="EG44" s="1513">
        <f t="shared" si="121"/>
        <v>1317.8531660935701</v>
      </c>
      <c r="EH44" s="1513">
        <f t="shared" ref="EH44:EN44" si="122">EH38+EH30</f>
        <v>1183.5238183935819</v>
      </c>
      <c r="EI44" s="1513">
        <f t="shared" si="122"/>
        <v>1005.1792806967994</v>
      </c>
      <c r="EJ44" s="1513">
        <f t="shared" si="122"/>
        <v>1794.2856730640915</v>
      </c>
      <c r="EK44" s="1513">
        <f t="shared" si="122"/>
        <v>845.64365183218115</v>
      </c>
      <c r="EL44" s="1513">
        <f t="shared" si="122"/>
        <v>678.29490453297149</v>
      </c>
      <c r="EM44" s="1513">
        <f t="shared" si="122"/>
        <v>6704.6363772101886</v>
      </c>
      <c r="EN44" s="1513" t="e">
        <f t="shared" si="122"/>
        <v>#REF!</v>
      </c>
      <c r="EO44" s="1513">
        <f>EO38+EO30</f>
        <v>-822.49109215979411</v>
      </c>
      <c r="EP44" s="1513">
        <f>EP38+EP30</f>
        <v>-659.36973827992051</v>
      </c>
      <c r="EQ44" s="1456"/>
      <c r="ER44" s="1513" t="e">
        <f>ER38+ER30</f>
        <v>#REF!</v>
      </c>
      <c r="ES44" s="1513" t="e">
        <f>ES38+ES30</f>
        <v>#REF!</v>
      </c>
      <c r="ET44" s="1513" t="e">
        <f>ET38+ET30</f>
        <v>#REF!</v>
      </c>
      <c r="EU44" s="1513" t="e">
        <f>EU38+EU30</f>
        <v>#REF!</v>
      </c>
      <c r="EV44" s="1514" t="e">
        <f t="shared" ref="EV44:FD44" si="123">EV38+EV30</f>
        <v>#REF!</v>
      </c>
      <c r="EW44" s="1513" t="e">
        <f t="shared" si="123"/>
        <v>#REF!</v>
      </c>
      <c r="EX44" s="1513" t="e">
        <f t="shared" si="123"/>
        <v>#REF!</v>
      </c>
      <c r="EY44" s="1513" t="e">
        <f t="shared" si="123"/>
        <v>#REF!</v>
      </c>
      <c r="EZ44" s="1513" t="e">
        <f t="shared" si="123"/>
        <v>#REF!</v>
      </c>
      <c r="FA44" s="1513" t="e">
        <f t="shared" si="123"/>
        <v>#REF!</v>
      </c>
      <c r="FB44" s="1513" t="e">
        <f>FB38+FB30</f>
        <v>#REF!</v>
      </c>
      <c r="FC44" s="1513" t="e">
        <f t="shared" si="123"/>
        <v>#REF!</v>
      </c>
      <c r="FD44" s="1513" t="e">
        <f t="shared" si="123"/>
        <v>#REF!</v>
      </c>
      <c r="FE44" s="1513" t="e">
        <f t="shared" ref="FE44:FK44" si="124">FE38+FE30</f>
        <v>#REF!</v>
      </c>
      <c r="FF44" s="1513" t="e">
        <f t="shared" si="124"/>
        <v>#REF!</v>
      </c>
      <c r="FG44" s="1513" t="e">
        <f t="shared" si="124"/>
        <v>#REF!</v>
      </c>
      <c r="FH44" s="1513" t="e">
        <f t="shared" si="124"/>
        <v>#REF!</v>
      </c>
      <c r="FI44" s="1513" t="e">
        <f t="shared" si="124"/>
        <v>#REF!</v>
      </c>
      <c r="FJ44" s="1513" t="e">
        <f t="shared" si="124"/>
        <v>#REF!</v>
      </c>
      <c r="FK44" s="1513" t="e">
        <f t="shared" si="124"/>
        <v>#REF!</v>
      </c>
      <c r="FL44" s="1513" t="e">
        <f>FL38+FL30</f>
        <v>#REF!</v>
      </c>
      <c r="FM44" s="1513" t="e">
        <f>FM38+FM30</f>
        <v>#REF!</v>
      </c>
    </row>
    <row r="45" spans="1:169" ht="16.149999999999999" customHeight="1">
      <c r="A45" s="1463">
        <f>ROWS($A$1:A45)</f>
        <v>45</v>
      </c>
      <c r="B45" s="1512" t="s">
        <v>1173</v>
      </c>
      <c r="C45" s="1480"/>
      <c r="D45" s="1468">
        <f>D44+D29</f>
        <v>615.67314920723743</v>
      </c>
      <c r="E45" s="1468">
        <f t="shared" ref="E45:AH45" si="125">E44+E29</f>
        <v>276.81058462105341</v>
      </c>
      <c r="F45" s="1468">
        <f t="shared" si="125"/>
        <v>140.84584193294526</v>
      </c>
      <c r="G45" s="1468">
        <f t="shared" si="125"/>
        <v>174.77717374961193</v>
      </c>
      <c r="H45" s="1468">
        <f t="shared" si="125"/>
        <v>262.86737248471377</v>
      </c>
      <c r="I45" s="1468">
        <f t="shared" si="125"/>
        <v>255.3221151930471</v>
      </c>
      <c r="J45" s="1468">
        <f t="shared" si="125"/>
        <v>-25.589057233721547</v>
      </c>
      <c r="K45" s="1468">
        <f t="shared" si="125"/>
        <v>-67.185772838495978</v>
      </c>
      <c r="L45" s="1468">
        <f t="shared" si="125"/>
        <v>315.06167491810811</v>
      </c>
      <c r="M45" s="1468">
        <f t="shared" si="125"/>
        <v>-6.3448339079704112</v>
      </c>
      <c r="N45" s="1468">
        <f t="shared" si="125"/>
        <v>202.96944449149007</v>
      </c>
      <c r="O45" s="1468">
        <f t="shared" si="125"/>
        <v>129.68351308066676</v>
      </c>
      <c r="P45" s="1468">
        <f t="shared" si="125"/>
        <v>191.79573272352965</v>
      </c>
      <c r="Q45" s="1468">
        <f t="shared" si="125"/>
        <v>530.53756630281907</v>
      </c>
      <c r="R45" s="1468">
        <f t="shared" si="125"/>
        <v>-193.04794435631177</v>
      </c>
      <c r="S45" s="1468">
        <f t="shared" si="125"/>
        <v>405.21958319104124</v>
      </c>
      <c r="T45" s="1468">
        <f t="shared" si="125"/>
        <v>-47.010835115598326</v>
      </c>
      <c r="U45" s="1468">
        <f t="shared" si="125"/>
        <v>166.29941697157832</v>
      </c>
      <c r="V45" s="1468">
        <f t="shared" si="125"/>
        <v>130.66130507557827</v>
      </c>
      <c r="W45" s="1468">
        <f t="shared" si="125"/>
        <v>-416.33920367217615</v>
      </c>
      <c r="X45" s="1468">
        <f t="shared" si="125"/>
        <v>-20.978857995813911</v>
      </c>
      <c r="Y45" s="1468">
        <f t="shared" si="125"/>
        <v>-105.58550141646097</v>
      </c>
      <c r="Z45" s="1468">
        <f t="shared" si="125"/>
        <v>-373.81345448528418</v>
      </c>
      <c r="AA45" s="1468">
        <f t="shared" si="125"/>
        <v>-287.4232338576569</v>
      </c>
      <c r="AB45" s="1468">
        <f t="shared" si="125"/>
        <v>1204.8455275794095</v>
      </c>
      <c r="AC45" s="1468">
        <f t="shared" si="125"/>
        <v>800.24525582123192</v>
      </c>
      <c r="AD45" s="1468">
        <f t="shared" si="125"/>
        <v>-72.17055772122697</v>
      </c>
      <c r="AE45" s="1468">
        <f t="shared" si="125"/>
        <v>-437.9234951587182</v>
      </c>
      <c r="AF45" s="1468">
        <f t="shared" si="125"/>
        <v>-302</v>
      </c>
      <c r="AG45" s="1468">
        <f t="shared" si="125"/>
        <v>488.29808420397069</v>
      </c>
      <c r="AH45" s="1468">
        <f t="shared" si="125"/>
        <v>137.51757761883823</v>
      </c>
      <c r="AI45" s="1465"/>
      <c r="AJ45" s="1466">
        <f t="shared" ref="AJ45:BN45" si="126">AJ44+AJ29</f>
        <v>702.37407259884287</v>
      </c>
      <c r="AK45" s="1468">
        <f t="shared" si="126"/>
        <v>450.80174488401241</v>
      </c>
      <c r="AL45" s="1468">
        <f t="shared" si="126"/>
        <v>350.6528871959041</v>
      </c>
      <c r="AM45" s="1468">
        <f t="shared" si="126"/>
        <v>323.41144529112938</v>
      </c>
      <c r="AN45" s="1468">
        <f t="shared" si="126"/>
        <v>392.14843619426279</v>
      </c>
      <c r="AO45" s="1468">
        <f t="shared" si="126"/>
        <v>443.4346482573705</v>
      </c>
      <c r="AP45" s="1468">
        <f t="shared" si="126"/>
        <v>149.73329583060212</v>
      </c>
      <c r="AQ45" s="1468">
        <f t="shared" si="126"/>
        <v>47.892956819688436</v>
      </c>
      <c r="AR45" s="1468">
        <f t="shared" si="126"/>
        <v>359.74478741810833</v>
      </c>
      <c r="AS45" s="1468">
        <f t="shared" si="126"/>
        <v>110.70467804310789</v>
      </c>
      <c r="AT45" s="1468">
        <f t="shared" si="126"/>
        <v>383.30634852590219</v>
      </c>
      <c r="AU45" s="1468">
        <f t="shared" si="126"/>
        <v>231.1571074842355</v>
      </c>
      <c r="AV45" s="1468">
        <f t="shared" si="126"/>
        <v>540.4771037751475</v>
      </c>
      <c r="AW45" s="1468">
        <f t="shared" si="126"/>
        <v>813.28741728830926</v>
      </c>
      <c r="AX45" s="1468">
        <f t="shared" si="126"/>
        <v>-160.37642418842921</v>
      </c>
      <c r="AY45" s="1468">
        <f t="shared" si="126"/>
        <v>728.72430051548827</v>
      </c>
      <c r="AZ45" s="1468">
        <f t="shared" si="126"/>
        <v>90.094164715872409</v>
      </c>
      <c r="BA45" s="1468">
        <f t="shared" si="126"/>
        <v>308.79866044711747</v>
      </c>
      <c r="BB45" s="1468">
        <f t="shared" si="126"/>
        <v>427.64625437520579</v>
      </c>
      <c r="BC45" s="1468">
        <f t="shared" si="126"/>
        <v>-338.33455186330372</v>
      </c>
      <c r="BD45" s="1468">
        <f t="shared" si="126"/>
        <v>262.26099200418645</v>
      </c>
      <c r="BE45" s="1468">
        <f t="shared" si="126"/>
        <v>173.18707325418626</v>
      </c>
      <c r="BF45" s="1468">
        <f t="shared" si="126"/>
        <v>-71.206458433666683</v>
      </c>
      <c r="BG45" s="1468">
        <f t="shared" si="126"/>
        <v>131.25798114234323</v>
      </c>
      <c r="BH45" s="1468">
        <f t="shared" si="126"/>
        <v>2758.6015769425053</v>
      </c>
      <c r="BI45" s="1468">
        <f t="shared" si="126"/>
        <v>2373.7906471365986</v>
      </c>
      <c r="BJ45" s="1468">
        <f t="shared" si="126"/>
        <v>-101.44030895336863</v>
      </c>
      <c r="BK45" s="1468">
        <f t="shared" si="126"/>
        <v>264.16170797294791</v>
      </c>
      <c r="BL45" s="1468">
        <f t="shared" si="126"/>
        <v>-301.99999999999994</v>
      </c>
      <c r="BM45" s="1468">
        <f t="shared" si="126"/>
        <v>488.29808420397075</v>
      </c>
      <c r="BN45" s="1468">
        <f t="shared" si="126"/>
        <v>137.51757761883817</v>
      </c>
      <c r="BO45" s="1465"/>
      <c r="BP45" s="1466">
        <f t="shared" ref="BP45:CT45" si="127">BP44+BP29</f>
        <v>920.68601877201422</v>
      </c>
      <c r="BQ45" s="1468">
        <f t="shared" si="127"/>
        <v>645.42184264697107</v>
      </c>
      <c r="BR45" s="1468">
        <f t="shared" si="127"/>
        <v>564.898432458863</v>
      </c>
      <c r="BS45" s="1468">
        <f t="shared" si="127"/>
        <v>472.04571683264726</v>
      </c>
      <c r="BT45" s="1468">
        <f t="shared" si="127"/>
        <v>493.73538238401176</v>
      </c>
      <c r="BU45" s="1468">
        <f t="shared" si="127"/>
        <v>616.62941766677056</v>
      </c>
      <c r="BV45" s="1468">
        <f t="shared" si="127"/>
        <v>293.91219609356102</v>
      </c>
      <c r="BW45" s="1468">
        <f t="shared" si="127"/>
        <v>195.30546427923758</v>
      </c>
      <c r="BX45" s="1468">
        <f t="shared" si="127"/>
        <v>640.54446241810842</v>
      </c>
      <c r="BY45" s="1468">
        <f t="shared" si="127"/>
        <v>227.75418999418633</v>
      </c>
      <c r="BZ45" s="1468">
        <f t="shared" si="127"/>
        <v>563.64325256031395</v>
      </c>
      <c r="CA45" s="1468">
        <f t="shared" si="127"/>
        <v>357.64351110198078</v>
      </c>
      <c r="CB45" s="1468">
        <f t="shared" si="127"/>
        <v>656.70422745901988</v>
      </c>
      <c r="CC45" s="1468">
        <f t="shared" si="127"/>
        <v>1096.0372682737993</v>
      </c>
      <c r="CD45" s="1468">
        <f t="shared" si="127"/>
        <v>-127.70490402054673</v>
      </c>
      <c r="CE45" s="1468">
        <f t="shared" si="127"/>
        <v>1087.9393575583704</v>
      </c>
      <c r="CF45" s="1468">
        <f t="shared" si="127"/>
        <v>262.84803626151967</v>
      </c>
      <c r="CG45" s="1468">
        <f t="shared" si="127"/>
        <v>451.29790392265659</v>
      </c>
      <c r="CH45" s="1468">
        <f t="shared" si="127"/>
        <v>724.63120367483316</v>
      </c>
      <c r="CI45" s="1468">
        <f t="shared" si="127"/>
        <v>-260.32990005443168</v>
      </c>
      <c r="CJ45" s="1468">
        <f t="shared" si="127"/>
        <v>541.69107884548043</v>
      </c>
      <c r="CK45" s="1468">
        <f t="shared" si="127"/>
        <v>450.0547663454804</v>
      </c>
      <c r="CL45" s="1468">
        <f t="shared" si="127"/>
        <v>231.40053761795087</v>
      </c>
      <c r="CM45" s="1468">
        <f t="shared" si="127"/>
        <v>388.7262610948336</v>
      </c>
      <c r="CN45" s="1468">
        <f t="shared" si="127"/>
        <v>4320.2837215436948</v>
      </c>
      <c r="CO45" s="1468">
        <f t="shared" si="127"/>
        <v>3923.6095450236121</v>
      </c>
      <c r="CP45" s="1468">
        <f t="shared" si="127"/>
        <v>454.32425231448769</v>
      </c>
      <c r="CQ45" s="1468">
        <f t="shared" si="127"/>
        <v>949.08036633759139</v>
      </c>
      <c r="CR45" s="1468">
        <f>CR44+CR29</f>
        <v>-301.99999999999994</v>
      </c>
      <c r="CS45" s="1468">
        <f t="shared" si="127"/>
        <v>488.29808420397075</v>
      </c>
      <c r="CT45" s="1468">
        <f t="shared" si="127"/>
        <v>137.51757761883817</v>
      </c>
      <c r="CV45" s="1512" t="s">
        <v>1173</v>
      </c>
      <c r="CW45" s="1480"/>
      <c r="CX45" s="1468">
        <f>CX44+CX29</f>
        <v>39.154673938667628</v>
      </c>
      <c r="CY45" s="1468">
        <f>CY44+CY29</f>
        <v>453.84862287777059</v>
      </c>
      <c r="CZ45" s="1468">
        <f t="shared" ref="CZ45:DS45" si="128">CZ44+CZ29</f>
        <v>314.46092393866763</v>
      </c>
      <c r="DA45" s="1468">
        <f t="shared" si="128"/>
        <v>398.53549787777058</v>
      </c>
      <c r="DB45" s="1468">
        <f t="shared" si="128"/>
        <v>668.28686871522461</v>
      </c>
      <c r="DC45" s="1468">
        <f t="shared" si="128"/>
        <v>914.05624027463591</v>
      </c>
      <c r="DD45" s="1468">
        <f t="shared" si="128"/>
        <v>626.27349562927225</v>
      </c>
      <c r="DE45" s="1468">
        <f t="shared" si="128"/>
        <v>792.29203975427288</v>
      </c>
      <c r="DF45" s="1468">
        <f t="shared" si="128"/>
        <v>560.12641386275686</v>
      </c>
      <c r="DG45" s="1468">
        <f t="shared" si="128"/>
        <v>662.3769159968582</v>
      </c>
      <c r="DH45" s="1468">
        <f>DH44+DH29</f>
        <v>500.30108586275685</v>
      </c>
      <c r="DI45" s="1468">
        <f t="shared" si="128"/>
        <v>722.49631459401826</v>
      </c>
      <c r="DJ45" s="1468">
        <f t="shared" si="128"/>
        <v>863.47589270086723</v>
      </c>
      <c r="DK45" s="1468">
        <f t="shared" si="128"/>
        <v>857.51403952848989</v>
      </c>
      <c r="DL45" s="1468">
        <f t="shared" si="128"/>
        <v>677.51566211730699</v>
      </c>
      <c r="DM45" s="1468">
        <f t="shared" si="128"/>
        <v>1468.8909239225247</v>
      </c>
      <c r="DN45" s="1468">
        <f t="shared" si="128"/>
        <v>407.87822805952442</v>
      </c>
      <c r="DO45" s="1468">
        <f t="shared" si="128"/>
        <v>87.77712413758033</v>
      </c>
      <c r="DP45" s="1468">
        <f t="shared" si="128"/>
        <v>4709.4745176986034</v>
      </c>
      <c r="DQ45" s="1468" t="e">
        <f t="shared" si="128"/>
        <v>#REF!</v>
      </c>
      <c r="DR45" s="1468">
        <f t="shared" si="128"/>
        <v>-792.49109215979411</v>
      </c>
      <c r="DS45" s="1468">
        <f t="shared" si="128"/>
        <v>-629.36973827992051</v>
      </c>
      <c r="DT45" s="1456"/>
      <c r="DU45" s="1468">
        <f>DU44+DU29</f>
        <v>222.07467393866762</v>
      </c>
      <c r="DV45" s="1468">
        <f>DV44+DV29</f>
        <v>579.60612287777053</v>
      </c>
      <c r="DW45" s="1468">
        <f>DW44+DW29</f>
        <v>497.38092393866765</v>
      </c>
      <c r="DX45" s="1468">
        <f>DX44+DX29</f>
        <v>524.29299787777063</v>
      </c>
      <c r="DY45" s="1466">
        <f t="shared" ref="DY45:EG45" si="129">DY44+DY29</f>
        <v>766.99136894443041</v>
      </c>
      <c r="DZ45" s="1468">
        <f t="shared" si="129"/>
        <v>1293.3552993978515</v>
      </c>
      <c r="EA45" s="1468">
        <f t="shared" si="129"/>
        <v>1000.768038163161</v>
      </c>
      <c r="EB45" s="1468">
        <f t="shared" si="129"/>
        <v>1222.1260969964947</v>
      </c>
      <c r="EC45" s="1468">
        <f t="shared" si="129"/>
        <v>861.81568483653143</v>
      </c>
      <c r="ED45" s="1468">
        <f t="shared" si="129"/>
        <v>996.80468768200001</v>
      </c>
      <c r="EE45" s="1468">
        <f>EE44+EE29</f>
        <v>693.53284792270483</v>
      </c>
      <c r="EF45" s="1468">
        <f t="shared" si="129"/>
        <v>1086.5295051161561</v>
      </c>
      <c r="EG45" s="1468">
        <f t="shared" si="129"/>
        <v>1347.8531660935701</v>
      </c>
      <c r="EH45" s="1468">
        <f t="shared" ref="EH45:EN45" si="130">EH44+EH29</f>
        <v>1213.5238183935819</v>
      </c>
      <c r="EI45" s="1468">
        <f t="shared" si="130"/>
        <v>1035.1792806967994</v>
      </c>
      <c r="EJ45" s="1468">
        <f t="shared" si="130"/>
        <v>1824.2856730640915</v>
      </c>
      <c r="EK45" s="1468">
        <f t="shared" si="130"/>
        <v>875.64365183218115</v>
      </c>
      <c r="EL45" s="1468">
        <f t="shared" si="130"/>
        <v>708.29490453297149</v>
      </c>
      <c r="EM45" s="1468">
        <f t="shared" si="130"/>
        <v>6734.6363772101886</v>
      </c>
      <c r="EN45" s="1468" t="e">
        <f t="shared" si="130"/>
        <v>#REF!</v>
      </c>
      <c r="EO45" s="1468">
        <f>EO44+EO29</f>
        <v>-792.49109215979411</v>
      </c>
      <c r="EP45" s="1468">
        <f>EP44+EP29</f>
        <v>-629.36973827992051</v>
      </c>
      <c r="EQ45" s="1456"/>
      <c r="ER45" s="1468" t="e">
        <f>ER44+ER29</f>
        <v>#REF!</v>
      </c>
      <c r="ES45" s="1468" t="e">
        <f>ES44+ES29</f>
        <v>#REF!</v>
      </c>
      <c r="ET45" s="1468" t="e">
        <f>ET44+ET29</f>
        <v>#REF!</v>
      </c>
      <c r="EU45" s="1468" t="e">
        <f>EU44+EU29</f>
        <v>#REF!</v>
      </c>
      <c r="EV45" s="1466" t="e">
        <f t="shared" ref="EV45:FD45" si="131">EV44+EV29</f>
        <v>#REF!</v>
      </c>
      <c r="EW45" s="1468" t="e">
        <f t="shared" si="131"/>
        <v>#REF!</v>
      </c>
      <c r="EX45" s="1468" t="e">
        <f t="shared" si="131"/>
        <v>#REF!</v>
      </c>
      <c r="EY45" s="1468" t="e">
        <f t="shared" si="131"/>
        <v>#REF!</v>
      </c>
      <c r="EZ45" s="1468" t="e">
        <f t="shared" si="131"/>
        <v>#REF!</v>
      </c>
      <c r="FA45" s="1468" t="e">
        <f t="shared" si="131"/>
        <v>#REF!</v>
      </c>
      <c r="FB45" s="1468" t="e">
        <f>FB44+FB29</f>
        <v>#REF!</v>
      </c>
      <c r="FC45" s="1468" t="e">
        <f t="shared" si="131"/>
        <v>#REF!</v>
      </c>
      <c r="FD45" s="1468" t="e">
        <f t="shared" si="131"/>
        <v>#REF!</v>
      </c>
      <c r="FE45" s="1468" t="e">
        <f t="shared" ref="FE45:FK45" si="132">FE44+FE29</f>
        <v>#REF!</v>
      </c>
      <c r="FF45" s="1468" t="e">
        <f t="shared" si="132"/>
        <v>#REF!</v>
      </c>
      <c r="FG45" s="1468" t="e">
        <f t="shared" si="132"/>
        <v>#REF!</v>
      </c>
      <c r="FH45" s="1468" t="e">
        <f t="shared" si="132"/>
        <v>#REF!</v>
      </c>
      <c r="FI45" s="1468" t="e">
        <f t="shared" si="132"/>
        <v>#REF!</v>
      </c>
      <c r="FJ45" s="1468" t="e">
        <f t="shared" si="132"/>
        <v>#REF!</v>
      </c>
      <c r="FK45" s="1468" t="e">
        <f t="shared" si="132"/>
        <v>#REF!</v>
      </c>
      <c r="FL45" s="1468" t="e">
        <f>FL44+FL29</f>
        <v>#REF!</v>
      </c>
      <c r="FM45" s="1468" t="e">
        <f>FM44+FM29</f>
        <v>#REF!</v>
      </c>
    </row>
    <row r="46" spans="1:169" ht="16.149999999999999" customHeight="1">
      <c r="A46" s="1463">
        <f>ROWS($A$1:A46)</f>
        <v>46</v>
      </c>
      <c r="B46" s="1512" t="s">
        <v>1172</v>
      </c>
      <c r="C46" s="1480"/>
      <c r="D46" s="1509">
        <f>D45+D28</f>
        <v>802.67314920723743</v>
      </c>
      <c r="E46" s="1509">
        <f t="shared" ref="E46:AH46" si="133">E45+E28</f>
        <v>463.81058462105341</v>
      </c>
      <c r="F46" s="1509">
        <f t="shared" si="133"/>
        <v>327.84584193294529</v>
      </c>
      <c r="G46" s="1509">
        <f t="shared" si="133"/>
        <v>361.77717374961196</v>
      </c>
      <c r="H46" s="1509">
        <f t="shared" si="133"/>
        <v>449.86737248471377</v>
      </c>
      <c r="I46" s="1509">
        <f t="shared" si="133"/>
        <v>442.32211519304713</v>
      </c>
      <c r="J46" s="1509">
        <f t="shared" si="133"/>
        <v>161.41094276627845</v>
      </c>
      <c r="K46" s="1509">
        <f t="shared" si="133"/>
        <v>119.81422716150402</v>
      </c>
      <c r="L46" s="1509">
        <f t="shared" si="133"/>
        <v>502.06167491810811</v>
      </c>
      <c r="M46" s="1509">
        <f t="shared" si="133"/>
        <v>180.65516609202959</v>
      </c>
      <c r="N46" s="1509">
        <f t="shared" si="133"/>
        <v>389.96944449149009</v>
      </c>
      <c r="O46" s="1509">
        <f t="shared" si="133"/>
        <v>316.68351308066678</v>
      </c>
      <c r="P46" s="1509">
        <f t="shared" si="133"/>
        <v>378.79573272352968</v>
      </c>
      <c r="Q46" s="1509">
        <f t="shared" si="133"/>
        <v>717.53756630281907</v>
      </c>
      <c r="R46" s="1509">
        <f t="shared" si="133"/>
        <v>-6.0479443563117741</v>
      </c>
      <c r="S46" s="1509">
        <f t="shared" si="133"/>
        <v>592.21958319104124</v>
      </c>
      <c r="T46" s="1509">
        <f t="shared" si="133"/>
        <v>139.98916488440167</v>
      </c>
      <c r="U46" s="1509">
        <f t="shared" si="133"/>
        <v>353.29941697157835</v>
      </c>
      <c r="V46" s="1509">
        <f t="shared" si="133"/>
        <v>317.6613050755783</v>
      </c>
      <c r="W46" s="1509">
        <f t="shared" si="133"/>
        <v>-229.33920367217615</v>
      </c>
      <c r="X46" s="1509">
        <f t="shared" si="133"/>
        <v>166.02114200418609</v>
      </c>
      <c r="Y46" s="1509">
        <f t="shared" si="133"/>
        <v>81.414498583539029</v>
      </c>
      <c r="Z46" s="1509">
        <f t="shared" si="133"/>
        <v>-186.81345448528418</v>
      </c>
      <c r="AA46" s="1509">
        <f t="shared" si="133"/>
        <v>-100.4232338576569</v>
      </c>
      <c r="AB46" s="1509">
        <f t="shared" si="133"/>
        <v>1391.8455275794095</v>
      </c>
      <c r="AC46" s="1509">
        <f t="shared" si="133"/>
        <v>987.24525582123192</v>
      </c>
      <c r="AD46" s="1509">
        <f t="shared" si="133"/>
        <v>114.82944227877303</v>
      </c>
      <c r="AE46" s="1509">
        <f t="shared" si="133"/>
        <v>-250.9234951587182</v>
      </c>
      <c r="AF46" s="1509">
        <f t="shared" si="133"/>
        <v>-115</v>
      </c>
      <c r="AG46" s="1509">
        <f t="shared" si="133"/>
        <v>675.29808420397069</v>
      </c>
      <c r="AH46" s="1509">
        <f t="shared" si="133"/>
        <v>137.51757761883823</v>
      </c>
      <c r="AI46" s="1511"/>
      <c r="AJ46" s="1510">
        <f t="shared" ref="AJ46:BN46" si="134">AJ45+AJ28</f>
        <v>889.37407259884287</v>
      </c>
      <c r="AK46" s="1509">
        <f t="shared" si="134"/>
        <v>637.80174488401235</v>
      </c>
      <c r="AL46" s="1509">
        <f t="shared" si="134"/>
        <v>537.6528871959041</v>
      </c>
      <c r="AM46" s="1509">
        <f t="shared" si="134"/>
        <v>510.41144529112938</v>
      </c>
      <c r="AN46" s="1509">
        <f t="shared" si="134"/>
        <v>579.14843619426279</v>
      </c>
      <c r="AO46" s="1509">
        <f t="shared" si="134"/>
        <v>630.43464825737055</v>
      </c>
      <c r="AP46" s="1509">
        <f t="shared" si="134"/>
        <v>336.73329583060212</v>
      </c>
      <c r="AQ46" s="1509">
        <f t="shared" si="134"/>
        <v>234.89295681968844</v>
      </c>
      <c r="AR46" s="1509">
        <f t="shared" si="134"/>
        <v>546.74478741810833</v>
      </c>
      <c r="AS46" s="1509">
        <f t="shared" si="134"/>
        <v>297.70467804310789</v>
      </c>
      <c r="AT46" s="1509">
        <f t="shared" si="134"/>
        <v>570.30634852590219</v>
      </c>
      <c r="AU46" s="1509">
        <f t="shared" si="134"/>
        <v>418.1571074842355</v>
      </c>
      <c r="AV46" s="1509">
        <f t="shared" si="134"/>
        <v>727.4771037751475</v>
      </c>
      <c r="AW46" s="1509">
        <f t="shared" si="134"/>
        <v>1000.2874172883093</v>
      </c>
      <c r="AX46" s="1509">
        <f t="shared" si="134"/>
        <v>26.623575811570788</v>
      </c>
      <c r="AY46" s="1509">
        <f t="shared" si="134"/>
        <v>915.72430051548827</v>
      </c>
      <c r="AZ46" s="1509">
        <f t="shared" si="134"/>
        <v>277.09416471587241</v>
      </c>
      <c r="BA46" s="1509">
        <f t="shared" si="134"/>
        <v>495.79866044711747</v>
      </c>
      <c r="BB46" s="1509">
        <f t="shared" si="134"/>
        <v>614.64625437520579</v>
      </c>
      <c r="BC46" s="1509">
        <f t="shared" si="134"/>
        <v>-151.33455186330372</v>
      </c>
      <c r="BD46" s="1509">
        <f t="shared" si="134"/>
        <v>449.26099200418645</v>
      </c>
      <c r="BE46" s="1509">
        <f t="shared" si="134"/>
        <v>360.18707325418626</v>
      </c>
      <c r="BF46" s="1509">
        <f t="shared" si="134"/>
        <v>115.79354156633332</v>
      </c>
      <c r="BG46" s="1509">
        <f t="shared" si="134"/>
        <v>318.25798114234323</v>
      </c>
      <c r="BH46" s="1509">
        <f t="shared" si="134"/>
        <v>2945.6015769425053</v>
      </c>
      <c r="BI46" s="1509">
        <f t="shared" si="134"/>
        <v>2560.7906471365986</v>
      </c>
      <c r="BJ46" s="1509">
        <f t="shared" si="134"/>
        <v>85.559691046631372</v>
      </c>
      <c r="BK46" s="1509">
        <f t="shared" si="134"/>
        <v>451.16170797294791</v>
      </c>
      <c r="BL46" s="1509">
        <f t="shared" si="134"/>
        <v>-114.99999999999994</v>
      </c>
      <c r="BM46" s="1509">
        <f t="shared" si="134"/>
        <v>675.2980842039708</v>
      </c>
      <c r="BN46" s="1509">
        <f t="shared" si="134"/>
        <v>137.51757761883817</v>
      </c>
      <c r="BO46" s="1511"/>
      <c r="BP46" s="1510">
        <f t="shared" ref="BP46:CT46" si="135">BP45+BP28</f>
        <v>1107.6860187720142</v>
      </c>
      <c r="BQ46" s="1509">
        <f t="shared" si="135"/>
        <v>832.42184264697107</v>
      </c>
      <c r="BR46" s="1509">
        <f t="shared" si="135"/>
        <v>751.898432458863</v>
      </c>
      <c r="BS46" s="1509">
        <f t="shared" si="135"/>
        <v>659.04571683264726</v>
      </c>
      <c r="BT46" s="1509">
        <f t="shared" si="135"/>
        <v>680.7353823840117</v>
      </c>
      <c r="BU46" s="1509">
        <f t="shared" si="135"/>
        <v>803.62941766677056</v>
      </c>
      <c r="BV46" s="1509">
        <f t="shared" si="135"/>
        <v>480.91219609356102</v>
      </c>
      <c r="BW46" s="1509">
        <f t="shared" si="135"/>
        <v>382.30546427923758</v>
      </c>
      <c r="BX46" s="1509">
        <f t="shared" si="135"/>
        <v>827.54446241810842</v>
      </c>
      <c r="BY46" s="1509">
        <f t="shared" si="135"/>
        <v>414.75418999418633</v>
      </c>
      <c r="BZ46" s="1509">
        <f t="shared" si="135"/>
        <v>750.64325256031395</v>
      </c>
      <c r="CA46" s="1509">
        <f t="shared" si="135"/>
        <v>544.64351110198072</v>
      </c>
      <c r="CB46" s="1509">
        <f t="shared" si="135"/>
        <v>843.70422745901988</v>
      </c>
      <c r="CC46" s="1509">
        <f t="shared" si="135"/>
        <v>1283.0372682737993</v>
      </c>
      <c r="CD46" s="1509">
        <f t="shared" si="135"/>
        <v>59.295095979453265</v>
      </c>
      <c r="CE46" s="1509">
        <f t="shared" si="135"/>
        <v>1274.9393575583704</v>
      </c>
      <c r="CF46" s="1509">
        <f t="shared" si="135"/>
        <v>449.84803626151967</v>
      </c>
      <c r="CG46" s="1509">
        <f t="shared" si="135"/>
        <v>638.29790392265659</v>
      </c>
      <c r="CH46" s="1509">
        <f t="shared" si="135"/>
        <v>911.63120367483316</v>
      </c>
      <c r="CI46" s="1509">
        <f t="shared" si="135"/>
        <v>-73.329900054431675</v>
      </c>
      <c r="CJ46" s="1509">
        <f t="shared" si="135"/>
        <v>728.69107884548043</v>
      </c>
      <c r="CK46" s="1509">
        <f t="shared" si="135"/>
        <v>637.0547663454804</v>
      </c>
      <c r="CL46" s="1509">
        <f t="shared" si="135"/>
        <v>418.40053761795087</v>
      </c>
      <c r="CM46" s="1509">
        <f t="shared" si="135"/>
        <v>575.7262610948336</v>
      </c>
      <c r="CN46" s="1509">
        <f t="shared" si="135"/>
        <v>4507.2837215436948</v>
      </c>
      <c r="CO46" s="1509">
        <f t="shared" si="135"/>
        <v>4110.6095450236116</v>
      </c>
      <c r="CP46" s="1509">
        <f t="shared" si="135"/>
        <v>641.32425231448769</v>
      </c>
      <c r="CQ46" s="1509">
        <f t="shared" si="135"/>
        <v>1136.0803663375914</v>
      </c>
      <c r="CR46" s="1509">
        <f>CR45+CR28</f>
        <v>-114.99999999999994</v>
      </c>
      <c r="CS46" s="1509">
        <f t="shared" si="135"/>
        <v>675.2980842039708</v>
      </c>
      <c r="CT46" s="1509">
        <f t="shared" si="135"/>
        <v>137.51757761883817</v>
      </c>
      <c r="CV46" s="1512" t="s">
        <v>1172</v>
      </c>
      <c r="CW46" s="1480"/>
      <c r="CX46" s="1509">
        <f>CX45+CX28</f>
        <v>228.15467393866763</v>
      </c>
      <c r="CY46" s="1509">
        <f t="shared" ref="CY46:DS46" si="136">CY45+CY28</f>
        <v>642.84862287777059</v>
      </c>
      <c r="CZ46" s="1509">
        <f t="shared" si="136"/>
        <v>503.46092393866763</v>
      </c>
      <c r="DA46" s="1509">
        <f t="shared" si="136"/>
        <v>587.53549787777058</v>
      </c>
      <c r="DB46" s="1509">
        <f t="shared" si="136"/>
        <v>668.28686871522461</v>
      </c>
      <c r="DC46" s="1509">
        <f t="shared" si="136"/>
        <v>1103.0562402746359</v>
      </c>
      <c r="DD46" s="1509">
        <f t="shared" si="136"/>
        <v>815.27349562927225</v>
      </c>
      <c r="DE46" s="1509">
        <f t="shared" si="136"/>
        <v>981.29203975427288</v>
      </c>
      <c r="DF46" s="1509">
        <f t="shared" si="136"/>
        <v>749.12641386275686</v>
      </c>
      <c r="DG46" s="1509">
        <f t="shared" si="136"/>
        <v>851.3769159968582</v>
      </c>
      <c r="DH46" s="1509">
        <f>DH45+DH28</f>
        <v>689.30108586275685</v>
      </c>
      <c r="DI46" s="1509">
        <f t="shared" si="136"/>
        <v>911.49631459401826</v>
      </c>
      <c r="DJ46" s="1509">
        <f t="shared" si="136"/>
        <v>1052.4758927008672</v>
      </c>
      <c r="DK46" s="1509">
        <f t="shared" si="136"/>
        <v>1046.5140395284898</v>
      </c>
      <c r="DL46" s="1509">
        <f t="shared" si="136"/>
        <v>866.51566211730699</v>
      </c>
      <c r="DM46" s="1509">
        <f t="shared" si="136"/>
        <v>1657.8909239225247</v>
      </c>
      <c r="DN46" s="1509">
        <f t="shared" si="136"/>
        <v>596.87822805952442</v>
      </c>
      <c r="DO46" s="1509">
        <f t="shared" si="136"/>
        <v>276.77712413758036</v>
      </c>
      <c r="DP46" s="1509">
        <f t="shared" si="136"/>
        <v>4898.4745176986034</v>
      </c>
      <c r="DQ46" s="1509" t="e">
        <f t="shared" si="136"/>
        <v>#REF!</v>
      </c>
      <c r="DR46" s="1509">
        <f t="shared" si="136"/>
        <v>-603.49109215979411</v>
      </c>
      <c r="DS46" s="1509">
        <f t="shared" si="136"/>
        <v>-440.36973827992051</v>
      </c>
      <c r="DT46" s="1456"/>
      <c r="DU46" s="1509">
        <f>DU45+DU28</f>
        <v>411.07467393866762</v>
      </c>
      <c r="DV46" s="1509">
        <f>DV45+DV28</f>
        <v>768.60612287777053</v>
      </c>
      <c r="DW46" s="1509">
        <f>DW45+DW28</f>
        <v>686.38092393866759</v>
      </c>
      <c r="DX46" s="1509">
        <f>DX45+DX28</f>
        <v>713.29299787777063</v>
      </c>
      <c r="DY46" s="1510">
        <f t="shared" ref="DY46:EG46" si="137">DY45+DY28</f>
        <v>955.99136894443041</v>
      </c>
      <c r="DZ46" s="1509">
        <f t="shared" si="137"/>
        <v>1482.3552993978515</v>
      </c>
      <c r="EA46" s="1509">
        <f t="shared" si="137"/>
        <v>1189.768038163161</v>
      </c>
      <c r="EB46" s="1509">
        <f t="shared" si="137"/>
        <v>1411.1260969964947</v>
      </c>
      <c r="EC46" s="1509">
        <f t="shared" si="137"/>
        <v>1050.8156848365315</v>
      </c>
      <c r="ED46" s="1509">
        <f t="shared" si="137"/>
        <v>1185.8046876819999</v>
      </c>
      <c r="EE46" s="1509">
        <f>EE45+EE28</f>
        <v>882.53284792270483</v>
      </c>
      <c r="EF46" s="1509">
        <f t="shared" si="137"/>
        <v>1275.5295051161561</v>
      </c>
      <c r="EG46" s="1509">
        <f t="shared" si="137"/>
        <v>1536.8531660935701</v>
      </c>
      <c r="EH46" s="1509">
        <f t="shared" ref="EH46:EN46" si="138">EH45+EH28</f>
        <v>1402.5238183935819</v>
      </c>
      <c r="EI46" s="1509">
        <f t="shared" si="138"/>
        <v>1224.1792806967994</v>
      </c>
      <c r="EJ46" s="1509">
        <f t="shared" si="138"/>
        <v>2013.2856730640915</v>
      </c>
      <c r="EK46" s="1509">
        <f t="shared" si="138"/>
        <v>1064.6436518321811</v>
      </c>
      <c r="EL46" s="1509">
        <f t="shared" si="138"/>
        <v>897.29490453297149</v>
      </c>
      <c r="EM46" s="1509">
        <f t="shared" si="138"/>
        <v>6923.6363772101886</v>
      </c>
      <c r="EN46" s="1509" t="e">
        <f t="shared" si="138"/>
        <v>#REF!</v>
      </c>
      <c r="EO46" s="1509">
        <f>EO45+EO28</f>
        <v>-603.49109215979411</v>
      </c>
      <c r="EP46" s="1509">
        <f>EP45+EP28</f>
        <v>-440.36973827992051</v>
      </c>
      <c r="EQ46" s="1456"/>
      <c r="ER46" s="1509" t="e">
        <f>ER45+ER28</f>
        <v>#REF!</v>
      </c>
      <c r="ES46" s="1509" t="e">
        <f>ES45+ES28</f>
        <v>#REF!</v>
      </c>
      <c r="ET46" s="1509" t="e">
        <f>ET45+ET28</f>
        <v>#REF!</v>
      </c>
      <c r="EU46" s="1509" t="e">
        <f>EU45+EU28</f>
        <v>#REF!</v>
      </c>
      <c r="EV46" s="1510" t="e">
        <f t="shared" ref="EV46:FD46" si="139">EV45+EV28</f>
        <v>#REF!</v>
      </c>
      <c r="EW46" s="1509" t="e">
        <f t="shared" si="139"/>
        <v>#REF!</v>
      </c>
      <c r="EX46" s="1509" t="e">
        <f t="shared" si="139"/>
        <v>#REF!</v>
      </c>
      <c r="EY46" s="1509" t="e">
        <f t="shared" si="139"/>
        <v>#REF!</v>
      </c>
      <c r="EZ46" s="1509" t="e">
        <f t="shared" si="139"/>
        <v>#REF!</v>
      </c>
      <c r="FA46" s="1509" t="e">
        <f t="shared" si="139"/>
        <v>#REF!</v>
      </c>
      <c r="FB46" s="1509" t="e">
        <f>FB45+FB28</f>
        <v>#REF!</v>
      </c>
      <c r="FC46" s="1509" t="e">
        <f t="shared" si="139"/>
        <v>#REF!</v>
      </c>
      <c r="FD46" s="1509" t="e">
        <f t="shared" si="139"/>
        <v>#REF!</v>
      </c>
      <c r="FE46" s="1509" t="e">
        <f t="shared" ref="FE46:FK46" si="140">FE45+FE28</f>
        <v>#REF!</v>
      </c>
      <c r="FF46" s="1509" t="e">
        <f t="shared" si="140"/>
        <v>#REF!</v>
      </c>
      <c r="FG46" s="1509" t="e">
        <f t="shared" si="140"/>
        <v>#REF!</v>
      </c>
      <c r="FH46" s="1509" t="e">
        <f t="shared" si="140"/>
        <v>#REF!</v>
      </c>
      <c r="FI46" s="1509" t="e">
        <f t="shared" si="140"/>
        <v>#REF!</v>
      </c>
      <c r="FJ46" s="1509" t="e">
        <f t="shared" si="140"/>
        <v>#REF!</v>
      </c>
      <c r="FK46" s="1509" t="e">
        <f t="shared" si="140"/>
        <v>#REF!</v>
      </c>
      <c r="FL46" s="1509" t="e">
        <f>FL45+FL28</f>
        <v>#REF!</v>
      </c>
      <c r="FM46" s="1509" t="e">
        <f>FM45+FM28</f>
        <v>#REF!</v>
      </c>
    </row>
    <row r="47" spans="1:169" ht="18" customHeight="1">
      <c r="A47" s="1463">
        <f>ROWS($A$1:A47)</f>
        <v>47</v>
      </c>
      <c r="B47" s="1508" t="s">
        <v>1171</v>
      </c>
      <c r="C47" s="1507" t="s">
        <v>171</v>
      </c>
      <c r="D47" s="1504">
        <f t="shared" ref="D47:AH47" si="141">D15+D16+D17+D28+D32</f>
        <v>810.89121197960787</v>
      </c>
      <c r="E47" s="1504">
        <f t="shared" si="141"/>
        <v>652.44901648470591</v>
      </c>
      <c r="F47" s="1504">
        <f t="shared" si="141"/>
        <v>650.865201512157</v>
      </c>
      <c r="G47" s="1504">
        <f t="shared" si="141"/>
        <v>650.865201512157</v>
      </c>
      <c r="H47" s="1504">
        <f t="shared" si="141"/>
        <v>634.18999980862748</v>
      </c>
      <c r="I47" s="1504">
        <f t="shared" si="141"/>
        <v>634.18999980862748</v>
      </c>
      <c r="J47" s="1504">
        <f t="shared" si="141"/>
        <v>650.865201512157</v>
      </c>
      <c r="K47" s="1504">
        <f t="shared" si="141"/>
        <v>649.28138653960787</v>
      </c>
      <c r="L47" s="1504">
        <f t="shared" si="141"/>
        <v>635.7738147811765</v>
      </c>
      <c r="M47" s="1504">
        <f t="shared" si="141"/>
        <v>632.60618483607846</v>
      </c>
      <c r="N47" s="1504">
        <f t="shared" si="141"/>
        <v>631.02236986352943</v>
      </c>
      <c r="O47" s="1504">
        <f t="shared" si="141"/>
        <v>614.34716815999991</v>
      </c>
      <c r="P47" s="1504">
        <f t="shared" si="141"/>
        <v>670.77377286274509</v>
      </c>
      <c r="Q47" s="1504">
        <f t="shared" si="141"/>
        <v>620.00663390196075</v>
      </c>
      <c r="R47" s="1504">
        <f t="shared" si="141"/>
        <v>625.43387296784317</v>
      </c>
      <c r="S47" s="1504">
        <f t="shared" si="141"/>
        <v>672.14354206588246</v>
      </c>
      <c r="T47" s="1504">
        <f t="shared" si="141"/>
        <v>655.0449707152942</v>
      </c>
      <c r="U47" s="1504">
        <f t="shared" si="141"/>
        <v>648.18896346509803</v>
      </c>
      <c r="V47" s="1504">
        <f t="shared" si="141"/>
        <v>617.39715189176468</v>
      </c>
      <c r="W47" s="1504">
        <f t="shared" si="141"/>
        <v>650.11957818352937</v>
      </c>
      <c r="X47" s="1504">
        <f t="shared" si="141"/>
        <v>623.09888579294113</v>
      </c>
      <c r="Y47" s="1504">
        <f t="shared" si="141"/>
        <v>621.19830782588235</v>
      </c>
      <c r="Z47" s="1504">
        <f t="shared" si="141"/>
        <v>614.86304793568627</v>
      </c>
      <c r="AA47" s="1504">
        <f t="shared" si="141"/>
        <v>907.19304399932776</v>
      </c>
      <c r="AB47" s="1504">
        <f t="shared" si="141"/>
        <v>1633.6331399979831</v>
      </c>
      <c r="AC47" s="1504">
        <f t="shared" si="141"/>
        <v>3117.2793825615686</v>
      </c>
      <c r="AD47" s="1504">
        <f t="shared" si="141"/>
        <v>1955.0480230533333</v>
      </c>
      <c r="AE47" s="1504">
        <f t="shared" si="141"/>
        <v>2349.9925772650981</v>
      </c>
      <c r="AF47" s="1504">
        <f t="shared" si="141"/>
        <v>187</v>
      </c>
      <c r="AG47" s="1504">
        <f t="shared" si="141"/>
        <v>412.56155607058827</v>
      </c>
      <c r="AH47" s="1504">
        <f t="shared" si="141"/>
        <v>254.2153700682353</v>
      </c>
      <c r="AI47" s="1506"/>
      <c r="AJ47" s="1505">
        <f t="shared" ref="AJ47:BN47" si="142">AJ15+AJ16+AJ17+AJ28+AJ32</f>
        <v>868.08296214901952</v>
      </c>
      <c r="AK47" s="1504">
        <f t="shared" si="142"/>
        <v>670.49787681882356</v>
      </c>
      <c r="AL47" s="1504">
        <f t="shared" si="142"/>
        <v>668.91406184627454</v>
      </c>
      <c r="AM47" s="1504">
        <f t="shared" si="142"/>
        <v>667.33024687372551</v>
      </c>
      <c r="AN47" s="1504">
        <f t="shared" si="142"/>
        <v>637.3576297537254</v>
      </c>
      <c r="AO47" s="1504">
        <f t="shared" si="142"/>
        <v>638.94144472627454</v>
      </c>
      <c r="AP47" s="1504">
        <f t="shared" si="142"/>
        <v>655.61664642980395</v>
      </c>
      <c r="AQ47" s="1504">
        <f t="shared" si="142"/>
        <v>665.74643190117649</v>
      </c>
      <c r="AR47" s="1504">
        <f t="shared" si="142"/>
        <v>635.7738147811765</v>
      </c>
      <c r="AS47" s="1504">
        <f t="shared" si="142"/>
        <v>635.7738147811765</v>
      </c>
      <c r="AT47" s="1504">
        <f t="shared" si="142"/>
        <v>634.18999980862748</v>
      </c>
      <c r="AU47" s="1504">
        <f t="shared" si="142"/>
        <v>634.18999980862748</v>
      </c>
      <c r="AV47" s="1504">
        <f t="shared" si="142"/>
        <v>675.52521778039215</v>
      </c>
      <c r="AW47" s="1504">
        <f t="shared" si="142"/>
        <v>626.34189379215684</v>
      </c>
      <c r="AX47" s="1504">
        <f t="shared" si="142"/>
        <v>628.60150291294121</v>
      </c>
      <c r="AY47" s="1504">
        <f t="shared" si="142"/>
        <v>691.98637371450991</v>
      </c>
      <c r="AZ47" s="1504">
        <f t="shared" si="142"/>
        <v>673.62075038588227</v>
      </c>
      <c r="BA47" s="1504">
        <f t="shared" si="142"/>
        <v>649.77277843764705</v>
      </c>
      <c r="BB47" s="1504">
        <f t="shared" si="142"/>
        <v>621.19830782588235</v>
      </c>
      <c r="BC47" s="1504">
        <f t="shared" si="142"/>
        <v>651.70339315607839</v>
      </c>
      <c r="BD47" s="1504">
        <f t="shared" si="142"/>
        <v>623.09888579294113</v>
      </c>
      <c r="BE47" s="1504">
        <f t="shared" si="142"/>
        <v>623.09888579294113</v>
      </c>
      <c r="BF47" s="1504">
        <f t="shared" si="142"/>
        <v>619.61449285333333</v>
      </c>
      <c r="BG47" s="1504">
        <f t="shared" si="142"/>
        <v>907.19304399932776</v>
      </c>
      <c r="BH47" s="1504">
        <f t="shared" si="142"/>
        <v>1669.5478419027452</v>
      </c>
      <c r="BI47" s="1504">
        <f t="shared" si="142"/>
        <v>3133.4407875247057</v>
      </c>
      <c r="BJ47" s="1504">
        <f t="shared" si="142"/>
        <v>1983.0366297200001</v>
      </c>
      <c r="BK47" s="1504">
        <f t="shared" si="142"/>
        <v>2373.5030068650981</v>
      </c>
      <c r="BL47" s="1504">
        <f t="shared" si="142"/>
        <v>187</v>
      </c>
      <c r="BM47" s="1504">
        <f t="shared" si="142"/>
        <v>412.56155607058827</v>
      </c>
      <c r="BN47" s="1504">
        <f t="shared" si="142"/>
        <v>254.2153700682353</v>
      </c>
      <c r="BO47" s="1506"/>
      <c r="BP47" s="1505">
        <f t="shared" ref="BP47:CT47" si="143">BP15+BP16+BP17+BP28+BP32</f>
        <v>941.94991402196081</v>
      </c>
      <c r="BQ47" s="1504">
        <f t="shared" si="143"/>
        <v>688.5467371529412</v>
      </c>
      <c r="BR47" s="1504">
        <f t="shared" si="143"/>
        <v>686.96292218039218</v>
      </c>
      <c r="BS47" s="1504">
        <f t="shared" si="143"/>
        <v>683.79529223529414</v>
      </c>
      <c r="BT47" s="1504">
        <f t="shared" si="143"/>
        <v>670.49787681882356</v>
      </c>
      <c r="BU47" s="1504">
        <f t="shared" si="143"/>
        <v>658.5741200329411</v>
      </c>
      <c r="BV47" s="1504">
        <f t="shared" si="143"/>
        <v>673.6655067639216</v>
      </c>
      <c r="BW47" s="1504">
        <f t="shared" si="143"/>
        <v>668.91406184627454</v>
      </c>
      <c r="BX47" s="1504">
        <f t="shared" si="143"/>
        <v>635.7738147811765</v>
      </c>
      <c r="BY47" s="1504">
        <f t="shared" si="143"/>
        <v>638.94144472627454</v>
      </c>
      <c r="BZ47" s="1504">
        <f t="shared" si="143"/>
        <v>637.3576297537254</v>
      </c>
      <c r="CA47" s="1504">
        <f t="shared" si="143"/>
        <v>637.3576297537254</v>
      </c>
      <c r="CB47" s="1504">
        <f t="shared" si="143"/>
        <v>677.10903275294118</v>
      </c>
      <c r="CC47" s="1504">
        <f t="shared" si="143"/>
        <v>632.67715368235292</v>
      </c>
      <c r="CD47" s="1504">
        <f t="shared" si="143"/>
        <v>631.76913285803926</v>
      </c>
      <c r="CE47" s="1504">
        <f t="shared" si="143"/>
        <v>695.15400365960784</v>
      </c>
      <c r="CF47" s="1504">
        <f t="shared" si="143"/>
        <v>675.52132835294128</v>
      </c>
      <c r="CG47" s="1504">
        <f t="shared" si="143"/>
        <v>651.35659341019607</v>
      </c>
      <c r="CH47" s="1504">
        <f t="shared" si="143"/>
        <v>624.99946376000003</v>
      </c>
      <c r="CI47" s="1504">
        <f t="shared" si="143"/>
        <v>653.28720812862741</v>
      </c>
      <c r="CJ47" s="1504">
        <f t="shared" si="143"/>
        <v>626.90004172705881</v>
      </c>
      <c r="CK47" s="1504">
        <f t="shared" si="143"/>
        <v>626.90004172705881</v>
      </c>
      <c r="CL47" s="1504">
        <f t="shared" si="143"/>
        <v>624.36593777098039</v>
      </c>
      <c r="CM47" s="1504">
        <f t="shared" si="143"/>
        <v>923.86824570285705</v>
      </c>
      <c r="CN47" s="1504">
        <f t="shared" si="143"/>
        <v>1697.5364485694117</v>
      </c>
      <c r="CO47" s="1504">
        <f t="shared" si="143"/>
        <v>3173.2565958949017</v>
      </c>
      <c r="CP47" s="1504">
        <f t="shared" si="143"/>
        <v>2011.0252363866666</v>
      </c>
      <c r="CQ47" s="1504">
        <f t="shared" si="143"/>
        <v>2396.4536643317647</v>
      </c>
      <c r="CR47" s="1504">
        <f>CR15+CR16+CR17+CR28+CR32</f>
        <v>187</v>
      </c>
      <c r="CS47" s="1504">
        <f t="shared" si="143"/>
        <v>412.56155607058827</v>
      </c>
      <c r="CT47" s="1504">
        <f t="shared" si="143"/>
        <v>254.2153700682353</v>
      </c>
      <c r="CV47" s="1508" t="s">
        <v>1171</v>
      </c>
      <c r="CW47" s="1507" t="s">
        <v>171</v>
      </c>
      <c r="CX47" s="1504">
        <f>CX15+CX16+CX17+CX28+CX32</f>
        <v>555.28974206823523</v>
      </c>
      <c r="CY47" s="1504">
        <f>CY15+CY16+CY17+CY28+CY32</f>
        <v>446.32834163294115</v>
      </c>
      <c r="CZ47" s="1504">
        <f>CZ15+CZ16+CZ17+CZ28+CZ32</f>
        <v>555.28974206823523</v>
      </c>
      <c r="DA47" s="1504">
        <f>DA15+DA16+DA17+DA28+DA32</f>
        <v>446.32834163294115</v>
      </c>
      <c r="DB47" s="1504">
        <f t="shared" ref="DB47:DJ47" si="144">DB15+DB16+DB17+DB28+DB32</f>
        <v>538.37735641613438</v>
      </c>
      <c r="DC47" s="1504">
        <f t="shared" si="144"/>
        <v>626.15277147495794</v>
      </c>
      <c r="DD47" s="1504">
        <f>DD15+DD16+DD17+DD28+DD32</f>
        <v>714.12575464260499</v>
      </c>
      <c r="DE47" s="1504">
        <f t="shared" si="144"/>
        <v>714.12575464260499</v>
      </c>
      <c r="DF47" s="1504">
        <f t="shared" si="144"/>
        <v>724.82826506789911</v>
      </c>
      <c r="DG47" s="1504">
        <f t="shared" si="144"/>
        <v>724.11554833025207</v>
      </c>
      <c r="DH47" s="1504">
        <f>DH15+DH16+DH17+DH28+DH32</f>
        <v>724.82826506789911</v>
      </c>
      <c r="DI47" s="1504">
        <f t="shared" si="144"/>
        <v>738.28004648672277</v>
      </c>
      <c r="DJ47" s="1504">
        <f t="shared" si="144"/>
        <v>783.94640469554622</v>
      </c>
      <c r="DK47" s="1504">
        <f>DK15+DK16+DK17+DK28+DK32</f>
        <v>679.96034148352942</v>
      </c>
      <c r="DL47" s="1504">
        <f t="shared" ref="DL47:DS47" si="145">DL15+DL16+DL17+DL28+DL32</f>
        <v>641.71967039176468</v>
      </c>
      <c r="DM47" s="1504">
        <f t="shared" si="145"/>
        <v>757.23118464929416</v>
      </c>
      <c r="DN47" s="1504">
        <f t="shared" si="145"/>
        <v>903.49722141971984</v>
      </c>
      <c r="DO47" s="1504">
        <f t="shared" si="145"/>
        <v>955.65352386196071</v>
      </c>
      <c r="DP47" s="1504">
        <f t="shared" si="145"/>
        <v>1553.488534292997</v>
      </c>
      <c r="DQ47" s="1504" t="e">
        <f t="shared" si="145"/>
        <v>#REF!</v>
      </c>
      <c r="DR47" s="1504">
        <f t="shared" si="145"/>
        <v>429.70466632941179</v>
      </c>
      <c r="DS47" s="1504">
        <f t="shared" si="145"/>
        <v>477.45148032705879</v>
      </c>
      <c r="DT47" s="1456"/>
      <c r="DU47" s="1504">
        <f>DU15+DU16+DU17+DU28+DU32</f>
        <v>555.28974206823523</v>
      </c>
      <c r="DV47" s="1504">
        <f>DV15+DV16+DV17+DV28+DV32</f>
        <v>446.32834163294115</v>
      </c>
      <c r="DW47" s="1504">
        <f>DW15+DW16+DW17+DW28+DW32</f>
        <v>555.28974206823523</v>
      </c>
      <c r="DX47" s="1504">
        <f>DX15+DX16+DX17+DX28+DX32</f>
        <v>446.32834163294115</v>
      </c>
      <c r="DY47" s="1505">
        <f t="shared" ref="DY47:EG47" si="146">DY15+DY16+DY17+DY28+DY32</f>
        <v>762.71496114554623</v>
      </c>
      <c r="DZ47" s="1504">
        <f t="shared" si="146"/>
        <v>656.73893128672262</v>
      </c>
      <c r="EA47" s="1504">
        <f t="shared" si="146"/>
        <v>745.0461587808403</v>
      </c>
      <c r="EB47" s="1504">
        <f t="shared" si="146"/>
        <v>745.0461587808403</v>
      </c>
      <c r="EC47" s="1504">
        <f t="shared" si="146"/>
        <v>763.98913977378152</v>
      </c>
      <c r="ED47" s="1504">
        <f t="shared" si="146"/>
        <v>763.03885079025213</v>
      </c>
      <c r="EE47" s="1504">
        <f>EE15+EE16+EE17+EE28+EE32</f>
        <v>778.00804105142856</v>
      </c>
      <c r="EF47" s="1504">
        <f t="shared" si="146"/>
        <v>771.95188123966386</v>
      </c>
      <c r="EG47" s="1504">
        <f t="shared" si="146"/>
        <v>790.71721370319335</v>
      </c>
      <c r="EH47" s="1504">
        <f t="shared" ref="EH47:EN47" si="147">EH15+EH16+EH17+EH28+EH32</f>
        <v>683.99906966352944</v>
      </c>
      <c r="EI47" s="1504">
        <f t="shared" si="147"/>
        <v>645.28325408000001</v>
      </c>
      <c r="EJ47" s="1504">
        <f t="shared" si="147"/>
        <v>758.87043314588232</v>
      </c>
      <c r="EK47" s="1504">
        <f t="shared" si="147"/>
        <v>908.5853330040336</v>
      </c>
      <c r="EL47" s="1504">
        <f t="shared" si="147"/>
        <v>960.23282428784307</v>
      </c>
      <c r="EM47" s="1504">
        <f t="shared" si="147"/>
        <v>1566.0107346945656</v>
      </c>
      <c r="EN47" s="1504" t="e">
        <f t="shared" si="147"/>
        <v>#REF!</v>
      </c>
      <c r="EO47" s="1504">
        <f>EO15+EO16+EO17+EO28+EO32</f>
        <v>429.70466632941179</v>
      </c>
      <c r="EP47" s="1504">
        <f>EP15+EP16+EP17+EP28+EP32</f>
        <v>477.45148032705879</v>
      </c>
      <c r="EQ47" s="1456"/>
      <c r="ER47" s="1504">
        <f>ER15+ER16+ER17+ER28+ER32</f>
        <v>555.28974206823523</v>
      </c>
      <c r="ES47" s="1504">
        <f>ES15+ES16+ES17+ES28+ES32</f>
        <v>446.32834163294115</v>
      </c>
      <c r="ET47" s="1504">
        <f>ET15+ET16+ET17+ET28+ET32</f>
        <v>555.28974206823523</v>
      </c>
      <c r="EU47" s="1504">
        <f>EU15+EU16+EU17+EU28+EU32</f>
        <v>446.32834163294115</v>
      </c>
      <c r="EV47" s="1505">
        <f t="shared" ref="EV47:FD47" si="148">EV15+EV16+EV17+EV28+EV32</f>
        <v>676.1940148608403</v>
      </c>
      <c r="EW47" s="1504">
        <f t="shared" si="148"/>
        <v>717.91125091025208</v>
      </c>
      <c r="EX47" s="1504">
        <f t="shared" si="148"/>
        <v>780.38376351025215</v>
      </c>
      <c r="EY47" s="1504">
        <f t="shared" si="148"/>
        <v>775.96656291907561</v>
      </c>
      <c r="EZ47" s="1504">
        <f t="shared" si="148"/>
        <v>722.23056686789914</v>
      </c>
      <c r="FA47" s="1504">
        <f t="shared" si="148"/>
        <v>815.981054527899</v>
      </c>
      <c r="FB47" s="1504">
        <f>FB15+FB16+FB17+FB28+FB32</f>
        <v>817.16891575731086</v>
      </c>
      <c r="FC47" s="1504">
        <f t="shared" si="148"/>
        <v>805.62371599260507</v>
      </c>
      <c r="FD47" s="1504">
        <f t="shared" si="148"/>
        <v>797.48802271084037</v>
      </c>
      <c r="FE47" s="1504">
        <f t="shared" ref="FE47:FK47" si="149">FE15+FE16+FE17+FE28+FE32</f>
        <v>688.03779784352946</v>
      </c>
      <c r="FF47" s="1504">
        <f t="shared" si="149"/>
        <v>699.68097666235303</v>
      </c>
      <c r="FG47" s="1504">
        <f t="shared" si="149"/>
        <v>774.52858292011774</v>
      </c>
      <c r="FH47" s="1504">
        <f t="shared" si="149"/>
        <v>906.550088370308</v>
      </c>
      <c r="FI47" s="1504">
        <f t="shared" si="149"/>
        <v>963.79450239686275</v>
      </c>
      <c r="FJ47" s="1504">
        <f t="shared" si="149"/>
        <v>1585.939601762801</v>
      </c>
      <c r="FK47" s="1504" t="e">
        <f t="shared" si="149"/>
        <v>#REF!</v>
      </c>
      <c r="FL47" s="1504">
        <f>FL15+FL16+FL17+FL28+FL32</f>
        <v>429.70466632941179</v>
      </c>
      <c r="FM47" s="1504">
        <f>FM15+FM16+FM17+FM28+FM32</f>
        <v>477.45148032705879</v>
      </c>
    </row>
    <row r="48" spans="1:169" s="1474" customFormat="1" ht="18" customHeight="1">
      <c r="A48" s="1463">
        <f>ROWS($A$1:A48)</f>
        <v>48</v>
      </c>
      <c r="B48" s="1503" t="s">
        <v>1170</v>
      </c>
      <c r="C48" s="1482" t="s">
        <v>228</v>
      </c>
      <c r="D48" s="1492">
        <f>IF(D6=0,0,(D8)/D6)</f>
        <v>21.133333333333336</v>
      </c>
      <c r="E48" s="1492">
        <f t="shared" ref="E48:AH48" si="150">IF(E6=0,0,(E8)/E6)</f>
        <v>21.666666666666671</v>
      </c>
      <c r="F48" s="1492">
        <f t="shared" si="150"/>
        <v>22.733333333333338</v>
      </c>
      <c r="G48" s="1492">
        <f t="shared" si="150"/>
        <v>24.268000000000001</v>
      </c>
      <c r="H48" s="1492">
        <f t="shared" si="150"/>
        <v>19.466666666666665</v>
      </c>
      <c r="I48" s="1492">
        <f t="shared" si="150"/>
        <v>19.533333333333335</v>
      </c>
      <c r="J48" s="1492">
        <f t="shared" si="150"/>
        <v>18.666666666666668</v>
      </c>
      <c r="K48" s="1492">
        <f t="shared" si="150"/>
        <v>21.666666666666671</v>
      </c>
      <c r="L48" s="1492">
        <f t="shared" si="150"/>
        <v>21.666666666666671</v>
      </c>
      <c r="M48" s="1492">
        <f t="shared" si="150"/>
        <v>18.666666666666668</v>
      </c>
      <c r="N48" s="1492">
        <f t="shared" si="150"/>
        <v>25.066666666666666</v>
      </c>
      <c r="O48" s="1492">
        <f t="shared" si="150"/>
        <v>19.166666666666668</v>
      </c>
      <c r="P48" s="1492">
        <f t="shared" si="150"/>
        <v>31.166666666666675</v>
      </c>
      <c r="Q48" s="1492">
        <f t="shared" si="150"/>
        <v>24.116666666666671</v>
      </c>
      <c r="R48" s="1492">
        <f t="shared" si="150"/>
        <v>17.05</v>
      </c>
      <c r="S48" s="1492">
        <f t="shared" si="150"/>
        <v>49.8</v>
      </c>
      <c r="T48" s="1492">
        <f t="shared" si="150"/>
        <v>49.8</v>
      </c>
      <c r="U48" s="1492">
        <f t="shared" si="150"/>
        <v>47.166666666666657</v>
      </c>
      <c r="V48" s="1492">
        <f t="shared" si="150"/>
        <v>51.166666666666657</v>
      </c>
      <c r="W48" s="1492">
        <f t="shared" si="150"/>
        <v>29.65</v>
      </c>
      <c r="X48" s="1492">
        <f t="shared" si="150"/>
        <v>25.066666666666666</v>
      </c>
      <c r="Y48" s="1492">
        <f t="shared" si="150"/>
        <v>25.533333333333331</v>
      </c>
      <c r="Z48" s="1492">
        <f t="shared" si="150"/>
        <v>24.6</v>
      </c>
      <c r="AA48" s="1492">
        <f t="shared" si="150"/>
        <v>2.83</v>
      </c>
      <c r="AB48" s="1492">
        <f t="shared" si="150"/>
        <v>33.666666666666664</v>
      </c>
      <c r="AC48" s="1492">
        <f t="shared" si="150"/>
        <v>33.666666666666664</v>
      </c>
      <c r="AD48" s="1492">
        <f t="shared" si="150"/>
        <v>19</v>
      </c>
      <c r="AE48" s="1492">
        <f t="shared" si="150"/>
        <v>19</v>
      </c>
      <c r="AF48" s="1492">
        <f t="shared" si="150"/>
        <v>0</v>
      </c>
      <c r="AG48" s="1492">
        <f t="shared" si="150"/>
        <v>0</v>
      </c>
      <c r="AH48" s="1492">
        <f t="shared" si="150"/>
        <v>0</v>
      </c>
      <c r="AI48" s="1494"/>
      <c r="AJ48" s="1493">
        <f t="shared" ref="AJ48:BN48" si="151">IF(AJ6=0,0,(AJ8)/AJ6)</f>
        <v>21.133333333333336</v>
      </c>
      <c r="AK48" s="1492">
        <f t="shared" si="151"/>
        <v>21.666666666666671</v>
      </c>
      <c r="AL48" s="1492">
        <f t="shared" si="151"/>
        <v>22.733333333333334</v>
      </c>
      <c r="AM48" s="1492">
        <f t="shared" si="151"/>
        <v>24.268000000000001</v>
      </c>
      <c r="AN48" s="1492">
        <f t="shared" si="151"/>
        <v>19.466666666666665</v>
      </c>
      <c r="AO48" s="1492">
        <f t="shared" si="151"/>
        <v>19.533333333333331</v>
      </c>
      <c r="AP48" s="1492">
        <f t="shared" si="151"/>
        <v>18.666666666666668</v>
      </c>
      <c r="AQ48" s="1492">
        <f t="shared" si="151"/>
        <v>21.666666666666671</v>
      </c>
      <c r="AR48" s="1492">
        <f t="shared" si="151"/>
        <v>21.666666666666671</v>
      </c>
      <c r="AS48" s="1492">
        <f t="shared" si="151"/>
        <v>18.666666666666668</v>
      </c>
      <c r="AT48" s="1492">
        <f t="shared" si="151"/>
        <v>25.066666666666666</v>
      </c>
      <c r="AU48" s="1492">
        <f t="shared" si="151"/>
        <v>19.166666666666668</v>
      </c>
      <c r="AV48" s="1492">
        <f t="shared" si="151"/>
        <v>31.166666666666671</v>
      </c>
      <c r="AW48" s="1492">
        <f t="shared" si="151"/>
        <v>24.116666666666671</v>
      </c>
      <c r="AX48" s="1492">
        <f t="shared" si="151"/>
        <v>17.05</v>
      </c>
      <c r="AY48" s="1492">
        <f t="shared" si="151"/>
        <v>49.8</v>
      </c>
      <c r="AZ48" s="1492">
        <f t="shared" si="151"/>
        <v>49.8</v>
      </c>
      <c r="BA48" s="1492">
        <f t="shared" si="151"/>
        <v>47.166666666666657</v>
      </c>
      <c r="BB48" s="1492">
        <f t="shared" si="151"/>
        <v>51.166666666666657</v>
      </c>
      <c r="BC48" s="1492">
        <f t="shared" si="151"/>
        <v>29.65</v>
      </c>
      <c r="BD48" s="1492">
        <f t="shared" si="151"/>
        <v>25.066666666666666</v>
      </c>
      <c r="BE48" s="1492">
        <f t="shared" si="151"/>
        <v>25.533333333333331</v>
      </c>
      <c r="BF48" s="1492">
        <f t="shared" si="151"/>
        <v>24.6</v>
      </c>
      <c r="BG48" s="1492">
        <f t="shared" si="151"/>
        <v>2.83</v>
      </c>
      <c r="BH48" s="1492">
        <f t="shared" si="151"/>
        <v>33.666666666666664</v>
      </c>
      <c r="BI48" s="1492">
        <f t="shared" si="151"/>
        <v>33.666666666666664</v>
      </c>
      <c r="BJ48" s="1492">
        <f t="shared" si="151"/>
        <v>19</v>
      </c>
      <c r="BK48" s="1492">
        <f t="shared" si="151"/>
        <v>19</v>
      </c>
      <c r="BL48" s="1492">
        <f t="shared" si="151"/>
        <v>0</v>
      </c>
      <c r="BM48" s="1492">
        <f t="shared" si="151"/>
        <v>0</v>
      </c>
      <c r="BN48" s="1492">
        <f t="shared" si="151"/>
        <v>0</v>
      </c>
      <c r="BO48" s="1494"/>
      <c r="BP48" s="1493">
        <f t="shared" ref="BP48:CT48" si="152">IF(BP6=0,0,(BP8)/BP6)</f>
        <v>21.133333333333336</v>
      </c>
      <c r="BQ48" s="1492">
        <f t="shared" si="152"/>
        <v>21.666666666666671</v>
      </c>
      <c r="BR48" s="1492">
        <f t="shared" si="152"/>
        <v>22.733333333333334</v>
      </c>
      <c r="BS48" s="1492">
        <f t="shared" si="152"/>
        <v>24.268000000000001</v>
      </c>
      <c r="BT48" s="1492">
        <f t="shared" si="152"/>
        <v>19.466666666666665</v>
      </c>
      <c r="BU48" s="1492">
        <f t="shared" si="152"/>
        <v>19.533333333333331</v>
      </c>
      <c r="BV48" s="1492">
        <f t="shared" si="152"/>
        <v>18.666666666666668</v>
      </c>
      <c r="BW48" s="1492">
        <f t="shared" si="152"/>
        <v>21.666666666666671</v>
      </c>
      <c r="BX48" s="1492">
        <f t="shared" si="152"/>
        <v>21.666666666666671</v>
      </c>
      <c r="BY48" s="1492">
        <f t="shared" si="152"/>
        <v>18.666666666666668</v>
      </c>
      <c r="BZ48" s="1492">
        <f t="shared" si="152"/>
        <v>25.066666666666666</v>
      </c>
      <c r="CA48" s="1492">
        <f t="shared" si="152"/>
        <v>19.166666666666668</v>
      </c>
      <c r="CB48" s="1492">
        <f t="shared" si="152"/>
        <v>31.166666666666671</v>
      </c>
      <c r="CC48" s="1492">
        <f t="shared" si="152"/>
        <v>24.116666666666671</v>
      </c>
      <c r="CD48" s="1492">
        <f t="shared" si="152"/>
        <v>17.05</v>
      </c>
      <c r="CE48" s="1492">
        <f t="shared" si="152"/>
        <v>49.8</v>
      </c>
      <c r="CF48" s="1492">
        <f t="shared" si="152"/>
        <v>49.8</v>
      </c>
      <c r="CG48" s="1492">
        <f t="shared" si="152"/>
        <v>47.166666666666657</v>
      </c>
      <c r="CH48" s="1492">
        <f t="shared" si="152"/>
        <v>51.166666666666657</v>
      </c>
      <c r="CI48" s="1492">
        <f t="shared" si="152"/>
        <v>29.65</v>
      </c>
      <c r="CJ48" s="1492">
        <f t="shared" si="152"/>
        <v>25.066666666666666</v>
      </c>
      <c r="CK48" s="1492">
        <f t="shared" si="152"/>
        <v>25.533333333333331</v>
      </c>
      <c r="CL48" s="1492">
        <f t="shared" si="152"/>
        <v>24.6</v>
      </c>
      <c r="CM48" s="1492">
        <f t="shared" si="152"/>
        <v>2.83</v>
      </c>
      <c r="CN48" s="1492">
        <f t="shared" si="152"/>
        <v>33.666666666666664</v>
      </c>
      <c r="CO48" s="1492">
        <f t="shared" si="152"/>
        <v>33.666666666666664</v>
      </c>
      <c r="CP48" s="1492">
        <f t="shared" si="152"/>
        <v>19</v>
      </c>
      <c r="CQ48" s="1492">
        <f t="shared" si="152"/>
        <v>19</v>
      </c>
      <c r="CR48" s="1492">
        <f>IF(CR6=0,0,(CR8)/CR6)</f>
        <v>0</v>
      </c>
      <c r="CS48" s="1492">
        <f t="shared" si="152"/>
        <v>0</v>
      </c>
      <c r="CT48" s="1492">
        <f t="shared" si="152"/>
        <v>0</v>
      </c>
      <c r="CV48" s="1503" t="s">
        <v>1170</v>
      </c>
      <c r="CW48" s="1482" t="s">
        <v>228</v>
      </c>
      <c r="CX48" s="1492">
        <f>IF(CX6=0,0,(CX8)/CX6)</f>
        <v>0</v>
      </c>
      <c r="CY48" s="1492">
        <f>IF(CY6=0,0,(CY8)/CY6)</f>
        <v>0</v>
      </c>
      <c r="CZ48" s="1492">
        <f>IF(CZ6=0,0,(CZ8)/CZ6)</f>
        <v>0</v>
      </c>
      <c r="DA48" s="1492">
        <f>IF(DA6=0,0,(DA8)/DA6)</f>
        <v>0</v>
      </c>
      <c r="DB48" s="1492">
        <f t="shared" ref="DB48:DJ48" si="153">IF(DB6=0,0,(DB8)/DB6)</f>
        <v>35.273333333333333</v>
      </c>
      <c r="DC48" s="1492">
        <f t="shared" si="153"/>
        <v>46.236666666666657</v>
      </c>
      <c r="DD48" s="1492">
        <f>IF(DD6=0,0,(DD8)/DD6)</f>
        <v>49.3</v>
      </c>
      <c r="DE48" s="1492">
        <f t="shared" si="153"/>
        <v>83.166666666666686</v>
      </c>
      <c r="DF48" s="1492">
        <f t="shared" si="153"/>
        <v>35.283333333333339</v>
      </c>
      <c r="DG48" s="1492">
        <f t="shared" si="153"/>
        <v>38.586666666666666</v>
      </c>
      <c r="DH48" s="1492">
        <f>IF(DH6=0,0,(DH8)/DH6)</f>
        <v>34.373333333333335</v>
      </c>
      <c r="DI48" s="1492">
        <f t="shared" si="153"/>
        <v>47.55</v>
      </c>
      <c r="DJ48" s="1492">
        <f t="shared" si="153"/>
        <v>38.983333333333327</v>
      </c>
      <c r="DK48" s="1492">
        <f>IF(DK6=0,0,(DK8)/DK6)</f>
        <v>52.70333333333334</v>
      </c>
      <c r="DL48" s="1492">
        <f t="shared" ref="DL48:DS48" si="154">IF(DL6=0,0,(DL8)/DL6)</f>
        <v>51.173333333333318</v>
      </c>
      <c r="DM48" s="1492">
        <f t="shared" si="154"/>
        <v>89.666666666666686</v>
      </c>
      <c r="DN48" s="1492">
        <f t="shared" si="154"/>
        <v>83.555000000000007</v>
      </c>
      <c r="DO48" s="1492">
        <f t="shared" si="154"/>
        <v>96.78</v>
      </c>
      <c r="DP48" s="1492">
        <f t="shared" si="154"/>
        <v>57.509999999999991</v>
      </c>
      <c r="DQ48" s="1492" t="e">
        <f t="shared" si="154"/>
        <v>#REF!</v>
      </c>
      <c r="DR48" s="1492">
        <f t="shared" si="154"/>
        <v>0</v>
      </c>
      <c r="DS48" s="1492">
        <f t="shared" si="154"/>
        <v>0</v>
      </c>
      <c r="DU48" s="1492">
        <f>IF(DU6=0,0,(DU8)/DU6)</f>
        <v>0</v>
      </c>
      <c r="DV48" s="1492">
        <f>IF(DV6=0,0,(DV8)/DV6)</f>
        <v>0</v>
      </c>
      <c r="DW48" s="1492">
        <f>IF(DW6=0,0,(DW8)/DW6)</f>
        <v>0</v>
      </c>
      <c r="DX48" s="1492">
        <f>IF(DX6=0,0,(DX8)/DX6)</f>
        <v>0</v>
      </c>
      <c r="DY48" s="1493">
        <f t="shared" ref="DY48:EG48" si="155">IF(DY6=0,0,(DY8)/DY6)</f>
        <v>35.273333333333333</v>
      </c>
      <c r="DZ48" s="1492">
        <f t="shared" si="155"/>
        <v>46.236666666666657</v>
      </c>
      <c r="EA48" s="1492">
        <f t="shared" si="155"/>
        <v>49.3</v>
      </c>
      <c r="EB48" s="1492">
        <f t="shared" si="155"/>
        <v>83.166666666666686</v>
      </c>
      <c r="EC48" s="1492">
        <f t="shared" si="155"/>
        <v>35.283333333333339</v>
      </c>
      <c r="ED48" s="1492">
        <f t="shared" si="155"/>
        <v>38.586666666666666</v>
      </c>
      <c r="EE48" s="1492">
        <f>IF(EE6=0,0,(EE8)/EE6)</f>
        <v>34.373333333333335</v>
      </c>
      <c r="EF48" s="1492">
        <f t="shared" si="155"/>
        <v>47.55</v>
      </c>
      <c r="EG48" s="1492">
        <f t="shared" si="155"/>
        <v>38.983333333333327</v>
      </c>
      <c r="EH48" s="1492">
        <f t="shared" ref="EH48:EN48" si="156">IF(EH6=0,0,(EH8)/EH6)</f>
        <v>52.70333333333334</v>
      </c>
      <c r="EI48" s="1492">
        <f t="shared" si="156"/>
        <v>51.173333333333318</v>
      </c>
      <c r="EJ48" s="1492">
        <f t="shared" si="156"/>
        <v>89.666666666666686</v>
      </c>
      <c r="EK48" s="1492">
        <f t="shared" si="156"/>
        <v>83.555000000000007</v>
      </c>
      <c r="EL48" s="1492">
        <f t="shared" si="156"/>
        <v>96.78</v>
      </c>
      <c r="EM48" s="1492">
        <f t="shared" si="156"/>
        <v>57.509999999999991</v>
      </c>
      <c r="EN48" s="1492" t="e">
        <f t="shared" si="156"/>
        <v>#REF!</v>
      </c>
      <c r="EO48" s="1492">
        <f>IF(EO6=0,0,(EO8)/EO6)</f>
        <v>0</v>
      </c>
      <c r="EP48" s="1492">
        <f>IF(EP6=0,0,(EP8)/EP6)</f>
        <v>0</v>
      </c>
      <c r="ER48" s="1492">
        <f>IF(ER6=0,0,(ER8)/ER6)</f>
        <v>0</v>
      </c>
      <c r="ES48" s="1492">
        <f>IF(ES6=0,0,(ES8)/ES6)</f>
        <v>0</v>
      </c>
      <c r="ET48" s="1492">
        <f>IF(ET6=0,0,(ET8)/ET6)</f>
        <v>0</v>
      </c>
      <c r="EU48" s="1492">
        <f>IF(EU6=0,0,(EU8)/EU6)</f>
        <v>0</v>
      </c>
      <c r="EV48" s="1493">
        <f t="shared" ref="EV48:FD48" si="157">IF(EV6=0,0,(EV8)/EV6)</f>
        <v>35.273333333333333</v>
      </c>
      <c r="EW48" s="1492">
        <f t="shared" si="157"/>
        <v>46.236666666666657</v>
      </c>
      <c r="EX48" s="1492">
        <f t="shared" si="157"/>
        <v>49.3</v>
      </c>
      <c r="EY48" s="1492">
        <f t="shared" si="157"/>
        <v>83.166666666666686</v>
      </c>
      <c r="EZ48" s="1492">
        <f t="shared" si="157"/>
        <v>35.283333333333339</v>
      </c>
      <c r="FA48" s="1492">
        <f t="shared" si="157"/>
        <v>38.586666666666666</v>
      </c>
      <c r="FB48" s="1492">
        <f>IF(FB6=0,0,(FB8)/FB6)</f>
        <v>34.373333333333335</v>
      </c>
      <c r="FC48" s="1492">
        <f t="shared" si="157"/>
        <v>47.55</v>
      </c>
      <c r="FD48" s="1492">
        <f t="shared" si="157"/>
        <v>38.983333333333327</v>
      </c>
      <c r="FE48" s="1492">
        <f t="shared" ref="FE48:FK48" si="158">IF(FE6=0,0,(FE8)/FE6)</f>
        <v>52.70333333333334</v>
      </c>
      <c r="FF48" s="1492">
        <f t="shared" si="158"/>
        <v>51.173333333333318</v>
      </c>
      <c r="FG48" s="1492">
        <f t="shared" si="158"/>
        <v>89.666666666666686</v>
      </c>
      <c r="FH48" s="1492">
        <f t="shared" si="158"/>
        <v>83.555000000000007</v>
      </c>
      <c r="FI48" s="1492">
        <f t="shared" si="158"/>
        <v>96.78</v>
      </c>
      <c r="FJ48" s="1492">
        <f t="shared" si="158"/>
        <v>57.509999999999991</v>
      </c>
      <c r="FK48" s="1492" t="e">
        <f t="shared" si="158"/>
        <v>#REF!</v>
      </c>
      <c r="FL48" s="1492">
        <f>IF(FL6=0,0,(FL8)/FL6)</f>
        <v>0</v>
      </c>
      <c r="FM48" s="1492">
        <f>IF(FM6=0,0,(FM8)/FM6)</f>
        <v>0</v>
      </c>
    </row>
    <row r="49" spans="1:171" ht="18" customHeight="1">
      <c r="A49" s="1463">
        <f>ROWS($A$1:A49)</f>
        <v>49</v>
      </c>
      <c r="B49" s="1502" t="s">
        <v>1169</v>
      </c>
      <c r="C49" s="1487" t="s">
        <v>171</v>
      </c>
      <c r="D49" s="1495">
        <f>D21+D24+D34-D9-D10</f>
        <v>1576.7268507927629</v>
      </c>
      <c r="E49" s="1495">
        <f t="shared" ref="E49:AH49" si="159">E21+E24+E34-E9-E10</f>
        <v>1841.9227487122801</v>
      </c>
      <c r="F49" s="1495">
        <f t="shared" si="159"/>
        <v>1848.2208247337214</v>
      </c>
      <c r="G49" s="1495">
        <f t="shared" si="159"/>
        <v>1898.6961595837215</v>
      </c>
      <c r="H49" s="1495">
        <f t="shared" si="159"/>
        <v>1626.5326275152861</v>
      </c>
      <c r="I49" s="1495">
        <f t="shared" si="159"/>
        <v>1735.4112181402861</v>
      </c>
      <c r="J49" s="1495">
        <f t="shared" si="159"/>
        <v>1790.9890572337215</v>
      </c>
      <c r="K49" s="1495">
        <f t="shared" si="159"/>
        <v>1789.2524395051628</v>
      </c>
      <c r="L49" s="1495">
        <f t="shared" si="159"/>
        <v>1615.3383250818922</v>
      </c>
      <c r="M49" s="1495">
        <f t="shared" si="159"/>
        <v>1678.4115005746371</v>
      </c>
      <c r="N49" s="1495">
        <f t="shared" si="159"/>
        <v>1538.43055550851</v>
      </c>
      <c r="O49" s="1495">
        <f t="shared" si="159"/>
        <v>1471.5498202526664</v>
      </c>
      <c r="P49" s="1495">
        <f t="shared" si="159"/>
        <v>1793.6042672764706</v>
      </c>
      <c r="Q49" s="1495">
        <f t="shared" si="159"/>
        <v>2137.5291003638476</v>
      </c>
      <c r="R49" s="1495">
        <f t="shared" si="159"/>
        <v>2295.7812776896449</v>
      </c>
      <c r="S49" s="1495">
        <f t="shared" si="159"/>
        <v>1827.5137501422921</v>
      </c>
      <c r="T49" s="1495">
        <f t="shared" si="159"/>
        <v>1781.7441684489315</v>
      </c>
      <c r="U49" s="1495">
        <f t="shared" si="159"/>
        <v>1751.6005830284216</v>
      </c>
      <c r="V49" s="1495">
        <f t="shared" si="159"/>
        <v>1631.4053615910882</v>
      </c>
      <c r="W49" s="1495">
        <f t="shared" si="159"/>
        <v>1599.8225370055097</v>
      </c>
      <c r="X49" s="1495">
        <f t="shared" si="159"/>
        <v>1361.0455246624806</v>
      </c>
      <c r="Y49" s="1495">
        <f t="shared" si="159"/>
        <v>1354.9855014164609</v>
      </c>
      <c r="Z49" s="1495">
        <f t="shared" si="159"/>
        <v>1358.5467878186178</v>
      </c>
      <c r="AA49" s="1495">
        <f t="shared" si="159"/>
        <v>2016.6565671909902</v>
      </c>
      <c r="AB49" s="1495">
        <f t="shared" si="159"/>
        <v>7950.5544724205902</v>
      </c>
      <c r="AC49" s="1495">
        <f t="shared" si="159"/>
        <v>10038.488077512102</v>
      </c>
      <c r="AD49" s="1495">
        <f t="shared" si="159"/>
        <v>7745.9038910545605</v>
      </c>
      <c r="AE49" s="1495">
        <f t="shared" si="159"/>
        <v>8453.6568284920522</v>
      </c>
      <c r="AF49" s="1495">
        <f t="shared" si="159"/>
        <v>585.33333333333337</v>
      </c>
      <c r="AG49" s="1495">
        <f t="shared" si="159"/>
        <v>880.43524912936277</v>
      </c>
      <c r="AH49" s="1495">
        <f t="shared" si="159"/>
        <v>317.88242238116175</v>
      </c>
      <c r="AI49" s="1497"/>
      <c r="AJ49" s="1496">
        <f t="shared" ref="AJ49:BN49" si="160">AJ21+AJ24+AJ34-AJ9-AJ10</f>
        <v>1857.0259274011573</v>
      </c>
      <c r="AK49" s="1495">
        <f t="shared" si="160"/>
        <v>2042.9315884493212</v>
      </c>
      <c r="AL49" s="1495">
        <f t="shared" si="160"/>
        <v>2029.4137794707626</v>
      </c>
      <c r="AM49" s="1495">
        <f t="shared" si="160"/>
        <v>2042.741888042204</v>
      </c>
      <c r="AN49" s="1495">
        <f t="shared" si="160"/>
        <v>1741.9182304724036</v>
      </c>
      <c r="AO49" s="1495">
        <f t="shared" si="160"/>
        <v>1890.2986850759626</v>
      </c>
      <c r="AP49" s="1495">
        <f t="shared" si="160"/>
        <v>1945.6667041693979</v>
      </c>
      <c r="AQ49" s="1495">
        <f t="shared" si="160"/>
        <v>1940.840376513645</v>
      </c>
      <c r="AR49" s="1495">
        <f t="shared" si="160"/>
        <v>1837.3218792485586</v>
      </c>
      <c r="AS49" s="1495">
        <f t="shared" si="160"/>
        <v>1798.0286552902253</v>
      </c>
      <c r="AT49" s="1495">
        <f t="shared" si="160"/>
        <v>1633.6936514740978</v>
      </c>
      <c r="AU49" s="1495">
        <f t="shared" si="160"/>
        <v>1611.7428925157647</v>
      </c>
      <c r="AV49" s="1495">
        <f t="shared" si="160"/>
        <v>1962.4228962248528</v>
      </c>
      <c r="AW49" s="1495">
        <f t="shared" si="160"/>
        <v>2387.1125827116912</v>
      </c>
      <c r="AX49" s="1495">
        <f t="shared" si="160"/>
        <v>2483.6097575217627</v>
      </c>
      <c r="AY49" s="1495">
        <f t="shared" si="160"/>
        <v>2052.0090328178449</v>
      </c>
      <c r="AZ49" s="1495">
        <f t="shared" si="160"/>
        <v>1943.6391686174609</v>
      </c>
      <c r="BA49" s="1495">
        <f t="shared" si="160"/>
        <v>1894.9346728862156</v>
      </c>
      <c r="BB49" s="1495">
        <f t="shared" si="160"/>
        <v>1742.5870789581272</v>
      </c>
      <c r="BC49" s="1495">
        <f t="shared" si="160"/>
        <v>1720.067885196637</v>
      </c>
      <c r="BD49" s="1495">
        <f t="shared" si="160"/>
        <v>1503.8056746624802</v>
      </c>
      <c r="BE49" s="1495">
        <f t="shared" si="160"/>
        <v>1509.2129267458135</v>
      </c>
      <c r="BF49" s="1495">
        <f t="shared" si="160"/>
        <v>1474.9397917669999</v>
      </c>
      <c r="BG49" s="1495">
        <f t="shared" si="160"/>
        <v>2623.3753521909903</v>
      </c>
      <c r="BH49" s="1495">
        <f t="shared" si="160"/>
        <v>8130.1317563908287</v>
      </c>
      <c r="BI49" s="1495">
        <f t="shared" si="160"/>
        <v>10198.276019530067</v>
      </c>
      <c r="BJ49" s="1495">
        <f t="shared" si="160"/>
        <v>7844.1736422867016</v>
      </c>
      <c r="BK49" s="1495">
        <f t="shared" si="160"/>
        <v>8599.571625360386</v>
      </c>
      <c r="BL49" s="1495">
        <f t="shared" si="160"/>
        <v>635.33333333333326</v>
      </c>
      <c r="BM49" s="1495">
        <f t="shared" si="160"/>
        <v>930.43524912936277</v>
      </c>
      <c r="BN49" s="1495">
        <f t="shared" si="160"/>
        <v>621.21575571449512</v>
      </c>
      <c r="BO49" s="1497"/>
      <c r="BP49" s="1496">
        <f t="shared" ref="BP49:CT49" si="161">BP21+BP24+BP34-BP9-BP10</f>
        <v>2005.7139812279863</v>
      </c>
      <c r="BQ49" s="1495">
        <f t="shared" si="161"/>
        <v>2223.311490686363</v>
      </c>
      <c r="BR49" s="1495">
        <f t="shared" si="161"/>
        <v>2206.1682342078038</v>
      </c>
      <c r="BS49" s="1495">
        <f t="shared" si="161"/>
        <v>2186.787616500686</v>
      </c>
      <c r="BT49" s="1495">
        <f t="shared" si="161"/>
        <v>1884.9979509493214</v>
      </c>
      <c r="BU49" s="1495">
        <f t="shared" si="161"/>
        <v>2060.1039156665624</v>
      </c>
      <c r="BV49" s="1495">
        <f t="shared" si="161"/>
        <v>2131.4878039064388</v>
      </c>
      <c r="BW49" s="1495">
        <f t="shared" si="161"/>
        <v>2060.0945357207629</v>
      </c>
      <c r="BX49" s="1495">
        <f t="shared" si="161"/>
        <v>1823.1888709152254</v>
      </c>
      <c r="BY49" s="1495">
        <f t="shared" si="161"/>
        <v>1917.6458100058137</v>
      </c>
      <c r="BZ49" s="1495">
        <f t="shared" si="161"/>
        <v>1728.9567474396861</v>
      </c>
      <c r="CA49" s="1495">
        <f t="shared" si="161"/>
        <v>1726.9231555646861</v>
      </c>
      <c r="CB49" s="1495">
        <f t="shared" si="161"/>
        <v>2052.0291058743137</v>
      </c>
      <c r="CC49" s="1495">
        <f t="shared" si="161"/>
        <v>2636.6960650595342</v>
      </c>
      <c r="CD49" s="1495">
        <f t="shared" si="161"/>
        <v>2671.4382373538801</v>
      </c>
      <c r="CE49" s="1495">
        <f t="shared" si="161"/>
        <v>2240.7939757749627</v>
      </c>
      <c r="CF49" s="1495">
        <f t="shared" si="161"/>
        <v>2069.8852970718135</v>
      </c>
      <c r="CG49" s="1495">
        <f t="shared" si="161"/>
        <v>2038.2687627440098</v>
      </c>
      <c r="CH49" s="1495">
        <f t="shared" si="161"/>
        <v>1853.7687963251665</v>
      </c>
      <c r="CI49" s="1495">
        <f t="shared" si="161"/>
        <v>1840.3132333877647</v>
      </c>
      <c r="CJ49" s="1495">
        <f t="shared" si="161"/>
        <v>1650.3755878211859</v>
      </c>
      <c r="CK49" s="1495">
        <f t="shared" si="161"/>
        <v>1665.3452336545195</v>
      </c>
      <c r="CL49" s="1495">
        <f t="shared" si="161"/>
        <v>1591.3327957153824</v>
      </c>
      <c r="CM49" s="1495">
        <f t="shared" si="161"/>
        <v>2855.5070722384999</v>
      </c>
      <c r="CN49" s="1495">
        <f t="shared" si="161"/>
        <v>8301.78294512297</v>
      </c>
      <c r="CO49" s="1495">
        <f t="shared" si="161"/>
        <v>10381.790454976388</v>
      </c>
      <c r="CP49" s="1495">
        <f t="shared" si="161"/>
        <v>7984.4090810188463</v>
      </c>
      <c r="CQ49" s="1495">
        <f t="shared" si="161"/>
        <v>8743.6529669957417</v>
      </c>
      <c r="CR49" s="1495">
        <f>CR21+CR24+CR34-CR9-CR10</f>
        <v>685.33333333333326</v>
      </c>
      <c r="CS49" s="1495">
        <f t="shared" si="161"/>
        <v>980.43524912936277</v>
      </c>
      <c r="CT49" s="1495">
        <f t="shared" si="161"/>
        <v>671.21575571449512</v>
      </c>
      <c r="CV49" s="1502" t="s">
        <v>1169</v>
      </c>
      <c r="CW49" s="1487" t="s">
        <v>171</v>
      </c>
      <c r="CX49" s="1495">
        <f>CX21+CX24+CX34-CX9-CX10</f>
        <v>680.57865939466569</v>
      </c>
      <c r="CY49" s="1495">
        <f>CY21+CY24+CY34-CY9-CY10</f>
        <v>505.88471045556275</v>
      </c>
      <c r="CZ49" s="1495">
        <f t="shared" ref="CZ49:DS49" si="162">CZ21+CZ24+CZ34-CZ9-CZ10</f>
        <v>645.27240939466571</v>
      </c>
      <c r="DA49" s="1495">
        <f t="shared" si="162"/>
        <v>561.19783545556277</v>
      </c>
      <c r="DB49" s="1495">
        <f t="shared" si="162"/>
        <v>1249.6464646181089</v>
      </c>
      <c r="DC49" s="1495">
        <f t="shared" si="162"/>
        <v>1432.7770930586971</v>
      </c>
      <c r="DD49" s="1495">
        <f t="shared" si="162"/>
        <v>1527.5848377040611</v>
      </c>
      <c r="DE49" s="1495">
        <f t="shared" si="162"/>
        <v>1530.1350435790609</v>
      </c>
      <c r="DF49" s="1495">
        <f t="shared" si="162"/>
        <v>1358.1069194705767</v>
      </c>
      <c r="DG49" s="1495">
        <f t="shared" si="162"/>
        <v>1354.9564173364752</v>
      </c>
      <c r="DH49" s="1495">
        <f>DH21+DH24+DH34-DH9-DH10</f>
        <v>1390.6322474705767</v>
      </c>
      <c r="DI49" s="1495">
        <f t="shared" si="162"/>
        <v>1260.605768739315</v>
      </c>
      <c r="DJ49" s="1495">
        <f t="shared" si="162"/>
        <v>2335.2574406324657</v>
      </c>
      <c r="DK49" s="1495">
        <f t="shared" si="162"/>
        <v>1385.6817938048434</v>
      </c>
      <c r="DL49" s="1495">
        <f t="shared" si="162"/>
        <v>1333.6176712160259</v>
      </c>
      <c r="DM49" s="1495">
        <f t="shared" si="162"/>
        <v>1677.3424094108088</v>
      </c>
      <c r="DN49" s="1495">
        <f t="shared" si="162"/>
        <v>2122.9551052738088</v>
      </c>
      <c r="DO49" s="1495">
        <f t="shared" si="162"/>
        <v>1739.7562091957529</v>
      </c>
      <c r="DP49" s="1495">
        <f t="shared" si="162"/>
        <v>4776.7588156347274</v>
      </c>
      <c r="DQ49" s="1495" t="e">
        <f t="shared" si="162"/>
        <v>#REF!</v>
      </c>
      <c r="DR49" s="1495">
        <f t="shared" si="162"/>
        <v>1052.4910921597941</v>
      </c>
      <c r="DS49" s="1495">
        <f t="shared" si="162"/>
        <v>1019.3697382799205</v>
      </c>
      <c r="DT49" s="1456"/>
      <c r="DU49" s="1495">
        <f>DU21+DU24+DU34-DU9-DU10</f>
        <v>523.32532606133236</v>
      </c>
      <c r="DV49" s="1495">
        <f>DV21+DV24+DV34-DV9-DV10</f>
        <v>405.79387712222945</v>
      </c>
      <c r="DW49" s="1495">
        <f>DW21+DW24+DW34-DW9-DW10</f>
        <v>488.01907606133233</v>
      </c>
      <c r="DX49" s="1495">
        <f>DX21+DX24+DX34-DX9-DX10</f>
        <v>461.1070021222294</v>
      </c>
      <c r="DY49" s="1496">
        <f t="shared" ref="DY49:EG49" si="163">DY21+DY24+DY34-DY9-DY10</f>
        <v>1529.3419643889031</v>
      </c>
      <c r="DZ49" s="1495">
        <f t="shared" si="163"/>
        <v>1541.5113672688149</v>
      </c>
      <c r="EA49" s="1495">
        <f t="shared" si="163"/>
        <v>1610.1319618368389</v>
      </c>
      <c r="EB49" s="1495">
        <f t="shared" si="163"/>
        <v>1613.5322363368393</v>
      </c>
      <c r="EC49" s="1495">
        <f t="shared" si="163"/>
        <v>1434.917648496802</v>
      </c>
      <c r="ED49" s="1495">
        <f t="shared" si="163"/>
        <v>1432.0619789846664</v>
      </c>
      <c r="EE49" s="1495">
        <f>EE21+EE24+EE34-EE9-EE10</f>
        <v>1566.8004854106284</v>
      </c>
      <c r="EF49" s="1495">
        <f t="shared" si="163"/>
        <v>1296.6954948838438</v>
      </c>
      <c r="EG49" s="1495">
        <f t="shared" si="163"/>
        <v>2656.2135005730961</v>
      </c>
      <c r="EH49" s="1495">
        <f t="shared" ref="EH49:EN49" si="164">EH21+EH24+EH34-EH9-EH10</f>
        <v>1516.4928482730852</v>
      </c>
      <c r="EI49" s="1495">
        <f t="shared" si="164"/>
        <v>1385.4207193032003</v>
      </c>
      <c r="EJ49" s="1495">
        <f t="shared" si="164"/>
        <v>1751.1143269359088</v>
      </c>
      <c r="EK49" s="1495">
        <f t="shared" si="164"/>
        <v>2516.406348167819</v>
      </c>
      <c r="EL49" s="1495">
        <f t="shared" si="164"/>
        <v>2015.9250954670283</v>
      </c>
      <c r="EM49" s="1495">
        <f t="shared" si="164"/>
        <v>4933.8886227898092</v>
      </c>
      <c r="EN49" s="1495" t="e">
        <f t="shared" si="164"/>
        <v>#REF!</v>
      </c>
      <c r="EO49" s="1495">
        <f>EO21+EO24+EO34-EO9-EO10</f>
        <v>1082.4910921597941</v>
      </c>
      <c r="EP49" s="1495">
        <f>EP21+EP24+EP34-EP9-EP10</f>
        <v>1019.3697382799205</v>
      </c>
      <c r="EQ49" s="1456"/>
      <c r="ER49" s="1495" t="e">
        <f>ER21+ER24+ER34-ER9-ER10</f>
        <v>#REF!</v>
      </c>
      <c r="ES49" s="1495" t="e">
        <f>ES21+ES24+ES34-ES9-ES10</f>
        <v>#REF!</v>
      </c>
      <c r="ET49" s="1495" t="e">
        <f>ET21+ET24+ET34-ET9-ET10</f>
        <v>#REF!</v>
      </c>
      <c r="EU49" s="1495" t="e">
        <f>EU21+EU24+EU34-EU9-EU10</f>
        <v>#REF!</v>
      </c>
      <c r="EV49" s="1496" t="e">
        <f t="shared" ref="EV49:FD49" si="165">EV21+EV24+EV34-EV9-EV10</f>
        <v>#REF!</v>
      </c>
      <c r="EW49" s="1495" t="e">
        <f t="shared" si="165"/>
        <v>#REF!</v>
      </c>
      <c r="EX49" s="1495" t="e">
        <f t="shared" si="165"/>
        <v>#REF!</v>
      </c>
      <c r="EY49" s="1495" t="e">
        <f t="shared" si="165"/>
        <v>#REF!</v>
      </c>
      <c r="EZ49" s="1495" t="e">
        <f t="shared" si="165"/>
        <v>#REF!</v>
      </c>
      <c r="FA49" s="1495" t="e">
        <f t="shared" si="165"/>
        <v>#REF!</v>
      </c>
      <c r="FB49" s="1495" t="e">
        <f>FB21+FB24+FB34-FB9-FB10</f>
        <v>#REF!</v>
      </c>
      <c r="FC49" s="1495" t="e">
        <f t="shared" si="165"/>
        <v>#REF!</v>
      </c>
      <c r="FD49" s="1495" t="e">
        <f t="shared" si="165"/>
        <v>#REF!</v>
      </c>
      <c r="FE49" s="1495" t="e">
        <f t="shared" ref="FE49:FK49" si="166">FE21+FE24+FE34-FE9-FE10</f>
        <v>#REF!</v>
      </c>
      <c r="FF49" s="1495" t="e">
        <f t="shared" si="166"/>
        <v>#REF!</v>
      </c>
      <c r="FG49" s="1495" t="e">
        <f t="shared" si="166"/>
        <v>#REF!</v>
      </c>
      <c r="FH49" s="1495" t="e">
        <f t="shared" si="166"/>
        <v>#REF!</v>
      </c>
      <c r="FI49" s="1495" t="e">
        <f t="shared" si="166"/>
        <v>#REF!</v>
      </c>
      <c r="FJ49" s="1495" t="e">
        <f t="shared" si="166"/>
        <v>#REF!</v>
      </c>
      <c r="FK49" s="1495" t="e">
        <f t="shared" si="166"/>
        <v>#REF!</v>
      </c>
      <c r="FL49" s="1495" t="e">
        <f>FL21+FL24+FL34-FL9-FL10</f>
        <v>#REF!</v>
      </c>
      <c r="FM49" s="1495" t="e">
        <f>FM21+FM24+FM34-FM9-FM10</f>
        <v>#REF!</v>
      </c>
    </row>
    <row r="50" spans="1:171" s="1474" customFormat="1" ht="16.149999999999999" customHeight="1">
      <c r="A50" s="1463">
        <f>ROWS($A$1:A50)</f>
        <v>50</v>
      </c>
      <c r="B50" s="1501" t="s">
        <v>1168</v>
      </c>
      <c r="C50" s="1478" t="s">
        <v>228</v>
      </c>
      <c r="D50" s="1498">
        <f>IF(D6=0,0,D49/D6)</f>
        <v>24.257336166042506</v>
      </c>
      <c r="E50" s="1498">
        <f t="shared" ref="E50:AH50" si="167">IF(E6=0,0,E49/E6)</f>
        <v>30.698712478538003</v>
      </c>
      <c r="F50" s="1498">
        <f t="shared" si="167"/>
        <v>33.604014995158572</v>
      </c>
      <c r="G50" s="1498">
        <f t="shared" si="167"/>
        <v>34.521748356067661</v>
      </c>
      <c r="H50" s="1498">
        <f t="shared" si="167"/>
        <v>29.57332050027793</v>
      </c>
      <c r="I50" s="1498">
        <f t="shared" si="167"/>
        <v>28.923520302338101</v>
      </c>
      <c r="J50" s="1498">
        <f t="shared" si="167"/>
        <v>32.563437404249484</v>
      </c>
      <c r="K50" s="1498">
        <f t="shared" si="167"/>
        <v>35.785048790103254</v>
      </c>
      <c r="L50" s="1498">
        <f t="shared" si="167"/>
        <v>29.369787728761676</v>
      </c>
      <c r="M50" s="1498">
        <f t="shared" si="167"/>
        <v>33.568230011492744</v>
      </c>
      <c r="N50" s="1498">
        <f t="shared" si="167"/>
        <v>38.460763887712751</v>
      </c>
      <c r="O50" s="1498">
        <f t="shared" si="167"/>
        <v>32.701107116725922</v>
      </c>
      <c r="P50" s="1498">
        <f t="shared" si="167"/>
        <v>44.840106681911763</v>
      </c>
      <c r="Q50" s="1498">
        <f t="shared" si="167"/>
        <v>26.719113754548097</v>
      </c>
      <c r="R50" s="1498">
        <f t="shared" si="167"/>
        <v>28.697265971120562</v>
      </c>
      <c r="S50" s="1498">
        <f t="shared" si="167"/>
        <v>60.91712500474307</v>
      </c>
      <c r="T50" s="1498">
        <f t="shared" si="167"/>
        <v>89.087208422446579</v>
      </c>
      <c r="U50" s="1498">
        <f t="shared" si="167"/>
        <v>70.064023321136858</v>
      </c>
      <c r="V50" s="1498">
        <f t="shared" si="167"/>
        <v>81.57026807955441</v>
      </c>
      <c r="W50" s="1498">
        <f t="shared" si="167"/>
        <v>106.65483580036731</v>
      </c>
      <c r="X50" s="1498">
        <f t="shared" si="167"/>
        <v>68.052276233124033</v>
      </c>
      <c r="Y50" s="1498">
        <f t="shared" si="167"/>
        <v>67.749275070823046</v>
      </c>
      <c r="Z50" s="1498">
        <f t="shared" si="167"/>
        <v>135.85467878186176</v>
      </c>
      <c r="AA50" s="1498">
        <f t="shared" si="167"/>
        <v>5.7618759062599718</v>
      </c>
      <c r="AB50" s="1498">
        <f t="shared" si="167"/>
        <v>31.80221788968236</v>
      </c>
      <c r="AC50" s="1498">
        <f t="shared" si="167"/>
        <v>33.461626925040342</v>
      </c>
      <c r="AD50" s="1498">
        <f t="shared" si="167"/>
        <v>21.221654496039893</v>
      </c>
      <c r="AE50" s="1498">
        <f t="shared" si="167"/>
        <v>22.072211040449222</v>
      </c>
      <c r="AF50" s="1498">
        <f t="shared" si="167"/>
        <v>0</v>
      </c>
      <c r="AG50" s="1498">
        <f t="shared" si="167"/>
        <v>880.43524912936277</v>
      </c>
      <c r="AH50" s="1498">
        <f t="shared" si="167"/>
        <v>317.88242238116175</v>
      </c>
      <c r="AI50" s="1500"/>
      <c r="AJ50" s="1499">
        <f t="shared" ref="AJ50:BN50" si="168">IF(AJ6=0,0,AJ49/AJ6)</f>
        <v>23.212824092514467</v>
      </c>
      <c r="AK50" s="1498">
        <f t="shared" si="168"/>
        <v>27.239087845990948</v>
      </c>
      <c r="AL50" s="1498">
        <f t="shared" si="168"/>
        <v>28.991625421010895</v>
      </c>
      <c r="AM50" s="1498">
        <f t="shared" si="168"/>
        <v>31.42679827757237</v>
      </c>
      <c r="AN50" s="1498">
        <f t="shared" si="168"/>
        <v>26.798742007267748</v>
      </c>
      <c r="AO50" s="1498">
        <f t="shared" si="168"/>
        <v>25.203982467679502</v>
      </c>
      <c r="AP50" s="1498">
        <f t="shared" si="168"/>
        <v>27.795238630991399</v>
      </c>
      <c r="AQ50" s="1498">
        <f t="shared" si="168"/>
        <v>32.347339608560752</v>
      </c>
      <c r="AR50" s="1498">
        <f t="shared" si="168"/>
        <v>28.266490449977823</v>
      </c>
      <c r="AS50" s="1498">
        <f t="shared" si="168"/>
        <v>29.967144254837088</v>
      </c>
      <c r="AT50" s="1498">
        <f t="shared" si="168"/>
        <v>33.340686764777509</v>
      </c>
      <c r="AU50" s="1498">
        <f t="shared" si="168"/>
        <v>29.304416227559358</v>
      </c>
      <c r="AV50" s="1498">
        <f t="shared" si="168"/>
        <v>35.680416294997322</v>
      </c>
      <c r="AW50" s="1498">
        <f t="shared" si="168"/>
        <v>23.871125827116913</v>
      </c>
      <c r="AX50" s="1498">
        <f t="shared" si="168"/>
        <v>27.595663972464031</v>
      </c>
      <c r="AY50" s="1498">
        <f t="shared" si="168"/>
        <v>51.300225820446123</v>
      </c>
      <c r="AZ50" s="1498">
        <f t="shared" si="168"/>
        <v>77.745566744698436</v>
      </c>
      <c r="BA50" s="1498">
        <f t="shared" si="168"/>
        <v>63.164489096207184</v>
      </c>
      <c r="BB50" s="1498">
        <f t="shared" si="168"/>
        <v>64.54026218363434</v>
      </c>
      <c r="BC50" s="1498">
        <f t="shared" si="168"/>
        <v>86.00339425983185</v>
      </c>
      <c r="BD50" s="1498">
        <f t="shared" si="168"/>
        <v>42.965876418928005</v>
      </c>
      <c r="BE50" s="1498">
        <f t="shared" si="168"/>
        <v>43.120369335594674</v>
      </c>
      <c r="BF50" s="1498">
        <f t="shared" si="168"/>
        <v>58.997591670679995</v>
      </c>
      <c r="BG50" s="1498">
        <f t="shared" si="168"/>
        <v>3.5936648660150552</v>
      </c>
      <c r="BH50" s="1498">
        <f t="shared" si="168"/>
        <v>27.100439187969428</v>
      </c>
      <c r="BI50" s="1498">
        <f t="shared" si="168"/>
        <v>29.13793148437162</v>
      </c>
      <c r="BJ50" s="1498">
        <f t="shared" si="168"/>
        <v>21.432168421548365</v>
      </c>
      <c r="BK50" s="1498">
        <f t="shared" si="168"/>
        <v>20.234286177318555</v>
      </c>
      <c r="BL50" s="1498">
        <f t="shared" si="168"/>
        <v>0</v>
      </c>
      <c r="BM50" s="1498">
        <f t="shared" si="168"/>
        <v>930.43524912936277</v>
      </c>
      <c r="BN50" s="1498">
        <f t="shared" si="168"/>
        <v>621.21575571449512</v>
      </c>
      <c r="BO50" s="1500"/>
      <c r="BP50" s="1499">
        <f t="shared" ref="BP50:CT50" si="169">IF(BP6=0,0,BP49/BP6)</f>
        <v>21.112778749768278</v>
      </c>
      <c r="BQ50" s="1498">
        <f t="shared" si="169"/>
        <v>24.703461007626256</v>
      </c>
      <c r="BR50" s="1498">
        <f t="shared" si="169"/>
        <v>25.954920402444753</v>
      </c>
      <c r="BS50" s="1498">
        <f t="shared" si="169"/>
        <v>29.157168220009147</v>
      </c>
      <c r="BT50" s="1498">
        <f t="shared" si="169"/>
        <v>25.13330601265762</v>
      </c>
      <c r="BU50" s="1498">
        <f t="shared" si="169"/>
        <v>22.890043507406251</v>
      </c>
      <c r="BV50" s="1498">
        <f t="shared" si="169"/>
        <v>25.076327104781633</v>
      </c>
      <c r="BW50" s="1498">
        <f t="shared" si="169"/>
        <v>29.429921938868041</v>
      </c>
      <c r="BX50" s="1498">
        <f t="shared" si="169"/>
        <v>24.309184945536337</v>
      </c>
      <c r="BY50" s="1498">
        <f t="shared" si="169"/>
        <v>27.394940142940197</v>
      </c>
      <c r="BZ50" s="1498">
        <f t="shared" si="169"/>
        <v>29.809599093787689</v>
      </c>
      <c r="CA50" s="1498">
        <f t="shared" si="169"/>
        <v>26.568048547149019</v>
      </c>
      <c r="CB50" s="1498">
        <f t="shared" si="169"/>
        <v>34.200485097905229</v>
      </c>
      <c r="CC50" s="1498">
        <f t="shared" si="169"/>
        <v>21.972467208829453</v>
      </c>
      <c r="CD50" s="1498">
        <f t="shared" si="169"/>
        <v>26.7143823735388</v>
      </c>
      <c r="CE50" s="1498">
        <f t="shared" si="169"/>
        <v>44.815879515499255</v>
      </c>
      <c r="CF50" s="1498">
        <f t="shared" si="169"/>
        <v>68.996176569060452</v>
      </c>
      <c r="CG50" s="1498">
        <f t="shared" si="169"/>
        <v>58.236250364114568</v>
      </c>
      <c r="CH50" s="1498">
        <f t="shared" si="169"/>
        <v>54.522611656622544</v>
      </c>
      <c r="CI50" s="1498">
        <f t="shared" si="169"/>
        <v>73.612529335510587</v>
      </c>
      <c r="CJ50" s="1498">
        <f t="shared" si="169"/>
        <v>33.007511756423717</v>
      </c>
      <c r="CK50" s="1498">
        <f t="shared" si="169"/>
        <v>33.306904673090386</v>
      </c>
      <c r="CL50" s="1498">
        <f t="shared" si="169"/>
        <v>39.783319892884563</v>
      </c>
      <c r="CM50" s="1498">
        <f t="shared" si="169"/>
        <v>3.3594200849864704</v>
      </c>
      <c r="CN50" s="1498">
        <f t="shared" si="169"/>
        <v>23.719379843208486</v>
      </c>
      <c r="CO50" s="1498">
        <f t="shared" si="169"/>
        <v>25.95447613744097</v>
      </c>
      <c r="CP50" s="1498">
        <f t="shared" si="169"/>
        <v>19.961022702547115</v>
      </c>
      <c r="CQ50" s="1498">
        <f t="shared" si="169"/>
        <v>18.763203791836357</v>
      </c>
      <c r="CR50" s="1498">
        <f>IF(CR6=0,0,CR49/CR6)</f>
        <v>0</v>
      </c>
      <c r="CS50" s="1498">
        <f t="shared" si="169"/>
        <v>980.43524912936277</v>
      </c>
      <c r="CT50" s="1498">
        <f t="shared" si="169"/>
        <v>671.21575571449512</v>
      </c>
      <c r="CV50" s="1501" t="s">
        <v>1168</v>
      </c>
      <c r="CW50" s="1478" t="s">
        <v>228</v>
      </c>
      <c r="CX50" s="1498">
        <f t="shared" ref="CX50:DS50" si="170">IF(CX6=0,0,CX49/CX6)</f>
        <v>2.2685955313155524</v>
      </c>
      <c r="CY50" s="1498">
        <f t="shared" si="170"/>
        <v>1.2647117761389068</v>
      </c>
      <c r="CZ50" s="1498">
        <f t="shared" si="170"/>
        <v>2.1509080313155522</v>
      </c>
      <c r="DA50" s="1498">
        <f t="shared" si="170"/>
        <v>1.6034223870158937</v>
      </c>
      <c r="DB50" s="1498">
        <f t="shared" si="170"/>
        <v>41.65488215393696</v>
      </c>
      <c r="DC50" s="1498">
        <f t="shared" si="170"/>
        <v>47.759236435289907</v>
      </c>
      <c r="DD50" s="1498">
        <f t="shared" si="170"/>
        <v>58.193708103011851</v>
      </c>
      <c r="DE50" s="1498">
        <f t="shared" si="170"/>
        <v>87.001281795540052</v>
      </c>
      <c r="DF50" s="1498">
        <f t="shared" si="170"/>
        <v>45.270230649019226</v>
      </c>
      <c r="DG50" s="1498">
        <f t="shared" si="170"/>
        <v>45.165213911215837</v>
      </c>
      <c r="DH50" s="1498">
        <f t="shared" si="170"/>
        <v>46.354408249019222</v>
      </c>
      <c r="DI50" s="1498">
        <f t="shared" si="170"/>
        <v>53.358974338172061</v>
      </c>
      <c r="DJ50" s="1498">
        <f t="shared" si="170"/>
        <v>38.920957343874427</v>
      </c>
      <c r="DK50" s="1498">
        <f t="shared" si="170"/>
        <v>52.787877859232132</v>
      </c>
      <c r="DL50" s="1498">
        <f t="shared" si="170"/>
        <v>59.271896498490037</v>
      </c>
      <c r="DM50" s="1498">
        <f t="shared" si="170"/>
        <v>65.778133702384665</v>
      </c>
      <c r="DN50" s="1498">
        <f t="shared" si="170"/>
        <v>106.14775526369044</v>
      </c>
      <c r="DO50" s="1498">
        <f t="shared" si="170"/>
        <v>173.97562091957531</v>
      </c>
      <c r="DP50" s="1498">
        <f t="shared" si="170"/>
        <v>31.845058770898184</v>
      </c>
      <c r="DQ50" s="1498" t="e">
        <f t="shared" si="170"/>
        <v>#REF!</v>
      </c>
      <c r="DR50" s="1498">
        <f t="shared" si="170"/>
        <v>0</v>
      </c>
      <c r="DS50" s="1498">
        <f t="shared" si="170"/>
        <v>0</v>
      </c>
      <c r="DU50" s="1498">
        <f>IF(DU6=0,0,DU49/DU6)</f>
        <v>1.3083133151533308</v>
      </c>
      <c r="DV50" s="1498">
        <f>IF(DV6=0,0,DV49/DV6)</f>
        <v>0.81158775424445895</v>
      </c>
      <c r="DW50" s="1498">
        <f>IF(DW6=0,0,DW49/DW6)</f>
        <v>1.2200476901533308</v>
      </c>
      <c r="DX50" s="1498">
        <f>IF(DX6=0,0,DX49/DX6)</f>
        <v>1.0246822269382876</v>
      </c>
      <c r="DY50" s="1499">
        <f t="shared" ref="DY50:EG50" si="171">IF(DY6=0,0,DY49/DY6)</f>
        <v>38.233549109722574</v>
      </c>
      <c r="DZ50" s="1498">
        <f t="shared" si="171"/>
        <v>38.537784181720369</v>
      </c>
      <c r="EA50" s="1498">
        <f t="shared" si="171"/>
        <v>46.003770338195395</v>
      </c>
      <c r="EB50" s="1498">
        <f t="shared" si="171"/>
        <v>68.807344833127473</v>
      </c>
      <c r="EC50" s="1498">
        <f t="shared" si="171"/>
        <v>35.872941212420052</v>
      </c>
      <c r="ED50" s="1498">
        <f t="shared" si="171"/>
        <v>35.801549474616664</v>
      </c>
      <c r="EE50" s="1498">
        <f>IF(EE6=0,0,EE49/EE6)</f>
        <v>39.170012135265708</v>
      </c>
      <c r="EF50" s="1498">
        <f t="shared" si="171"/>
        <v>41.164936345518853</v>
      </c>
      <c r="EG50" s="1498">
        <f t="shared" si="171"/>
        <v>33.2026687571637</v>
      </c>
      <c r="EH50" s="1498">
        <f t="shared" ref="EH50:EN50" si="172">IF(EH6=0,0,EH49/EH6)</f>
        <v>43.328367093516718</v>
      </c>
      <c r="EI50" s="1498">
        <f t="shared" si="172"/>
        <v>46.180690643440009</v>
      </c>
      <c r="EJ50" s="1498">
        <f t="shared" si="172"/>
        <v>58.370477564530297</v>
      </c>
      <c r="EK50" s="1498">
        <f t="shared" si="172"/>
        <v>83.880211605593971</v>
      </c>
      <c r="EL50" s="1498">
        <f t="shared" si="172"/>
        <v>106.10132081405412</v>
      </c>
      <c r="EM50" s="1498">
        <f t="shared" si="172"/>
        <v>26.314072654878984</v>
      </c>
      <c r="EN50" s="1498" t="e">
        <f t="shared" si="172"/>
        <v>#REF!</v>
      </c>
      <c r="EO50" s="1498">
        <f>IF(EO6=0,0,EO49/EO6)</f>
        <v>0</v>
      </c>
      <c r="EP50" s="1498">
        <f>IF(EP6=0,0,EP49/EP6)</f>
        <v>0</v>
      </c>
      <c r="ER50" s="1498" t="e">
        <f>IF(ER6=0,0,ER49/ER6)</f>
        <v>#REF!</v>
      </c>
      <c r="ES50" s="1498" t="e">
        <f>IF(ES6=0,0,ES49/ES6)</f>
        <v>#REF!</v>
      </c>
      <c r="ET50" s="1498" t="e">
        <f>IF(ET6=0,0,ET49/ET6)</f>
        <v>#REF!</v>
      </c>
      <c r="EU50" s="1498" t="e">
        <f>IF(EU6=0,0,EU49/EU6)</f>
        <v>#REF!</v>
      </c>
      <c r="EV50" s="1499" t="e">
        <f t="shared" ref="EV50:FD50" si="173">IF(EV6=0,0,EV49/EV6)</f>
        <v>#REF!</v>
      </c>
      <c r="EW50" s="1498" t="e">
        <f t="shared" si="173"/>
        <v>#REF!</v>
      </c>
      <c r="EX50" s="1498" t="e">
        <f t="shared" si="173"/>
        <v>#REF!</v>
      </c>
      <c r="EY50" s="1498" t="e">
        <f t="shared" si="173"/>
        <v>#REF!</v>
      </c>
      <c r="EZ50" s="1498" t="e">
        <f t="shared" si="173"/>
        <v>#REF!</v>
      </c>
      <c r="FA50" s="1498" t="e">
        <f t="shared" si="173"/>
        <v>#REF!</v>
      </c>
      <c r="FB50" s="1498" t="e">
        <f>IF(FB6=0,0,FB49/FB6)</f>
        <v>#REF!</v>
      </c>
      <c r="FC50" s="1498" t="e">
        <f t="shared" si="173"/>
        <v>#REF!</v>
      </c>
      <c r="FD50" s="1498" t="e">
        <f t="shared" si="173"/>
        <v>#REF!</v>
      </c>
      <c r="FE50" s="1498" t="e">
        <f t="shared" ref="FE50:FK50" si="174">IF(FE6=0,0,FE49/FE6)</f>
        <v>#REF!</v>
      </c>
      <c r="FF50" s="1498" t="e">
        <f t="shared" si="174"/>
        <v>#REF!</v>
      </c>
      <c r="FG50" s="1498" t="e">
        <f t="shared" si="174"/>
        <v>#REF!</v>
      </c>
      <c r="FH50" s="1498" t="e">
        <f t="shared" si="174"/>
        <v>#REF!</v>
      </c>
      <c r="FI50" s="1498" t="e">
        <f t="shared" si="174"/>
        <v>#REF!</v>
      </c>
      <c r="FJ50" s="1498" t="e">
        <f t="shared" si="174"/>
        <v>#REF!</v>
      </c>
      <c r="FK50" s="1498" t="e">
        <f t="shared" si="174"/>
        <v>#REF!</v>
      </c>
      <c r="FL50" s="1498">
        <f>IF(FL6=0,0,FL49/FL6)</f>
        <v>0</v>
      </c>
      <c r="FM50" s="1498">
        <f>IF(FM6=0,0,FM49/FM6)</f>
        <v>0</v>
      </c>
    </row>
    <row r="51" spans="1:171" ht="16.149999999999999" customHeight="1">
      <c r="A51" s="1463">
        <f>ROWS($A$1:A51)</f>
        <v>51</v>
      </c>
      <c r="B51" s="1488" t="s">
        <v>1167</v>
      </c>
      <c r="C51" s="1487" t="s">
        <v>171</v>
      </c>
      <c r="D51" s="1495">
        <f>D23</f>
        <v>535.4</v>
      </c>
      <c r="E51" s="1495">
        <f t="shared" ref="E51:AH51" si="175">E23</f>
        <v>535.4</v>
      </c>
      <c r="F51" s="1495">
        <f t="shared" si="175"/>
        <v>455.4</v>
      </c>
      <c r="G51" s="1495">
        <f t="shared" si="175"/>
        <v>455.4</v>
      </c>
      <c r="H51" s="1495">
        <f t="shared" si="175"/>
        <v>535.4</v>
      </c>
      <c r="I51" s="1495">
        <f t="shared" si="175"/>
        <v>535.4</v>
      </c>
      <c r="J51" s="1495">
        <f t="shared" si="175"/>
        <v>455.4</v>
      </c>
      <c r="K51" s="1495">
        <f t="shared" si="175"/>
        <v>355.4</v>
      </c>
      <c r="L51" s="1495">
        <f t="shared" si="175"/>
        <v>455.4</v>
      </c>
      <c r="M51" s="1495">
        <f t="shared" si="175"/>
        <v>455.4</v>
      </c>
      <c r="N51" s="1495">
        <f t="shared" si="175"/>
        <v>455.4</v>
      </c>
      <c r="O51" s="1495">
        <f t="shared" si="175"/>
        <v>455.4</v>
      </c>
      <c r="P51" s="1495">
        <f t="shared" si="175"/>
        <v>455.4</v>
      </c>
      <c r="Q51" s="1495">
        <f t="shared" si="175"/>
        <v>455.4</v>
      </c>
      <c r="R51" s="1495">
        <f t="shared" si="175"/>
        <v>455.4</v>
      </c>
      <c r="S51" s="1495">
        <f t="shared" si="175"/>
        <v>455.4</v>
      </c>
      <c r="T51" s="1495">
        <f t="shared" si="175"/>
        <v>455.4</v>
      </c>
      <c r="U51" s="1495">
        <f t="shared" si="175"/>
        <v>455.4</v>
      </c>
      <c r="V51" s="1495">
        <f t="shared" si="175"/>
        <v>455.4</v>
      </c>
      <c r="W51" s="1495">
        <f t="shared" si="175"/>
        <v>455.4</v>
      </c>
      <c r="X51" s="1495">
        <f t="shared" si="175"/>
        <v>555.4</v>
      </c>
      <c r="Y51" s="1495">
        <f t="shared" si="175"/>
        <v>455.4</v>
      </c>
      <c r="Z51" s="1495">
        <f t="shared" si="175"/>
        <v>455.4</v>
      </c>
      <c r="AA51" s="1495">
        <f t="shared" si="175"/>
        <v>455.4</v>
      </c>
      <c r="AB51" s="1495">
        <f t="shared" si="175"/>
        <v>455.4</v>
      </c>
      <c r="AC51" s="1495">
        <f t="shared" si="175"/>
        <v>455.4</v>
      </c>
      <c r="AD51" s="1495">
        <f t="shared" si="175"/>
        <v>455.4</v>
      </c>
      <c r="AE51" s="1495">
        <f t="shared" si="175"/>
        <v>455.4</v>
      </c>
      <c r="AF51" s="1495">
        <f t="shared" si="175"/>
        <v>0</v>
      </c>
      <c r="AG51" s="1495">
        <f t="shared" si="175"/>
        <v>1085.4000000000001</v>
      </c>
      <c r="AH51" s="1495">
        <f t="shared" si="175"/>
        <v>455.4</v>
      </c>
      <c r="AI51" s="1497"/>
      <c r="AJ51" s="1496">
        <f t="shared" ref="AJ51:BN51" si="176">AJ23</f>
        <v>535.4</v>
      </c>
      <c r="AK51" s="1495">
        <f t="shared" si="176"/>
        <v>535.4</v>
      </c>
      <c r="AL51" s="1495">
        <f t="shared" si="176"/>
        <v>455.4</v>
      </c>
      <c r="AM51" s="1495">
        <f t="shared" si="176"/>
        <v>455.4</v>
      </c>
      <c r="AN51" s="1495">
        <f t="shared" si="176"/>
        <v>535.4</v>
      </c>
      <c r="AO51" s="1495">
        <f t="shared" si="176"/>
        <v>535.4</v>
      </c>
      <c r="AP51" s="1495">
        <f t="shared" si="176"/>
        <v>455.4</v>
      </c>
      <c r="AQ51" s="1495">
        <f t="shared" si="176"/>
        <v>355.4</v>
      </c>
      <c r="AR51" s="1495">
        <f t="shared" si="176"/>
        <v>455.4</v>
      </c>
      <c r="AS51" s="1495">
        <f t="shared" si="176"/>
        <v>455.4</v>
      </c>
      <c r="AT51" s="1495">
        <f t="shared" si="176"/>
        <v>455.4</v>
      </c>
      <c r="AU51" s="1495">
        <f t="shared" si="176"/>
        <v>455.4</v>
      </c>
      <c r="AV51" s="1495">
        <f t="shared" si="176"/>
        <v>455.4</v>
      </c>
      <c r="AW51" s="1495">
        <f t="shared" si="176"/>
        <v>455.4</v>
      </c>
      <c r="AX51" s="1495">
        <f t="shared" si="176"/>
        <v>455.4</v>
      </c>
      <c r="AY51" s="1495">
        <f t="shared" si="176"/>
        <v>455.4</v>
      </c>
      <c r="AZ51" s="1495">
        <f t="shared" si="176"/>
        <v>455.4</v>
      </c>
      <c r="BA51" s="1495">
        <f t="shared" si="176"/>
        <v>455.4</v>
      </c>
      <c r="BB51" s="1495">
        <f t="shared" si="176"/>
        <v>455.4</v>
      </c>
      <c r="BC51" s="1495">
        <f t="shared" si="176"/>
        <v>455.4</v>
      </c>
      <c r="BD51" s="1495">
        <f t="shared" si="176"/>
        <v>555.4</v>
      </c>
      <c r="BE51" s="1495">
        <f t="shared" si="176"/>
        <v>455.4</v>
      </c>
      <c r="BF51" s="1495">
        <f t="shared" si="176"/>
        <v>455.4</v>
      </c>
      <c r="BG51" s="1495">
        <f t="shared" si="176"/>
        <v>355.4</v>
      </c>
      <c r="BH51" s="1495">
        <f t="shared" si="176"/>
        <v>455.4</v>
      </c>
      <c r="BI51" s="1495">
        <f t="shared" si="176"/>
        <v>455.4</v>
      </c>
      <c r="BJ51" s="1495">
        <f t="shared" si="176"/>
        <v>455.4</v>
      </c>
      <c r="BK51" s="1495">
        <f t="shared" si="176"/>
        <v>455.4</v>
      </c>
      <c r="BL51" s="1495">
        <f t="shared" si="176"/>
        <v>0</v>
      </c>
      <c r="BM51" s="1495">
        <f t="shared" si="176"/>
        <v>1085.4000000000001</v>
      </c>
      <c r="BN51" s="1495">
        <f t="shared" si="176"/>
        <v>455.4</v>
      </c>
      <c r="BO51" s="1497"/>
      <c r="BP51" s="1496">
        <f t="shared" ref="BP51:CT51" si="177">BP23</f>
        <v>535.4</v>
      </c>
      <c r="BQ51" s="1495">
        <f t="shared" si="177"/>
        <v>535.4</v>
      </c>
      <c r="BR51" s="1495">
        <f t="shared" si="177"/>
        <v>455.4</v>
      </c>
      <c r="BS51" s="1495">
        <f t="shared" si="177"/>
        <v>455.4</v>
      </c>
      <c r="BT51" s="1495">
        <f t="shared" si="177"/>
        <v>535.4</v>
      </c>
      <c r="BU51" s="1495">
        <f t="shared" si="177"/>
        <v>535.4</v>
      </c>
      <c r="BV51" s="1495">
        <f t="shared" si="177"/>
        <v>455.4</v>
      </c>
      <c r="BW51" s="1495">
        <f t="shared" si="177"/>
        <v>355.4</v>
      </c>
      <c r="BX51" s="1495">
        <f t="shared" si="177"/>
        <v>455.4</v>
      </c>
      <c r="BY51" s="1495">
        <f t="shared" si="177"/>
        <v>455.4</v>
      </c>
      <c r="BZ51" s="1495">
        <f t="shared" si="177"/>
        <v>455.4</v>
      </c>
      <c r="CA51" s="1495">
        <f t="shared" si="177"/>
        <v>455.4</v>
      </c>
      <c r="CB51" s="1495">
        <f t="shared" si="177"/>
        <v>455.4</v>
      </c>
      <c r="CC51" s="1495">
        <f t="shared" si="177"/>
        <v>455.4</v>
      </c>
      <c r="CD51" s="1495">
        <f t="shared" si="177"/>
        <v>455.4</v>
      </c>
      <c r="CE51" s="1495">
        <f t="shared" si="177"/>
        <v>455.4</v>
      </c>
      <c r="CF51" s="1495">
        <f t="shared" si="177"/>
        <v>455.4</v>
      </c>
      <c r="CG51" s="1495">
        <f t="shared" si="177"/>
        <v>455.4</v>
      </c>
      <c r="CH51" s="1495">
        <f t="shared" si="177"/>
        <v>455.4</v>
      </c>
      <c r="CI51" s="1495">
        <f t="shared" si="177"/>
        <v>455.4</v>
      </c>
      <c r="CJ51" s="1495">
        <f t="shared" si="177"/>
        <v>555.4</v>
      </c>
      <c r="CK51" s="1495">
        <f t="shared" si="177"/>
        <v>455.4</v>
      </c>
      <c r="CL51" s="1495">
        <f t="shared" si="177"/>
        <v>455.4</v>
      </c>
      <c r="CM51" s="1495">
        <f t="shared" si="177"/>
        <v>455.4</v>
      </c>
      <c r="CN51" s="1495">
        <f t="shared" si="177"/>
        <v>455.4</v>
      </c>
      <c r="CO51" s="1495">
        <f t="shared" si="177"/>
        <v>455.4</v>
      </c>
      <c r="CP51" s="1495">
        <f t="shared" si="177"/>
        <v>455.4</v>
      </c>
      <c r="CQ51" s="1495">
        <f t="shared" si="177"/>
        <v>455.4</v>
      </c>
      <c r="CR51" s="1495">
        <f>CR23</f>
        <v>0</v>
      </c>
      <c r="CS51" s="1495">
        <f t="shared" si="177"/>
        <v>1085.4000000000001</v>
      </c>
      <c r="CT51" s="1495">
        <f t="shared" si="177"/>
        <v>455.4</v>
      </c>
      <c r="CV51" s="1488" t="s">
        <v>1167</v>
      </c>
      <c r="CW51" s="1487" t="s">
        <v>171</v>
      </c>
      <c r="CX51" s="1495">
        <f>CX23</f>
        <v>455.4</v>
      </c>
      <c r="CY51" s="1495">
        <f>CY23</f>
        <v>695.4</v>
      </c>
      <c r="CZ51" s="1495">
        <f>CZ23</f>
        <v>695.4</v>
      </c>
      <c r="DA51" s="1495">
        <f>DA23</f>
        <v>695.4</v>
      </c>
      <c r="DB51" s="1495">
        <f t="shared" ref="DB51:DJ51" si="178">DB23</f>
        <v>595.4</v>
      </c>
      <c r="DC51" s="1495">
        <f t="shared" si="178"/>
        <v>695.4</v>
      </c>
      <c r="DD51" s="1495">
        <f>DD23</f>
        <v>595.4</v>
      </c>
      <c r="DE51" s="1495">
        <f t="shared" si="178"/>
        <v>595.4</v>
      </c>
      <c r="DF51" s="1495">
        <f t="shared" si="178"/>
        <v>595.4</v>
      </c>
      <c r="DG51" s="1495">
        <f t="shared" si="178"/>
        <v>595.4</v>
      </c>
      <c r="DH51" s="1495">
        <f>DH23</f>
        <v>595.4</v>
      </c>
      <c r="DI51" s="1495">
        <f t="shared" si="178"/>
        <v>595.4</v>
      </c>
      <c r="DJ51" s="1495">
        <f t="shared" si="178"/>
        <v>595.4</v>
      </c>
      <c r="DK51" s="1495">
        <f>DK23</f>
        <v>595.4</v>
      </c>
      <c r="DL51" s="1495">
        <f t="shared" ref="DL51:DS51" si="179">DL23</f>
        <v>595.4</v>
      </c>
      <c r="DM51" s="1495">
        <f t="shared" si="179"/>
        <v>595.4</v>
      </c>
      <c r="DN51" s="1495">
        <f t="shared" si="179"/>
        <v>595.4</v>
      </c>
      <c r="DO51" s="1495">
        <f t="shared" si="179"/>
        <v>595.4</v>
      </c>
      <c r="DP51" s="1495">
        <f t="shared" si="179"/>
        <v>595.4</v>
      </c>
      <c r="DQ51" s="1495" t="e">
        <f t="shared" si="179"/>
        <v>#REF!</v>
      </c>
      <c r="DR51" s="1495">
        <f t="shared" si="179"/>
        <v>0</v>
      </c>
      <c r="DS51" s="1495">
        <f t="shared" si="179"/>
        <v>100</v>
      </c>
      <c r="DT51" s="1456"/>
      <c r="DU51" s="1495">
        <f>DU23</f>
        <v>455.4</v>
      </c>
      <c r="DV51" s="1495">
        <f>DV23</f>
        <v>695.4</v>
      </c>
      <c r="DW51" s="1495">
        <f>DW23</f>
        <v>695.4</v>
      </c>
      <c r="DX51" s="1495">
        <f>DX23</f>
        <v>695.4</v>
      </c>
      <c r="DY51" s="1496">
        <f t="shared" ref="DY51:EG51" si="180">DY23</f>
        <v>595.4</v>
      </c>
      <c r="DZ51" s="1495">
        <f t="shared" si="180"/>
        <v>695.4</v>
      </c>
      <c r="EA51" s="1495">
        <f t="shared" si="180"/>
        <v>595.4</v>
      </c>
      <c r="EB51" s="1495">
        <f t="shared" si="180"/>
        <v>595.4</v>
      </c>
      <c r="EC51" s="1495">
        <f t="shared" si="180"/>
        <v>595.4</v>
      </c>
      <c r="ED51" s="1495">
        <f t="shared" si="180"/>
        <v>595.4</v>
      </c>
      <c r="EE51" s="1495">
        <f>EE23</f>
        <v>595.4</v>
      </c>
      <c r="EF51" s="1495">
        <f t="shared" si="180"/>
        <v>595.4</v>
      </c>
      <c r="EG51" s="1495">
        <f t="shared" si="180"/>
        <v>595.4</v>
      </c>
      <c r="EH51" s="1495">
        <f t="shared" ref="EH51:EN51" si="181">EH23</f>
        <v>595.4</v>
      </c>
      <c r="EI51" s="1495">
        <f t="shared" si="181"/>
        <v>595.4</v>
      </c>
      <c r="EJ51" s="1495">
        <f t="shared" si="181"/>
        <v>595.4</v>
      </c>
      <c r="EK51" s="1495">
        <f t="shared" si="181"/>
        <v>595.4</v>
      </c>
      <c r="EL51" s="1495">
        <f t="shared" si="181"/>
        <v>595.4</v>
      </c>
      <c r="EM51" s="1495">
        <f t="shared" si="181"/>
        <v>595.4</v>
      </c>
      <c r="EN51" s="1495" t="e">
        <f t="shared" si="181"/>
        <v>#REF!</v>
      </c>
      <c r="EO51" s="1495">
        <f>EO23</f>
        <v>0</v>
      </c>
      <c r="EP51" s="1495">
        <f>EP23</f>
        <v>100</v>
      </c>
      <c r="EQ51" s="1456"/>
      <c r="ER51" s="1495">
        <f>ER23</f>
        <v>455.4</v>
      </c>
      <c r="ES51" s="1495">
        <f>ES23</f>
        <v>695.4</v>
      </c>
      <c r="ET51" s="1495">
        <f>ET23</f>
        <v>695.4</v>
      </c>
      <c r="EU51" s="1495">
        <f>EU23</f>
        <v>695.4</v>
      </c>
      <c r="EV51" s="1496">
        <f t="shared" ref="EV51:FD51" si="182">EV23</f>
        <v>595.4</v>
      </c>
      <c r="EW51" s="1495">
        <f t="shared" si="182"/>
        <v>695.4</v>
      </c>
      <c r="EX51" s="1495">
        <f t="shared" si="182"/>
        <v>595.4</v>
      </c>
      <c r="EY51" s="1495">
        <f t="shared" si="182"/>
        <v>595.4</v>
      </c>
      <c r="EZ51" s="1495">
        <f t="shared" si="182"/>
        <v>595.4</v>
      </c>
      <c r="FA51" s="1495">
        <f t="shared" si="182"/>
        <v>595.4</v>
      </c>
      <c r="FB51" s="1495">
        <f>FB23</f>
        <v>595.4</v>
      </c>
      <c r="FC51" s="1495">
        <f t="shared" si="182"/>
        <v>595.4</v>
      </c>
      <c r="FD51" s="1495">
        <f t="shared" si="182"/>
        <v>595.4</v>
      </c>
      <c r="FE51" s="1495">
        <f t="shared" ref="FE51:FK51" si="183">FE23</f>
        <v>595.4</v>
      </c>
      <c r="FF51" s="1495">
        <f t="shared" si="183"/>
        <v>595.4</v>
      </c>
      <c r="FG51" s="1495">
        <f t="shared" si="183"/>
        <v>595.4</v>
      </c>
      <c r="FH51" s="1495">
        <f t="shared" si="183"/>
        <v>595.4</v>
      </c>
      <c r="FI51" s="1495">
        <f t="shared" si="183"/>
        <v>595.4</v>
      </c>
      <c r="FJ51" s="1495">
        <f t="shared" si="183"/>
        <v>595.4</v>
      </c>
      <c r="FK51" s="1495" t="e">
        <f t="shared" si="183"/>
        <v>#REF!</v>
      </c>
      <c r="FL51" s="1495">
        <f>FL23</f>
        <v>0</v>
      </c>
      <c r="FM51" s="1495">
        <f>FM23</f>
        <v>100</v>
      </c>
    </row>
    <row r="52" spans="1:171" s="1474" customFormat="1" ht="16.149999999999999" customHeight="1">
      <c r="A52" s="1463">
        <f>ROWS($A$1:A52)</f>
        <v>52</v>
      </c>
      <c r="B52" s="1483"/>
      <c r="C52" s="1482" t="s">
        <v>228</v>
      </c>
      <c r="D52" s="1492">
        <f>IF(D6=0,0,D51/D6)</f>
        <v>8.2369230769230768</v>
      </c>
      <c r="E52" s="1492">
        <f t="shared" ref="E52:AH52" si="184">IF(E6=0,0,E51/E6)</f>
        <v>8.9233333333333338</v>
      </c>
      <c r="F52" s="1492">
        <f t="shared" si="184"/>
        <v>8.2799999999999994</v>
      </c>
      <c r="G52" s="1492">
        <f t="shared" si="184"/>
        <v>8.2799999999999994</v>
      </c>
      <c r="H52" s="1492">
        <f t="shared" si="184"/>
        <v>9.7345454545454544</v>
      </c>
      <c r="I52" s="1492">
        <f t="shared" si="184"/>
        <v>8.9233333333333338</v>
      </c>
      <c r="J52" s="1492">
        <f t="shared" si="184"/>
        <v>8.2799999999999994</v>
      </c>
      <c r="K52" s="1492">
        <f t="shared" si="184"/>
        <v>7.1079999999999997</v>
      </c>
      <c r="L52" s="1492">
        <f t="shared" si="184"/>
        <v>8.2799999999999994</v>
      </c>
      <c r="M52" s="1492">
        <f t="shared" si="184"/>
        <v>9.1079999999999988</v>
      </c>
      <c r="N52" s="1492">
        <f t="shared" si="184"/>
        <v>11.385</v>
      </c>
      <c r="O52" s="1492">
        <f t="shared" si="184"/>
        <v>10.119999999999999</v>
      </c>
      <c r="P52" s="1492">
        <f t="shared" si="184"/>
        <v>11.385</v>
      </c>
      <c r="Q52" s="1492">
        <f t="shared" si="184"/>
        <v>5.6924999999999999</v>
      </c>
      <c r="R52" s="1492">
        <f t="shared" si="184"/>
        <v>5.6924999999999999</v>
      </c>
      <c r="S52" s="1492">
        <f t="shared" si="184"/>
        <v>15.18</v>
      </c>
      <c r="T52" s="1492">
        <f t="shared" si="184"/>
        <v>22.77</v>
      </c>
      <c r="U52" s="1492">
        <f t="shared" si="184"/>
        <v>18.215999999999998</v>
      </c>
      <c r="V52" s="1492">
        <f t="shared" si="184"/>
        <v>22.77</v>
      </c>
      <c r="W52" s="1492">
        <f t="shared" si="184"/>
        <v>30.36</v>
      </c>
      <c r="X52" s="1492">
        <f t="shared" si="184"/>
        <v>27.77</v>
      </c>
      <c r="Y52" s="1492">
        <f t="shared" si="184"/>
        <v>22.77</v>
      </c>
      <c r="Z52" s="1492">
        <f t="shared" si="184"/>
        <v>45.54</v>
      </c>
      <c r="AA52" s="1492">
        <f t="shared" si="184"/>
        <v>1.3011428571428572</v>
      </c>
      <c r="AB52" s="1492">
        <f t="shared" si="184"/>
        <v>1.8215999999999999</v>
      </c>
      <c r="AC52" s="1492">
        <f t="shared" si="184"/>
        <v>1.518</v>
      </c>
      <c r="AD52" s="1492">
        <f t="shared" si="184"/>
        <v>1.2476712328767123</v>
      </c>
      <c r="AE52" s="1492">
        <f t="shared" si="184"/>
        <v>1.1890339425587466</v>
      </c>
      <c r="AF52" s="1492">
        <f t="shared" si="184"/>
        <v>0</v>
      </c>
      <c r="AG52" s="1492">
        <f t="shared" si="184"/>
        <v>1085.4000000000001</v>
      </c>
      <c r="AH52" s="1492">
        <f t="shared" si="184"/>
        <v>455.4</v>
      </c>
      <c r="AI52" s="1494"/>
      <c r="AJ52" s="1493">
        <f t="shared" ref="AJ52:BN52" si="185">IF(AJ6=0,0,AJ51/AJ6)</f>
        <v>6.6924999999999999</v>
      </c>
      <c r="AK52" s="1492">
        <f t="shared" si="185"/>
        <v>7.1386666666666665</v>
      </c>
      <c r="AL52" s="1492">
        <f t="shared" si="185"/>
        <v>6.5057142857142853</v>
      </c>
      <c r="AM52" s="1492">
        <f t="shared" si="185"/>
        <v>7.006153846153846</v>
      </c>
      <c r="AN52" s="1492">
        <f t="shared" si="185"/>
        <v>8.2369230769230768</v>
      </c>
      <c r="AO52" s="1492">
        <f t="shared" si="185"/>
        <v>7.1386666666666665</v>
      </c>
      <c r="AP52" s="1492">
        <f t="shared" si="185"/>
        <v>6.5057142857142853</v>
      </c>
      <c r="AQ52" s="1492">
        <f t="shared" si="185"/>
        <v>5.9233333333333329</v>
      </c>
      <c r="AR52" s="1492">
        <f t="shared" si="185"/>
        <v>7.006153846153846</v>
      </c>
      <c r="AS52" s="1492">
        <f t="shared" si="185"/>
        <v>7.59</v>
      </c>
      <c r="AT52" s="1492">
        <f t="shared" si="185"/>
        <v>9.2938775510204081</v>
      </c>
      <c r="AU52" s="1492">
        <f t="shared" si="185"/>
        <v>8.2799999999999994</v>
      </c>
      <c r="AV52" s="1492">
        <f t="shared" si="185"/>
        <v>8.2799999999999994</v>
      </c>
      <c r="AW52" s="1492">
        <f t="shared" si="185"/>
        <v>4.5539999999999994</v>
      </c>
      <c r="AX52" s="1492">
        <f t="shared" si="185"/>
        <v>5.0599999999999996</v>
      </c>
      <c r="AY52" s="1492">
        <f t="shared" si="185"/>
        <v>11.385</v>
      </c>
      <c r="AZ52" s="1492">
        <f t="shared" si="185"/>
        <v>18.215999999999998</v>
      </c>
      <c r="BA52" s="1492">
        <f t="shared" si="185"/>
        <v>15.18</v>
      </c>
      <c r="BB52" s="1492">
        <f t="shared" si="185"/>
        <v>16.866666666666667</v>
      </c>
      <c r="BC52" s="1492">
        <f t="shared" si="185"/>
        <v>22.77</v>
      </c>
      <c r="BD52" s="1492">
        <f t="shared" si="185"/>
        <v>15.868571428571428</v>
      </c>
      <c r="BE52" s="1492">
        <f t="shared" si="185"/>
        <v>13.011428571428571</v>
      </c>
      <c r="BF52" s="1492">
        <f t="shared" si="185"/>
        <v>18.215999999999998</v>
      </c>
      <c r="BG52" s="1492">
        <f t="shared" si="185"/>
        <v>0.4868493150684931</v>
      </c>
      <c r="BH52" s="1492">
        <f t="shared" si="185"/>
        <v>1.518</v>
      </c>
      <c r="BI52" s="1492">
        <f t="shared" si="185"/>
        <v>1.3011428571428572</v>
      </c>
      <c r="BJ52" s="1492">
        <f t="shared" si="185"/>
        <v>1.2442622950819671</v>
      </c>
      <c r="BK52" s="1492">
        <f t="shared" si="185"/>
        <v>1.0715294117647058</v>
      </c>
      <c r="BL52" s="1492">
        <f t="shared" si="185"/>
        <v>0</v>
      </c>
      <c r="BM52" s="1492">
        <f t="shared" si="185"/>
        <v>1085.4000000000001</v>
      </c>
      <c r="BN52" s="1492">
        <f t="shared" si="185"/>
        <v>455.4</v>
      </c>
      <c r="BO52" s="1494"/>
      <c r="BP52" s="1493">
        <f t="shared" ref="BP52:CT52" si="186">IF(BP6=0,0,BP51/BP6)</f>
        <v>5.63578947368421</v>
      </c>
      <c r="BQ52" s="1492">
        <f t="shared" si="186"/>
        <v>5.9488888888888889</v>
      </c>
      <c r="BR52" s="1492">
        <f t="shared" si="186"/>
        <v>5.3576470588235292</v>
      </c>
      <c r="BS52" s="1492">
        <f t="shared" si="186"/>
        <v>6.0720000000000001</v>
      </c>
      <c r="BT52" s="1492">
        <f t="shared" si="186"/>
        <v>7.1386666666666665</v>
      </c>
      <c r="BU52" s="1492">
        <f t="shared" si="186"/>
        <v>5.9488888888888889</v>
      </c>
      <c r="BV52" s="1492">
        <f t="shared" si="186"/>
        <v>5.3576470588235292</v>
      </c>
      <c r="BW52" s="1492">
        <f t="shared" si="186"/>
        <v>5.0771428571428565</v>
      </c>
      <c r="BX52" s="1492">
        <f t="shared" si="186"/>
        <v>6.0720000000000001</v>
      </c>
      <c r="BY52" s="1492">
        <f t="shared" si="186"/>
        <v>6.5057142857142853</v>
      </c>
      <c r="BZ52" s="1492">
        <f t="shared" si="186"/>
        <v>7.8517241379310345</v>
      </c>
      <c r="CA52" s="1492">
        <f t="shared" si="186"/>
        <v>7.006153846153846</v>
      </c>
      <c r="CB52" s="1492">
        <f t="shared" si="186"/>
        <v>7.59</v>
      </c>
      <c r="CC52" s="1492">
        <f t="shared" si="186"/>
        <v>3.7949999999999999</v>
      </c>
      <c r="CD52" s="1492">
        <f t="shared" si="186"/>
        <v>4.5539999999999994</v>
      </c>
      <c r="CE52" s="1492">
        <f t="shared" si="186"/>
        <v>9.1079999999999988</v>
      </c>
      <c r="CF52" s="1492">
        <f t="shared" si="186"/>
        <v>15.18</v>
      </c>
      <c r="CG52" s="1492">
        <f t="shared" si="186"/>
        <v>13.011428571428571</v>
      </c>
      <c r="CH52" s="1492">
        <f t="shared" si="186"/>
        <v>13.394117647058822</v>
      </c>
      <c r="CI52" s="1492">
        <f t="shared" si="186"/>
        <v>18.215999999999998</v>
      </c>
      <c r="CJ52" s="1492">
        <f t="shared" si="186"/>
        <v>11.107999999999999</v>
      </c>
      <c r="CK52" s="1492">
        <f t="shared" si="186"/>
        <v>9.1079999999999988</v>
      </c>
      <c r="CL52" s="1492">
        <f t="shared" si="186"/>
        <v>11.385</v>
      </c>
      <c r="CM52" s="1492">
        <f t="shared" si="186"/>
        <v>0.53576470588235292</v>
      </c>
      <c r="CN52" s="1492">
        <f t="shared" si="186"/>
        <v>1.3011428571428572</v>
      </c>
      <c r="CO52" s="1492">
        <f t="shared" si="186"/>
        <v>1.1384999999999998</v>
      </c>
      <c r="CP52" s="1492">
        <f t="shared" si="186"/>
        <v>1.1384999999999998</v>
      </c>
      <c r="CQ52" s="1492">
        <f t="shared" si="186"/>
        <v>0.97725321888412009</v>
      </c>
      <c r="CR52" s="1492">
        <f>IF(CR6=0,0,CR51/CR6)</f>
        <v>0</v>
      </c>
      <c r="CS52" s="1492">
        <f t="shared" si="186"/>
        <v>1085.4000000000001</v>
      </c>
      <c r="CT52" s="1492">
        <f t="shared" si="186"/>
        <v>455.4</v>
      </c>
      <c r="CV52" s="1483"/>
      <c r="CW52" s="1482" t="s">
        <v>228</v>
      </c>
      <c r="CX52" s="1492">
        <f>IF(CX6=0,0,CX51/CX6)</f>
        <v>1.518</v>
      </c>
      <c r="CY52" s="1492">
        <f>IF(CY6=0,0,CY51/CY6)</f>
        <v>1.7384999999999999</v>
      </c>
      <c r="CZ52" s="1492">
        <f>IF(CZ6=0,0,CZ51/CZ6)</f>
        <v>2.3180000000000001</v>
      </c>
      <c r="DA52" s="1492">
        <f>IF(DA6=0,0,DA51/DA6)</f>
        <v>1.9868571428571429</v>
      </c>
      <c r="DB52" s="1492">
        <f t="shared" ref="DB52:DJ52" si="187">IF(DB6=0,0,DB51/DB6)</f>
        <v>19.846666666666668</v>
      </c>
      <c r="DC52" s="1492">
        <f t="shared" si="187"/>
        <v>23.18</v>
      </c>
      <c r="DD52" s="1492">
        <f>IF(DD6=0,0,DD51/DD6)</f>
        <v>22.681904761904761</v>
      </c>
      <c r="DE52" s="1492">
        <f t="shared" si="187"/>
        <v>33.853589196872775</v>
      </c>
      <c r="DF52" s="1492">
        <f t="shared" si="187"/>
        <v>19.846666666666668</v>
      </c>
      <c r="DG52" s="1492">
        <f t="shared" si="187"/>
        <v>19.846666666666668</v>
      </c>
      <c r="DH52" s="1492">
        <f>IF(DH6=0,0,DH51/DH6)</f>
        <v>19.846666666666668</v>
      </c>
      <c r="DI52" s="1492">
        <f t="shared" si="187"/>
        <v>25.202116402116403</v>
      </c>
      <c r="DJ52" s="1492">
        <f t="shared" si="187"/>
        <v>9.9233333333333338</v>
      </c>
      <c r="DK52" s="1492">
        <f>IF(DK6=0,0,DK51/DK6)</f>
        <v>22.681904761904761</v>
      </c>
      <c r="DL52" s="1492">
        <f t="shared" ref="DL52:DS52" si="188">IF(DL6=0,0,DL51/DL6)</f>
        <v>26.46222222222222</v>
      </c>
      <c r="DM52" s="1492">
        <f t="shared" si="188"/>
        <v>23.349019607843136</v>
      </c>
      <c r="DN52" s="1492">
        <f t="shared" si="188"/>
        <v>29.77</v>
      </c>
      <c r="DO52" s="1492">
        <f t="shared" si="188"/>
        <v>59.54</v>
      </c>
      <c r="DP52" s="1492">
        <f t="shared" si="188"/>
        <v>3.9693333333333332</v>
      </c>
      <c r="DQ52" s="1492" t="e">
        <f t="shared" si="188"/>
        <v>#REF!</v>
      </c>
      <c r="DR52" s="1492">
        <f t="shared" si="188"/>
        <v>0</v>
      </c>
      <c r="DS52" s="1492">
        <f t="shared" si="188"/>
        <v>0</v>
      </c>
      <c r="DU52" s="1492">
        <f>IF(DU6=0,0,DU51/DU6)</f>
        <v>1.1384999999999998</v>
      </c>
      <c r="DV52" s="1492">
        <f>IF(DV6=0,0,DV51/DV6)</f>
        <v>1.3908</v>
      </c>
      <c r="DW52" s="1492">
        <f>IF(DW6=0,0,DW51/DW6)</f>
        <v>1.7384999999999999</v>
      </c>
      <c r="DX52" s="1492">
        <f>IF(DX6=0,0,DX51/DX6)</f>
        <v>1.5453333333333332</v>
      </c>
      <c r="DY52" s="1493">
        <f t="shared" ref="DY52:EG52" si="189">IF(DY6=0,0,DY51/DY6)</f>
        <v>14.885</v>
      </c>
      <c r="DZ52" s="1492">
        <f t="shared" si="189"/>
        <v>17.384999999999998</v>
      </c>
      <c r="EA52" s="1492">
        <f t="shared" si="189"/>
        <v>17.011428571428571</v>
      </c>
      <c r="EB52" s="1492">
        <f t="shared" si="189"/>
        <v>25.390191897654582</v>
      </c>
      <c r="EC52" s="1492">
        <f t="shared" si="189"/>
        <v>14.885</v>
      </c>
      <c r="ED52" s="1492">
        <f t="shared" si="189"/>
        <v>14.885</v>
      </c>
      <c r="EE52" s="1492">
        <f>IF(EE6=0,0,EE51/EE6)</f>
        <v>14.885</v>
      </c>
      <c r="EF52" s="1492">
        <f t="shared" si="189"/>
        <v>18.901587301587302</v>
      </c>
      <c r="EG52" s="1492">
        <f t="shared" si="189"/>
        <v>7.4424999999999999</v>
      </c>
      <c r="EH52" s="1492">
        <f t="shared" ref="EH52:EN52" si="190">IF(EH6=0,0,EH51/EH6)</f>
        <v>17.011428571428571</v>
      </c>
      <c r="EI52" s="1492">
        <f t="shared" si="190"/>
        <v>19.846666666666668</v>
      </c>
      <c r="EJ52" s="1492">
        <f t="shared" si="190"/>
        <v>19.846666666666668</v>
      </c>
      <c r="EK52" s="1492">
        <f t="shared" si="190"/>
        <v>19.846666666666668</v>
      </c>
      <c r="EL52" s="1492">
        <f t="shared" si="190"/>
        <v>31.336842105263155</v>
      </c>
      <c r="EM52" s="1492">
        <f t="shared" si="190"/>
        <v>3.1754666666666664</v>
      </c>
      <c r="EN52" s="1492" t="e">
        <f t="shared" si="190"/>
        <v>#REF!</v>
      </c>
      <c r="EO52" s="1492">
        <f>IF(EO6=0,0,EO51/EO6)</f>
        <v>0</v>
      </c>
      <c r="EP52" s="1492">
        <f>IF(EP6=0,0,EP51/EP6)</f>
        <v>0</v>
      </c>
      <c r="ER52" s="1492">
        <f>IF(ER6=0,0,ER51/ER6)</f>
        <v>0.91079999999999994</v>
      </c>
      <c r="ES52" s="1492">
        <f>IF(ES6=0,0,ES51/ES6)</f>
        <v>1.159</v>
      </c>
      <c r="ET52" s="1492">
        <f>IF(ET6=0,0,ET51/ET6)</f>
        <v>1.3908</v>
      </c>
      <c r="EU52" s="1492">
        <f>IF(EU6=0,0,EU51/EU6)</f>
        <v>1.2643636363636364</v>
      </c>
      <c r="EV52" s="1493">
        <f t="shared" ref="EV52:FD52" si="191">IF(EV6=0,0,EV51/EV6)</f>
        <v>8.6289855072463766</v>
      </c>
      <c r="EW52" s="1492">
        <f t="shared" si="191"/>
        <v>11.59</v>
      </c>
      <c r="EX52" s="1492">
        <f t="shared" si="191"/>
        <v>13.23111111111111</v>
      </c>
      <c r="EY52" s="1492">
        <f t="shared" si="191"/>
        <v>20.312153518123665</v>
      </c>
      <c r="EZ52" s="1492">
        <f t="shared" si="191"/>
        <v>11.907999999999999</v>
      </c>
      <c r="FA52" s="1492">
        <f t="shared" si="191"/>
        <v>11.907999999999999</v>
      </c>
      <c r="FB52" s="1492">
        <f>IF(FB6=0,0,FB51/FB6)</f>
        <v>11.907999999999999</v>
      </c>
      <c r="FC52" s="1492">
        <f t="shared" si="191"/>
        <v>15.121269841269841</v>
      </c>
      <c r="FD52" s="1492">
        <f t="shared" si="191"/>
        <v>5.9539999999999997</v>
      </c>
      <c r="FE52" s="1492">
        <f t="shared" ref="FE52:FK52" si="192">IF(FE6=0,0,FE51/FE6)</f>
        <v>13.609142857142857</v>
      </c>
      <c r="FF52" s="1492">
        <f t="shared" si="192"/>
        <v>15.877333333333333</v>
      </c>
      <c r="FG52" s="1492">
        <f t="shared" si="192"/>
        <v>17.257971014492753</v>
      </c>
      <c r="FH52" s="1492">
        <f t="shared" si="192"/>
        <v>14.885</v>
      </c>
      <c r="FI52" s="1492">
        <f t="shared" si="192"/>
        <v>22.9</v>
      </c>
      <c r="FJ52" s="1492">
        <f t="shared" si="192"/>
        <v>2.6462222222222223</v>
      </c>
      <c r="FK52" s="1492" t="e">
        <f t="shared" si="192"/>
        <v>#REF!</v>
      </c>
      <c r="FL52" s="1492">
        <f>IF(FL6=0,0,FL51/FL6)</f>
        <v>0</v>
      </c>
      <c r="FM52" s="1492">
        <f>IF(FM6=0,0,FM51/FM6)</f>
        <v>0</v>
      </c>
    </row>
    <row r="53" spans="1:171" ht="18" customHeight="1">
      <c r="A53" s="1463">
        <f>ROWS($A$1:A53)</f>
        <v>53</v>
      </c>
      <c r="B53" s="1481" t="s">
        <v>1164</v>
      </c>
      <c r="C53" s="1480" t="s">
        <v>171</v>
      </c>
      <c r="D53" s="1468">
        <f>D49-D51</f>
        <v>1041.3268507927628</v>
      </c>
      <c r="E53" s="1468">
        <f t="shared" ref="E53:AH53" si="193">E49-E51</f>
        <v>1306.5227487122802</v>
      </c>
      <c r="F53" s="1468">
        <f t="shared" si="193"/>
        <v>1392.8208247337216</v>
      </c>
      <c r="G53" s="1468">
        <f t="shared" si="193"/>
        <v>1443.2961595837214</v>
      </c>
      <c r="H53" s="1468">
        <f t="shared" si="193"/>
        <v>1091.132627515286</v>
      </c>
      <c r="I53" s="1468">
        <f t="shared" si="193"/>
        <v>1200.011218140286</v>
      </c>
      <c r="J53" s="1468">
        <f t="shared" si="193"/>
        <v>1335.5890572337216</v>
      </c>
      <c r="K53" s="1468">
        <f t="shared" si="193"/>
        <v>1433.8524395051627</v>
      </c>
      <c r="L53" s="1468">
        <f t="shared" si="193"/>
        <v>1159.9383250818923</v>
      </c>
      <c r="M53" s="1468">
        <f t="shared" si="193"/>
        <v>1223.011500574637</v>
      </c>
      <c r="N53" s="1468">
        <f t="shared" si="193"/>
        <v>1083.0305555085101</v>
      </c>
      <c r="O53" s="1468">
        <f t="shared" si="193"/>
        <v>1016.1498202526665</v>
      </c>
      <c r="P53" s="1468">
        <f t="shared" si="193"/>
        <v>1338.2042672764705</v>
      </c>
      <c r="Q53" s="1468">
        <f t="shared" si="193"/>
        <v>1682.1291003638476</v>
      </c>
      <c r="R53" s="1468">
        <f t="shared" si="193"/>
        <v>1840.3812776896448</v>
      </c>
      <c r="S53" s="1468">
        <f t="shared" si="193"/>
        <v>1372.1137501422922</v>
      </c>
      <c r="T53" s="1468">
        <f t="shared" si="193"/>
        <v>1326.3441684489317</v>
      </c>
      <c r="U53" s="1468">
        <f t="shared" si="193"/>
        <v>1296.2005830284215</v>
      </c>
      <c r="V53" s="1468">
        <f t="shared" si="193"/>
        <v>1176.0053615910883</v>
      </c>
      <c r="W53" s="1468">
        <f t="shared" si="193"/>
        <v>1144.4225370055096</v>
      </c>
      <c r="X53" s="1468">
        <f t="shared" si="193"/>
        <v>805.64552466248063</v>
      </c>
      <c r="Y53" s="1468">
        <f t="shared" si="193"/>
        <v>899.58550141646094</v>
      </c>
      <c r="Z53" s="1468">
        <f t="shared" si="193"/>
        <v>903.14678781861778</v>
      </c>
      <c r="AA53" s="1468">
        <f t="shared" si="193"/>
        <v>1561.2565671909902</v>
      </c>
      <c r="AB53" s="1468">
        <f t="shared" si="193"/>
        <v>7495.1544724205905</v>
      </c>
      <c r="AC53" s="1468">
        <f t="shared" si="193"/>
        <v>9583.0880775121022</v>
      </c>
      <c r="AD53" s="1468">
        <f t="shared" si="193"/>
        <v>7290.5038910545609</v>
      </c>
      <c r="AE53" s="1468">
        <f t="shared" si="193"/>
        <v>7998.2568284920526</v>
      </c>
      <c r="AF53" s="1468">
        <f t="shared" si="193"/>
        <v>585.33333333333337</v>
      </c>
      <c r="AG53" s="1468">
        <f t="shared" si="193"/>
        <v>-204.96475087063732</v>
      </c>
      <c r="AH53" s="1468">
        <f t="shared" si="193"/>
        <v>-137.51757761883823</v>
      </c>
      <c r="AI53" s="1465"/>
      <c r="AJ53" s="1466">
        <f t="shared" ref="AJ53:BN53" si="194">AJ49-AJ51</f>
        <v>1321.6259274011572</v>
      </c>
      <c r="AK53" s="1468">
        <f t="shared" si="194"/>
        <v>1507.5315884493211</v>
      </c>
      <c r="AL53" s="1468">
        <f t="shared" si="194"/>
        <v>1574.0137794707625</v>
      </c>
      <c r="AM53" s="1468">
        <f t="shared" si="194"/>
        <v>1587.3418880422041</v>
      </c>
      <c r="AN53" s="1468">
        <f t="shared" si="194"/>
        <v>1206.5182304724035</v>
      </c>
      <c r="AO53" s="1468">
        <f t="shared" si="194"/>
        <v>1354.8986850759625</v>
      </c>
      <c r="AP53" s="1468">
        <f t="shared" si="194"/>
        <v>1490.2667041693981</v>
      </c>
      <c r="AQ53" s="1468">
        <f t="shared" si="194"/>
        <v>1585.4403765136449</v>
      </c>
      <c r="AR53" s="1468">
        <f t="shared" si="194"/>
        <v>1381.9218792485585</v>
      </c>
      <c r="AS53" s="1468">
        <f t="shared" si="194"/>
        <v>1342.6286552902252</v>
      </c>
      <c r="AT53" s="1468">
        <f t="shared" si="194"/>
        <v>1178.2936514740977</v>
      </c>
      <c r="AU53" s="1468">
        <f t="shared" si="194"/>
        <v>1156.3428925157646</v>
      </c>
      <c r="AV53" s="1468">
        <f t="shared" si="194"/>
        <v>1507.022896224853</v>
      </c>
      <c r="AW53" s="1468">
        <f t="shared" si="194"/>
        <v>1931.7125827116911</v>
      </c>
      <c r="AX53" s="1468">
        <f t="shared" si="194"/>
        <v>2028.2097575217626</v>
      </c>
      <c r="AY53" s="1468">
        <f t="shared" si="194"/>
        <v>1596.6090328178448</v>
      </c>
      <c r="AZ53" s="1468">
        <f t="shared" si="194"/>
        <v>1488.239168617461</v>
      </c>
      <c r="BA53" s="1468">
        <f t="shared" si="194"/>
        <v>1439.5346728862155</v>
      </c>
      <c r="BB53" s="1468">
        <f t="shared" si="194"/>
        <v>1287.1870789581271</v>
      </c>
      <c r="BC53" s="1468">
        <f t="shared" si="194"/>
        <v>1264.6678851966371</v>
      </c>
      <c r="BD53" s="1468">
        <f t="shared" si="194"/>
        <v>948.40567466248024</v>
      </c>
      <c r="BE53" s="1468">
        <f t="shared" si="194"/>
        <v>1053.8129267458135</v>
      </c>
      <c r="BF53" s="1468">
        <f t="shared" si="194"/>
        <v>1019.5397917669999</v>
      </c>
      <c r="BG53" s="1468">
        <f t="shared" si="194"/>
        <v>2267.9753521909902</v>
      </c>
      <c r="BH53" s="1468">
        <f t="shared" si="194"/>
        <v>7674.7317563908291</v>
      </c>
      <c r="BI53" s="1468">
        <f t="shared" si="194"/>
        <v>9742.8760195300674</v>
      </c>
      <c r="BJ53" s="1468">
        <f t="shared" si="194"/>
        <v>7388.7736422867019</v>
      </c>
      <c r="BK53" s="1468">
        <f t="shared" si="194"/>
        <v>8144.1716253603863</v>
      </c>
      <c r="BL53" s="1468">
        <f t="shared" si="194"/>
        <v>635.33333333333326</v>
      </c>
      <c r="BM53" s="1468">
        <f t="shared" si="194"/>
        <v>-154.96475087063732</v>
      </c>
      <c r="BN53" s="1468">
        <f t="shared" si="194"/>
        <v>165.81575571449514</v>
      </c>
      <c r="BO53" s="1465"/>
      <c r="BP53" s="1466">
        <f t="shared" ref="BP53:CT53" si="195">BP49-BP51</f>
        <v>1470.3139812279865</v>
      </c>
      <c r="BQ53" s="1468">
        <f t="shared" si="195"/>
        <v>1687.9114906863629</v>
      </c>
      <c r="BR53" s="1468">
        <f t="shared" si="195"/>
        <v>1750.7682342078037</v>
      </c>
      <c r="BS53" s="1468">
        <f t="shared" si="195"/>
        <v>1731.3876165006859</v>
      </c>
      <c r="BT53" s="1468">
        <f t="shared" si="195"/>
        <v>1349.5979509493213</v>
      </c>
      <c r="BU53" s="1468">
        <f t="shared" si="195"/>
        <v>1524.7039156665624</v>
      </c>
      <c r="BV53" s="1468">
        <f t="shared" si="195"/>
        <v>1676.0878039064387</v>
      </c>
      <c r="BW53" s="1468">
        <f t="shared" si="195"/>
        <v>1704.6945357207628</v>
      </c>
      <c r="BX53" s="1468">
        <f t="shared" si="195"/>
        <v>1367.7888709152253</v>
      </c>
      <c r="BY53" s="1468">
        <f t="shared" si="195"/>
        <v>1462.2458100058138</v>
      </c>
      <c r="BZ53" s="1468">
        <f t="shared" si="195"/>
        <v>1273.5567474396862</v>
      </c>
      <c r="CA53" s="1468">
        <f t="shared" si="195"/>
        <v>1271.523155564686</v>
      </c>
      <c r="CB53" s="1468">
        <f t="shared" si="195"/>
        <v>1596.6291058743136</v>
      </c>
      <c r="CC53" s="1468">
        <f t="shared" si="195"/>
        <v>2181.2960650595342</v>
      </c>
      <c r="CD53" s="1468">
        <f t="shared" si="195"/>
        <v>2216.03823735388</v>
      </c>
      <c r="CE53" s="1468">
        <f t="shared" si="195"/>
        <v>1785.3939757749627</v>
      </c>
      <c r="CF53" s="1468">
        <f t="shared" si="195"/>
        <v>1614.4852970718134</v>
      </c>
      <c r="CG53" s="1468">
        <f t="shared" si="195"/>
        <v>1582.8687627440099</v>
      </c>
      <c r="CH53" s="1468">
        <f t="shared" si="195"/>
        <v>1398.3687963251664</v>
      </c>
      <c r="CI53" s="1468">
        <f t="shared" si="195"/>
        <v>1384.9132333877646</v>
      </c>
      <c r="CJ53" s="1468">
        <f t="shared" si="195"/>
        <v>1094.9755878211859</v>
      </c>
      <c r="CK53" s="1468">
        <f t="shared" si="195"/>
        <v>1209.9452336545196</v>
      </c>
      <c r="CL53" s="1468">
        <f t="shared" si="195"/>
        <v>1135.9327957153823</v>
      </c>
      <c r="CM53" s="1468">
        <f t="shared" si="195"/>
        <v>2400.1070722384998</v>
      </c>
      <c r="CN53" s="1468">
        <f t="shared" si="195"/>
        <v>7846.3829451229703</v>
      </c>
      <c r="CO53" s="1468">
        <f t="shared" si="195"/>
        <v>9926.3904549763884</v>
      </c>
      <c r="CP53" s="1468">
        <f t="shared" si="195"/>
        <v>7529.0090810188467</v>
      </c>
      <c r="CQ53" s="1468">
        <f t="shared" si="195"/>
        <v>8288.2529669957421</v>
      </c>
      <c r="CR53" s="1468">
        <f>CR49-CR51</f>
        <v>685.33333333333326</v>
      </c>
      <c r="CS53" s="1468">
        <f t="shared" si="195"/>
        <v>-104.96475087063732</v>
      </c>
      <c r="CT53" s="1468">
        <f t="shared" si="195"/>
        <v>215.81575571449514</v>
      </c>
      <c r="CV53" s="1481" t="s">
        <v>1164</v>
      </c>
      <c r="CW53" s="1480" t="s">
        <v>171</v>
      </c>
      <c r="CX53" s="1468">
        <f>CX49-CX51</f>
        <v>225.17865939466571</v>
      </c>
      <c r="CY53" s="1468">
        <f t="shared" ref="CY53:DS53" si="196">CY49-CY51</f>
        <v>-189.51528954443722</v>
      </c>
      <c r="CZ53" s="1468">
        <f t="shared" si="196"/>
        <v>-50.127590605334262</v>
      </c>
      <c r="DA53" s="1468">
        <f t="shared" si="196"/>
        <v>-134.20216454443721</v>
      </c>
      <c r="DB53" s="1468">
        <f t="shared" si="196"/>
        <v>654.24646461810892</v>
      </c>
      <c r="DC53" s="1468">
        <f t="shared" si="196"/>
        <v>737.37709305869714</v>
      </c>
      <c r="DD53" s="1468">
        <f t="shared" si="196"/>
        <v>932.18483770406112</v>
      </c>
      <c r="DE53" s="1468">
        <f t="shared" si="196"/>
        <v>934.73504357906097</v>
      </c>
      <c r="DF53" s="1468">
        <f t="shared" si="196"/>
        <v>762.70691947057674</v>
      </c>
      <c r="DG53" s="1468">
        <f t="shared" si="196"/>
        <v>759.55641733647519</v>
      </c>
      <c r="DH53" s="1468">
        <f>DH49-DH51</f>
        <v>795.23224747057668</v>
      </c>
      <c r="DI53" s="1468">
        <f t="shared" si="196"/>
        <v>665.20576873931498</v>
      </c>
      <c r="DJ53" s="1468">
        <f t="shared" si="196"/>
        <v>1739.8574406324656</v>
      </c>
      <c r="DK53" s="1468">
        <f t="shared" si="196"/>
        <v>790.28179380484346</v>
      </c>
      <c r="DL53" s="1468">
        <f t="shared" si="196"/>
        <v>738.21767121602591</v>
      </c>
      <c r="DM53" s="1468">
        <f t="shared" si="196"/>
        <v>1081.942409410809</v>
      </c>
      <c r="DN53" s="1468">
        <f t="shared" si="196"/>
        <v>1527.5551052738087</v>
      </c>
      <c r="DO53" s="1468">
        <f t="shared" si="196"/>
        <v>1144.3562091957529</v>
      </c>
      <c r="DP53" s="1468">
        <f t="shared" si="196"/>
        <v>4181.3588156347278</v>
      </c>
      <c r="DQ53" s="1468" t="e">
        <f t="shared" si="196"/>
        <v>#REF!</v>
      </c>
      <c r="DR53" s="1468">
        <f t="shared" si="196"/>
        <v>1052.4910921597941</v>
      </c>
      <c r="DS53" s="1468">
        <f t="shared" si="196"/>
        <v>919.36973827992051</v>
      </c>
      <c r="DT53" s="1456"/>
      <c r="DU53" s="1468">
        <f>DU49-DU51</f>
        <v>67.925326061332385</v>
      </c>
      <c r="DV53" s="1468">
        <f>DV49-DV51</f>
        <v>-289.60612287777053</v>
      </c>
      <c r="DW53" s="1468">
        <f>DW49-DW51</f>
        <v>-207.38092393866765</v>
      </c>
      <c r="DX53" s="1468">
        <f>DX49-DX51</f>
        <v>-234.29299787777057</v>
      </c>
      <c r="DY53" s="1466">
        <f t="shared" ref="DY53:EG53" si="197">DY49-DY51</f>
        <v>933.9419643889031</v>
      </c>
      <c r="DZ53" s="1468">
        <f t="shared" si="197"/>
        <v>846.11136726881489</v>
      </c>
      <c r="EA53" s="1468">
        <f t="shared" si="197"/>
        <v>1014.7319618368389</v>
      </c>
      <c r="EB53" s="1468">
        <f t="shared" si="197"/>
        <v>1018.1322363368394</v>
      </c>
      <c r="EC53" s="1468">
        <f t="shared" si="197"/>
        <v>839.51764849680205</v>
      </c>
      <c r="ED53" s="1468">
        <f t="shared" si="197"/>
        <v>836.66197898466646</v>
      </c>
      <c r="EE53" s="1468">
        <f>EE49-EE51</f>
        <v>971.40048541062845</v>
      </c>
      <c r="EF53" s="1468">
        <f t="shared" si="197"/>
        <v>701.29549488384384</v>
      </c>
      <c r="EG53" s="1468">
        <f t="shared" si="197"/>
        <v>2060.813500573096</v>
      </c>
      <c r="EH53" s="1468">
        <f t="shared" ref="EH53:EN53" si="198">EH49-EH51</f>
        <v>921.09284827308522</v>
      </c>
      <c r="EI53" s="1468">
        <f t="shared" si="198"/>
        <v>790.02071930320028</v>
      </c>
      <c r="EJ53" s="1468">
        <f t="shared" si="198"/>
        <v>1155.714326935909</v>
      </c>
      <c r="EK53" s="1468">
        <f t="shared" si="198"/>
        <v>1921.0063481678189</v>
      </c>
      <c r="EL53" s="1468">
        <f t="shared" si="198"/>
        <v>1420.5250954670282</v>
      </c>
      <c r="EM53" s="1468">
        <f t="shared" si="198"/>
        <v>4338.4886227898096</v>
      </c>
      <c r="EN53" s="1468" t="e">
        <f t="shared" si="198"/>
        <v>#REF!</v>
      </c>
      <c r="EO53" s="1468">
        <f>EO49-EO51</f>
        <v>1082.4910921597941</v>
      </c>
      <c r="EP53" s="1468">
        <f>EP49-EP51</f>
        <v>919.36973827992051</v>
      </c>
      <c r="EQ53" s="1456"/>
      <c r="ER53" s="1468" t="e">
        <f>ER49-ER51</f>
        <v>#REF!</v>
      </c>
      <c r="ES53" s="1468" t="e">
        <f>ES49-ES51</f>
        <v>#REF!</v>
      </c>
      <c r="ET53" s="1468" t="e">
        <f>ET49-ET51</f>
        <v>#REF!</v>
      </c>
      <c r="EU53" s="1468" t="e">
        <f>EU49-EU51</f>
        <v>#REF!</v>
      </c>
      <c r="EV53" s="1466" t="e">
        <f t="shared" ref="EV53:FD53" si="199">EV49-EV51</f>
        <v>#REF!</v>
      </c>
      <c r="EW53" s="1468" t="e">
        <f t="shared" si="199"/>
        <v>#REF!</v>
      </c>
      <c r="EX53" s="1468" t="e">
        <f t="shared" si="199"/>
        <v>#REF!</v>
      </c>
      <c r="EY53" s="1468" t="e">
        <f t="shared" si="199"/>
        <v>#REF!</v>
      </c>
      <c r="EZ53" s="1468" t="e">
        <f t="shared" si="199"/>
        <v>#REF!</v>
      </c>
      <c r="FA53" s="1468" t="e">
        <f t="shared" si="199"/>
        <v>#REF!</v>
      </c>
      <c r="FB53" s="1468" t="e">
        <f>FB49-FB51</f>
        <v>#REF!</v>
      </c>
      <c r="FC53" s="1468" t="e">
        <f t="shared" si="199"/>
        <v>#REF!</v>
      </c>
      <c r="FD53" s="1468" t="e">
        <f t="shared" si="199"/>
        <v>#REF!</v>
      </c>
      <c r="FE53" s="1468" t="e">
        <f t="shared" ref="FE53:FK53" si="200">FE49-FE51</f>
        <v>#REF!</v>
      </c>
      <c r="FF53" s="1468" t="e">
        <f t="shared" si="200"/>
        <v>#REF!</v>
      </c>
      <c r="FG53" s="1468" t="e">
        <f t="shared" si="200"/>
        <v>#REF!</v>
      </c>
      <c r="FH53" s="1468" t="e">
        <f t="shared" si="200"/>
        <v>#REF!</v>
      </c>
      <c r="FI53" s="1468" t="e">
        <f t="shared" si="200"/>
        <v>#REF!</v>
      </c>
      <c r="FJ53" s="1468" t="e">
        <f t="shared" si="200"/>
        <v>#REF!</v>
      </c>
      <c r="FK53" s="1468" t="e">
        <f t="shared" si="200"/>
        <v>#REF!</v>
      </c>
      <c r="FL53" s="1468" t="e">
        <f>FL49-FL51</f>
        <v>#REF!</v>
      </c>
      <c r="FM53" s="1468" t="e">
        <f>FM49-FM51</f>
        <v>#REF!</v>
      </c>
    </row>
    <row r="54" spans="1:171" s="1474" customFormat="1" ht="16.149999999999999" customHeight="1">
      <c r="A54" s="1463">
        <f>ROWS($A$1:A54)</f>
        <v>54</v>
      </c>
      <c r="B54" s="1479" t="s">
        <v>1166</v>
      </c>
      <c r="C54" s="1478" t="s">
        <v>228</v>
      </c>
      <c r="D54" s="1489">
        <f t="shared" ref="D54:AH54" si="201">IF(D6=0,0,D53/D6)</f>
        <v>16.020413089119426</v>
      </c>
      <c r="E54" s="1489">
        <f t="shared" si="201"/>
        <v>21.775379145204671</v>
      </c>
      <c r="F54" s="1489">
        <f t="shared" si="201"/>
        <v>25.324014995158574</v>
      </c>
      <c r="G54" s="1489">
        <f t="shared" si="201"/>
        <v>26.241748356067664</v>
      </c>
      <c r="H54" s="1489">
        <f t="shared" si="201"/>
        <v>19.838775045732472</v>
      </c>
      <c r="I54" s="1489">
        <f t="shared" si="201"/>
        <v>20.000186969004766</v>
      </c>
      <c r="J54" s="1489">
        <f t="shared" si="201"/>
        <v>24.283437404249483</v>
      </c>
      <c r="K54" s="1489">
        <f t="shared" si="201"/>
        <v>28.677048790103253</v>
      </c>
      <c r="L54" s="1489">
        <f t="shared" si="201"/>
        <v>21.089787728761678</v>
      </c>
      <c r="M54" s="1489">
        <f t="shared" si="201"/>
        <v>24.46023001149274</v>
      </c>
      <c r="N54" s="1489">
        <f t="shared" si="201"/>
        <v>27.075763887712753</v>
      </c>
      <c r="O54" s="1489">
        <f t="shared" si="201"/>
        <v>22.581107116725921</v>
      </c>
      <c r="P54" s="1489">
        <f t="shared" si="201"/>
        <v>33.455106681911765</v>
      </c>
      <c r="Q54" s="1489">
        <f t="shared" si="201"/>
        <v>21.026613754548094</v>
      </c>
      <c r="R54" s="1489">
        <f t="shared" si="201"/>
        <v>23.004765971120559</v>
      </c>
      <c r="S54" s="1489">
        <f t="shared" si="201"/>
        <v>45.737125004743078</v>
      </c>
      <c r="T54" s="1489">
        <f t="shared" si="201"/>
        <v>66.317208422446583</v>
      </c>
      <c r="U54" s="1489">
        <f t="shared" si="201"/>
        <v>51.848023321136864</v>
      </c>
      <c r="V54" s="1489">
        <f t="shared" si="201"/>
        <v>58.800268079554414</v>
      </c>
      <c r="W54" s="1489">
        <f t="shared" si="201"/>
        <v>76.294835800367309</v>
      </c>
      <c r="X54" s="1489">
        <f t="shared" si="201"/>
        <v>40.28227623312403</v>
      </c>
      <c r="Y54" s="1489">
        <f t="shared" si="201"/>
        <v>44.97927507082305</v>
      </c>
      <c r="Z54" s="1489">
        <f t="shared" si="201"/>
        <v>90.314678781861772</v>
      </c>
      <c r="AA54" s="1489">
        <f t="shared" si="201"/>
        <v>4.4607330491171151</v>
      </c>
      <c r="AB54" s="1489">
        <f t="shared" si="201"/>
        <v>29.980617889682364</v>
      </c>
      <c r="AC54" s="1489">
        <f t="shared" si="201"/>
        <v>31.943626925040341</v>
      </c>
      <c r="AD54" s="1489">
        <f t="shared" si="201"/>
        <v>19.973983263163181</v>
      </c>
      <c r="AE54" s="1489">
        <f t="shared" si="201"/>
        <v>20.883177097890478</v>
      </c>
      <c r="AF54" s="1489">
        <f t="shared" si="201"/>
        <v>0</v>
      </c>
      <c r="AG54" s="1489">
        <f t="shared" si="201"/>
        <v>-204.96475087063732</v>
      </c>
      <c r="AH54" s="1489">
        <f t="shared" si="201"/>
        <v>-137.51757761883823</v>
      </c>
      <c r="AI54" s="1491"/>
      <c r="AJ54" s="1490">
        <f t="shared" ref="AJ54:BN54" si="202">IF(AJ6=0,0,AJ53/AJ6)</f>
        <v>16.520324092514464</v>
      </c>
      <c r="AK54" s="1489">
        <f t="shared" si="202"/>
        <v>20.100421179324282</v>
      </c>
      <c r="AL54" s="1489">
        <f t="shared" si="202"/>
        <v>22.485911135296607</v>
      </c>
      <c r="AM54" s="1489">
        <f t="shared" si="202"/>
        <v>24.420644431418523</v>
      </c>
      <c r="AN54" s="1489">
        <f t="shared" si="202"/>
        <v>18.561818930344668</v>
      </c>
      <c r="AO54" s="1489">
        <f t="shared" si="202"/>
        <v>18.065315801012833</v>
      </c>
      <c r="AP54" s="1489">
        <f t="shared" si="202"/>
        <v>21.289524345277115</v>
      </c>
      <c r="AQ54" s="1489">
        <f t="shared" si="202"/>
        <v>26.424006275227416</v>
      </c>
      <c r="AR54" s="1489">
        <f t="shared" si="202"/>
        <v>21.260336603823976</v>
      </c>
      <c r="AS54" s="1489">
        <f t="shared" si="202"/>
        <v>22.377144254837088</v>
      </c>
      <c r="AT54" s="1489">
        <f t="shared" si="202"/>
        <v>24.046809213757097</v>
      </c>
      <c r="AU54" s="1489">
        <f t="shared" si="202"/>
        <v>21.024416227559357</v>
      </c>
      <c r="AV54" s="1489">
        <f t="shared" si="202"/>
        <v>27.400416294997328</v>
      </c>
      <c r="AW54" s="1489">
        <f t="shared" si="202"/>
        <v>19.317125827116911</v>
      </c>
      <c r="AX54" s="1489">
        <f t="shared" si="202"/>
        <v>22.535663972464029</v>
      </c>
      <c r="AY54" s="1489">
        <f t="shared" si="202"/>
        <v>39.915225820446118</v>
      </c>
      <c r="AZ54" s="1489">
        <f t="shared" si="202"/>
        <v>59.529566744698442</v>
      </c>
      <c r="BA54" s="1489">
        <f t="shared" si="202"/>
        <v>47.984489096207184</v>
      </c>
      <c r="BB54" s="1489">
        <f t="shared" si="202"/>
        <v>47.673595516967673</v>
      </c>
      <c r="BC54" s="1489">
        <f t="shared" si="202"/>
        <v>63.233394259831854</v>
      </c>
      <c r="BD54" s="1489">
        <f t="shared" si="202"/>
        <v>27.097304990356577</v>
      </c>
      <c r="BE54" s="1489">
        <f t="shared" si="202"/>
        <v>30.1089407641661</v>
      </c>
      <c r="BF54" s="1489">
        <f t="shared" si="202"/>
        <v>40.781591670679994</v>
      </c>
      <c r="BG54" s="1489">
        <f t="shared" si="202"/>
        <v>3.1068155509465618</v>
      </c>
      <c r="BH54" s="1489">
        <f t="shared" si="202"/>
        <v>25.582439187969431</v>
      </c>
      <c r="BI54" s="1489">
        <f t="shared" si="202"/>
        <v>27.836788627228763</v>
      </c>
      <c r="BJ54" s="1489">
        <f t="shared" si="202"/>
        <v>20.187906126466398</v>
      </c>
      <c r="BK54" s="1489">
        <f t="shared" si="202"/>
        <v>19.162756765553851</v>
      </c>
      <c r="BL54" s="1489">
        <f t="shared" si="202"/>
        <v>0</v>
      </c>
      <c r="BM54" s="1489">
        <f t="shared" si="202"/>
        <v>-154.96475087063732</v>
      </c>
      <c r="BN54" s="1489">
        <f t="shared" si="202"/>
        <v>165.81575571449514</v>
      </c>
      <c r="BO54" s="1491"/>
      <c r="BP54" s="1490">
        <f t="shared" ref="BP54:CT54" si="203">IF(BP6=0,0,BP53/BP6)</f>
        <v>15.476989276084067</v>
      </c>
      <c r="BQ54" s="1489">
        <f t="shared" si="203"/>
        <v>18.754572118737364</v>
      </c>
      <c r="BR54" s="1489">
        <f t="shared" si="203"/>
        <v>20.597273343621222</v>
      </c>
      <c r="BS54" s="1489">
        <f t="shared" si="203"/>
        <v>23.085168220009145</v>
      </c>
      <c r="BT54" s="1489">
        <f t="shared" si="203"/>
        <v>17.994639345990951</v>
      </c>
      <c r="BU54" s="1489">
        <f t="shared" si="203"/>
        <v>16.941154618517359</v>
      </c>
      <c r="BV54" s="1489">
        <f t="shared" si="203"/>
        <v>19.718680045958102</v>
      </c>
      <c r="BW54" s="1489">
        <f t="shared" si="203"/>
        <v>24.352779081725185</v>
      </c>
      <c r="BX54" s="1489">
        <f t="shared" si="203"/>
        <v>18.237184945536338</v>
      </c>
      <c r="BY54" s="1489">
        <f t="shared" si="203"/>
        <v>20.889225857225913</v>
      </c>
      <c r="BZ54" s="1489">
        <f t="shared" si="203"/>
        <v>21.95787495585666</v>
      </c>
      <c r="CA54" s="1489">
        <f t="shared" si="203"/>
        <v>19.561894700995168</v>
      </c>
      <c r="CB54" s="1489">
        <f t="shared" si="203"/>
        <v>26.610485097905226</v>
      </c>
      <c r="CC54" s="1489">
        <f t="shared" si="203"/>
        <v>18.177467208829452</v>
      </c>
      <c r="CD54" s="1489">
        <f t="shared" si="203"/>
        <v>22.160382373538802</v>
      </c>
      <c r="CE54" s="1489">
        <f t="shared" si="203"/>
        <v>35.707879515499251</v>
      </c>
      <c r="CF54" s="1489">
        <f t="shared" si="203"/>
        <v>53.816176569060445</v>
      </c>
      <c r="CG54" s="1489">
        <f t="shared" si="203"/>
        <v>45.224821792686001</v>
      </c>
      <c r="CH54" s="1489">
        <f t="shared" si="203"/>
        <v>41.128494009563717</v>
      </c>
      <c r="CI54" s="1489">
        <f t="shared" si="203"/>
        <v>55.396529335510586</v>
      </c>
      <c r="CJ54" s="1489">
        <f t="shared" si="203"/>
        <v>21.899511756423717</v>
      </c>
      <c r="CK54" s="1489">
        <f t="shared" si="203"/>
        <v>24.198904673090393</v>
      </c>
      <c r="CL54" s="1489">
        <f t="shared" si="203"/>
        <v>28.398319892884558</v>
      </c>
      <c r="CM54" s="1489">
        <f t="shared" si="203"/>
        <v>2.8236553791041175</v>
      </c>
      <c r="CN54" s="1489">
        <f t="shared" si="203"/>
        <v>22.418236986065629</v>
      </c>
      <c r="CO54" s="1489">
        <f t="shared" si="203"/>
        <v>24.81597613744097</v>
      </c>
      <c r="CP54" s="1489">
        <f t="shared" si="203"/>
        <v>18.822522702547118</v>
      </c>
      <c r="CQ54" s="1489">
        <f t="shared" si="203"/>
        <v>17.785950572952235</v>
      </c>
      <c r="CR54" s="1489">
        <f>IF(CR6=0,0,CR53/CR6)</f>
        <v>0</v>
      </c>
      <c r="CS54" s="1489">
        <f t="shared" si="203"/>
        <v>-104.96475087063732</v>
      </c>
      <c r="CT54" s="1489">
        <f t="shared" si="203"/>
        <v>215.81575571449514</v>
      </c>
      <c r="CV54" s="1479" t="s">
        <v>1166</v>
      </c>
      <c r="CW54" s="1478" t="s">
        <v>228</v>
      </c>
      <c r="CX54" s="1489">
        <f>IF(CX6=0,0,CX53/CX6)</f>
        <v>0.75059553131555234</v>
      </c>
      <c r="CY54" s="1489">
        <f t="shared" ref="CY54:DS54" si="204">IF(CY6=0,0,CY53/CY6)</f>
        <v>-0.47378822386109304</v>
      </c>
      <c r="CZ54" s="1489">
        <f t="shared" si="204"/>
        <v>-0.16709196868444753</v>
      </c>
      <c r="DA54" s="1489">
        <f t="shared" si="204"/>
        <v>-0.3834347558412492</v>
      </c>
      <c r="DB54" s="1489">
        <f t="shared" si="204"/>
        <v>21.808215487270296</v>
      </c>
      <c r="DC54" s="1489">
        <f t="shared" si="204"/>
        <v>24.579236435289904</v>
      </c>
      <c r="DD54" s="1489">
        <f t="shared" si="204"/>
        <v>35.51180334110709</v>
      </c>
      <c r="DE54" s="1489">
        <f t="shared" si="204"/>
        <v>53.147692598667284</v>
      </c>
      <c r="DF54" s="1489">
        <f t="shared" si="204"/>
        <v>25.423563982352558</v>
      </c>
      <c r="DG54" s="1489">
        <f t="shared" si="204"/>
        <v>25.318547244549173</v>
      </c>
      <c r="DH54" s="1489">
        <f>IF(DH6=0,0,DH53/DH6)</f>
        <v>26.507741582352555</v>
      </c>
      <c r="DI54" s="1489">
        <f t="shared" si="204"/>
        <v>28.156857936055662</v>
      </c>
      <c r="DJ54" s="1489">
        <f t="shared" si="204"/>
        <v>28.997624010541092</v>
      </c>
      <c r="DK54" s="1489">
        <f t="shared" si="204"/>
        <v>30.105973097327372</v>
      </c>
      <c r="DL54" s="1489">
        <f t="shared" si="204"/>
        <v>32.80967427626782</v>
      </c>
      <c r="DM54" s="1489">
        <f t="shared" si="204"/>
        <v>42.429114094541525</v>
      </c>
      <c r="DN54" s="1489">
        <f t="shared" si="204"/>
        <v>76.377755263690432</v>
      </c>
      <c r="DO54" s="1489">
        <f t="shared" si="204"/>
        <v>114.43562091957529</v>
      </c>
      <c r="DP54" s="1489">
        <f t="shared" si="204"/>
        <v>27.875725437564853</v>
      </c>
      <c r="DQ54" s="1489" t="e">
        <f t="shared" si="204"/>
        <v>#REF!</v>
      </c>
      <c r="DR54" s="1489">
        <f t="shared" si="204"/>
        <v>0</v>
      </c>
      <c r="DS54" s="1489">
        <f t="shared" si="204"/>
        <v>0</v>
      </c>
      <c r="DU54" s="1489">
        <f>IF(DU6=0,0,DU53/DU6)</f>
        <v>0.16981331515333095</v>
      </c>
      <c r="DV54" s="1489">
        <f>IF(DV6=0,0,DV53/DV6)</f>
        <v>-0.57921224575554109</v>
      </c>
      <c r="DW54" s="1489">
        <f>IF(DW6=0,0,DW53/DW6)</f>
        <v>-0.51845230984666912</v>
      </c>
      <c r="DX54" s="1489">
        <f>IF(DX6=0,0,DX53/DX6)</f>
        <v>-0.52065110639504575</v>
      </c>
      <c r="DY54" s="1490">
        <f t="shared" ref="DY54:EG54" si="205">IF(DY6=0,0,DY53/DY6)</f>
        <v>23.348549109722576</v>
      </c>
      <c r="DZ54" s="1489">
        <f t="shared" si="205"/>
        <v>21.152784181720371</v>
      </c>
      <c r="EA54" s="1489">
        <f t="shared" si="205"/>
        <v>28.992341766766824</v>
      </c>
      <c r="EB54" s="1489">
        <f t="shared" si="205"/>
        <v>43.417152935472892</v>
      </c>
      <c r="EC54" s="1489">
        <f t="shared" si="205"/>
        <v>20.987941212420051</v>
      </c>
      <c r="ED54" s="1489">
        <f t="shared" si="205"/>
        <v>20.916549474616662</v>
      </c>
      <c r="EE54" s="1489">
        <f>IF(EE6=0,0,EE53/EE6)</f>
        <v>24.28501213526571</v>
      </c>
      <c r="EF54" s="1489">
        <f t="shared" si="205"/>
        <v>22.263349043931552</v>
      </c>
      <c r="EG54" s="1489">
        <f t="shared" si="205"/>
        <v>25.760168757163701</v>
      </c>
      <c r="EH54" s="1489">
        <f t="shared" ref="EH54:EN54" si="206">IF(EH6=0,0,EH53/EH6)</f>
        <v>26.316938522088151</v>
      </c>
      <c r="EI54" s="1489">
        <f t="shared" si="206"/>
        <v>26.334023976773342</v>
      </c>
      <c r="EJ54" s="1489">
        <f t="shared" si="206"/>
        <v>38.523810897863633</v>
      </c>
      <c r="EK54" s="1489">
        <f t="shared" si="206"/>
        <v>64.033544938927292</v>
      </c>
      <c r="EL54" s="1489">
        <f t="shared" si="206"/>
        <v>74.764478708790961</v>
      </c>
      <c r="EM54" s="1489">
        <f t="shared" si="206"/>
        <v>23.138605988212319</v>
      </c>
      <c r="EN54" s="1489" t="e">
        <f t="shared" si="206"/>
        <v>#REF!</v>
      </c>
      <c r="EO54" s="1489">
        <f>IF(EO6=0,0,EO53/EO6)</f>
        <v>0</v>
      </c>
      <c r="EP54" s="1489">
        <f>IF(EP6=0,0,EP53/EP6)</f>
        <v>0</v>
      </c>
      <c r="ER54" s="1489" t="e">
        <f>IF(ER6=0,0,ER53/ER6)</f>
        <v>#REF!</v>
      </c>
      <c r="ES54" s="1489" t="e">
        <f>IF(ES6=0,0,ES53/ES6)</f>
        <v>#REF!</v>
      </c>
      <c r="ET54" s="1489" t="e">
        <f>IF(ET6=0,0,ET53/ET6)</f>
        <v>#REF!</v>
      </c>
      <c r="EU54" s="1489" t="e">
        <f>IF(EU6=0,0,EU53/EU6)</f>
        <v>#REF!</v>
      </c>
      <c r="EV54" s="1490" t="e">
        <f t="shared" ref="EV54:FD54" si="207">IF(EV6=0,0,EV53/EV6)</f>
        <v>#REF!</v>
      </c>
      <c r="EW54" s="1489" t="e">
        <f t="shared" si="207"/>
        <v>#REF!</v>
      </c>
      <c r="EX54" s="1489" t="e">
        <f t="shared" si="207"/>
        <v>#REF!</v>
      </c>
      <c r="EY54" s="1489" t="e">
        <f t="shared" si="207"/>
        <v>#REF!</v>
      </c>
      <c r="EZ54" s="1489" t="e">
        <f t="shared" si="207"/>
        <v>#REF!</v>
      </c>
      <c r="FA54" s="1489" t="e">
        <f t="shared" si="207"/>
        <v>#REF!</v>
      </c>
      <c r="FB54" s="1489" t="e">
        <f>IF(FB6=0,0,FB53/FB6)</f>
        <v>#REF!</v>
      </c>
      <c r="FC54" s="1489" t="e">
        <f t="shared" si="207"/>
        <v>#REF!</v>
      </c>
      <c r="FD54" s="1489" t="e">
        <f t="shared" si="207"/>
        <v>#REF!</v>
      </c>
      <c r="FE54" s="1489" t="e">
        <f t="shared" ref="FE54:FK54" si="208">IF(FE6=0,0,FE53/FE6)</f>
        <v>#REF!</v>
      </c>
      <c r="FF54" s="1489" t="e">
        <f t="shared" si="208"/>
        <v>#REF!</v>
      </c>
      <c r="FG54" s="1489" t="e">
        <f t="shared" si="208"/>
        <v>#REF!</v>
      </c>
      <c r="FH54" s="1489" t="e">
        <f t="shared" si="208"/>
        <v>#REF!</v>
      </c>
      <c r="FI54" s="1489" t="e">
        <f t="shared" si="208"/>
        <v>#REF!</v>
      </c>
      <c r="FJ54" s="1489" t="e">
        <f t="shared" si="208"/>
        <v>#REF!</v>
      </c>
      <c r="FK54" s="1489" t="e">
        <f t="shared" si="208"/>
        <v>#REF!</v>
      </c>
      <c r="FL54" s="1489">
        <f>IF(FL6=0,0,FL53/FL6)</f>
        <v>0</v>
      </c>
      <c r="FM54" s="1489">
        <f>IF(FM6=0,0,FM53/FM6)</f>
        <v>0</v>
      </c>
    </row>
    <row r="55" spans="1:171" s="1474" customFormat="1" ht="16.149999999999999" customHeight="1">
      <c r="A55" s="1463">
        <f>ROWS($A$1:A55)</f>
        <v>55</v>
      </c>
      <c r="B55" s="1488" t="s">
        <v>1165</v>
      </c>
      <c r="C55" s="1487" t="s">
        <v>171</v>
      </c>
      <c r="D55" s="1484">
        <f t="shared" ref="D55:AH55" si="209">D37</f>
        <v>535.4</v>
      </c>
      <c r="E55" s="1484">
        <f t="shared" si="209"/>
        <v>535.4</v>
      </c>
      <c r="F55" s="1484">
        <f t="shared" si="209"/>
        <v>455.4</v>
      </c>
      <c r="G55" s="1484">
        <f t="shared" si="209"/>
        <v>455.4</v>
      </c>
      <c r="H55" s="1484">
        <f t="shared" si="209"/>
        <v>535.4</v>
      </c>
      <c r="I55" s="1484">
        <f t="shared" si="209"/>
        <v>535.4</v>
      </c>
      <c r="J55" s="1484">
        <f t="shared" si="209"/>
        <v>455.4</v>
      </c>
      <c r="K55" s="1484">
        <f t="shared" si="209"/>
        <v>355.4</v>
      </c>
      <c r="L55" s="1484">
        <f t="shared" si="209"/>
        <v>455.4</v>
      </c>
      <c r="M55" s="1484">
        <f t="shared" si="209"/>
        <v>455.4</v>
      </c>
      <c r="N55" s="1484">
        <f t="shared" si="209"/>
        <v>455.4</v>
      </c>
      <c r="O55" s="1484">
        <f t="shared" si="209"/>
        <v>455.4</v>
      </c>
      <c r="P55" s="1484">
        <f t="shared" si="209"/>
        <v>455.4</v>
      </c>
      <c r="Q55" s="1484">
        <f t="shared" si="209"/>
        <v>455.4</v>
      </c>
      <c r="R55" s="1484">
        <f t="shared" si="209"/>
        <v>455.4</v>
      </c>
      <c r="S55" s="1484">
        <f t="shared" si="209"/>
        <v>455.4</v>
      </c>
      <c r="T55" s="1484">
        <f t="shared" si="209"/>
        <v>455.4</v>
      </c>
      <c r="U55" s="1484">
        <f t="shared" si="209"/>
        <v>455.4</v>
      </c>
      <c r="V55" s="1484">
        <f t="shared" si="209"/>
        <v>455.4</v>
      </c>
      <c r="W55" s="1484">
        <f t="shared" si="209"/>
        <v>455.4</v>
      </c>
      <c r="X55" s="1484">
        <f t="shared" si="209"/>
        <v>555.4</v>
      </c>
      <c r="Y55" s="1484">
        <f t="shared" si="209"/>
        <v>455.4</v>
      </c>
      <c r="Z55" s="1484">
        <f t="shared" si="209"/>
        <v>455.4</v>
      </c>
      <c r="AA55" s="1484">
        <f t="shared" si="209"/>
        <v>455.4</v>
      </c>
      <c r="AB55" s="1484">
        <f t="shared" si="209"/>
        <v>455.4</v>
      </c>
      <c r="AC55" s="1484">
        <f t="shared" si="209"/>
        <v>455.4</v>
      </c>
      <c r="AD55" s="1484">
        <f t="shared" si="209"/>
        <v>455.4</v>
      </c>
      <c r="AE55" s="1484">
        <f t="shared" si="209"/>
        <v>455.4</v>
      </c>
      <c r="AF55" s="1484">
        <f t="shared" si="209"/>
        <v>0</v>
      </c>
      <c r="AG55" s="1484">
        <f t="shared" si="209"/>
        <v>1085.4000000000001</v>
      </c>
      <c r="AH55" s="1484">
        <f t="shared" si="209"/>
        <v>455.4</v>
      </c>
      <c r="AI55" s="1486"/>
      <c r="AJ55" s="1485">
        <f t="shared" ref="AJ55:BN55" si="210">AJ37</f>
        <v>535.4</v>
      </c>
      <c r="AK55" s="1484">
        <f t="shared" si="210"/>
        <v>535.4</v>
      </c>
      <c r="AL55" s="1484">
        <f t="shared" si="210"/>
        <v>455.4</v>
      </c>
      <c r="AM55" s="1484">
        <f t="shared" si="210"/>
        <v>455.4</v>
      </c>
      <c r="AN55" s="1484">
        <f t="shared" si="210"/>
        <v>535.4</v>
      </c>
      <c r="AO55" s="1484">
        <f t="shared" si="210"/>
        <v>535.4</v>
      </c>
      <c r="AP55" s="1484">
        <f t="shared" si="210"/>
        <v>455.4</v>
      </c>
      <c r="AQ55" s="1484">
        <f t="shared" si="210"/>
        <v>355.4</v>
      </c>
      <c r="AR55" s="1484">
        <f t="shared" si="210"/>
        <v>455.4</v>
      </c>
      <c r="AS55" s="1484">
        <f t="shared" si="210"/>
        <v>455.4</v>
      </c>
      <c r="AT55" s="1484">
        <f t="shared" si="210"/>
        <v>455.4</v>
      </c>
      <c r="AU55" s="1484">
        <f t="shared" si="210"/>
        <v>455.4</v>
      </c>
      <c r="AV55" s="1484">
        <f t="shared" si="210"/>
        <v>455.4</v>
      </c>
      <c r="AW55" s="1484">
        <f t="shared" si="210"/>
        <v>455.4</v>
      </c>
      <c r="AX55" s="1484">
        <f t="shared" si="210"/>
        <v>455.4</v>
      </c>
      <c r="AY55" s="1484">
        <f t="shared" si="210"/>
        <v>455.4</v>
      </c>
      <c r="AZ55" s="1484">
        <f t="shared" si="210"/>
        <v>455.4</v>
      </c>
      <c r="BA55" s="1484">
        <f t="shared" si="210"/>
        <v>455.4</v>
      </c>
      <c r="BB55" s="1484">
        <f t="shared" si="210"/>
        <v>455.4</v>
      </c>
      <c r="BC55" s="1484">
        <f t="shared" si="210"/>
        <v>455.4</v>
      </c>
      <c r="BD55" s="1484">
        <f t="shared" si="210"/>
        <v>555.4</v>
      </c>
      <c r="BE55" s="1484">
        <f t="shared" si="210"/>
        <v>455.4</v>
      </c>
      <c r="BF55" s="1484">
        <f t="shared" si="210"/>
        <v>455.4</v>
      </c>
      <c r="BG55" s="1484">
        <f t="shared" si="210"/>
        <v>355.4</v>
      </c>
      <c r="BH55" s="1484">
        <f t="shared" si="210"/>
        <v>455.4</v>
      </c>
      <c r="BI55" s="1484">
        <f t="shared" si="210"/>
        <v>455.4</v>
      </c>
      <c r="BJ55" s="1484">
        <f t="shared" si="210"/>
        <v>455.4</v>
      </c>
      <c r="BK55" s="1484">
        <f t="shared" si="210"/>
        <v>455.4</v>
      </c>
      <c r="BL55" s="1484">
        <f t="shared" si="210"/>
        <v>0</v>
      </c>
      <c r="BM55" s="1484">
        <f t="shared" si="210"/>
        <v>1085.4000000000001</v>
      </c>
      <c r="BN55" s="1484">
        <f t="shared" si="210"/>
        <v>455.4</v>
      </c>
      <c r="BO55" s="1486"/>
      <c r="BP55" s="1485">
        <f t="shared" ref="BP55:CT55" si="211">BP37</f>
        <v>535.4</v>
      </c>
      <c r="BQ55" s="1484">
        <f t="shared" si="211"/>
        <v>535.4</v>
      </c>
      <c r="BR55" s="1484">
        <f t="shared" si="211"/>
        <v>455.4</v>
      </c>
      <c r="BS55" s="1484">
        <f t="shared" si="211"/>
        <v>455.4</v>
      </c>
      <c r="BT55" s="1484">
        <f t="shared" si="211"/>
        <v>535.4</v>
      </c>
      <c r="BU55" s="1484">
        <f t="shared" si="211"/>
        <v>535.4</v>
      </c>
      <c r="BV55" s="1484">
        <f t="shared" si="211"/>
        <v>455.4</v>
      </c>
      <c r="BW55" s="1484">
        <f t="shared" si="211"/>
        <v>355.4</v>
      </c>
      <c r="BX55" s="1484">
        <f t="shared" si="211"/>
        <v>455.4</v>
      </c>
      <c r="BY55" s="1484">
        <f t="shared" si="211"/>
        <v>455.4</v>
      </c>
      <c r="BZ55" s="1484">
        <f t="shared" si="211"/>
        <v>455.4</v>
      </c>
      <c r="CA55" s="1484">
        <f t="shared" si="211"/>
        <v>455.4</v>
      </c>
      <c r="CB55" s="1484">
        <f t="shared" si="211"/>
        <v>455.4</v>
      </c>
      <c r="CC55" s="1484">
        <f t="shared" si="211"/>
        <v>455.4</v>
      </c>
      <c r="CD55" s="1484">
        <f t="shared" si="211"/>
        <v>455.4</v>
      </c>
      <c r="CE55" s="1484">
        <f t="shared" si="211"/>
        <v>455.4</v>
      </c>
      <c r="CF55" s="1484">
        <f t="shared" si="211"/>
        <v>455.4</v>
      </c>
      <c r="CG55" s="1484">
        <f t="shared" si="211"/>
        <v>455.4</v>
      </c>
      <c r="CH55" s="1484">
        <f t="shared" si="211"/>
        <v>455.4</v>
      </c>
      <c r="CI55" s="1484">
        <f t="shared" si="211"/>
        <v>455.4</v>
      </c>
      <c r="CJ55" s="1484">
        <f t="shared" si="211"/>
        <v>555.4</v>
      </c>
      <c r="CK55" s="1484">
        <f t="shared" si="211"/>
        <v>455.4</v>
      </c>
      <c r="CL55" s="1484">
        <f t="shared" si="211"/>
        <v>455.4</v>
      </c>
      <c r="CM55" s="1484">
        <f t="shared" si="211"/>
        <v>455.4</v>
      </c>
      <c r="CN55" s="1484">
        <f t="shared" si="211"/>
        <v>455.4</v>
      </c>
      <c r="CO55" s="1484">
        <f t="shared" si="211"/>
        <v>455.4</v>
      </c>
      <c r="CP55" s="1484">
        <f t="shared" si="211"/>
        <v>455.4</v>
      </c>
      <c r="CQ55" s="1484">
        <f t="shared" si="211"/>
        <v>455.4</v>
      </c>
      <c r="CR55" s="1484">
        <f>CR37</f>
        <v>0</v>
      </c>
      <c r="CS55" s="1484">
        <f t="shared" si="211"/>
        <v>1085.4000000000001</v>
      </c>
      <c r="CT55" s="1484">
        <f t="shared" si="211"/>
        <v>455.4</v>
      </c>
      <c r="CV55" s="1488" t="s">
        <v>1165</v>
      </c>
      <c r="CW55" s="1487" t="s">
        <v>171</v>
      </c>
      <c r="CX55" s="1484">
        <f>CX37</f>
        <v>455.4</v>
      </c>
      <c r="CY55" s="1484">
        <f>CY37</f>
        <v>695.4</v>
      </c>
      <c r="CZ55" s="1484">
        <f>CZ37</f>
        <v>695.4</v>
      </c>
      <c r="DA55" s="1484">
        <f>DA37</f>
        <v>695.4</v>
      </c>
      <c r="DB55" s="1484">
        <f t="shared" ref="DB55:DJ55" si="212">DB37</f>
        <v>595.4</v>
      </c>
      <c r="DC55" s="1484">
        <f t="shared" si="212"/>
        <v>695.4</v>
      </c>
      <c r="DD55" s="1484">
        <f>DD37</f>
        <v>595.4</v>
      </c>
      <c r="DE55" s="1484">
        <f t="shared" si="212"/>
        <v>595.4</v>
      </c>
      <c r="DF55" s="1484">
        <f t="shared" si="212"/>
        <v>595.4</v>
      </c>
      <c r="DG55" s="1484">
        <f t="shared" si="212"/>
        <v>595.4</v>
      </c>
      <c r="DH55" s="1484">
        <f>DH37</f>
        <v>595.4</v>
      </c>
      <c r="DI55" s="1484">
        <f t="shared" si="212"/>
        <v>595.4</v>
      </c>
      <c r="DJ55" s="1484">
        <f t="shared" si="212"/>
        <v>595.4</v>
      </c>
      <c r="DK55" s="1484">
        <f>DK37</f>
        <v>595.4</v>
      </c>
      <c r="DL55" s="1484">
        <f t="shared" ref="DL55:DS55" si="213">DL37</f>
        <v>595.4</v>
      </c>
      <c r="DM55" s="1484">
        <f t="shared" si="213"/>
        <v>595.4</v>
      </c>
      <c r="DN55" s="1484">
        <f t="shared" si="213"/>
        <v>595.4</v>
      </c>
      <c r="DO55" s="1484">
        <f t="shared" si="213"/>
        <v>595.4</v>
      </c>
      <c r="DP55" s="1484">
        <f t="shared" si="213"/>
        <v>595.4</v>
      </c>
      <c r="DQ55" s="1484" t="e">
        <f t="shared" si="213"/>
        <v>#REF!</v>
      </c>
      <c r="DR55" s="1484">
        <f t="shared" si="213"/>
        <v>0</v>
      </c>
      <c r="DS55" s="1484">
        <f t="shared" si="213"/>
        <v>100</v>
      </c>
      <c r="DU55" s="1484">
        <f>DU37</f>
        <v>455.4</v>
      </c>
      <c r="DV55" s="1484">
        <f>DV37</f>
        <v>695.4</v>
      </c>
      <c r="DW55" s="1484">
        <f>DW37</f>
        <v>695.4</v>
      </c>
      <c r="DX55" s="1484">
        <f>DX37</f>
        <v>695.4</v>
      </c>
      <c r="DY55" s="1485">
        <f t="shared" ref="DY55:EG55" si="214">DY37</f>
        <v>595.4</v>
      </c>
      <c r="DZ55" s="1484">
        <f t="shared" si="214"/>
        <v>695.4</v>
      </c>
      <c r="EA55" s="1484">
        <f t="shared" si="214"/>
        <v>595.4</v>
      </c>
      <c r="EB55" s="1484">
        <f t="shared" si="214"/>
        <v>595.4</v>
      </c>
      <c r="EC55" s="1484">
        <f t="shared" si="214"/>
        <v>595.4</v>
      </c>
      <c r="ED55" s="1484">
        <f t="shared" si="214"/>
        <v>595.4</v>
      </c>
      <c r="EE55" s="1484">
        <f>EE37</f>
        <v>595.4</v>
      </c>
      <c r="EF55" s="1484">
        <f t="shared" si="214"/>
        <v>595.4</v>
      </c>
      <c r="EG55" s="1484">
        <f t="shared" si="214"/>
        <v>595.4</v>
      </c>
      <c r="EH55" s="1484">
        <f t="shared" ref="EH55:EN55" si="215">EH37</f>
        <v>595.4</v>
      </c>
      <c r="EI55" s="1484">
        <f t="shared" si="215"/>
        <v>595.4</v>
      </c>
      <c r="EJ55" s="1484">
        <f t="shared" si="215"/>
        <v>595.4</v>
      </c>
      <c r="EK55" s="1484">
        <f t="shared" si="215"/>
        <v>595.4</v>
      </c>
      <c r="EL55" s="1484">
        <f t="shared" si="215"/>
        <v>595.4</v>
      </c>
      <c r="EM55" s="1484">
        <f t="shared" si="215"/>
        <v>595.4</v>
      </c>
      <c r="EN55" s="1484" t="e">
        <f t="shared" si="215"/>
        <v>#REF!</v>
      </c>
      <c r="EO55" s="1484">
        <f>EO37</f>
        <v>0</v>
      </c>
      <c r="EP55" s="1484">
        <f>EP37</f>
        <v>100</v>
      </c>
      <c r="ER55" s="1484">
        <f>ER37</f>
        <v>455.4</v>
      </c>
      <c r="ES55" s="1484">
        <f>ES37</f>
        <v>695.4</v>
      </c>
      <c r="ET55" s="1484">
        <f>ET37</f>
        <v>695.4</v>
      </c>
      <c r="EU55" s="1484">
        <f>EU37</f>
        <v>695.4</v>
      </c>
      <c r="EV55" s="1485">
        <f t="shared" ref="EV55:FD55" si="216">EV37</f>
        <v>595.4</v>
      </c>
      <c r="EW55" s="1484">
        <f t="shared" si="216"/>
        <v>695.4</v>
      </c>
      <c r="EX55" s="1484">
        <f t="shared" si="216"/>
        <v>595.4</v>
      </c>
      <c r="EY55" s="1484">
        <f t="shared" si="216"/>
        <v>595.4</v>
      </c>
      <c r="EZ55" s="1484">
        <f t="shared" si="216"/>
        <v>595.4</v>
      </c>
      <c r="FA55" s="1484">
        <f t="shared" si="216"/>
        <v>595.4</v>
      </c>
      <c r="FB55" s="1484">
        <f>FB37</f>
        <v>595.4</v>
      </c>
      <c r="FC55" s="1484">
        <f t="shared" si="216"/>
        <v>595.4</v>
      </c>
      <c r="FD55" s="1484">
        <f t="shared" si="216"/>
        <v>595.4</v>
      </c>
      <c r="FE55" s="1484">
        <f t="shared" ref="FE55:FK55" si="217">FE37</f>
        <v>595.4</v>
      </c>
      <c r="FF55" s="1484">
        <f t="shared" si="217"/>
        <v>595.4</v>
      </c>
      <c r="FG55" s="1484">
        <f t="shared" si="217"/>
        <v>595.4</v>
      </c>
      <c r="FH55" s="1484">
        <f t="shared" si="217"/>
        <v>595.4</v>
      </c>
      <c r="FI55" s="1484">
        <f t="shared" si="217"/>
        <v>595.4</v>
      </c>
      <c r="FJ55" s="1484">
        <f t="shared" si="217"/>
        <v>595.4</v>
      </c>
      <c r="FK55" s="1484" t="e">
        <f t="shared" si="217"/>
        <v>#REF!</v>
      </c>
      <c r="FL55" s="1484">
        <f>FL37</f>
        <v>0</v>
      </c>
      <c r="FM55" s="1484">
        <f>FM37</f>
        <v>100</v>
      </c>
    </row>
    <row r="56" spans="1:171" s="1474" customFormat="1" ht="16.149999999999999" customHeight="1">
      <c r="A56" s="1463">
        <f>ROWS($A$1:A56)</f>
        <v>56</v>
      </c>
      <c r="B56" s="1483"/>
      <c r="C56" s="1482" t="s">
        <v>228</v>
      </c>
      <c r="D56" s="1475">
        <f t="shared" ref="D56:AH56" si="218">IF(D6=0,0,D55/D6)</f>
        <v>8.2369230769230768</v>
      </c>
      <c r="E56" s="1475">
        <f t="shared" si="218"/>
        <v>8.9233333333333338</v>
      </c>
      <c r="F56" s="1475">
        <f t="shared" si="218"/>
        <v>8.2799999999999994</v>
      </c>
      <c r="G56" s="1475">
        <f t="shared" si="218"/>
        <v>8.2799999999999994</v>
      </c>
      <c r="H56" s="1475">
        <f t="shared" si="218"/>
        <v>9.7345454545454544</v>
      </c>
      <c r="I56" s="1475">
        <f t="shared" si="218"/>
        <v>8.9233333333333338</v>
      </c>
      <c r="J56" s="1475">
        <f t="shared" si="218"/>
        <v>8.2799999999999994</v>
      </c>
      <c r="K56" s="1475">
        <f t="shared" si="218"/>
        <v>7.1079999999999997</v>
      </c>
      <c r="L56" s="1475">
        <f t="shared" si="218"/>
        <v>8.2799999999999994</v>
      </c>
      <c r="M56" s="1475">
        <f t="shared" si="218"/>
        <v>9.1079999999999988</v>
      </c>
      <c r="N56" s="1475">
        <f t="shared" si="218"/>
        <v>11.385</v>
      </c>
      <c r="O56" s="1475">
        <f t="shared" si="218"/>
        <v>10.119999999999999</v>
      </c>
      <c r="P56" s="1475">
        <f t="shared" si="218"/>
        <v>11.385</v>
      </c>
      <c r="Q56" s="1475">
        <f t="shared" si="218"/>
        <v>5.6924999999999999</v>
      </c>
      <c r="R56" s="1475">
        <f t="shared" si="218"/>
        <v>5.6924999999999999</v>
      </c>
      <c r="S56" s="1475">
        <f t="shared" si="218"/>
        <v>15.18</v>
      </c>
      <c r="T56" s="1475">
        <f t="shared" si="218"/>
        <v>22.77</v>
      </c>
      <c r="U56" s="1475">
        <f t="shared" si="218"/>
        <v>18.215999999999998</v>
      </c>
      <c r="V56" s="1475">
        <f t="shared" si="218"/>
        <v>22.77</v>
      </c>
      <c r="W56" s="1475">
        <f t="shared" si="218"/>
        <v>30.36</v>
      </c>
      <c r="X56" s="1475">
        <f t="shared" si="218"/>
        <v>27.77</v>
      </c>
      <c r="Y56" s="1475">
        <f t="shared" si="218"/>
        <v>22.77</v>
      </c>
      <c r="Z56" s="1475">
        <f t="shared" si="218"/>
        <v>45.54</v>
      </c>
      <c r="AA56" s="1475">
        <f t="shared" si="218"/>
        <v>1.3011428571428572</v>
      </c>
      <c r="AB56" s="1475">
        <f t="shared" si="218"/>
        <v>1.8215999999999999</v>
      </c>
      <c r="AC56" s="1475">
        <f t="shared" si="218"/>
        <v>1.518</v>
      </c>
      <c r="AD56" s="1475">
        <f t="shared" si="218"/>
        <v>1.2476712328767123</v>
      </c>
      <c r="AE56" s="1475">
        <f t="shared" si="218"/>
        <v>1.1890339425587466</v>
      </c>
      <c r="AF56" s="1475">
        <f t="shared" si="218"/>
        <v>0</v>
      </c>
      <c r="AG56" s="1475">
        <f t="shared" si="218"/>
        <v>1085.4000000000001</v>
      </c>
      <c r="AH56" s="1475">
        <f t="shared" si="218"/>
        <v>455.4</v>
      </c>
      <c r="AI56" s="1477"/>
      <c r="AJ56" s="1476">
        <f t="shared" ref="AJ56:BN56" si="219">IF(AJ6=0,0,AJ55/AJ6)</f>
        <v>6.6924999999999999</v>
      </c>
      <c r="AK56" s="1475">
        <f t="shared" si="219"/>
        <v>7.1386666666666665</v>
      </c>
      <c r="AL56" s="1475">
        <f t="shared" si="219"/>
        <v>6.5057142857142853</v>
      </c>
      <c r="AM56" s="1475">
        <f t="shared" si="219"/>
        <v>7.006153846153846</v>
      </c>
      <c r="AN56" s="1475">
        <f t="shared" si="219"/>
        <v>8.2369230769230768</v>
      </c>
      <c r="AO56" s="1475">
        <f t="shared" si="219"/>
        <v>7.1386666666666665</v>
      </c>
      <c r="AP56" s="1475">
        <f t="shared" si="219"/>
        <v>6.5057142857142853</v>
      </c>
      <c r="AQ56" s="1475">
        <f t="shared" si="219"/>
        <v>5.9233333333333329</v>
      </c>
      <c r="AR56" s="1475">
        <f t="shared" si="219"/>
        <v>7.006153846153846</v>
      </c>
      <c r="AS56" s="1475">
        <f t="shared" si="219"/>
        <v>7.59</v>
      </c>
      <c r="AT56" s="1475">
        <f t="shared" si="219"/>
        <v>9.2938775510204081</v>
      </c>
      <c r="AU56" s="1475">
        <f t="shared" si="219"/>
        <v>8.2799999999999994</v>
      </c>
      <c r="AV56" s="1475">
        <f t="shared" si="219"/>
        <v>8.2799999999999994</v>
      </c>
      <c r="AW56" s="1475">
        <f t="shared" si="219"/>
        <v>4.5539999999999994</v>
      </c>
      <c r="AX56" s="1475">
        <f t="shared" si="219"/>
        <v>5.0599999999999996</v>
      </c>
      <c r="AY56" s="1475">
        <f t="shared" si="219"/>
        <v>11.385</v>
      </c>
      <c r="AZ56" s="1475">
        <f t="shared" si="219"/>
        <v>18.215999999999998</v>
      </c>
      <c r="BA56" s="1475">
        <f t="shared" si="219"/>
        <v>15.18</v>
      </c>
      <c r="BB56" s="1475">
        <f t="shared" si="219"/>
        <v>16.866666666666667</v>
      </c>
      <c r="BC56" s="1475">
        <f t="shared" si="219"/>
        <v>22.77</v>
      </c>
      <c r="BD56" s="1475">
        <f t="shared" si="219"/>
        <v>15.868571428571428</v>
      </c>
      <c r="BE56" s="1475">
        <f t="shared" si="219"/>
        <v>13.011428571428571</v>
      </c>
      <c r="BF56" s="1475">
        <f t="shared" si="219"/>
        <v>18.215999999999998</v>
      </c>
      <c r="BG56" s="1475">
        <f t="shared" si="219"/>
        <v>0.4868493150684931</v>
      </c>
      <c r="BH56" s="1475">
        <f t="shared" si="219"/>
        <v>1.518</v>
      </c>
      <c r="BI56" s="1475">
        <f t="shared" si="219"/>
        <v>1.3011428571428572</v>
      </c>
      <c r="BJ56" s="1475">
        <f t="shared" si="219"/>
        <v>1.2442622950819671</v>
      </c>
      <c r="BK56" s="1475">
        <f t="shared" si="219"/>
        <v>1.0715294117647058</v>
      </c>
      <c r="BL56" s="1475">
        <f t="shared" si="219"/>
        <v>0</v>
      </c>
      <c r="BM56" s="1475">
        <f t="shared" si="219"/>
        <v>1085.4000000000001</v>
      </c>
      <c r="BN56" s="1475">
        <f t="shared" si="219"/>
        <v>455.4</v>
      </c>
      <c r="BO56" s="1477"/>
      <c r="BP56" s="1476">
        <f t="shared" ref="BP56:CT56" si="220">IF(BP6=0,0,BP55/BP6)</f>
        <v>5.63578947368421</v>
      </c>
      <c r="BQ56" s="1475">
        <f t="shared" si="220"/>
        <v>5.9488888888888889</v>
      </c>
      <c r="BR56" s="1475">
        <f t="shared" si="220"/>
        <v>5.3576470588235292</v>
      </c>
      <c r="BS56" s="1475">
        <f t="shared" si="220"/>
        <v>6.0720000000000001</v>
      </c>
      <c r="BT56" s="1475">
        <f t="shared" si="220"/>
        <v>7.1386666666666665</v>
      </c>
      <c r="BU56" s="1475">
        <f t="shared" si="220"/>
        <v>5.9488888888888889</v>
      </c>
      <c r="BV56" s="1475">
        <f t="shared" si="220"/>
        <v>5.3576470588235292</v>
      </c>
      <c r="BW56" s="1475">
        <f t="shared" si="220"/>
        <v>5.0771428571428565</v>
      </c>
      <c r="BX56" s="1475">
        <f t="shared" si="220"/>
        <v>6.0720000000000001</v>
      </c>
      <c r="BY56" s="1475">
        <f t="shared" si="220"/>
        <v>6.5057142857142853</v>
      </c>
      <c r="BZ56" s="1475">
        <f t="shared" si="220"/>
        <v>7.8517241379310345</v>
      </c>
      <c r="CA56" s="1475">
        <f t="shared" si="220"/>
        <v>7.006153846153846</v>
      </c>
      <c r="CB56" s="1475">
        <f t="shared" si="220"/>
        <v>7.59</v>
      </c>
      <c r="CC56" s="1475">
        <f t="shared" si="220"/>
        <v>3.7949999999999999</v>
      </c>
      <c r="CD56" s="1475">
        <f t="shared" si="220"/>
        <v>4.5539999999999994</v>
      </c>
      <c r="CE56" s="1475">
        <f t="shared" si="220"/>
        <v>9.1079999999999988</v>
      </c>
      <c r="CF56" s="1475">
        <f t="shared" si="220"/>
        <v>15.18</v>
      </c>
      <c r="CG56" s="1475">
        <f t="shared" si="220"/>
        <v>13.011428571428571</v>
      </c>
      <c r="CH56" s="1475">
        <f t="shared" si="220"/>
        <v>13.394117647058822</v>
      </c>
      <c r="CI56" s="1475">
        <f t="shared" si="220"/>
        <v>18.215999999999998</v>
      </c>
      <c r="CJ56" s="1475">
        <f t="shared" si="220"/>
        <v>11.107999999999999</v>
      </c>
      <c r="CK56" s="1475">
        <f t="shared" si="220"/>
        <v>9.1079999999999988</v>
      </c>
      <c r="CL56" s="1475">
        <f t="shared" si="220"/>
        <v>11.385</v>
      </c>
      <c r="CM56" s="1475">
        <f t="shared" si="220"/>
        <v>0.53576470588235292</v>
      </c>
      <c r="CN56" s="1475">
        <f t="shared" si="220"/>
        <v>1.3011428571428572</v>
      </c>
      <c r="CO56" s="1475">
        <f t="shared" si="220"/>
        <v>1.1384999999999998</v>
      </c>
      <c r="CP56" s="1475">
        <f t="shared" si="220"/>
        <v>1.1384999999999998</v>
      </c>
      <c r="CQ56" s="1475">
        <f t="shared" si="220"/>
        <v>0.97725321888412009</v>
      </c>
      <c r="CR56" s="1475">
        <f>IF(CR6=0,0,CR55/CR6)</f>
        <v>0</v>
      </c>
      <c r="CS56" s="1475">
        <f t="shared" si="220"/>
        <v>1085.4000000000001</v>
      </c>
      <c r="CT56" s="1475">
        <f t="shared" si="220"/>
        <v>455.4</v>
      </c>
      <c r="CV56" s="1483"/>
      <c r="CW56" s="1482" t="s">
        <v>228</v>
      </c>
      <c r="CX56" s="1475">
        <f>IF(CX6=0,0,CX55/CX6)</f>
        <v>1.518</v>
      </c>
      <c r="CY56" s="1475">
        <f>IF(CY6=0,0,CY55/CY6)</f>
        <v>1.7384999999999999</v>
      </c>
      <c r="CZ56" s="1475">
        <f>IF(CZ6=0,0,CZ55/CZ6)</f>
        <v>2.3180000000000001</v>
      </c>
      <c r="DA56" s="1475">
        <f>IF(DA6=0,0,DA55/DA6)</f>
        <v>1.9868571428571429</v>
      </c>
      <c r="DB56" s="1475">
        <f t="shared" ref="DB56:DJ56" si="221">IF(DB6=0,0,DB55/DB6)</f>
        <v>19.846666666666668</v>
      </c>
      <c r="DC56" s="1475">
        <f t="shared" si="221"/>
        <v>23.18</v>
      </c>
      <c r="DD56" s="1475">
        <f>IF(DD6=0,0,DD55/DD6)</f>
        <v>22.681904761904761</v>
      </c>
      <c r="DE56" s="1475">
        <f t="shared" si="221"/>
        <v>33.853589196872775</v>
      </c>
      <c r="DF56" s="1475">
        <f t="shared" si="221"/>
        <v>19.846666666666668</v>
      </c>
      <c r="DG56" s="1475">
        <f t="shared" si="221"/>
        <v>19.846666666666668</v>
      </c>
      <c r="DH56" s="1475">
        <f>IF(DH6=0,0,DH55/DH6)</f>
        <v>19.846666666666668</v>
      </c>
      <c r="DI56" s="1475">
        <f t="shared" si="221"/>
        <v>25.202116402116403</v>
      </c>
      <c r="DJ56" s="1475">
        <f t="shared" si="221"/>
        <v>9.9233333333333338</v>
      </c>
      <c r="DK56" s="1475">
        <f>IF(DK6=0,0,DK55/DK6)</f>
        <v>22.681904761904761</v>
      </c>
      <c r="DL56" s="1475">
        <f t="shared" ref="DL56:DS56" si="222">IF(DL6=0,0,DL55/DL6)</f>
        <v>26.46222222222222</v>
      </c>
      <c r="DM56" s="1475">
        <f t="shared" si="222"/>
        <v>23.349019607843136</v>
      </c>
      <c r="DN56" s="1475">
        <f t="shared" si="222"/>
        <v>29.77</v>
      </c>
      <c r="DO56" s="1475">
        <f t="shared" si="222"/>
        <v>59.54</v>
      </c>
      <c r="DP56" s="1475">
        <f t="shared" si="222"/>
        <v>3.9693333333333332</v>
      </c>
      <c r="DQ56" s="1475" t="e">
        <f t="shared" si="222"/>
        <v>#REF!</v>
      </c>
      <c r="DR56" s="1475">
        <f t="shared" si="222"/>
        <v>0</v>
      </c>
      <c r="DS56" s="1475">
        <f t="shared" si="222"/>
        <v>0</v>
      </c>
      <c r="DU56" s="1475">
        <f>IF(DU6=0,0,DU55/DU6)</f>
        <v>1.1384999999999998</v>
      </c>
      <c r="DV56" s="1475">
        <f>IF(DV6=0,0,DV55/DV6)</f>
        <v>1.3908</v>
      </c>
      <c r="DW56" s="1475">
        <f>IF(DW6=0,0,DW55/DW6)</f>
        <v>1.7384999999999999</v>
      </c>
      <c r="DX56" s="1475">
        <f>IF(DX6=0,0,DX55/DX6)</f>
        <v>1.5453333333333332</v>
      </c>
      <c r="DY56" s="1476">
        <f t="shared" ref="DY56:EG56" si="223">IF(DY6=0,0,DY55/DY6)</f>
        <v>14.885</v>
      </c>
      <c r="DZ56" s="1475">
        <f t="shared" si="223"/>
        <v>17.384999999999998</v>
      </c>
      <c r="EA56" s="1475">
        <f t="shared" si="223"/>
        <v>17.011428571428571</v>
      </c>
      <c r="EB56" s="1475">
        <f t="shared" si="223"/>
        <v>25.390191897654582</v>
      </c>
      <c r="EC56" s="1475">
        <f t="shared" si="223"/>
        <v>14.885</v>
      </c>
      <c r="ED56" s="1475">
        <f t="shared" si="223"/>
        <v>14.885</v>
      </c>
      <c r="EE56" s="1475">
        <f>IF(EE6=0,0,EE55/EE6)</f>
        <v>14.885</v>
      </c>
      <c r="EF56" s="1475">
        <f t="shared" si="223"/>
        <v>18.901587301587302</v>
      </c>
      <c r="EG56" s="1475">
        <f t="shared" si="223"/>
        <v>7.4424999999999999</v>
      </c>
      <c r="EH56" s="1475">
        <f t="shared" ref="EH56:EN56" si="224">IF(EH6=0,0,EH55/EH6)</f>
        <v>17.011428571428571</v>
      </c>
      <c r="EI56" s="1475">
        <f t="shared" si="224"/>
        <v>19.846666666666668</v>
      </c>
      <c r="EJ56" s="1475">
        <f t="shared" si="224"/>
        <v>19.846666666666668</v>
      </c>
      <c r="EK56" s="1475">
        <f t="shared" si="224"/>
        <v>19.846666666666668</v>
      </c>
      <c r="EL56" s="1475">
        <f t="shared" si="224"/>
        <v>31.336842105263155</v>
      </c>
      <c r="EM56" s="1475">
        <f t="shared" si="224"/>
        <v>3.1754666666666664</v>
      </c>
      <c r="EN56" s="1475" t="e">
        <f t="shared" si="224"/>
        <v>#REF!</v>
      </c>
      <c r="EO56" s="1475">
        <f>IF(EO6=0,0,EO55/EO6)</f>
        <v>0</v>
      </c>
      <c r="EP56" s="1475">
        <f>IF(EP6=0,0,EP55/EP6)</f>
        <v>0</v>
      </c>
      <c r="ER56" s="1475">
        <f>IF(ER6=0,0,ER55/ER6)</f>
        <v>0.91079999999999994</v>
      </c>
      <c r="ES56" s="1475">
        <f>IF(ES6=0,0,ES55/ES6)</f>
        <v>1.159</v>
      </c>
      <c r="ET56" s="1475">
        <f>IF(ET6=0,0,ET55/ET6)</f>
        <v>1.3908</v>
      </c>
      <c r="EU56" s="1475">
        <f>IF(EU6=0,0,EU55/EU6)</f>
        <v>1.2643636363636364</v>
      </c>
      <c r="EV56" s="1476">
        <f t="shared" ref="EV56:FD56" si="225">IF(EV6=0,0,EV55/EV6)</f>
        <v>8.6289855072463766</v>
      </c>
      <c r="EW56" s="1475">
        <f t="shared" si="225"/>
        <v>11.59</v>
      </c>
      <c r="EX56" s="1475">
        <f t="shared" si="225"/>
        <v>13.23111111111111</v>
      </c>
      <c r="EY56" s="1475">
        <f t="shared" si="225"/>
        <v>20.312153518123665</v>
      </c>
      <c r="EZ56" s="1475">
        <f t="shared" si="225"/>
        <v>11.907999999999999</v>
      </c>
      <c r="FA56" s="1475">
        <f t="shared" si="225"/>
        <v>11.907999999999999</v>
      </c>
      <c r="FB56" s="1475">
        <f>IF(FB6=0,0,FB55/FB6)</f>
        <v>11.907999999999999</v>
      </c>
      <c r="FC56" s="1475">
        <f t="shared" si="225"/>
        <v>15.121269841269841</v>
      </c>
      <c r="FD56" s="1475">
        <f t="shared" si="225"/>
        <v>5.9539999999999997</v>
      </c>
      <c r="FE56" s="1475">
        <f t="shared" ref="FE56:FK56" si="226">IF(FE6=0,0,FE55/FE6)</f>
        <v>13.609142857142857</v>
      </c>
      <c r="FF56" s="1475">
        <f t="shared" si="226"/>
        <v>15.877333333333333</v>
      </c>
      <c r="FG56" s="1475">
        <f t="shared" si="226"/>
        <v>17.257971014492753</v>
      </c>
      <c r="FH56" s="1475">
        <f t="shared" si="226"/>
        <v>14.885</v>
      </c>
      <c r="FI56" s="1475">
        <f t="shared" si="226"/>
        <v>22.9</v>
      </c>
      <c r="FJ56" s="1475">
        <f t="shared" si="226"/>
        <v>2.6462222222222223</v>
      </c>
      <c r="FK56" s="1475" t="e">
        <f t="shared" si="226"/>
        <v>#REF!</v>
      </c>
      <c r="FL56" s="1475">
        <f>IF(FL6=0,0,FL55/FL6)</f>
        <v>0</v>
      </c>
      <c r="FM56" s="1475">
        <f>IF(FM6=0,0,FM55/FM6)</f>
        <v>0</v>
      </c>
    </row>
    <row r="57" spans="1:171" s="1474" customFormat="1" ht="16.149999999999999" customHeight="1">
      <c r="A57" s="1463">
        <f>ROWS($A$1:A57)</f>
        <v>57</v>
      </c>
      <c r="B57" s="1481" t="s">
        <v>1164</v>
      </c>
      <c r="C57" s="1480" t="s">
        <v>171</v>
      </c>
      <c r="D57" s="1468">
        <f t="shared" ref="D57:AH57" si="227">D53-D55</f>
        <v>505.92685079276282</v>
      </c>
      <c r="E57" s="1468">
        <f t="shared" si="227"/>
        <v>771.12274871228021</v>
      </c>
      <c r="F57" s="1468">
        <f t="shared" si="227"/>
        <v>937.42082473372159</v>
      </c>
      <c r="G57" s="1468">
        <f t="shared" si="227"/>
        <v>987.89615958372144</v>
      </c>
      <c r="H57" s="1468">
        <f t="shared" si="227"/>
        <v>555.73262751528603</v>
      </c>
      <c r="I57" s="1468">
        <f t="shared" si="227"/>
        <v>664.61121814028604</v>
      </c>
      <c r="J57" s="1468">
        <f t="shared" si="227"/>
        <v>880.18905723372166</v>
      </c>
      <c r="K57" s="1468">
        <f t="shared" si="227"/>
        <v>1078.4524395051626</v>
      </c>
      <c r="L57" s="1468">
        <f t="shared" si="227"/>
        <v>704.53832508189237</v>
      </c>
      <c r="M57" s="1468">
        <f t="shared" si="227"/>
        <v>767.61150057463703</v>
      </c>
      <c r="N57" s="1468">
        <f t="shared" si="227"/>
        <v>627.63055550851016</v>
      </c>
      <c r="O57" s="1468">
        <f t="shared" si="227"/>
        <v>560.7498202526665</v>
      </c>
      <c r="P57" s="1468">
        <f t="shared" si="227"/>
        <v>882.80426727647057</v>
      </c>
      <c r="Q57" s="1468">
        <f t="shared" si="227"/>
        <v>1226.7291003638475</v>
      </c>
      <c r="R57" s="1468">
        <f t="shared" si="227"/>
        <v>1384.9812776896447</v>
      </c>
      <c r="S57" s="1468">
        <f t="shared" si="227"/>
        <v>916.71375014229227</v>
      </c>
      <c r="T57" s="1468">
        <f t="shared" si="227"/>
        <v>870.94416844893169</v>
      </c>
      <c r="U57" s="1468">
        <f t="shared" si="227"/>
        <v>840.80058302842156</v>
      </c>
      <c r="V57" s="1468">
        <f t="shared" si="227"/>
        <v>720.60536159108835</v>
      </c>
      <c r="W57" s="1468">
        <f t="shared" si="227"/>
        <v>689.02253700550966</v>
      </c>
      <c r="X57" s="1468">
        <f t="shared" si="227"/>
        <v>250.24552466248065</v>
      </c>
      <c r="Y57" s="1468">
        <f t="shared" si="227"/>
        <v>444.18550141646097</v>
      </c>
      <c r="Z57" s="1468">
        <f t="shared" si="227"/>
        <v>447.7467878186178</v>
      </c>
      <c r="AA57" s="1468">
        <f t="shared" si="227"/>
        <v>1105.8565671909901</v>
      </c>
      <c r="AB57" s="1468">
        <f t="shared" si="227"/>
        <v>7039.7544724205909</v>
      </c>
      <c r="AC57" s="1468">
        <f t="shared" si="227"/>
        <v>9127.6880775121026</v>
      </c>
      <c r="AD57" s="1468">
        <f t="shared" si="227"/>
        <v>6835.1038910545612</v>
      </c>
      <c r="AE57" s="1468">
        <f t="shared" si="227"/>
        <v>7542.856828492053</v>
      </c>
      <c r="AF57" s="1468">
        <f t="shared" si="227"/>
        <v>585.33333333333337</v>
      </c>
      <c r="AG57" s="1468">
        <f t="shared" si="227"/>
        <v>-1290.3647508706374</v>
      </c>
      <c r="AH57" s="1468">
        <f t="shared" si="227"/>
        <v>-592.91757761883821</v>
      </c>
      <c r="AI57" s="1465"/>
      <c r="AJ57" s="1466">
        <f t="shared" ref="AJ57:BN57" si="228">AJ53-AJ55</f>
        <v>786.22592740115726</v>
      </c>
      <c r="AK57" s="1468">
        <f t="shared" si="228"/>
        <v>972.13158844932116</v>
      </c>
      <c r="AL57" s="1468">
        <f t="shared" si="228"/>
        <v>1118.6137794707624</v>
      </c>
      <c r="AM57" s="1468">
        <f t="shared" si="228"/>
        <v>1131.941888042204</v>
      </c>
      <c r="AN57" s="1468">
        <f t="shared" si="228"/>
        <v>671.11823047240352</v>
      </c>
      <c r="AO57" s="1468">
        <f t="shared" si="228"/>
        <v>819.4986850759625</v>
      </c>
      <c r="AP57" s="1468">
        <f t="shared" si="228"/>
        <v>1034.866704169398</v>
      </c>
      <c r="AQ57" s="1468">
        <f t="shared" si="228"/>
        <v>1230.0403765136448</v>
      </c>
      <c r="AR57" s="1468">
        <f t="shared" si="228"/>
        <v>926.52187924855855</v>
      </c>
      <c r="AS57" s="1468">
        <f t="shared" si="228"/>
        <v>887.22865529022522</v>
      </c>
      <c r="AT57" s="1468">
        <f t="shared" si="228"/>
        <v>722.89365147409774</v>
      </c>
      <c r="AU57" s="1468">
        <f t="shared" si="228"/>
        <v>700.94289251576458</v>
      </c>
      <c r="AV57" s="1468">
        <f t="shared" si="228"/>
        <v>1051.6228962248529</v>
      </c>
      <c r="AW57" s="1468">
        <f t="shared" si="228"/>
        <v>1476.312582711691</v>
      </c>
      <c r="AX57" s="1468">
        <f t="shared" si="228"/>
        <v>1572.8097575217625</v>
      </c>
      <c r="AY57" s="1468">
        <f t="shared" si="228"/>
        <v>1141.2090328178447</v>
      </c>
      <c r="AZ57" s="1468">
        <f t="shared" si="228"/>
        <v>1032.8391686174609</v>
      </c>
      <c r="BA57" s="1468">
        <f t="shared" si="228"/>
        <v>984.13467288621553</v>
      </c>
      <c r="BB57" s="1468">
        <f t="shared" si="228"/>
        <v>831.78707895812715</v>
      </c>
      <c r="BC57" s="1468">
        <f t="shared" si="228"/>
        <v>809.26788519663717</v>
      </c>
      <c r="BD57" s="1468">
        <f t="shared" si="228"/>
        <v>393.00567466248026</v>
      </c>
      <c r="BE57" s="1468">
        <f t="shared" si="228"/>
        <v>598.41292674581348</v>
      </c>
      <c r="BF57" s="1468">
        <f t="shared" si="228"/>
        <v>564.13979176699991</v>
      </c>
      <c r="BG57" s="1468">
        <f t="shared" si="228"/>
        <v>1912.5753521909901</v>
      </c>
      <c r="BH57" s="1468">
        <f t="shared" si="228"/>
        <v>7219.3317563908295</v>
      </c>
      <c r="BI57" s="1468">
        <f t="shared" si="228"/>
        <v>9287.4760195300678</v>
      </c>
      <c r="BJ57" s="1468">
        <f t="shared" si="228"/>
        <v>6933.3736422867023</v>
      </c>
      <c r="BK57" s="1468">
        <f t="shared" si="228"/>
        <v>7688.7716253603867</v>
      </c>
      <c r="BL57" s="1468">
        <f t="shared" si="228"/>
        <v>635.33333333333326</v>
      </c>
      <c r="BM57" s="1468">
        <f t="shared" si="228"/>
        <v>-1240.3647508706374</v>
      </c>
      <c r="BN57" s="1468">
        <f t="shared" si="228"/>
        <v>-289.58424428550484</v>
      </c>
      <c r="BO57" s="1465"/>
      <c r="BP57" s="1466">
        <f t="shared" ref="BP57:CT57" si="229">BP53-BP55</f>
        <v>934.91398122798648</v>
      </c>
      <c r="BQ57" s="1468">
        <f t="shared" si="229"/>
        <v>1152.5114906863628</v>
      </c>
      <c r="BR57" s="1468">
        <f t="shared" si="229"/>
        <v>1295.3682342078037</v>
      </c>
      <c r="BS57" s="1468">
        <f t="shared" si="229"/>
        <v>1275.9876165006858</v>
      </c>
      <c r="BT57" s="1468">
        <f t="shared" si="229"/>
        <v>814.19795094932135</v>
      </c>
      <c r="BU57" s="1468">
        <f t="shared" si="229"/>
        <v>989.30391566656238</v>
      </c>
      <c r="BV57" s="1468">
        <f t="shared" si="229"/>
        <v>1220.6878039064386</v>
      </c>
      <c r="BW57" s="1468">
        <f t="shared" si="229"/>
        <v>1349.2945357207627</v>
      </c>
      <c r="BX57" s="1468">
        <f t="shared" si="229"/>
        <v>912.38887091522531</v>
      </c>
      <c r="BY57" s="1468">
        <f t="shared" si="229"/>
        <v>1006.8458100058139</v>
      </c>
      <c r="BZ57" s="1468">
        <f t="shared" si="229"/>
        <v>818.15674743968623</v>
      </c>
      <c r="CA57" s="1468">
        <f t="shared" si="229"/>
        <v>816.12315556468604</v>
      </c>
      <c r="CB57" s="1468">
        <f t="shared" si="229"/>
        <v>1141.2291058743135</v>
      </c>
      <c r="CC57" s="1468">
        <f t="shared" si="229"/>
        <v>1725.8960650595341</v>
      </c>
      <c r="CD57" s="1468">
        <f t="shared" si="229"/>
        <v>1760.63823735388</v>
      </c>
      <c r="CE57" s="1468">
        <f t="shared" si="229"/>
        <v>1329.9939757749626</v>
      </c>
      <c r="CF57" s="1468">
        <f t="shared" si="229"/>
        <v>1159.0852970718133</v>
      </c>
      <c r="CG57" s="1468">
        <f t="shared" si="229"/>
        <v>1127.4687627440098</v>
      </c>
      <c r="CH57" s="1468">
        <f t="shared" si="229"/>
        <v>942.96879632516641</v>
      </c>
      <c r="CI57" s="1468">
        <f t="shared" si="229"/>
        <v>929.51323338776467</v>
      </c>
      <c r="CJ57" s="1468">
        <f t="shared" si="229"/>
        <v>539.57558782118588</v>
      </c>
      <c r="CK57" s="1468">
        <f t="shared" si="229"/>
        <v>754.54523365451962</v>
      </c>
      <c r="CL57" s="1468">
        <f t="shared" si="229"/>
        <v>680.53279571538235</v>
      </c>
      <c r="CM57" s="1468">
        <f t="shared" si="229"/>
        <v>1944.7070722384997</v>
      </c>
      <c r="CN57" s="1468">
        <f t="shared" si="229"/>
        <v>7390.9829451229707</v>
      </c>
      <c r="CO57" s="1468">
        <f t="shared" si="229"/>
        <v>9470.9904549763887</v>
      </c>
      <c r="CP57" s="1468">
        <f t="shared" si="229"/>
        <v>7073.6090810188471</v>
      </c>
      <c r="CQ57" s="1468">
        <f t="shared" si="229"/>
        <v>7832.8529669957425</v>
      </c>
      <c r="CR57" s="1468">
        <f>CR53-CR55</f>
        <v>685.33333333333326</v>
      </c>
      <c r="CS57" s="1468">
        <f t="shared" si="229"/>
        <v>-1190.3647508706374</v>
      </c>
      <c r="CT57" s="1468">
        <f t="shared" si="229"/>
        <v>-239.58424428550484</v>
      </c>
      <c r="CV57" s="1481" t="s">
        <v>1164</v>
      </c>
      <c r="CW57" s="1480" t="s">
        <v>171</v>
      </c>
      <c r="CX57" s="1468">
        <f>CX53-CX55</f>
        <v>-230.22134060533426</v>
      </c>
      <c r="CY57" s="1468">
        <f>CY53-CY55</f>
        <v>-884.9152895444372</v>
      </c>
      <c r="CZ57" s="1468">
        <f>CZ53-CZ55</f>
        <v>-745.52759060533424</v>
      </c>
      <c r="DA57" s="1468">
        <f>DA53-DA55</f>
        <v>-829.60216454443719</v>
      </c>
      <c r="DB57" s="1468">
        <f t="shared" ref="DB57:DJ57" si="230">DB53-DB55</f>
        <v>58.846464618108939</v>
      </c>
      <c r="DC57" s="1468">
        <f t="shared" si="230"/>
        <v>41.977093058697164</v>
      </c>
      <c r="DD57" s="1468">
        <f>DD53-DD55</f>
        <v>336.78483770406115</v>
      </c>
      <c r="DE57" s="1468">
        <f t="shared" si="230"/>
        <v>339.33504357906099</v>
      </c>
      <c r="DF57" s="1468">
        <f t="shared" si="230"/>
        <v>167.30691947057676</v>
      </c>
      <c r="DG57" s="1468">
        <f t="shared" si="230"/>
        <v>164.15641733647522</v>
      </c>
      <c r="DH57" s="1468">
        <f>DH53-DH55</f>
        <v>199.8322474705767</v>
      </c>
      <c r="DI57" s="1468">
        <f t="shared" si="230"/>
        <v>69.805768739314999</v>
      </c>
      <c r="DJ57" s="1468">
        <f t="shared" si="230"/>
        <v>1144.4574406324655</v>
      </c>
      <c r="DK57" s="1468">
        <f>DK53-DK55</f>
        <v>194.88179380484348</v>
      </c>
      <c r="DL57" s="1468">
        <f t="shared" ref="DL57:DS57" si="231">DL53-DL55</f>
        <v>142.81767121602593</v>
      </c>
      <c r="DM57" s="1468">
        <f t="shared" si="231"/>
        <v>486.542409410809</v>
      </c>
      <c r="DN57" s="1468">
        <f t="shared" si="231"/>
        <v>932.15510527380877</v>
      </c>
      <c r="DO57" s="1468">
        <f t="shared" si="231"/>
        <v>548.95620919575288</v>
      </c>
      <c r="DP57" s="1468">
        <f t="shared" si="231"/>
        <v>3585.9588156347277</v>
      </c>
      <c r="DQ57" s="1468" t="e">
        <f t="shared" si="231"/>
        <v>#REF!</v>
      </c>
      <c r="DR57" s="1468">
        <f t="shared" si="231"/>
        <v>1052.4910921597941</v>
      </c>
      <c r="DS57" s="1468">
        <f t="shared" si="231"/>
        <v>819.36973827992051</v>
      </c>
      <c r="DU57" s="1468">
        <f>DU53-DU55</f>
        <v>-387.47467393866759</v>
      </c>
      <c r="DV57" s="1468">
        <f>DV53-DV55</f>
        <v>-985.00612287777051</v>
      </c>
      <c r="DW57" s="1468">
        <f>DW53-DW55</f>
        <v>-902.78092393866768</v>
      </c>
      <c r="DX57" s="1468">
        <f>DX53-DX55</f>
        <v>-929.69299787777049</v>
      </c>
      <c r="DY57" s="1466">
        <f t="shared" ref="DY57:EG57" si="232">DY53-DY55</f>
        <v>338.54196438890312</v>
      </c>
      <c r="DZ57" s="1468">
        <f t="shared" si="232"/>
        <v>150.71136726881491</v>
      </c>
      <c r="EA57" s="1468">
        <f t="shared" si="232"/>
        <v>419.3319618368389</v>
      </c>
      <c r="EB57" s="1468">
        <f t="shared" si="232"/>
        <v>422.73223633683938</v>
      </c>
      <c r="EC57" s="1468">
        <f t="shared" si="232"/>
        <v>244.11764849680208</v>
      </c>
      <c r="ED57" s="1468">
        <f t="shared" si="232"/>
        <v>241.26197898466648</v>
      </c>
      <c r="EE57" s="1468">
        <f>EE53-EE55</f>
        <v>376.00048541062847</v>
      </c>
      <c r="EF57" s="1468">
        <f t="shared" si="232"/>
        <v>105.89549488384387</v>
      </c>
      <c r="EG57" s="1468">
        <f t="shared" si="232"/>
        <v>1465.4135005730959</v>
      </c>
      <c r="EH57" s="1468">
        <f t="shared" ref="EH57:EN57" si="233">EH53-EH55</f>
        <v>325.69284827308525</v>
      </c>
      <c r="EI57" s="1468">
        <f t="shared" si="233"/>
        <v>194.6207193032003</v>
      </c>
      <c r="EJ57" s="1468">
        <f t="shared" si="233"/>
        <v>560.31432693590898</v>
      </c>
      <c r="EK57" s="1468">
        <f t="shared" si="233"/>
        <v>1325.6063481678189</v>
      </c>
      <c r="EL57" s="1468">
        <f t="shared" si="233"/>
        <v>825.12509546702825</v>
      </c>
      <c r="EM57" s="1468">
        <f t="shared" si="233"/>
        <v>3743.0886227898095</v>
      </c>
      <c r="EN57" s="1468" t="e">
        <f t="shared" si="233"/>
        <v>#REF!</v>
      </c>
      <c r="EO57" s="1468">
        <f>EO53-EO55</f>
        <v>1082.4910921597941</v>
      </c>
      <c r="EP57" s="1468">
        <f>EP53-EP55</f>
        <v>819.36973827992051</v>
      </c>
      <c r="ER57" s="1468" t="e">
        <f>ER53-ER55</f>
        <v>#REF!</v>
      </c>
      <c r="ES57" s="1468" t="e">
        <f>ES53-ES55</f>
        <v>#REF!</v>
      </c>
      <c r="ET57" s="1468" t="e">
        <f>ET53-ET55</f>
        <v>#REF!</v>
      </c>
      <c r="EU57" s="1468" t="e">
        <f>EU53-EU55</f>
        <v>#REF!</v>
      </c>
      <c r="EV57" s="1466" t="e">
        <f t="shared" ref="EV57:FD57" si="234">EV53-EV55</f>
        <v>#REF!</v>
      </c>
      <c r="EW57" s="1468" t="e">
        <f t="shared" si="234"/>
        <v>#REF!</v>
      </c>
      <c r="EX57" s="1468" t="e">
        <f t="shared" si="234"/>
        <v>#REF!</v>
      </c>
      <c r="EY57" s="1468" t="e">
        <f t="shared" si="234"/>
        <v>#REF!</v>
      </c>
      <c r="EZ57" s="1468" t="e">
        <f t="shared" si="234"/>
        <v>#REF!</v>
      </c>
      <c r="FA57" s="1468" t="e">
        <f t="shared" si="234"/>
        <v>#REF!</v>
      </c>
      <c r="FB57" s="1468" t="e">
        <f>FB53-FB55</f>
        <v>#REF!</v>
      </c>
      <c r="FC57" s="1468" t="e">
        <f t="shared" si="234"/>
        <v>#REF!</v>
      </c>
      <c r="FD57" s="1468" t="e">
        <f t="shared" si="234"/>
        <v>#REF!</v>
      </c>
      <c r="FE57" s="1468" t="e">
        <f t="shared" ref="FE57:FK57" si="235">FE53-FE55</f>
        <v>#REF!</v>
      </c>
      <c r="FF57" s="1468" t="e">
        <f t="shared" si="235"/>
        <v>#REF!</v>
      </c>
      <c r="FG57" s="1468" t="e">
        <f t="shared" si="235"/>
        <v>#REF!</v>
      </c>
      <c r="FH57" s="1468" t="e">
        <f t="shared" si="235"/>
        <v>#REF!</v>
      </c>
      <c r="FI57" s="1468" t="e">
        <f t="shared" si="235"/>
        <v>#REF!</v>
      </c>
      <c r="FJ57" s="1468" t="e">
        <f t="shared" si="235"/>
        <v>#REF!</v>
      </c>
      <c r="FK57" s="1468" t="e">
        <f t="shared" si="235"/>
        <v>#REF!</v>
      </c>
      <c r="FL57" s="1468" t="e">
        <f>FL53-FL55</f>
        <v>#REF!</v>
      </c>
      <c r="FM57" s="1468" t="e">
        <f>FM53-FM55</f>
        <v>#REF!</v>
      </c>
    </row>
    <row r="58" spans="1:171" s="1474" customFormat="1" ht="16.149999999999999" customHeight="1" thickBot="1">
      <c r="A58" s="1463">
        <f>ROWS($A$1:A58)</f>
        <v>58</v>
      </c>
      <c r="B58" s="1479" t="s">
        <v>1163</v>
      </c>
      <c r="C58" s="1478" t="s">
        <v>228</v>
      </c>
      <c r="D58" s="1475">
        <f t="shared" ref="D58:AH58" si="236">IF(D6=0,0,D57/D6)</f>
        <v>7.7834900121963511</v>
      </c>
      <c r="E58" s="1475">
        <f t="shared" si="236"/>
        <v>12.852045811871337</v>
      </c>
      <c r="F58" s="1475">
        <f t="shared" si="236"/>
        <v>17.044014995158573</v>
      </c>
      <c r="G58" s="1475">
        <f t="shared" si="236"/>
        <v>17.961748356067663</v>
      </c>
      <c r="H58" s="1475">
        <f t="shared" si="236"/>
        <v>10.104229591187019</v>
      </c>
      <c r="I58" s="1475">
        <f t="shared" si="236"/>
        <v>11.076853635671434</v>
      </c>
      <c r="J58" s="1475">
        <f t="shared" si="236"/>
        <v>16.003437404249485</v>
      </c>
      <c r="K58" s="1475">
        <f t="shared" si="236"/>
        <v>21.569048790103253</v>
      </c>
      <c r="L58" s="1475">
        <f t="shared" si="236"/>
        <v>12.809787728761679</v>
      </c>
      <c r="M58" s="1475">
        <f t="shared" si="236"/>
        <v>15.352230011492741</v>
      </c>
      <c r="N58" s="1475">
        <f t="shared" si="236"/>
        <v>15.690763887712754</v>
      </c>
      <c r="O58" s="1475">
        <f t="shared" si="236"/>
        <v>12.461107116725922</v>
      </c>
      <c r="P58" s="1475">
        <f t="shared" si="236"/>
        <v>22.070106681911764</v>
      </c>
      <c r="Q58" s="1475">
        <f t="shared" si="236"/>
        <v>15.334113754548094</v>
      </c>
      <c r="R58" s="1475">
        <f t="shared" si="236"/>
        <v>17.31226597112056</v>
      </c>
      <c r="S58" s="1475">
        <f t="shared" si="236"/>
        <v>30.557125004743074</v>
      </c>
      <c r="T58" s="1475">
        <f t="shared" si="236"/>
        <v>43.547208422446587</v>
      </c>
      <c r="U58" s="1475">
        <f t="shared" si="236"/>
        <v>33.632023321136863</v>
      </c>
      <c r="V58" s="1475">
        <f t="shared" si="236"/>
        <v>36.030268079554418</v>
      </c>
      <c r="W58" s="1475">
        <f t="shared" si="236"/>
        <v>45.93483580036731</v>
      </c>
      <c r="X58" s="1475">
        <f t="shared" si="236"/>
        <v>12.512276233124032</v>
      </c>
      <c r="Y58" s="1475">
        <f t="shared" si="236"/>
        <v>22.209275070823047</v>
      </c>
      <c r="Z58" s="1475">
        <f t="shared" si="236"/>
        <v>44.77467878186178</v>
      </c>
      <c r="AA58" s="1475">
        <f t="shared" si="236"/>
        <v>3.1595901919742575</v>
      </c>
      <c r="AB58" s="1475">
        <f t="shared" si="236"/>
        <v>28.159017889682364</v>
      </c>
      <c r="AC58" s="1475">
        <f t="shared" si="236"/>
        <v>30.425626925040341</v>
      </c>
      <c r="AD58" s="1475">
        <f t="shared" si="236"/>
        <v>18.726312030286469</v>
      </c>
      <c r="AE58" s="1475">
        <f t="shared" si="236"/>
        <v>19.69414315533173</v>
      </c>
      <c r="AF58" s="1475">
        <f t="shared" si="236"/>
        <v>0</v>
      </c>
      <c r="AG58" s="1475">
        <f t="shared" si="236"/>
        <v>-1290.3647508706374</v>
      </c>
      <c r="AH58" s="1475">
        <f t="shared" si="236"/>
        <v>-592.91757761883821</v>
      </c>
      <c r="AI58" s="1477"/>
      <c r="AJ58" s="1476">
        <f t="shared" ref="AJ58:BN58" si="237">IF(AJ6=0,0,AJ57/AJ6)</f>
        <v>9.8278240925144651</v>
      </c>
      <c r="AK58" s="1475">
        <f t="shared" si="237"/>
        <v>12.961754512657615</v>
      </c>
      <c r="AL58" s="1475">
        <f t="shared" si="237"/>
        <v>15.98019684958232</v>
      </c>
      <c r="AM58" s="1475">
        <f t="shared" si="237"/>
        <v>17.414490585264677</v>
      </c>
      <c r="AN58" s="1475">
        <f t="shared" si="237"/>
        <v>10.324895853421593</v>
      </c>
      <c r="AO58" s="1475">
        <f t="shared" si="237"/>
        <v>10.926649134346167</v>
      </c>
      <c r="AP58" s="1475">
        <f t="shared" si="237"/>
        <v>14.783810059562828</v>
      </c>
      <c r="AQ58" s="1475">
        <f t="shared" si="237"/>
        <v>20.500672941894081</v>
      </c>
      <c r="AR58" s="1475">
        <f t="shared" si="237"/>
        <v>14.254182757670131</v>
      </c>
      <c r="AS58" s="1475">
        <f t="shared" si="237"/>
        <v>14.787144254837086</v>
      </c>
      <c r="AT58" s="1475">
        <f t="shared" si="237"/>
        <v>14.752931662736689</v>
      </c>
      <c r="AU58" s="1475">
        <f t="shared" si="237"/>
        <v>12.744416227559356</v>
      </c>
      <c r="AV58" s="1475">
        <f t="shared" si="237"/>
        <v>19.120416294997323</v>
      </c>
      <c r="AW58" s="1475">
        <f t="shared" si="237"/>
        <v>14.763125827116911</v>
      </c>
      <c r="AX58" s="1475">
        <f t="shared" si="237"/>
        <v>17.475663972464027</v>
      </c>
      <c r="AY58" s="1475">
        <f t="shared" si="237"/>
        <v>28.530225820446116</v>
      </c>
      <c r="AZ58" s="1475">
        <f t="shared" si="237"/>
        <v>41.313566744698434</v>
      </c>
      <c r="BA58" s="1475">
        <f t="shared" si="237"/>
        <v>32.804489096207185</v>
      </c>
      <c r="BB58" s="1475">
        <f t="shared" si="237"/>
        <v>30.806928850301006</v>
      </c>
      <c r="BC58" s="1475">
        <f t="shared" si="237"/>
        <v>40.463394259831858</v>
      </c>
      <c r="BD58" s="1475">
        <f t="shared" si="237"/>
        <v>11.22873356178515</v>
      </c>
      <c r="BE58" s="1475">
        <f t="shared" si="237"/>
        <v>17.097512192737529</v>
      </c>
      <c r="BF58" s="1475">
        <f t="shared" si="237"/>
        <v>22.565591670679996</v>
      </c>
      <c r="BG58" s="1475">
        <f t="shared" si="237"/>
        <v>2.6199662358780684</v>
      </c>
      <c r="BH58" s="1475">
        <f t="shared" si="237"/>
        <v>24.06443918796943</v>
      </c>
      <c r="BI58" s="1475">
        <f t="shared" si="237"/>
        <v>26.535645770085907</v>
      </c>
      <c r="BJ58" s="1475">
        <f t="shared" si="237"/>
        <v>18.943643831384431</v>
      </c>
      <c r="BK58" s="1475">
        <f t="shared" si="237"/>
        <v>18.091227353789144</v>
      </c>
      <c r="BL58" s="1475">
        <f t="shared" si="237"/>
        <v>0</v>
      </c>
      <c r="BM58" s="1475">
        <f t="shared" si="237"/>
        <v>-1240.3647508706374</v>
      </c>
      <c r="BN58" s="1475">
        <f t="shared" si="237"/>
        <v>-289.58424428550484</v>
      </c>
      <c r="BO58" s="1477"/>
      <c r="BP58" s="1476">
        <f t="shared" ref="BP58:CT58" si="238">IF(BP6=0,0,BP57/BP6)</f>
        <v>9.8411998023998581</v>
      </c>
      <c r="BQ58" s="1475">
        <f t="shared" si="238"/>
        <v>12.805683229848475</v>
      </c>
      <c r="BR58" s="1475">
        <f t="shared" si="238"/>
        <v>15.239626284797691</v>
      </c>
      <c r="BS58" s="1475">
        <f t="shared" si="238"/>
        <v>17.013168220009145</v>
      </c>
      <c r="BT58" s="1475">
        <f t="shared" si="238"/>
        <v>10.855972679324285</v>
      </c>
      <c r="BU58" s="1475">
        <f t="shared" si="238"/>
        <v>10.992265729628471</v>
      </c>
      <c r="BV58" s="1475">
        <f t="shared" si="238"/>
        <v>14.361032987134571</v>
      </c>
      <c r="BW58" s="1475">
        <f t="shared" si="238"/>
        <v>19.275636224582325</v>
      </c>
      <c r="BX58" s="1475">
        <f t="shared" si="238"/>
        <v>12.165184945536337</v>
      </c>
      <c r="BY58" s="1475">
        <f t="shared" si="238"/>
        <v>14.383511571511626</v>
      </c>
      <c r="BZ58" s="1475">
        <f t="shared" si="238"/>
        <v>14.106150817925625</v>
      </c>
      <c r="CA58" s="1475">
        <f t="shared" si="238"/>
        <v>12.555740854841323</v>
      </c>
      <c r="CB58" s="1475">
        <f t="shared" si="238"/>
        <v>19.020485097905226</v>
      </c>
      <c r="CC58" s="1475">
        <f t="shared" si="238"/>
        <v>14.38246720882945</v>
      </c>
      <c r="CD58" s="1475">
        <f t="shared" si="238"/>
        <v>17.6063823735388</v>
      </c>
      <c r="CE58" s="1475">
        <f t="shared" si="238"/>
        <v>26.59987951549925</v>
      </c>
      <c r="CF58" s="1475">
        <f t="shared" si="238"/>
        <v>38.636176569060446</v>
      </c>
      <c r="CG58" s="1475">
        <f t="shared" si="238"/>
        <v>32.213393221257427</v>
      </c>
      <c r="CH58" s="1475">
        <f t="shared" si="238"/>
        <v>27.734376362504893</v>
      </c>
      <c r="CI58" s="1475">
        <f t="shared" si="238"/>
        <v>37.180529335510585</v>
      </c>
      <c r="CJ58" s="1475">
        <f t="shared" si="238"/>
        <v>10.791511756423718</v>
      </c>
      <c r="CK58" s="1475">
        <f t="shared" si="238"/>
        <v>15.090904673090392</v>
      </c>
      <c r="CL58" s="1475">
        <f t="shared" si="238"/>
        <v>17.01331989288456</v>
      </c>
      <c r="CM58" s="1475">
        <f t="shared" si="238"/>
        <v>2.2878906732217645</v>
      </c>
      <c r="CN58" s="1475">
        <f t="shared" si="238"/>
        <v>21.117094128922773</v>
      </c>
      <c r="CO58" s="1475">
        <f t="shared" si="238"/>
        <v>23.677476137440973</v>
      </c>
      <c r="CP58" s="1475">
        <f t="shared" si="238"/>
        <v>17.684022702547118</v>
      </c>
      <c r="CQ58" s="1475">
        <f t="shared" si="238"/>
        <v>16.808697354068116</v>
      </c>
      <c r="CR58" s="1475">
        <f>IF(CR6=0,0,CR57/CR6)</f>
        <v>0</v>
      </c>
      <c r="CS58" s="1475">
        <f t="shared" si="238"/>
        <v>-1190.3647508706374</v>
      </c>
      <c r="CT58" s="1475">
        <f t="shared" si="238"/>
        <v>-239.58424428550484</v>
      </c>
      <c r="CV58" s="1479" t="s">
        <v>1163</v>
      </c>
      <c r="CW58" s="1478" t="s">
        <v>228</v>
      </c>
      <c r="CX58" s="1475">
        <f>IF(CX6=0,0,CX57/CX6)</f>
        <v>-0.76740446868444756</v>
      </c>
      <c r="CY58" s="1475">
        <f>IF(CY6=0,0,CY57/CY6)</f>
        <v>-2.2122882238610928</v>
      </c>
      <c r="CZ58" s="1475">
        <f>IF(CZ6=0,0,CZ57/CZ6)</f>
        <v>-2.4850919686844475</v>
      </c>
      <c r="DA58" s="1475">
        <f>IF(DA6=0,0,DA57/DA6)</f>
        <v>-2.3702918986983921</v>
      </c>
      <c r="DB58" s="1475">
        <f t="shared" ref="DB58:DJ58" si="239">IF(DB6=0,0,DB57/DB6)</f>
        <v>1.9615488206036313</v>
      </c>
      <c r="DC58" s="1475">
        <f t="shared" si="239"/>
        <v>1.3992364352899054</v>
      </c>
      <c r="DD58" s="1475">
        <f>IF(DD6=0,0,DD57/DD6)</f>
        <v>12.829898579202329</v>
      </c>
      <c r="DE58" s="1475">
        <f t="shared" si="239"/>
        <v>19.294103401794512</v>
      </c>
      <c r="DF58" s="1475">
        <f t="shared" si="239"/>
        <v>5.5768973156858923</v>
      </c>
      <c r="DG58" s="1475">
        <f t="shared" si="239"/>
        <v>5.4718805778825068</v>
      </c>
      <c r="DH58" s="1475">
        <f>IF(DH6=0,0,DH57/DH6)</f>
        <v>6.6610749156858899</v>
      </c>
      <c r="DI58" s="1475">
        <f t="shared" si="239"/>
        <v>2.9547415339392593</v>
      </c>
      <c r="DJ58" s="1475">
        <f t="shared" si="239"/>
        <v>19.07429067720776</v>
      </c>
      <c r="DK58" s="1475">
        <f>IF(DK6=0,0,DK57/DK6)</f>
        <v>7.4240683354226089</v>
      </c>
      <c r="DL58" s="1475">
        <f t="shared" ref="DL58:DS58" si="240">IF(DL6=0,0,DL57/DL6)</f>
        <v>6.347452054045597</v>
      </c>
      <c r="DM58" s="1475">
        <f t="shared" si="240"/>
        <v>19.080094486698393</v>
      </c>
      <c r="DN58" s="1475">
        <f t="shared" si="240"/>
        <v>46.607755263690436</v>
      </c>
      <c r="DO58" s="1475">
        <f t="shared" si="240"/>
        <v>54.895620919575286</v>
      </c>
      <c r="DP58" s="1475">
        <f t="shared" si="240"/>
        <v>23.906392104231518</v>
      </c>
      <c r="DQ58" s="1475" t="e">
        <f t="shared" si="240"/>
        <v>#REF!</v>
      </c>
      <c r="DR58" s="1475">
        <f t="shared" si="240"/>
        <v>0</v>
      </c>
      <c r="DS58" s="1475">
        <f t="shared" si="240"/>
        <v>0</v>
      </c>
      <c r="DU58" s="1475">
        <f>IF(DU6=0,0,DU57/DU6)</f>
        <v>-0.96868668484666898</v>
      </c>
      <c r="DV58" s="1475">
        <f>IF(DV6=0,0,DV57/DV6)</f>
        <v>-1.9700122457555411</v>
      </c>
      <c r="DW58" s="1475">
        <f>IF(DW6=0,0,DW57/DW6)</f>
        <v>-2.2569523098466693</v>
      </c>
      <c r="DX58" s="1475">
        <f>IF(DX6=0,0,DX57/DX6)</f>
        <v>-2.0659844397283789</v>
      </c>
      <c r="DY58" s="1476">
        <f t="shared" ref="DY58:EG58" si="241">IF(DY6=0,0,DY57/DY6)</f>
        <v>8.4635491097225781</v>
      </c>
      <c r="DZ58" s="1475">
        <f t="shared" si="241"/>
        <v>3.7677841817203728</v>
      </c>
      <c r="EA58" s="1475">
        <f t="shared" si="241"/>
        <v>11.980913195338255</v>
      </c>
      <c r="EB58" s="1475">
        <f t="shared" si="241"/>
        <v>18.026961037818307</v>
      </c>
      <c r="EC58" s="1475">
        <f t="shared" si="241"/>
        <v>6.1029412124200517</v>
      </c>
      <c r="ED58" s="1475">
        <f t="shared" si="241"/>
        <v>6.0315494746166625</v>
      </c>
      <c r="EE58" s="1475">
        <f>IF(EE6=0,0,EE57/EE6)</f>
        <v>9.4000121352657118</v>
      </c>
      <c r="EF58" s="1475">
        <f t="shared" si="241"/>
        <v>3.3617617423442496</v>
      </c>
      <c r="EG58" s="1475">
        <f t="shared" si="241"/>
        <v>18.317668757163698</v>
      </c>
      <c r="EH58" s="1475">
        <f t="shared" ref="EH58:EN58" si="242">IF(EH6=0,0,EH57/EH6)</f>
        <v>9.3055099506595784</v>
      </c>
      <c r="EI58" s="1475">
        <f t="shared" si="242"/>
        <v>6.4873573101066766</v>
      </c>
      <c r="EJ58" s="1475">
        <f t="shared" si="242"/>
        <v>18.677144231196966</v>
      </c>
      <c r="EK58" s="1475">
        <f t="shared" si="242"/>
        <v>44.186878272260628</v>
      </c>
      <c r="EL58" s="1475">
        <f t="shared" si="242"/>
        <v>43.427636603527802</v>
      </c>
      <c r="EM58" s="1475">
        <f t="shared" si="242"/>
        <v>19.963139321545651</v>
      </c>
      <c r="EN58" s="1475" t="e">
        <f t="shared" si="242"/>
        <v>#REF!</v>
      </c>
      <c r="EO58" s="1475">
        <f>IF(EO6=0,0,EO57/EO6)</f>
        <v>0</v>
      </c>
      <c r="EP58" s="1475">
        <f>IF(EP6=0,0,EP57/EP6)</f>
        <v>0</v>
      </c>
      <c r="ER58" s="1475" t="e">
        <f>IF(ER6=0,0,ER57/ER6)</f>
        <v>#REF!</v>
      </c>
      <c r="ES58" s="1475" t="e">
        <f>IF(ES6=0,0,ES57/ES6)</f>
        <v>#REF!</v>
      </c>
      <c r="ET58" s="1475" t="e">
        <f>IF(ET6=0,0,ET57/ET6)</f>
        <v>#REF!</v>
      </c>
      <c r="EU58" s="1475" t="e">
        <f>IF(EU6=0,0,EU57/EU6)</f>
        <v>#REF!</v>
      </c>
      <c r="EV58" s="1476" t="e">
        <f t="shared" ref="EV58:FD58" si="243">IF(EV6=0,0,EV57/EV6)</f>
        <v>#REF!</v>
      </c>
      <c r="EW58" s="1475" t="e">
        <f t="shared" si="243"/>
        <v>#REF!</v>
      </c>
      <c r="EX58" s="1475" t="e">
        <f t="shared" si="243"/>
        <v>#REF!</v>
      </c>
      <c r="EY58" s="1475" t="e">
        <f t="shared" si="243"/>
        <v>#REF!</v>
      </c>
      <c r="EZ58" s="1475" t="e">
        <f t="shared" si="243"/>
        <v>#REF!</v>
      </c>
      <c r="FA58" s="1475" t="e">
        <f t="shared" si="243"/>
        <v>#REF!</v>
      </c>
      <c r="FB58" s="1475" t="e">
        <f>IF(FB6=0,0,FB57/FB6)</f>
        <v>#REF!</v>
      </c>
      <c r="FC58" s="1475" t="e">
        <f t="shared" si="243"/>
        <v>#REF!</v>
      </c>
      <c r="FD58" s="1475" t="e">
        <f t="shared" si="243"/>
        <v>#REF!</v>
      </c>
      <c r="FE58" s="1475" t="e">
        <f t="shared" ref="FE58:FK58" si="244">IF(FE6=0,0,FE57/FE6)</f>
        <v>#REF!</v>
      </c>
      <c r="FF58" s="1475" t="e">
        <f t="shared" si="244"/>
        <v>#REF!</v>
      </c>
      <c r="FG58" s="1475" t="e">
        <f t="shared" si="244"/>
        <v>#REF!</v>
      </c>
      <c r="FH58" s="1475" t="e">
        <f t="shared" si="244"/>
        <v>#REF!</v>
      </c>
      <c r="FI58" s="1475" t="e">
        <f t="shared" si="244"/>
        <v>#REF!</v>
      </c>
      <c r="FJ58" s="1475" t="e">
        <f t="shared" si="244"/>
        <v>#REF!</v>
      </c>
      <c r="FK58" s="1475" t="e">
        <f t="shared" si="244"/>
        <v>#REF!</v>
      </c>
      <c r="FL58" s="1475">
        <f>IF(FL6=0,0,FL57/FL6)</f>
        <v>0</v>
      </c>
      <c r="FM58" s="1475">
        <f>IF(FM6=0,0,FM57/FM6)</f>
        <v>0</v>
      </c>
    </row>
    <row r="59" spans="1:171" ht="16.149999999999999" customHeight="1">
      <c r="A59" s="1463">
        <f>ROWS($A$1:A59)</f>
        <v>59</v>
      </c>
      <c r="B59" s="1473" t="s">
        <v>1162</v>
      </c>
      <c r="C59" s="1471"/>
      <c r="D59" s="1470">
        <f t="shared" ref="D59:AH59" si="245">SUM(D17,D18,D19,D20,D24)</f>
        <v>150.02960547982158</v>
      </c>
      <c r="E59" s="1470">
        <f t="shared" si="245"/>
        <v>114.24373222757453</v>
      </c>
      <c r="F59" s="1470">
        <f t="shared" si="245"/>
        <v>128.78745655489806</v>
      </c>
      <c r="G59" s="1470">
        <f t="shared" si="245"/>
        <v>130.57579140489804</v>
      </c>
      <c r="H59" s="1470">
        <f t="shared" si="245"/>
        <v>124.08446103999215</v>
      </c>
      <c r="I59" s="1470">
        <f t="shared" si="245"/>
        <v>135.67521833165884</v>
      </c>
      <c r="J59" s="1470">
        <f t="shared" si="245"/>
        <v>124.71235572156472</v>
      </c>
      <c r="K59" s="1470">
        <f t="shared" si="245"/>
        <v>116.58771963222158</v>
      </c>
      <c r="L59" s="1470">
        <f t="shared" si="245"/>
        <v>24.489343634049021</v>
      </c>
      <c r="M59" s="1470">
        <f t="shared" si="245"/>
        <v>111.01031573855884</v>
      </c>
      <c r="N59" s="1470">
        <f t="shared" si="245"/>
        <v>104.30451897831374</v>
      </c>
      <c r="O59" s="1470">
        <f t="shared" si="245"/>
        <v>99.641152092666673</v>
      </c>
      <c r="P59" s="1470">
        <f t="shared" si="245"/>
        <v>98.539827747058837</v>
      </c>
      <c r="Q59" s="1470">
        <f t="shared" si="245"/>
        <v>477.72779979522056</v>
      </c>
      <c r="R59" s="1470">
        <f t="shared" si="245"/>
        <v>696.43473805513531</v>
      </c>
      <c r="S59" s="1470">
        <f t="shared" si="245"/>
        <v>151.1452080764098</v>
      </c>
      <c r="T59" s="1470">
        <f t="shared" si="245"/>
        <v>127.66919773363726</v>
      </c>
      <c r="U59" s="1470">
        <f t="shared" si="245"/>
        <v>228.31911956332351</v>
      </c>
      <c r="V59" s="1470">
        <f t="shared" si="245"/>
        <v>150.8504763659902</v>
      </c>
      <c r="W59" s="1470">
        <f t="shared" si="245"/>
        <v>82.524625488647061</v>
      </c>
      <c r="X59" s="1470">
        <f t="shared" si="245"/>
        <v>77.859972202872541</v>
      </c>
      <c r="Y59" s="1470">
        <f t="shared" si="245"/>
        <v>77.107193590578433</v>
      </c>
      <c r="Z59" s="1470">
        <f t="shared" si="245"/>
        <v>23.662406549598042</v>
      </c>
      <c r="AA59" s="1470">
        <f t="shared" si="245"/>
        <v>126.18352319166246</v>
      </c>
      <c r="AB59" s="1470">
        <f t="shared" si="245"/>
        <v>382.2549990892731</v>
      </c>
      <c r="AC59" s="1470">
        <f t="shared" si="245"/>
        <v>1742.3440282838669</v>
      </c>
      <c r="AD59" s="1470">
        <f t="shared" si="245"/>
        <v>571.69453466789287</v>
      </c>
      <c r="AE59" s="1470">
        <f t="shared" si="245"/>
        <v>935.85925122695448</v>
      </c>
      <c r="AF59" s="1470">
        <f t="shared" si="245"/>
        <v>0</v>
      </c>
      <c r="AG59" s="1470">
        <f t="shared" si="245"/>
        <v>1.1403597254411766</v>
      </c>
      <c r="AH59" s="1470">
        <f t="shared" si="245"/>
        <v>1.1670523129264705</v>
      </c>
      <c r="AI59" s="1472"/>
      <c r="AJ59" s="1471">
        <f t="shared" ref="AJ59:BN59" si="246">SUM(AJ17,AJ18,AJ19,AJ20,AJ24)</f>
        <v>328.87523191880388</v>
      </c>
      <c r="AK59" s="1471">
        <f t="shared" si="246"/>
        <v>172.01821163049803</v>
      </c>
      <c r="AL59" s="1471">
        <f t="shared" si="246"/>
        <v>162.34605095782157</v>
      </c>
      <c r="AM59" s="1471">
        <f t="shared" si="246"/>
        <v>153.22280783514512</v>
      </c>
      <c r="AN59" s="1471">
        <f t="shared" si="246"/>
        <v>145.79876738534512</v>
      </c>
      <c r="AO59" s="1471">
        <f t="shared" si="246"/>
        <v>168.32174034968824</v>
      </c>
      <c r="AP59" s="1471">
        <f t="shared" si="246"/>
        <v>157.1490577395941</v>
      </c>
      <c r="AQ59" s="1471">
        <f t="shared" si="246"/>
        <v>138.88394461246864</v>
      </c>
      <c r="AR59" s="1471">
        <f t="shared" si="246"/>
        <v>146.34923113404903</v>
      </c>
      <c r="AS59" s="1471">
        <f t="shared" si="246"/>
        <v>132.46684050904904</v>
      </c>
      <c r="AT59" s="1471">
        <f t="shared" si="246"/>
        <v>126.64731833213726</v>
      </c>
      <c r="AU59" s="1471">
        <f t="shared" si="246"/>
        <v>121.2377260404706</v>
      </c>
      <c r="AV59" s="1471">
        <f t="shared" si="246"/>
        <v>133.81401177779412</v>
      </c>
      <c r="AW59" s="1471">
        <f t="shared" si="246"/>
        <v>596.17735558620097</v>
      </c>
      <c r="AX59" s="1470">
        <f t="shared" si="246"/>
        <v>782.9752546088215</v>
      </c>
      <c r="AY59" s="1471">
        <f t="shared" si="246"/>
        <v>199.83265910333529</v>
      </c>
      <c r="AZ59" s="1471">
        <f t="shared" si="246"/>
        <v>158.59591823157845</v>
      </c>
      <c r="BA59" s="1471">
        <f t="shared" si="246"/>
        <v>273.29756111523528</v>
      </c>
      <c r="BB59" s="1471">
        <f t="shared" si="246"/>
        <v>191.51699779891177</v>
      </c>
      <c r="BC59" s="1471">
        <f t="shared" si="246"/>
        <v>108.68115870722549</v>
      </c>
      <c r="BD59" s="1471">
        <f t="shared" si="246"/>
        <v>133.83012220287256</v>
      </c>
      <c r="BE59" s="1471">
        <f t="shared" si="246"/>
        <v>132.59904095287254</v>
      </c>
      <c r="BF59" s="1471">
        <f t="shared" si="246"/>
        <v>53.52196558033333</v>
      </c>
      <c r="BG59" s="1471">
        <f t="shared" si="246"/>
        <v>149.11564152499579</v>
      </c>
      <c r="BH59" s="1471">
        <f t="shared" si="246"/>
        <v>408.18591448808263</v>
      </c>
      <c r="BI59" s="1471">
        <f t="shared" si="246"/>
        <v>1768.2388986720293</v>
      </c>
      <c r="BJ59" s="1471">
        <f t="shared" si="246"/>
        <v>573.24401256670228</v>
      </c>
      <c r="BK59" s="1471">
        <f t="shared" si="246"/>
        <v>948.53195182862112</v>
      </c>
      <c r="BL59" s="1470">
        <f t="shared" si="246"/>
        <v>0</v>
      </c>
      <c r="BM59" s="1470">
        <f t="shared" si="246"/>
        <v>1.1403597254411766</v>
      </c>
      <c r="BN59" s="1470">
        <f t="shared" si="246"/>
        <v>1.1670523129264705</v>
      </c>
      <c r="BO59" s="1472"/>
      <c r="BP59" s="1471">
        <f t="shared" ref="BP59:CT59" si="247">SUM(BP17,BP18,BP19,BP20,BP24)</f>
        <v>303.98463387269214</v>
      </c>
      <c r="BQ59" s="1471">
        <f t="shared" si="247"/>
        <v>205.31375353342159</v>
      </c>
      <c r="BR59" s="1471">
        <f t="shared" si="247"/>
        <v>195.86614536074512</v>
      </c>
      <c r="BS59" s="1471">
        <f t="shared" si="247"/>
        <v>175.86982426539217</v>
      </c>
      <c r="BT59" s="1471">
        <f t="shared" si="247"/>
        <v>167.57457413049804</v>
      </c>
      <c r="BU59" s="1471">
        <f t="shared" si="247"/>
        <v>201.00479563362157</v>
      </c>
      <c r="BV59" s="1471">
        <f t="shared" si="247"/>
        <v>189.77179714251764</v>
      </c>
      <c r="BW59" s="1471">
        <f t="shared" si="247"/>
        <v>160.98380720782157</v>
      </c>
      <c r="BX59" s="1471">
        <f t="shared" si="247"/>
        <v>32.092556134049026</v>
      </c>
      <c r="BY59" s="1471">
        <f t="shared" si="247"/>
        <v>153.92336527953921</v>
      </c>
      <c r="BZ59" s="1471">
        <f t="shared" si="247"/>
        <v>148.9901176859608</v>
      </c>
      <c r="CA59" s="1471">
        <f t="shared" si="247"/>
        <v>142.74669247762748</v>
      </c>
      <c r="CB59" s="1471">
        <f t="shared" si="247"/>
        <v>145.57207312137257</v>
      </c>
      <c r="CC59" s="1471">
        <f t="shared" si="247"/>
        <v>714.62691137718139</v>
      </c>
      <c r="CD59" s="1470">
        <f t="shared" si="247"/>
        <v>869.5157711625078</v>
      </c>
      <c r="CE59" s="1471">
        <f t="shared" si="247"/>
        <v>248.3049721153549</v>
      </c>
      <c r="CF59" s="1471">
        <f t="shared" si="247"/>
        <v>189.36896871887257</v>
      </c>
      <c r="CG59" s="1471">
        <f t="shared" si="247"/>
        <v>318.27600266714705</v>
      </c>
      <c r="CH59" s="1471">
        <f t="shared" si="247"/>
        <v>232.18351923183332</v>
      </c>
      <c r="CI59" s="1471">
        <f t="shared" si="247"/>
        <v>134.83769192580391</v>
      </c>
      <c r="CJ59" s="1471">
        <f t="shared" si="247"/>
        <v>189.80887942746079</v>
      </c>
      <c r="CK59" s="1471">
        <f t="shared" si="247"/>
        <v>188.09519192746077</v>
      </c>
      <c r="CL59" s="1471">
        <f t="shared" si="247"/>
        <v>83.381524611068642</v>
      </c>
      <c r="CM59" s="1471">
        <f t="shared" si="247"/>
        <v>168.65215986897618</v>
      </c>
      <c r="CN59" s="1471">
        <f t="shared" si="247"/>
        <v>434.11682988689216</v>
      </c>
      <c r="CO59" s="1471">
        <f t="shared" si="247"/>
        <v>1794.2058590814861</v>
      </c>
      <c r="CP59" s="1471">
        <f t="shared" si="247"/>
        <v>583.75917796551187</v>
      </c>
      <c r="CQ59" s="1471">
        <f t="shared" si="247"/>
        <v>960.93096933064487</v>
      </c>
      <c r="CR59" s="1471">
        <f>SUM(CR17,CR18,CR19,CR20,CR24)</f>
        <v>0</v>
      </c>
      <c r="CS59" s="1470">
        <f t="shared" si="247"/>
        <v>1.1403597254411766</v>
      </c>
      <c r="CT59" s="1470">
        <f t="shared" si="247"/>
        <v>1.1670523129264705</v>
      </c>
      <c r="CV59" s="1473" t="s">
        <v>1162</v>
      </c>
      <c r="CW59" s="1471"/>
      <c r="CX59" s="1470">
        <f t="shared" ref="CX59:EN59" si="248">SUM(CX17,CX18,CX19,CX20,CX24)</f>
        <v>-0.71108267356960753</v>
      </c>
      <c r="CY59" s="1470">
        <f t="shared" si="248"/>
        <v>-1.7769645107117646</v>
      </c>
      <c r="CZ59" s="1470">
        <f t="shared" si="248"/>
        <v>-1.0173326735696075</v>
      </c>
      <c r="DA59" s="1470">
        <f t="shared" si="248"/>
        <v>-1.2971728440450983</v>
      </c>
      <c r="DB59" s="1470">
        <f t="shared" si="248"/>
        <v>79.469108201974521</v>
      </c>
      <c r="DC59" s="1470">
        <f t="shared" si="248"/>
        <v>85.064321583739229</v>
      </c>
      <c r="DD59" s="1470">
        <f>SUM(DD17,DD18,DD19,DD20,DD24)</f>
        <v>76.984083061456118</v>
      </c>
      <c r="DE59" s="1470">
        <f t="shared" si="248"/>
        <v>296.09678893645611</v>
      </c>
      <c r="DF59" s="1470">
        <f t="shared" si="248"/>
        <v>79.118654402677464</v>
      </c>
      <c r="DG59" s="1470">
        <f t="shared" si="248"/>
        <v>80.680869006223048</v>
      </c>
      <c r="DH59" s="1470">
        <f>SUM(DH17,DH18,DH19,DH20,DH24)</f>
        <v>78.963982402677459</v>
      </c>
      <c r="DI59" s="1470">
        <f t="shared" si="248"/>
        <v>74.410722252592151</v>
      </c>
      <c r="DJ59" s="1470">
        <f t="shared" si="248"/>
        <v>380.75103593691932</v>
      </c>
      <c r="DK59" s="1470">
        <f t="shared" si="248"/>
        <v>85.313118987980886</v>
      </c>
      <c r="DL59" s="1470">
        <f t="shared" ref="DL59:DQ59" si="249">SUM(DL17,DL18,DL19,DL20,DL24)</f>
        <v>73.164667490927926</v>
      </c>
      <c r="DM59" s="1470">
        <f t="shared" si="249"/>
        <v>246.32769142818134</v>
      </c>
      <c r="DN59" s="1470">
        <f t="shared" si="249"/>
        <v>314.79121718742255</v>
      </c>
      <c r="DO59" s="1470">
        <f t="shared" si="249"/>
        <v>62.786018667125489</v>
      </c>
      <c r="DP59" s="1470">
        <f t="shared" si="249"/>
        <v>174.73694800839701</v>
      </c>
      <c r="DQ59" s="1470" t="e">
        <f t="shared" si="249"/>
        <v>#REF!</v>
      </c>
      <c r="DR59" s="1470">
        <f t="shared" si="248"/>
        <v>2.7864258303823526</v>
      </c>
      <c r="DS59" s="1470">
        <f t="shared" si="248"/>
        <v>1.9182579528617645</v>
      </c>
      <c r="DT59" s="1456"/>
      <c r="DU59" s="1470">
        <f t="shared" si="248"/>
        <v>-2.2977493402362743</v>
      </c>
      <c r="DV59" s="1470">
        <f t="shared" si="248"/>
        <v>-2.8677978440450977</v>
      </c>
      <c r="DW59" s="1470">
        <f t="shared" si="248"/>
        <v>-2.6039993402362742</v>
      </c>
      <c r="DX59" s="1470">
        <f t="shared" si="248"/>
        <v>-2.3880061773784313</v>
      </c>
      <c r="DY59" s="1471">
        <f t="shared" si="248"/>
        <v>104.42700324335686</v>
      </c>
      <c r="DZ59" s="1470">
        <f t="shared" si="248"/>
        <v>111.95910264875882</v>
      </c>
      <c r="EA59" s="1470">
        <f t="shared" si="248"/>
        <v>100.78580305599903</v>
      </c>
      <c r="EB59" s="1470">
        <f t="shared" si="248"/>
        <v>392.93607755599908</v>
      </c>
      <c r="EC59" s="1470">
        <f t="shared" si="248"/>
        <v>104.04850872302059</v>
      </c>
      <c r="ED59" s="1470">
        <f t="shared" si="248"/>
        <v>106.1431281944147</v>
      </c>
      <c r="EE59" s="1470">
        <f>SUM(EE17,EE18,EE19,EE20,EE24)</f>
        <v>176.53911102586665</v>
      </c>
      <c r="EF59" s="1470">
        <f t="shared" si="248"/>
        <v>97.723613644180389</v>
      </c>
      <c r="EG59" s="1470">
        <f t="shared" si="248"/>
        <v>505.74962020323625</v>
      </c>
      <c r="EH59" s="1470">
        <f t="shared" si="248"/>
        <v>189.39377860955588</v>
      </c>
      <c r="EI59" s="1470">
        <f t="shared" si="248"/>
        <v>95.937465223199993</v>
      </c>
      <c r="EJ59" s="1470">
        <f t="shared" si="248"/>
        <v>288.83189379002647</v>
      </c>
      <c r="EK59" s="1470">
        <f t="shared" si="248"/>
        <v>527.32101516378532</v>
      </c>
      <c r="EL59" s="1470">
        <f t="shared" si="248"/>
        <v>134.49893784585197</v>
      </c>
      <c r="EM59" s="1470">
        <f t="shared" si="248"/>
        <v>211.54455476191075</v>
      </c>
      <c r="EN59" s="1470" t="e">
        <f t="shared" si="248"/>
        <v>#REF!</v>
      </c>
      <c r="EO59" s="1470">
        <f>SUM(EO17,EO18,EO19,EO20,EO24)</f>
        <v>2.7864258303823526</v>
      </c>
      <c r="EP59" s="1470">
        <f>SUM(EP17,EP18,EP19,EP20,EP24)</f>
        <v>1.9182579528617645</v>
      </c>
      <c r="EQ59" s="1456"/>
      <c r="ER59" s="1470">
        <f t="shared" ref="ER59:FO59" si="250">SUM(ER17,ER18,ER19,ER20,ER24)</f>
        <v>-3.8844160069029416</v>
      </c>
      <c r="ES59" s="1470">
        <f t="shared" si="250"/>
        <v>-3.958631177378432</v>
      </c>
      <c r="ET59" s="1470">
        <f t="shared" si="250"/>
        <v>-4.1906660069029416</v>
      </c>
      <c r="EU59" s="1470">
        <f t="shared" si="250"/>
        <v>-3.4788395107117647</v>
      </c>
      <c r="EV59" s="1471">
        <f t="shared" si="250"/>
        <v>176.80489886336568</v>
      </c>
      <c r="EW59" s="1470">
        <f t="shared" si="250"/>
        <v>165.74866477879806</v>
      </c>
      <c r="EX59" s="1470">
        <f t="shared" si="250"/>
        <v>127.98776876404804</v>
      </c>
      <c r="EY59" s="1470">
        <f t="shared" si="250"/>
        <v>489.77536617554193</v>
      </c>
      <c r="EZ59" s="1470">
        <f t="shared" si="250"/>
        <v>128.64944662676081</v>
      </c>
      <c r="FA59" s="1470">
        <f t="shared" si="250"/>
        <v>131.6564690187858</v>
      </c>
      <c r="FB59" s="1470">
        <f>SUM(FB17,FB18,FB19,FB20,FB24)</f>
        <v>174.19690801287649</v>
      </c>
      <c r="FC59" s="1470">
        <f t="shared" si="250"/>
        <v>160.75603628576863</v>
      </c>
      <c r="FD59" s="1470">
        <f t="shared" si="250"/>
        <v>691.27320446955321</v>
      </c>
      <c r="FE59" s="1470">
        <f t="shared" si="250"/>
        <v>138.83306323113089</v>
      </c>
      <c r="FF59" s="1470">
        <f t="shared" si="250"/>
        <v>118.86077292079558</v>
      </c>
      <c r="FG59" s="1470">
        <f t="shared" si="250"/>
        <v>387.07017778805107</v>
      </c>
      <c r="FH59" s="1470">
        <f t="shared" si="250"/>
        <v>778.16222543990682</v>
      </c>
      <c r="FI59" s="1470">
        <f t="shared" si="250"/>
        <v>208.65731942930589</v>
      </c>
      <c r="FJ59" s="1470">
        <f t="shared" si="250"/>
        <v>248.35216151542448</v>
      </c>
      <c r="FK59" s="1470" t="e">
        <f t="shared" si="250"/>
        <v>#REF!</v>
      </c>
      <c r="FL59" s="1470">
        <f t="shared" si="250"/>
        <v>2.7864258303823526</v>
      </c>
      <c r="FM59" s="1470">
        <f>SUM(FM17,FM18,FM19,FM20,FM24)</f>
        <v>1.9182579528617645</v>
      </c>
      <c r="FO59" s="1455">
        <f t="shared" si="250"/>
        <v>0</v>
      </c>
    </row>
    <row r="60" spans="1:171" ht="16.149999999999999" customHeight="1">
      <c r="A60" s="1463">
        <f>ROWS($A$1:A60)</f>
        <v>60</v>
      </c>
      <c r="B60" s="1469" t="s">
        <v>1161</v>
      </c>
      <c r="C60" s="1466"/>
      <c r="D60" s="1468">
        <f t="shared" ref="D60:AH60" si="251">SUM(D15:D16)</f>
        <v>437.44521197960785</v>
      </c>
      <c r="E60" s="1468">
        <f t="shared" si="251"/>
        <v>297.58701648470588</v>
      </c>
      <c r="F60" s="1468">
        <f t="shared" si="251"/>
        <v>297.01320151215691</v>
      </c>
      <c r="G60" s="1468">
        <f t="shared" si="251"/>
        <v>297.01320151215691</v>
      </c>
      <c r="H60" s="1468">
        <f t="shared" si="251"/>
        <v>291.24599980862746</v>
      </c>
      <c r="I60" s="1468">
        <f t="shared" si="251"/>
        <v>291.24599980862746</v>
      </c>
      <c r="J60" s="1468">
        <f t="shared" si="251"/>
        <v>297.01320151215691</v>
      </c>
      <c r="K60" s="1468">
        <f t="shared" si="251"/>
        <v>296.43938653960788</v>
      </c>
      <c r="L60" s="1468">
        <f t="shared" si="251"/>
        <v>291.81981478117649</v>
      </c>
      <c r="M60" s="1468">
        <f t="shared" si="251"/>
        <v>290.67218483607849</v>
      </c>
      <c r="N60" s="1468">
        <f t="shared" si="251"/>
        <v>290.09836986352946</v>
      </c>
      <c r="O60" s="1468">
        <f t="shared" si="251"/>
        <v>284.33116816</v>
      </c>
      <c r="P60" s="1468">
        <f t="shared" si="251"/>
        <v>304.80177286274511</v>
      </c>
      <c r="Q60" s="1468">
        <f t="shared" si="251"/>
        <v>295.6466339019608</v>
      </c>
      <c r="R60" s="1468">
        <f t="shared" si="251"/>
        <v>288.34787296784316</v>
      </c>
      <c r="S60" s="1468">
        <f t="shared" si="251"/>
        <v>313.64554206588241</v>
      </c>
      <c r="T60" s="1468">
        <f t="shared" si="251"/>
        <v>308.66697071529416</v>
      </c>
      <c r="U60" s="1468">
        <f t="shared" si="251"/>
        <v>308.27496346509804</v>
      </c>
      <c r="V60" s="1468">
        <f t="shared" si="251"/>
        <v>302.53115189176469</v>
      </c>
      <c r="W60" s="1468">
        <f t="shared" si="251"/>
        <v>309.19557818352945</v>
      </c>
      <c r="X60" s="1468">
        <f t="shared" si="251"/>
        <v>304.59688579294118</v>
      </c>
      <c r="Y60" s="1468">
        <f t="shared" si="251"/>
        <v>303.90830782588239</v>
      </c>
      <c r="Z60" s="1468">
        <f t="shared" si="251"/>
        <v>301.61304793568627</v>
      </c>
      <c r="AA60" s="1468">
        <f t="shared" si="251"/>
        <v>538.9990439993278</v>
      </c>
      <c r="AB60" s="1468">
        <f t="shared" si="251"/>
        <v>873.21685428369744</v>
      </c>
      <c r="AC60" s="1468">
        <f t="shared" si="251"/>
        <v>1117.013192085378</v>
      </c>
      <c r="AD60" s="1468">
        <f t="shared" si="251"/>
        <v>932.74754686285712</v>
      </c>
      <c r="AE60" s="1468">
        <f t="shared" si="251"/>
        <v>1075.2485296460504</v>
      </c>
      <c r="AF60" s="1468">
        <f t="shared" si="251"/>
        <v>0</v>
      </c>
      <c r="AG60" s="1468">
        <f t="shared" si="251"/>
        <v>114.05755607058825</v>
      </c>
      <c r="AH60" s="1468">
        <f t="shared" si="251"/>
        <v>124.22837006823531</v>
      </c>
      <c r="AI60" s="1465"/>
      <c r="AJ60" s="1466">
        <f t="shared" ref="AJ60:BN60" si="252">SUM(AJ15:AJ16)</f>
        <v>475.85096214901961</v>
      </c>
      <c r="AK60" s="1468">
        <f t="shared" si="252"/>
        <v>302.90987681882353</v>
      </c>
      <c r="AL60" s="1468">
        <f t="shared" si="252"/>
        <v>302.33606184627456</v>
      </c>
      <c r="AM60" s="1468">
        <f t="shared" si="252"/>
        <v>301.76224687372553</v>
      </c>
      <c r="AN60" s="1468">
        <f t="shared" si="252"/>
        <v>292.39362975372546</v>
      </c>
      <c r="AO60" s="1468">
        <f t="shared" si="252"/>
        <v>292.96744472627449</v>
      </c>
      <c r="AP60" s="1468">
        <f t="shared" si="252"/>
        <v>298.73464642980395</v>
      </c>
      <c r="AQ60" s="1468">
        <f t="shared" si="252"/>
        <v>301.1884319011765</v>
      </c>
      <c r="AR60" s="1468">
        <f t="shared" si="252"/>
        <v>291.81981478117649</v>
      </c>
      <c r="AS60" s="1468">
        <f t="shared" si="252"/>
        <v>291.81981478117649</v>
      </c>
      <c r="AT60" s="1468">
        <f t="shared" si="252"/>
        <v>291.24599980862746</v>
      </c>
      <c r="AU60" s="1468">
        <f t="shared" si="252"/>
        <v>291.24599980862746</v>
      </c>
      <c r="AV60" s="1468">
        <f t="shared" si="252"/>
        <v>306.5232177803922</v>
      </c>
      <c r="AW60" s="1468">
        <f t="shared" si="252"/>
        <v>297.94189379215686</v>
      </c>
      <c r="AX60" s="1468">
        <f t="shared" si="252"/>
        <v>289.49550291294122</v>
      </c>
      <c r="AY60" s="1468">
        <f t="shared" si="252"/>
        <v>320.56037371450986</v>
      </c>
      <c r="AZ60" s="1468">
        <f t="shared" si="252"/>
        <v>315.12275038588234</v>
      </c>
      <c r="BA60" s="1468">
        <f t="shared" si="252"/>
        <v>308.84877843764707</v>
      </c>
      <c r="BB60" s="1468">
        <f t="shared" si="252"/>
        <v>303.90830782588239</v>
      </c>
      <c r="BC60" s="1468">
        <f t="shared" si="252"/>
        <v>309.76939315607842</v>
      </c>
      <c r="BD60" s="1468">
        <f t="shared" si="252"/>
        <v>304.59688579294118</v>
      </c>
      <c r="BE60" s="1468">
        <f t="shared" si="252"/>
        <v>304.59688579294118</v>
      </c>
      <c r="BF60" s="1468">
        <f t="shared" si="252"/>
        <v>303.33449285333336</v>
      </c>
      <c r="BG60" s="1468">
        <f t="shared" si="252"/>
        <v>538.9990439993278</v>
      </c>
      <c r="BH60" s="1468">
        <f t="shared" si="252"/>
        <v>889.18165142655459</v>
      </c>
      <c r="BI60" s="1468">
        <f t="shared" si="252"/>
        <v>1127.2107875247057</v>
      </c>
      <c r="BJ60" s="1468">
        <f t="shared" si="252"/>
        <v>948.71234400571427</v>
      </c>
      <c r="BK60" s="1468">
        <f t="shared" si="252"/>
        <v>1088.6589592460505</v>
      </c>
      <c r="BL60" s="1468">
        <f t="shared" si="252"/>
        <v>0</v>
      </c>
      <c r="BM60" s="1468">
        <f t="shared" si="252"/>
        <v>114.05755607058825</v>
      </c>
      <c r="BN60" s="1468">
        <f t="shared" si="252"/>
        <v>124.22837006823531</v>
      </c>
      <c r="BO60" s="1465"/>
      <c r="BP60" s="1466">
        <f t="shared" ref="BP60:CT60" si="253">SUM(BP15:BP16)</f>
        <v>520.02391402196076</v>
      </c>
      <c r="BQ60" s="1468">
        <f t="shared" si="253"/>
        <v>308.23273715294118</v>
      </c>
      <c r="BR60" s="1468">
        <f t="shared" si="253"/>
        <v>307.65892218039221</v>
      </c>
      <c r="BS60" s="1468">
        <f t="shared" si="253"/>
        <v>306.51129223529415</v>
      </c>
      <c r="BT60" s="1468">
        <f t="shared" si="253"/>
        <v>302.90987681882353</v>
      </c>
      <c r="BU60" s="1468">
        <f t="shared" si="253"/>
        <v>298.86412003294117</v>
      </c>
      <c r="BV60" s="1468">
        <f t="shared" si="253"/>
        <v>304.05750676392159</v>
      </c>
      <c r="BW60" s="1468">
        <f t="shared" si="253"/>
        <v>302.33606184627456</v>
      </c>
      <c r="BX60" s="1468">
        <f t="shared" si="253"/>
        <v>291.81981478117649</v>
      </c>
      <c r="BY60" s="1468">
        <f t="shared" si="253"/>
        <v>292.96744472627449</v>
      </c>
      <c r="BZ60" s="1468">
        <f t="shared" si="253"/>
        <v>292.39362975372546</v>
      </c>
      <c r="CA60" s="1468">
        <f t="shared" si="253"/>
        <v>292.39362975372546</v>
      </c>
      <c r="CB60" s="1468">
        <f t="shared" si="253"/>
        <v>307.09703275294123</v>
      </c>
      <c r="CC60" s="1468">
        <f t="shared" si="253"/>
        <v>300.23715368235293</v>
      </c>
      <c r="CD60" s="1468">
        <f t="shared" si="253"/>
        <v>290.64313285803922</v>
      </c>
      <c r="CE60" s="1468">
        <f t="shared" si="253"/>
        <v>321.70800365960787</v>
      </c>
      <c r="CF60" s="1468">
        <f t="shared" si="253"/>
        <v>315.81132835294125</v>
      </c>
      <c r="CG60" s="1468">
        <f t="shared" si="253"/>
        <v>309.4225934101961</v>
      </c>
      <c r="CH60" s="1468">
        <f t="shared" si="253"/>
        <v>305.28546376000003</v>
      </c>
      <c r="CI60" s="1468">
        <f t="shared" si="253"/>
        <v>310.34320812862745</v>
      </c>
      <c r="CJ60" s="1468">
        <f t="shared" si="253"/>
        <v>305.97404172705888</v>
      </c>
      <c r="CK60" s="1468">
        <f t="shared" si="253"/>
        <v>305.97404172705888</v>
      </c>
      <c r="CL60" s="1468">
        <f t="shared" si="253"/>
        <v>305.05593777098045</v>
      </c>
      <c r="CM60" s="1468">
        <f t="shared" si="253"/>
        <v>544.76624570285708</v>
      </c>
      <c r="CN60" s="1468">
        <f t="shared" si="253"/>
        <v>905.14644856941175</v>
      </c>
      <c r="CO60" s="1468">
        <f t="shared" si="253"/>
        <v>1148.9427863710923</v>
      </c>
      <c r="CP60" s="1468">
        <f t="shared" si="253"/>
        <v>964.67714114857142</v>
      </c>
      <c r="CQ60" s="1468">
        <f t="shared" si="253"/>
        <v>1101.7500929031933</v>
      </c>
      <c r="CR60" s="1468">
        <f>SUM(CR15:CR16)</f>
        <v>0</v>
      </c>
      <c r="CS60" s="1466">
        <f t="shared" si="253"/>
        <v>114.05755607058825</v>
      </c>
      <c r="CT60" s="1466">
        <f t="shared" si="253"/>
        <v>124.22837006823531</v>
      </c>
      <c r="CV60" s="1469" t="s">
        <v>1161</v>
      </c>
      <c r="CW60" s="1466"/>
      <c r="CX60" s="1468">
        <f>SUM(CX15:CX16)</f>
        <v>172.0667420682353</v>
      </c>
      <c r="CY60" s="1468">
        <f>SUM(CY15:CY16)</f>
        <v>114.91834163294118</v>
      </c>
      <c r="CZ60" s="1468">
        <f>SUM(CZ15:CZ16)</f>
        <v>172.0667420682353</v>
      </c>
      <c r="DA60" s="1468">
        <f>SUM(DA15:DA16)</f>
        <v>114.91834163294118</v>
      </c>
      <c r="DB60" s="1468">
        <f t="shared" ref="DB60:DJ60" si="254">SUM(DB15:DB16)</f>
        <v>363.07021355899155</v>
      </c>
      <c r="DC60" s="1468">
        <f t="shared" si="254"/>
        <v>306.08362861781512</v>
      </c>
      <c r="DD60" s="1468">
        <f>SUM(DD15:DD16)</f>
        <v>353.55200464260503</v>
      </c>
      <c r="DE60" s="1468">
        <f t="shared" si="254"/>
        <v>353.55200464260503</v>
      </c>
      <c r="DF60" s="1468">
        <f t="shared" si="254"/>
        <v>366.10497935361343</v>
      </c>
      <c r="DG60" s="1468">
        <f t="shared" si="254"/>
        <v>365.84676261596638</v>
      </c>
      <c r="DH60" s="1468">
        <f>SUM(DH15:DH16)</f>
        <v>366.10497935361343</v>
      </c>
      <c r="DI60" s="1468">
        <f t="shared" si="254"/>
        <v>376.57004648672273</v>
      </c>
      <c r="DJ60" s="1468">
        <f t="shared" si="254"/>
        <v>364.43915469554622</v>
      </c>
      <c r="DK60" s="1468">
        <f>SUM(DK15:DK16)</f>
        <v>329.61284148352945</v>
      </c>
      <c r="DL60" s="1468">
        <f t="shared" ref="DL60:DS60" si="255">SUM(DL15:DL16)</f>
        <v>317.7331703917647</v>
      </c>
      <c r="DM60" s="1468">
        <f t="shared" si="255"/>
        <v>356.57053464929413</v>
      </c>
      <c r="DN60" s="1468">
        <f t="shared" si="255"/>
        <v>318.91388808638658</v>
      </c>
      <c r="DO60" s="1468">
        <f t="shared" si="255"/>
        <v>356.25685719529412</v>
      </c>
      <c r="DP60" s="1468">
        <f t="shared" si="255"/>
        <v>819.62720095966381</v>
      </c>
      <c r="DQ60" s="1468" t="e">
        <f t="shared" si="255"/>
        <v>#REF!</v>
      </c>
      <c r="DR60" s="1468">
        <f t="shared" si="255"/>
        <v>73.448666329411765</v>
      </c>
      <c r="DS60" s="1468">
        <f t="shared" si="255"/>
        <v>84.229480327058837</v>
      </c>
      <c r="DT60" s="1456"/>
      <c r="DU60" s="1468">
        <f>SUM(DU15:DU16)</f>
        <v>172.0667420682353</v>
      </c>
      <c r="DV60" s="1468">
        <f>SUM(DV15:DV16)</f>
        <v>114.91834163294118</v>
      </c>
      <c r="DW60" s="1468">
        <f>SUM(DW15:DW16)</f>
        <v>172.0667420682353</v>
      </c>
      <c r="DX60" s="1468">
        <f>SUM(DX15:DX16)</f>
        <v>114.91834163294118</v>
      </c>
      <c r="DY60" s="1466">
        <f t="shared" ref="DY60:EG60" si="256">SUM(DY15:DY16)</f>
        <v>388.45210400268905</v>
      </c>
      <c r="DZ60" s="1468">
        <f t="shared" si="256"/>
        <v>329.74407414386553</v>
      </c>
      <c r="EA60" s="1468">
        <f t="shared" si="256"/>
        <v>375.76115878084033</v>
      </c>
      <c r="EB60" s="1468">
        <f t="shared" si="256"/>
        <v>375.76115878084033</v>
      </c>
      <c r="EC60" s="1468">
        <f t="shared" si="256"/>
        <v>394.44442548806728</v>
      </c>
      <c r="ED60" s="1468">
        <f t="shared" si="256"/>
        <v>394.10013650453783</v>
      </c>
      <c r="EE60" s="1468">
        <f>SUM(EE15:EE16)</f>
        <v>400.28232676571429</v>
      </c>
      <c r="EF60" s="1468">
        <f t="shared" si="256"/>
        <v>401.15188123966385</v>
      </c>
      <c r="EG60" s="1468">
        <f t="shared" si="256"/>
        <v>366.89221370319331</v>
      </c>
      <c r="EH60" s="1468">
        <f t="shared" ref="EH60:EN60" si="257">SUM(EH15:EH16)</f>
        <v>331.07606966352944</v>
      </c>
      <c r="EI60" s="1468">
        <f t="shared" si="257"/>
        <v>319.02425407999999</v>
      </c>
      <c r="EJ60" s="1468">
        <f t="shared" si="257"/>
        <v>357.16443314588241</v>
      </c>
      <c r="EK60" s="1468">
        <f t="shared" si="257"/>
        <v>320.63533300403367</v>
      </c>
      <c r="EL60" s="1468">
        <f t="shared" si="257"/>
        <v>357.80615762117645</v>
      </c>
      <c r="EM60" s="1468">
        <f t="shared" si="257"/>
        <v>823.8000680278991</v>
      </c>
      <c r="EN60" s="1468" t="e">
        <f t="shared" si="257"/>
        <v>#REF!</v>
      </c>
      <c r="EO60" s="1468">
        <f>SUM(EO15:EO16)</f>
        <v>73.448666329411765</v>
      </c>
      <c r="EP60" s="1468">
        <f>SUM(EP15:EP16)</f>
        <v>84.229480327058837</v>
      </c>
      <c r="EQ60" s="1456"/>
      <c r="ER60" s="1468">
        <f>SUM(ER15:ER16)</f>
        <v>172.0667420682353</v>
      </c>
      <c r="ES60" s="1468">
        <f>SUM(ES15:ES16)</f>
        <v>114.91834163294118</v>
      </c>
      <c r="ET60" s="1468">
        <f>SUM(ET15:ET16)</f>
        <v>172.0667420682353</v>
      </c>
      <c r="EU60" s="1468">
        <f>SUM(EU15:EU16)</f>
        <v>114.91834163294118</v>
      </c>
      <c r="EV60" s="1466">
        <f t="shared" ref="EV60:FD60" si="258">SUM(EV15:EV16)</f>
        <v>462.05958628941175</v>
      </c>
      <c r="EW60" s="1468">
        <f t="shared" si="258"/>
        <v>377.06496519596635</v>
      </c>
      <c r="EX60" s="1468">
        <f t="shared" si="258"/>
        <v>401.14304922453783</v>
      </c>
      <c r="EY60" s="1468">
        <f t="shared" si="258"/>
        <v>397.97031291907558</v>
      </c>
      <c r="EZ60" s="1468">
        <f t="shared" si="258"/>
        <v>385.1934240107563</v>
      </c>
      <c r="FA60" s="1468">
        <f t="shared" si="258"/>
        <v>428.19141167075628</v>
      </c>
      <c r="FB60" s="1468">
        <f>SUM(FB15:FB16)</f>
        <v>428.62177290016803</v>
      </c>
      <c r="FC60" s="1468">
        <f t="shared" si="258"/>
        <v>425.73371599260508</v>
      </c>
      <c r="FD60" s="1468">
        <f t="shared" si="258"/>
        <v>369.34527271084033</v>
      </c>
      <c r="FE60" s="1468">
        <f t="shared" ref="FE60:FK60" si="259">SUM(FE15:FE16)</f>
        <v>332.53929784352943</v>
      </c>
      <c r="FF60" s="1468">
        <f t="shared" si="259"/>
        <v>337.51647666235294</v>
      </c>
      <c r="FG60" s="1468">
        <f t="shared" si="259"/>
        <v>363.59623292011764</v>
      </c>
      <c r="FH60" s="1468">
        <f t="shared" si="259"/>
        <v>319.94675503697482</v>
      </c>
      <c r="FI60" s="1468">
        <f t="shared" si="259"/>
        <v>359.01116906352945</v>
      </c>
      <c r="FJ60" s="1468">
        <f t="shared" si="259"/>
        <v>827.97293509613439</v>
      </c>
      <c r="FK60" s="1468" t="e">
        <f t="shared" si="259"/>
        <v>#REF!</v>
      </c>
      <c r="FL60" s="1468">
        <f>SUM(FL15:FL16)</f>
        <v>73.448666329411765</v>
      </c>
      <c r="FM60" s="1468">
        <f>SUM(FM15:FM16)</f>
        <v>84.229480327058837</v>
      </c>
    </row>
    <row r="61" spans="1:171" ht="16.149999999999999" customHeight="1">
      <c r="A61" s="1463">
        <f>ROWS($A$1:A61)</f>
        <v>61</v>
      </c>
      <c r="B61" s="1467" t="s">
        <v>1160</v>
      </c>
      <c r="C61" s="1466"/>
      <c r="D61" s="3662" t="str">
        <f>'WW1'!$E$10</f>
        <v>Stroh</v>
      </c>
      <c r="E61" s="1468">
        <f>'WW2'!$E$10</f>
        <v>0</v>
      </c>
      <c r="F61" s="1468">
        <f>'WW3'!$E$10</f>
        <v>0</v>
      </c>
      <c r="G61" s="1468">
        <f>'WW4'!$E$10</f>
        <v>0</v>
      </c>
      <c r="H61" s="1468">
        <f>WRo!$E$10</f>
        <v>0</v>
      </c>
      <c r="I61" s="1468">
        <f>Tr!$E$10</f>
        <v>0</v>
      </c>
      <c r="J61" s="1468">
        <f>WG!$E$10</f>
        <v>0</v>
      </c>
      <c r="K61" s="1468">
        <f>Di!$E$10</f>
        <v>0</v>
      </c>
      <c r="L61" s="1468">
        <f>SW!$E$10</f>
        <v>0</v>
      </c>
      <c r="M61" s="1468">
        <f>'SG-Fu'!$E$10</f>
        <v>0</v>
      </c>
      <c r="N61" s="1468" t="str">
        <f>BG!$E$10</f>
        <v>Sortiergerste</v>
      </c>
      <c r="O61" s="1468">
        <f>Ha!$E$10</f>
        <v>0</v>
      </c>
      <c r="P61" s="1468">
        <f>Du!$E$10</f>
        <v>0</v>
      </c>
      <c r="Q61" s="1468">
        <f>KöM!$E$10</f>
        <v>0</v>
      </c>
      <c r="R61" s="1468">
        <f>KH!$E$10</f>
        <v>0</v>
      </c>
      <c r="S61" s="1468">
        <f>WR!E10</f>
        <v>0</v>
      </c>
      <c r="T61" s="1468">
        <f>SR!$E$10</f>
        <v>0</v>
      </c>
      <c r="U61" s="1468">
        <f>SoBl!$E$10</f>
        <v>0</v>
      </c>
      <c r="V61" s="1468">
        <f>Soja!$E$10</f>
        <v>0</v>
      </c>
      <c r="W61" s="1468">
        <f>Öl!$E$10</f>
        <v>0</v>
      </c>
      <c r="X61" s="1468">
        <f>FE!$E$10</f>
        <v>0</v>
      </c>
      <c r="Y61" s="1468">
        <f>AB!$E$10</f>
        <v>0</v>
      </c>
      <c r="Z61" s="1468">
        <f>Lu!$E$10</f>
        <v>0</v>
      </c>
      <c r="AA61" s="1468">
        <f>ZR!$E$10</f>
        <v>0</v>
      </c>
      <c r="AB61" s="1468">
        <f>FrühKa!$E$10</f>
        <v>0</v>
      </c>
      <c r="AC61" s="1468">
        <f>FrühKaFolieBer!$E$10</f>
        <v>0</v>
      </c>
      <c r="AD61" s="1468">
        <f>SpKa!$E$10</f>
        <v>0</v>
      </c>
      <c r="AE61" s="1468">
        <f>SpKaBer!$E$10</f>
        <v>0</v>
      </c>
      <c r="AF61" s="1468">
        <f>'Kultur A'!$E$10</f>
        <v>0</v>
      </c>
      <c r="AG61" s="1468">
        <f>'FAKT-Brachebegrünung'!$E$10</f>
        <v>0</v>
      </c>
      <c r="AH61" s="1468">
        <f>Begr!$E$10</f>
        <v>0</v>
      </c>
      <c r="AI61" s="1465"/>
      <c r="AJ61" s="1466"/>
      <c r="AK61" s="1468"/>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8"/>
      <c r="BM61" s="1468"/>
      <c r="BN61" s="1468"/>
      <c r="BO61" s="1465"/>
      <c r="BP61" s="1466"/>
      <c r="BQ61" s="1468"/>
      <c r="BR61" s="1468"/>
      <c r="BS61" s="1468"/>
      <c r="BT61" s="1468"/>
      <c r="BU61" s="1468"/>
      <c r="BV61" s="1468"/>
      <c r="BW61" s="1468"/>
      <c r="BX61" s="1468"/>
      <c r="BY61" s="1468"/>
      <c r="BZ61" s="1468"/>
      <c r="CA61" s="1468"/>
      <c r="CB61" s="1468"/>
      <c r="CC61" s="1468"/>
      <c r="CD61" s="1468"/>
      <c r="CE61" s="1468"/>
      <c r="CF61" s="1468"/>
      <c r="CG61" s="1468"/>
      <c r="CH61" s="1468"/>
      <c r="CI61" s="1468"/>
      <c r="CJ61" s="1468"/>
      <c r="CK61" s="1468"/>
      <c r="CL61" s="1468"/>
      <c r="CM61" s="1468"/>
      <c r="CN61" s="1468"/>
      <c r="CO61" s="1468"/>
      <c r="CP61" s="1468"/>
      <c r="CQ61" s="1468"/>
      <c r="CR61" s="1468"/>
      <c r="CS61" s="1466"/>
      <c r="CT61" s="1466"/>
      <c r="CV61" s="1467" t="s">
        <v>1160</v>
      </c>
      <c r="CW61" s="1466"/>
      <c r="CX61" s="3662">
        <f>'Öko-KG1'!$E$10</f>
        <v>0</v>
      </c>
      <c r="CY61" s="1468">
        <f>'Öko-KG2'!$E$10</f>
        <v>0</v>
      </c>
      <c r="CZ61" s="1468">
        <f>'Öko-LU1'!$E$10</f>
        <v>0</v>
      </c>
      <c r="DA61" s="1468">
        <f>'Öko-LU2'!$E$10</f>
        <v>0</v>
      </c>
      <c r="DB61" s="1468">
        <f>'Öko-WW-Futter'!$E$10</f>
        <v>0</v>
      </c>
      <c r="DC61" s="1468">
        <f>'Öko-WW-Brot'!$E$10</f>
        <v>0</v>
      </c>
      <c r="DD61" s="1468">
        <f>'Öko-Dinkel'!$E$10</f>
        <v>0</v>
      </c>
      <c r="DE61" s="1468">
        <f>'Öko-Dinkel,gegerbt'!$E$10</f>
        <v>0</v>
      </c>
      <c r="DF61" s="1468">
        <f>'Öko-Roggen'!$E$10</f>
        <v>0</v>
      </c>
      <c r="DG61" s="1468">
        <f>'Öko-Hafer'!$E$10</f>
        <v>0</v>
      </c>
      <c r="DH61" s="1468">
        <f>'Öko-Wintergerste'!$E$10</f>
        <v>0</v>
      </c>
      <c r="DI61" s="1468" t="str">
        <f>'Öko-Braugerste'!$E$10</f>
        <v>Sortiergerste</v>
      </c>
      <c r="DJ61" s="1468">
        <f>'Öko-Körnermais'!$E$10</f>
        <v>0</v>
      </c>
      <c r="DK61" s="1468">
        <f>'Öko-Ackerbohnen'!$E$10</f>
        <v>0</v>
      </c>
      <c r="DL61" s="1468">
        <f>'Öko-Erbsen'!$E$10</f>
        <v>0</v>
      </c>
      <c r="DM61" s="1468">
        <f>'Öko-Sojabohnen'!$E$10</f>
        <v>0</v>
      </c>
      <c r="DN61" s="1468">
        <f>'Öko-Soblu'!$E$10</f>
        <v>0</v>
      </c>
      <c r="DO61" s="1468">
        <f>'Öko-Raps'!$E$10</f>
        <v>0</v>
      </c>
      <c r="DP61" s="1468" t="str">
        <f>'Öko-Kartoffel'!$E$10</f>
        <v>Futterkartoffeln</v>
      </c>
      <c r="DQ61" s="1468" t="e">
        <f>#REF!</f>
        <v>#REF!</v>
      </c>
      <c r="DR61" s="1468">
        <f>Begrün.!$E$10</f>
        <v>0</v>
      </c>
      <c r="DS61" s="1468">
        <f>Blühm.!$E$10</f>
        <v>0</v>
      </c>
      <c r="DT61" s="1456"/>
      <c r="DU61" s="1468">
        <f>'Öko-KG1'!$E$10</f>
        <v>0</v>
      </c>
      <c r="DV61" s="1468">
        <f>'Öko-KG2'!$E$10</f>
        <v>0</v>
      </c>
      <c r="DW61" s="1468">
        <f>'Öko-LU1'!$E$10</f>
        <v>0</v>
      </c>
      <c r="DX61" s="1468">
        <f>'Öko-LU2'!$E$10</f>
        <v>0</v>
      </c>
      <c r="DY61" s="1466">
        <f>'Öko-WW-Futter'!$E$10</f>
        <v>0</v>
      </c>
      <c r="DZ61" s="1468">
        <f>'Öko-WW-Brot'!$E$10</f>
        <v>0</v>
      </c>
      <c r="EA61" s="1468">
        <f>'Öko-Dinkel'!$E$10</f>
        <v>0</v>
      </c>
      <c r="EB61" s="1468">
        <f>'Öko-Dinkel,gegerbt'!$E$10</f>
        <v>0</v>
      </c>
      <c r="EC61" s="1468">
        <f>'Öko-Roggen'!$E$10</f>
        <v>0</v>
      </c>
      <c r="ED61" s="1468">
        <f>'Öko-Hafer'!$E$10</f>
        <v>0</v>
      </c>
      <c r="EE61" s="1468">
        <f>'Öko-Wintergerste'!$E$10</f>
        <v>0</v>
      </c>
      <c r="EF61" s="1468" t="str">
        <f>'Öko-Braugerste'!$E$10</f>
        <v>Sortiergerste</v>
      </c>
      <c r="EG61" s="1468">
        <f>'Öko-Körnermais'!$E$10</f>
        <v>0</v>
      </c>
      <c r="EH61" s="1468">
        <f>'Öko-Ackerbohnen'!$E$10</f>
        <v>0</v>
      </c>
      <c r="EI61" s="1468">
        <f>'Öko-Erbsen'!$E$10</f>
        <v>0</v>
      </c>
      <c r="EJ61" s="1468">
        <f>'Öko-Sojabohnen'!$E$10</f>
        <v>0</v>
      </c>
      <c r="EK61" s="1468">
        <f>'Öko-Soblu'!$E$10</f>
        <v>0</v>
      </c>
      <c r="EL61" s="1468">
        <f>'Öko-Raps'!$E$10</f>
        <v>0</v>
      </c>
      <c r="EM61" s="1468" t="str">
        <f>'Öko-Kartoffel'!$E$10</f>
        <v>Futterkartoffeln</v>
      </c>
      <c r="EN61" s="1468" t="e">
        <f>#REF!</f>
        <v>#REF!</v>
      </c>
      <c r="EO61" s="1468">
        <f>Begrün.!$E$10</f>
        <v>0</v>
      </c>
      <c r="EP61" s="1468">
        <f>Blühm.!$E$10</f>
        <v>0</v>
      </c>
      <c r="EQ61" s="1456"/>
      <c r="ER61" s="1468">
        <f>'Öko-KG1'!$E$10</f>
        <v>0</v>
      </c>
      <c r="ES61" s="1468">
        <f>'Öko-KG2'!$E$10</f>
        <v>0</v>
      </c>
      <c r="ET61" s="1468">
        <f>'Öko-LU1'!$E$10</f>
        <v>0</v>
      </c>
      <c r="EU61" s="1468">
        <f>'Öko-LU2'!$E$10</f>
        <v>0</v>
      </c>
      <c r="EV61" s="1466">
        <f>'Öko-WW-Futter'!$E$10</f>
        <v>0</v>
      </c>
      <c r="EW61" s="1468">
        <f>'Öko-WW-Brot'!$E$10</f>
        <v>0</v>
      </c>
      <c r="EX61" s="1468">
        <f>'Öko-Dinkel'!$E$10</f>
        <v>0</v>
      </c>
      <c r="EY61" s="1468">
        <f>'Öko-Dinkel,gegerbt'!$E$10</f>
        <v>0</v>
      </c>
      <c r="EZ61" s="1468">
        <f>'Öko-Roggen'!$E$10</f>
        <v>0</v>
      </c>
      <c r="FA61" s="1468">
        <f>'Öko-Hafer'!$E$10</f>
        <v>0</v>
      </c>
      <c r="FB61" s="1468">
        <f>'Öko-Wintergerste'!$E$10</f>
        <v>0</v>
      </c>
      <c r="FC61" s="1468" t="str">
        <f>'Öko-Braugerste'!$E$10</f>
        <v>Sortiergerste</v>
      </c>
      <c r="FD61" s="1468">
        <f>'Öko-Körnermais'!$E$10</f>
        <v>0</v>
      </c>
      <c r="FE61" s="1468">
        <f>'Öko-Ackerbohnen'!$E$10</f>
        <v>0</v>
      </c>
      <c r="FF61" s="1468">
        <f>'Öko-Erbsen'!$E$10</f>
        <v>0</v>
      </c>
      <c r="FG61" s="1468">
        <f>'Öko-Sojabohnen'!$E$10</f>
        <v>0</v>
      </c>
      <c r="FH61" s="1468">
        <f>'Öko-Soblu'!$E$10</f>
        <v>0</v>
      </c>
      <c r="FI61" s="1468">
        <f>'Öko-Raps'!$E$10</f>
        <v>0</v>
      </c>
      <c r="FJ61" s="1468" t="str">
        <f>'Öko-Kartoffel'!$E$10</f>
        <v>Futterkartoffeln</v>
      </c>
      <c r="FK61" s="1468" t="e">
        <f>#REF!</f>
        <v>#REF!</v>
      </c>
      <c r="FL61" s="1468">
        <f>Begrün.!$E$10</f>
        <v>0</v>
      </c>
      <c r="FM61" s="1468">
        <f>Blühm.!$E$10</f>
        <v>0</v>
      </c>
    </row>
    <row r="62" spans="1:171" s="3677" customFormat="1" ht="16.149999999999999" customHeight="1">
      <c r="A62" s="3671">
        <f>ROWS($A$1:A62)</f>
        <v>62</v>
      </c>
      <c r="B62" s="3672" t="s">
        <v>1159</v>
      </c>
      <c r="C62" s="3673"/>
      <c r="D62" s="3674" t="str">
        <f>'WW1'!$E$4</f>
        <v>Lohndrusch, 2 ha-Schlag, pfluglos</v>
      </c>
      <c r="E62" s="3675" t="str">
        <f>'WW2'!$E$4</f>
        <v>Lohndrusch, 2 ha-Schlag, pfluglos</v>
      </c>
      <c r="F62" s="3675" t="str">
        <f>'WW3'!$E$4</f>
        <v>Lohndrusch, 2 ha-Schlag, pfluglos</v>
      </c>
      <c r="G62" s="3675" t="str">
        <f>'WW4'!$E$4</f>
        <v>Lohndrusch, 2 ha-Schlag, pfluglos</v>
      </c>
      <c r="H62" s="3675" t="str">
        <f>WRo!$E$4</f>
        <v>Lohndrusch, 2 ha-Schlag</v>
      </c>
      <c r="I62" s="3675" t="str">
        <f>Tr!$E$4</f>
        <v>Lohndrusch, 2 ha-Schlag</v>
      </c>
      <c r="J62" s="3675" t="str">
        <f>WG!$E$4</f>
        <v>Lohndrusch, 2 ha-Schlag</v>
      </c>
      <c r="K62" s="3675" t="str">
        <f>Di!$E$4</f>
        <v>Lohndrusch, 2 ha-Schlag, pfluglos</v>
      </c>
      <c r="L62" s="3675" t="str">
        <f>SW!$E$4</f>
        <v>Lohndrusch, 2 ha-Schlag</v>
      </c>
      <c r="M62" s="3675" t="str">
        <f>'SG-Fu'!$E$4</f>
        <v>Lohndrusch, 2 ha-Schlag</v>
      </c>
      <c r="N62" s="3675" t="str">
        <f>BG!$E$4</f>
        <v>Lohndrusch, 2 ha-Schlag</v>
      </c>
      <c r="O62" s="3675" t="str">
        <f>Ha!$E$4</f>
        <v>Lohndrusch, 2 ha-Schlag</v>
      </c>
      <c r="P62" s="3675" t="str">
        <f>Du!$E$4</f>
        <v>Lohndrusch, 2 ha-Schlag</v>
      </c>
      <c r="Q62" s="3675" t="str">
        <f>KöM!$E$4</f>
        <v>Lohndrusch, 2 ha-Schlag</v>
      </c>
      <c r="R62" s="3675" t="str">
        <f>KH!$E$4</f>
        <v>Lohndrusch, 2 ha-Schlag</v>
      </c>
      <c r="S62" s="3675" t="str">
        <f>WR!$E$4</f>
        <v>Lohndrusch, 2 ha-Schlag</v>
      </c>
      <c r="T62" s="3675" t="str">
        <f>SR!$E$4</f>
        <v>Lohndrusch, 2 ha-Schlag</v>
      </c>
      <c r="U62" s="3675" t="str">
        <f>SoBl!$E$4</f>
        <v>Lohndrusch, 2 ha-Schlag</v>
      </c>
      <c r="V62" s="3675" t="str">
        <f>Soja!$E$4</f>
        <v>Lohndrusch, 2 ha-Schlag</v>
      </c>
      <c r="W62" s="3675" t="str">
        <f>Öl!$E$4</f>
        <v>Lohndrusch, 2 ha-Schlag</v>
      </c>
      <c r="X62" s="3675" t="str">
        <f>FE!$E$4</f>
        <v>Lohndrusch, 2 ha-Schlag</v>
      </c>
      <c r="Y62" s="3675" t="str">
        <f>AB!$E$4</f>
        <v>Lohndrusch, 2 ha-Schlag</v>
      </c>
      <c r="Z62" s="3675" t="str">
        <f>Lu!$E$4</f>
        <v>Lohndrusch, 2 ha-Schlag</v>
      </c>
      <c r="AA62" s="3675" t="str">
        <f>ZR!$E$4</f>
        <v>Ernte im Lohn, pfluglos</v>
      </c>
      <c r="AB62" s="3675" t="str">
        <f>FrühKa!$E$4</f>
        <v>Frühkartoffeln, Verkauf ab Feld</v>
      </c>
      <c r="AC62" s="3675" t="str">
        <f>FrühKaFolieBer!$E$4</f>
        <v>Frühkartoffeln ab Feld / Folie</v>
      </c>
      <c r="AD62" s="3675" t="str">
        <f>SpKa!$E$4</f>
        <v>Speisekartoffeln ab Feld</v>
      </c>
      <c r="AE62" s="3675" t="str">
        <f>SpKaBer!$E$4</f>
        <v>Speisekartoffeln ab Feld</v>
      </c>
      <c r="AF62" s="3675" t="str">
        <f>'Kultur A'!$E$4</f>
        <v>Lohndrusch, 2 ha-Schlag</v>
      </c>
      <c r="AG62" s="3675" t="str">
        <f>'FAKT-Brachebegrünung'!$E$4</f>
        <v xml:space="preserve">FAKT - Brachebegrünung mit Blühmischung </v>
      </c>
      <c r="AH62" s="3675" t="str">
        <f>Begr!$E$4</f>
        <v>Zwischenfrucht (bei ÖVF 2 Arten (ohne FAKT-Teilnahme))</v>
      </c>
      <c r="AI62" s="3676"/>
      <c r="AJ62" s="3675" t="str">
        <f>'WW1'!$E$4</f>
        <v>Lohndrusch, 2 ha-Schlag, pfluglos</v>
      </c>
      <c r="AK62" s="3675" t="str">
        <f>'WW2'!$E$4</f>
        <v>Lohndrusch, 2 ha-Schlag, pfluglos</v>
      </c>
      <c r="AL62" s="3675" t="str">
        <f>'WW3'!$E$4</f>
        <v>Lohndrusch, 2 ha-Schlag, pfluglos</v>
      </c>
      <c r="AM62" s="3675" t="str">
        <f>'WW4'!$E$4</f>
        <v>Lohndrusch, 2 ha-Schlag, pfluglos</v>
      </c>
      <c r="AN62" s="3675" t="str">
        <f>WRo!$E$4</f>
        <v>Lohndrusch, 2 ha-Schlag</v>
      </c>
      <c r="AO62" s="3675" t="str">
        <f>Tr!$E$4</f>
        <v>Lohndrusch, 2 ha-Schlag</v>
      </c>
      <c r="AP62" s="3675" t="str">
        <f>WG!$E$4</f>
        <v>Lohndrusch, 2 ha-Schlag</v>
      </c>
      <c r="AQ62" s="3675" t="str">
        <f>Di!$E$4</f>
        <v>Lohndrusch, 2 ha-Schlag, pfluglos</v>
      </c>
      <c r="AR62" s="3675" t="str">
        <f>SW!$E$4</f>
        <v>Lohndrusch, 2 ha-Schlag</v>
      </c>
      <c r="AS62" s="3675" t="str">
        <f>'SG-Fu'!$E$4</f>
        <v>Lohndrusch, 2 ha-Schlag</v>
      </c>
      <c r="AT62" s="3675" t="str">
        <f>BG!$E$4</f>
        <v>Lohndrusch, 2 ha-Schlag</v>
      </c>
      <c r="AU62" s="3675" t="str">
        <f>Ha!$E$4</f>
        <v>Lohndrusch, 2 ha-Schlag</v>
      </c>
      <c r="AV62" s="3675" t="str">
        <f>Du!$E$4</f>
        <v>Lohndrusch, 2 ha-Schlag</v>
      </c>
      <c r="AW62" s="3675" t="str">
        <f>KöM!$E$4</f>
        <v>Lohndrusch, 2 ha-Schlag</v>
      </c>
      <c r="AX62" s="3675" t="str">
        <f>KH!$E$4</f>
        <v>Lohndrusch, 2 ha-Schlag</v>
      </c>
      <c r="AY62" s="3675" t="str">
        <f>WR!$E$4</f>
        <v>Lohndrusch, 2 ha-Schlag</v>
      </c>
      <c r="AZ62" s="3675" t="str">
        <f>SR!$E$4</f>
        <v>Lohndrusch, 2 ha-Schlag</v>
      </c>
      <c r="BA62" s="3675" t="str">
        <f>SoBl!$E$4</f>
        <v>Lohndrusch, 2 ha-Schlag</v>
      </c>
      <c r="BB62" s="3675" t="str">
        <f>Soja!$E$4</f>
        <v>Lohndrusch, 2 ha-Schlag</v>
      </c>
      <c r="BC62" s="3675" t="str">
        <f>Öl!$E$4</f>
        <v>Lohndrusch, 2 ha-Schlag</v>
      </c>
      <c r="BD62" s="3675" t="str">
        <f>FE!$E$4</f>
        <v>Lohndrusch, 2 ha-Schlag</v>
      </c>
      <c r="BE62" s="3675" t="str">
        <f>AB!$E$4</f>
        <v>Lohndrusch, 2 ha-Schlag</v>
      </c>
      <c r="BF62" s="3675" t="str">
        <f>Lu!$E$4</f>
        <v>Lohndrusch, 2 ha-Schlag</v>
      </c>
      <c r="BG62" s="3675" t="str">
        <f>ZR!$E$4</f>
        <v>Ernte im Lohn, pfluglos</v>
      </c>
      <c r="BH62" s="3675" t="str">
        <f>FrühKa!$E$4</f>
        <v>Frühkartoffeln, Verkauf ab Feld</v>
      </c>
      <c r="BI62" s="3675" t="str">
        <f>FrühKaFolieBer!$E$4</f>
        <v>Frühkartoffeln ab Feld / Folie</v>
      </c>
      <c r="BJ62" s="3675" t="str">
        <f>SpKa!$E$4</f>
        <v>Speisekartoffeln ab Feld</v>
      </c>
      <c r="BK62" s="3675" t="str">
        <f>SpKaBer!$E$4</f>
        <v>Speisekartoffeln ab Feld</v>
      </c>
      <c r="BL62" s="3675" t="s">
        <v>1268</v>
      </c>
      <c r="BM62" s="3675" t="str">
        <f>'FAKT-Brachebegrünung'!$E$4</f>
        <v xml:space="preserve">FAKT - Brachebegrünung mit Blühmischung </v>
      </c>
      <c r="BN62" s="3675" t="str">
        <f>Begr!$E$4</f>
        <v>Zwischenfrucht (bei ÖVF 2 Arten (ohne FAKT-Teilnahme))</v>
      </c>
      <c r="BO62" s="3676"/>
      <c r="BP62" s="3675" t="str">
        <f>'WW1'!$E$4</f>
        <v>Lohndrusch, 2 ha-Schlag, pfluglos</v>
      </c>
      <c r="BQ62" s="3675" t="str">
        <f>'WW2'!$E$4</f>
        <v>Lohndrusch, 2 ha-Schlag, pfluglos</v>
      </c>
      <c r="BR62" s="3675" t="str">
        <f>'WW3'!$E$4</f>
        <v>Lohndrusch, 2 ha-Schlag, pfluglos</v>
      </c>
      <c r="BS62" s="3675" t="str">
        <f>'WW4'!$E$4</f>
        <v>Lohndrusch, 2 ha-Schlag, pfluglos</v>
      </c>
      <c r="BT62" s="3675" t="str">
        <f>WRo!$E$4</f>
        <v>Lohndrusch, 2 ha-Schlag</v>
      </c>
      <c r="BU62" s="3675" t="str">
        <f>Tr!$E$4</f>
        <v>Lohndrusch, 2 ha-Schlag</v>
      </c>
      <c r="BV62" s="3675" t="str">
        <f>WG!$E$4</f>
        <v>Lohndrusch, 2 ha-Schlag</v>
      </c>
      <c r="BW62" s="3675" t="str">
        <f>Di!$E$4</f>
        <v>Lohndrusch, 2 ha-Schlag, pfluglos</v>
      </c>
      <c r="BX62" s="3675" t="str">
        <f>SW!$E$4</f>
        <v>Lohndrusch, 2 ha-Schlag</v>
      </c>
      <c r="BY62" s="3675" t="str">
        <f>'SG-Fu'!$E$4</f>
        <v>Lohndrusch, 2 ha-Schlag</v>
      </c>
      <c r="BZ62" s="3675" t="str">
        <f>BG!$E$4</f>
        <v>Lohndrusch, 2 ha-Schlag</v>
      </c>
      <c r="CA62" s="3675" t="str">
        <f>Ha!$E$4</f>
        <v>Lohndrusch, 2 ha-Schlag</v>
      </c>
      <c r="CB62" s="3675" t="str">
        <f>Du!$E$4</f>
        <v>Lohndrusch, 2 ha-Schlag</v>
      </c>
      <c r="CC62" s="3675" t="str">
        <f>KöM!$E$4</f>
        <v>Lohndrusch, 2 ha-Schlag</v>
      </c>
      <c r="CD62" s="3675" t="str">
        <f>WR!$E$4</f>
        <v>Lohndrusch, 2 ha-Schlag</v>
      </c>
      <c r="CE62" s="3675" t="str">
        <f>KH!$E$4</f>
        <v>Lohndrusch, 2 ha-Schlag</v>
      </c>
      <c r="CF62" s="3675" t="str">
        <f>SR!$E$4</f>
        <v>Lohndrusch, 2 ha-Schlag</v>
      </c>
      <c r="CG62" s="3675" t="str">
        <f>SoBl!$E$4</f>
        <v>Lohndrusch, 2 ha-Schlag</v>
      </c>
      <c r="CH62" s="3675" t="str">
        <f>Soja!$E$4</f>
        <v>Lohndrusch, 2 ha-Schlag</v>
      </c>
      <c r="CI62" s="3675" t="str">
        <f>Öl!$E$4</f>
        <v>Lohndrusch, 2 ha-Schlag</v>
      </c>
      <c r="CJ62" s="3675" t="str">
        <f>FE!$E$4</f>
        <v>Lohndrusch, 2 ha-Schlag</v>
      </c>
      <c r="CK62" s="3675" t="str">
        <f>AB!$E$4</f>
        <v>Lohndrusch, 2 ha-Schlag</v>
      </c>
      <c r="CL62" s="3675" t="str">
        <f>Lu!$E$4</f>
        <v>Lohndrusch, 2 ha-Schlag</v>
      </c>
      <c r="CM62" s="3675" t="str">
        <f>ZR!$E$4</f>
        <v>Ernte im Lohn, pfluglos</v>
      </c>
      <c r="CN62" s="3675" t="str">
        <f>FrühKa!$E$4</f>
        <v>Frühkartoffeln, Verkauf ab Feld</v>
      </c>
      <c r="CO62" s="3675" t="str">
        <f>FrühKaFolieBer!$E$4</f>
        <v>Frühkartoffeln ab Feld / Folie</v>
      </c>
      <c r="CP62" s="3675" t="str">
        <f>SpKa!$E$4</f>
        <v>Speisekartoffeln ab Feld</v>
      </c>
      <c r="CQ62" s="3675" t="str">
        <f>SpKaBer!$E$4</f>
        <v>Speisekartoffeln ab Feld</v>
      </c>
      <c r="CR62" s="3675" t="str">
        <f>'Kultur A'!$E$4</f>
        <v>Lohndrusch, 2 ha-Schlag</v>
      </c>
      <c r="CS62" s="3675" t="str">
        <f>'FAKT-Brachebegrünung'!$E$4</f>
        <v xml:space="preserve">FAKT - Brachebegrünung mit Blühmischung </v>
      </c>
      <c r="CT62" s="3675" t="str">
        <f>Begr!$E$4</f>
        <v>Zwischenfrucht (bei ÖVF 2 Arten (ohne FAKT-Teilnahme))</v>
      </c>
      <c r="CV62" s="3672" t="s">
        <v>1159</v>
      </c>
      <c r="CW62" s="3673"/>
      <c r="CX62" s="3674" t="str">
        <f>'Öko-KG1'!$E$4</f>
        <v>Kleegras 1jährig, 2mal mulchen</v>
      </c>
      <c r="CY62" s="3675" t="str">
        <f>'Öko-KG2'!$E$4</f>
        <v>Kleegras 2jährig, 2mal mulchen /Jahr</v>
      </c>
      <c r="CZ62" s="3675" t="str">
        <f>'Öko-LU1'!$E$4</f>
        <v>Luzernegras 1jährig, 2mal mulchen</v>
      </c>
      <c r="DA62" s="3675" t="str">
        <f>'Öko-LU2'!$E$4</f>
        <v>Luzernegras 2jährig, 2mal mulchen/Jahr</v>
      </c>
      <c r="DB62" s="3675" t="str">
        <f>'Öko-WW-Futter'!$E$4</f>
        <v>Lohndrusch, 2 ha-Schlag</v>
      </c>
      <c r="DC62" s="3675" t="str">
        <f>'Öko-WW-Brot'!$E$4</f>
        <v>Lohndrusch, 2 ha-Schlag</v>
      </c>
      <c r="DD62" s="3675" t="str">
        <f>'Öko-Dinkel'!$E$4</f>
        <v>Lohndrusch, 2 ha-Schlag</v>
      </c>
      <c r="DE62" s="3675" t="str">
        <f>'Öko-Dinkel,gegerbt'!$E$4</f>
        <v>Lohndrusch, 2 ha, inkl Entspelzung</v>
      </c>
      <c r="DF62" s="3675" t="str">
        <f>'Öko-Roggen'!$E$4</f>
        <v>Lohndrusch, 2 ha-Schlag</v>
      </c>
      <c r="DG62" s="3675" t="str">
        <f>'Öko-Hafer'!$E$4</f>
        <v>Lohndrusch, 2 ha-Schlag</v>
      </c>
      <c r="DH62" s="3675" t="str">
        <f>'Öko-Wintergerste'!$E$4</f>
        <v>Lohndrusch, 2 ha-Schlag</v>
      </c>
      <c r="DI62" s="3675" t="str">
        <f>'Öko-Braugerste'!$E$4</f>
        <v>Lohndrusch, 2 ha-Schlag</v>
      </c>
      <c r="DJ62" s="3675" t="str">
        <f>'Öko-Körnermais'!$E$4</f>
        <v>Lohnsaat,Lohndrusch, 2 ha-Schlag</v>
      </c>
      <c r="DK62" s="3675" t="str">
        <f>'Öko-Ackerbohnen'!$E$4</f>
        <v>Lohndrusch,  2 ha-Schlag</v>
      </c>
      <c r="DL62" s="3675" t="str">
        <f>'Öko-Erbsen'!$E$4</f>
        <v>Lohndrusch, 2 ha-Schlag</v>
      </c>
      <c r="DM62" s="3675" t="str">
        <f>'Öko-Sojabohnen'!$E$4</f>
        <v>Lohndrusch, 2 ha-Schlag</v>
      </c>
      <c r="DN62" s="3675" t="str">
        <f>'Öko-Soblu'!$E$4</f>
        <v xml:space="preserve">2 ha-Schlag, ohne Einlagerung </v>
      </c>
      <c r="DO62" s="3675" t="str">
        <f>'Öko-Raps'!$E$4</f>
        <v xml:space="preserve">2 ha-Schlag, ohne Einlagerung </v>
      </c>
      <c r="DP62" s="3675" t="str">
        <f>'Öko-Kartoffel'!$E$4</f>
        <v>2 ha-Schlag, Lohnernte, ab Feld</v>
      </c>
      <c r="DQ62" s="3675" t="e">
        <f>#REF!</f>
        <v>#REF!</v>
      </c>
      <c r="DR62" s="3675" t="str">
        <f>Begrün.!$E$4</f>
        <v>Zwischenfrucht mit Leguminosen</v>
      </c>
      <c r="DS62" s="3675" t="str">
        <f>Blühm.!$E$4</f>
        <v>Saat: Bis 15. Mai (1jährig) bzw. 15. Sept. (überj.), Mulchen ab Sept. bei Anbau einer Winterkultur</v>
      </c>
      <c r="DU62" s="3675" t="str">
        <f>'Öko-KG1'!$E$4</f>
        <v>Kleegras 1jährig, 2mal mulchen</v>
      </c>
      <c r="DV62" s="3675" t="str">
        <f>'Öko-KG2'!$E$4</f>
        <v>Kleegras 2jährig, 2mal mulchen /Jahr</v>
      </c>
      <c r="DW62" s="3675" t="str">
        <f>'Öko-LU2'!$E$4</f>
        <v>Luzernegras 2jährig, 2mal mulchen/Jahr</v>
      </c>
      <c r="DX62" s="3675" t="str">
        <f>'Öko-LU2'!$E$4</f>
        <v>Luzernegras 2jährig, 2mal mulchen/Jahr</v>
      </c>
      <c r="DY62" s="3673" t="str">
        <f>'Öko-WW-Futter'!$E$4</f>
        <v>Lohndrusch, 2 ha-Schlag</v>
      </c>
      <c r="DZ62" s="3675" t="str">
        <f>'Öko-WW-Brot'!$E$4</f>
        <v>Lohndrusch, 2 ha-Schlag</v>
      </c>
      <c r="EA62" s="3675" t="str">
        <f>'Öko-Dinkel'!$E$4</f>
        <v>Lohndrusch, 2 ha-Schlag</v>
      </c>
      <c r="EB62" s="3675" t="str">
        <f>'Öko-Dinkel,gegerbt'!$E$4</f>
        <v>Lohndrusch, 2 ha, inkl Entspelzung</v>
      </c>
      <c r="EC62" s="3675" t="str">
        <f>'Öko-Roggen'!$E$4</f>
        <v>Lohndrusch, 2 ha-Schlag</v>
      </c>
      <c r="ED62" s="3675" t="str">
        <f>'Öko-Hafer'!$E$4</f>
        <v>Lohndrusch, 2 ha-Schlag</v>
      </c>
      <c r="EE62" s="3675" t="str">
        <f>'Öko-Wintergerste'!$E$4</f>
        <v>Lohndrusch, 2 ha-Schlag</v>
      </c>
      <c r="EF62" s="3675" t="str">
        <f>'Öko-Braugerste'!$E$4</f>
        <v>Lohndrusch, 2 ha-Schlag</v>
      </c>
      <c r="EG62" s="3675" t="str">
        <f>'Öko-Körnermais'!$E$4</f>
        <v>Lohnsaat,Lohndrusch, 2 ha-Schlag</v>
      </c>
      <c r="EH62" s="3675" t="str">
        <f>'Öko-Ackerbohnen'!$E$4</f>
        <v>Lohndrusch,  2 ha-Schlag</v>
      </c>
      <c r="EI62" s="3675" t="str">
        <f>'Öko-Erbsen'!$E$4</f>
        <v>Lohndrusch, 2 ha-Schlag</v>
      </c>
      <c r="EJ62" s="3675" t="str">
        <f>'Öko-Sojabohnen'!$E$4</f>
        <v>Lohndrusch, 2 ha-Schlag</v>
      </c>
      <c r="EK62" s="3675" t="str">
        <f>'Öko-Soblu'!$E$4</f>
        <v xml:space="preserve">2 ha-Schlag, ohne Einlagerung </v>
      </c>
      <c r="EL62" s="3675" t="str">
        <f>'Öko-Raps'!$E$4</f>
        <v xml:space="preserve">2 ha-Schlag, ohne Einlagerung </v>
      </c>
      <c r="EM62" s="3675" t="str">
        <f>'Öko-Kartoffel'!$E$4</f>
        <v>2 ha-Schlag, Lohnernte, ab Feld</v>
      </c>
      <c r="EN62" s="3675" t="e">
        <f>#REF!</f>
        <v>#REF!</v>
      </c>
      <c r="EO62" s="3675">
        <f>Begrün.!E68</f>
        <v>0</v>
      </c>
      <c r="EP62" s="3675" t="str">
        <f>Blühm.!$E$4</f>
        <v>Saat: Bis 15. Mai (1jährig) bzw. 15. Sept. (überj.), Mulchen ab Sept. bei Anbau einer Winterkultur</v>
      </c>
      <c r="ER62" s="3675" t="str">
        <f>'Öko-KG1'!$E$4</f>
        <v>Kleegras 1jährig, 2mal mulchen</v>
      </c>
      <c r="ES62" s="3675" t="str">
        <f>'Öko-KG2'!$E$4</f>
        <v>Kleegras 2jährig, 2mal mulchen /Jahr</v>
      </c>
      <c r="ET62" s="3675" t="str">
        <f>'Öko-LU2'!$E$4</f>
        <v>Luzernegras 2jährig, 2mal mulchen/Jahr</v>
      </c>
      <c r="EU62" s="3675" t="str">
        <f>'Öko-LU2'!$E$4</f>
        <v>Luzernegras 2jährig, 2mal mulchen/Jahr</v>
      </c>
      <c r="EV62" s="3673" t="str">
        <f>'Öko-WW-Futter'!$E$4</f>
        <v>Lohndrusch, 2 ha-Schlag</v>
      </c>
      <c r="EW62" s="3675" t="str">
        <f>'Öko-WW-Brot'!$E$4</f>
        <v>Lohndrusch, 2 ha-Schlag</v>
      </c>
      <c r="EX62" s="3675" t="str">
        <f>'Öko-Dinkel'!$E$4</f>
        <v>Lohndrusch, 2 ha-Schlag</v>
      </c>
      <c r="EY62" s="3675" t="str">
        <f>'Öko-Dinkel,gegerbt'!$E$4</f>
        <v>Lohndrusch, 2 ha, inkl Entspelzung</v>
      </c>
      <c r="EZ62" s="3675" t="str">
        <f>'Öko-Roggen'!$E$4</f>
        <v>Lohndrusch, 2 ha-Schlag</v>
      </c>
      <c r="FA62" s="3675" t="str">
        <f>'Öko-Hafer'!$E$4</f>
        <v>Lohndrusch, 2 ha-Schlag</v>
      </c>
      <c r="FB62" s="3675" t="str">
        <f>'Öko-Wintergerste'!$E$4</f>
        <v>Lohndrusch, 2 ha-Schlag</v>
      </c>
      <c r="FC62" s="3675" t="str">
        <f>'Öko-Braugerste'!$E$4</f>
        <v>Lohndrusch, 2 ha-Schlag</v>
      </c>
      <c r="FD62" s="3675" t="str">
        <f>'Öko-Körnermais'!$E$4</f>
        <v>Lohnsaat,Lohndrusch, 2 ha-Schlag</v>
      </c>
      <c r="FE62" s="3675" t="str">
        <f>'Öko-Ackerbohnen'!$E$4</f>
        <v>Lohndrusch,  2 ha-Schlag</v>
      </c>
      <c r="FF62" s="3675" t="str">
        <f>'Öko-Erbsen'!$E$4</f>
        <v>Lohndrusch, 2 ha-Schlag</v>
      </c>
      <c r="FG62" s="3675" t="str">
        <f>'Öko-Sojabohnen'!$E$4</f>
        <v>Lohndrusch, 2 ha-Schlag</v>
      </c>
      <c r="FH62" s="3675" t="str">
        <f>'Öko-Soblu'!$E$4</f>
        <v xml:space="preserve">2 ha-Schlag, ohne Einlagerung </v>
      </c>
      <c r="FI62" s="3675" t="str">
        <f>'Öko-Raps'!$E$4</f>
        <v xml:space="preserve">2 ha-Schlag, ohne Einlagerung </v>
      </c>
      <c r="FJ62" s="3675" t="str">
        <f>'Öko-Kartoffel'!$E$4</f>
        <v>2 ha-Schlag, Lohnernte, ab Feld</v>
      </c>
      <c r="FK62" s="3675" t="e">
        <f>#REF!</f>
        <v>#REF!</v>
      </c>
      <c r="FL62" s="3675">
        <f>Begrün.!AN72</f>
        <v>0</v>
      </c>
      <c r="FM62" s="3675" t="str">
        <f>Blühm.!$E$4</f>
        <v>Saat: Bis 15. Mai (1jährig) bzw. 15. Sept. (überj.), Mulchen ab Sept. bei Anbau einer Winterkultur</v>
      </c>
    </row>
    <row r="63" spans="1:171" ht="18" customHeight="1" thickBot="1">
      <c r="A63" s="1463">
        <f>ROWS($A$1:A63)</f>
        <v>63</v>
      </c>
      <c r="B63" s="1462" t="s">
        <v>1158</v>
      </c>
      <c r="C63" s="1464"/>
      <c r="D63" s="3661">
        <f>'WW1'!J18</f>
        <v>355.4</v>
      </c>
      <c r="E63" s="1458">
        <f>'WW2'!J18</f>
        <v>355.4</v>
      </c>
      <c r="F63" s="1458">
        <f>'WW3'!J18</f>
        <v>355.4</v>
      </c>
      <c r="G63" s="1458">
        <f>'WW4'!J18</f>
        <v>355.4</v>
      </c>
      <c r="H63" s="1458">
        <f>WRo!J18</f>
        <v>355.4</v>
      </c>
      <c r="I63" s="1458">
        <f>Tr!J18</f>
        <v>355.4</v>
      </c>
      <c r="J63" s="1458">
        <f>WG!J18</f>
        <v>355.4</v>
      </c>
      <c r="K63" s="1458">
        <f>Di!J18</f>
        <v>355.4</v>
      </c>
      <c r="L63" s="1458">
        <f>SW!J18</f>
        <v>355.4</v>
      </c>
      <c r="M63" s="1458">
        <f>'SG-Fu'!J18</f>
        <v>355.4</v>
      </c>
      <c r="N63" s="1458">
        <f>BG!J18</f>
        <v>355.4</v>
      </c>
      <c r="O63" s="1458">
        <f>Ha!J18</f>
        <v>355.4</v>
      </c>
      <c r="P63" s="1458">
        <f>Du!J18</f>
        <v>355.4</v>
      </c>
      <c r="Q63" s="1458">
        <f>KöM!J18</f>
        <v>355.4</v>
      </c>
      <c r="R63" s="1458">
        <f>KH!J18</f>
        <v>355.4</v>
      </c>
      <c r="S63" s="1458">
        <f>WR!J18</f>
        <v>355.4</v>
      </c>
      <c r="T63" s="1458">
        <f>SR!J18</f>
        <v>355.4</v>
      </c>
      <c r="U63" s="1458">
        <f>SoBl!J18</f>
        <v>355.4</v>
      </c>
      <c r="V63" s="1458">
        <f>Soja!J18</f>
        <v>355.4</v>
      </c>
      <c r="W63" s="1458">
        <f>Öl!J18</f>
        <v>355.4</v>
      </c>
      <c r="X63" s="1458">
        <f>FE!J18</f>
        <v>355.4</v>
      </c>
      <c r="Y63" s="1458">
        <f>AB!J18</f>
        <v>355.4</v>
      </c>
      <c r="Z63" s="1458">
        <f>Lu!J18</f>
        <v>355.4</v>
      </c>
      <c r="AA63" s="1458">
        <f>ZR!J18</f>
        <v>355.4</v>
      </c>
      <c r="AB63" s="1458">
        <f>FrühKa!J18</f>
        <v>355.4</v>
      </c>
      <c r="AC63" s="1458">
        <f>FrühKaFolieBer!J18</f>
        <v>355.4</v>
      </c>
      <c r="AD63" s="1458">
        <f>SpKa!J18</f>
        <v>355.4</v>
      </c>
      <c r="AE63" s="1458">
        <f>SpKaBer!J18</f>
        <v>355.4</v>
      </c>
      <c r="AF63" s="1458">
        <f>'Kultur A'!J18</f>
        <v>0</v>
      </c>
      <c r="AG63" s="1458">
        <f>'FAKT-Brachebegrünung'!J18</f>
        <v>355.4</v>
      </c>
      <c r="AH63" s="1458">
        <f>Begr!J18</f>
        <v>355.4</v>
      </c>
      <c r="AI63" s="1459"/>
      <c r="AJ63" s="1460">
        <f>'WW1'!M18</f>
        <v>355.4</v>
      </c>
      <c r="AK63" s="1458">
        <f>'WW2'!M18</f>
        <v>355.4</v>
      </c>
      <c r="AL63" s="1458">
        <f>'WW3'!M18</f>
        <v>355.4</v>
      </c>
      <c r="AM63" s="1458">
        <f>'WW4'!M18</f>
        <v>355.4</v>
      </c>
      <c r="AN63" s="1458">
        <f>WRo!M18</f>
        <v>355.4</v>
      </c>
      <c r="AO63" s="1458">
        <f>Tr!M18</f>
        <v>355.4</v>
      </c>
      <c r="AP63" s="1458">
        <f>WG!M18</f>
        <v>355.4</v>
      </c>
      <c r="AQ63" s="1458">
        <f>Di!M18</f>
        <v>355.4</v>
      </c>
      <c r="AR63" s="1458">
        <f>SW!M18</f>
        <v>355.4</v>
      </c>
      <c r="AS63" s="1458">
        <f>'SG-Fu'!M18</f>
        <v>355.4</v>
      </c>
      <c r="AT63" s="1458">
        <f>BG!M18</f>
        <v>355.4</v>
      </c>
      <c r="AU63" s="1458">
        <f>Ha!M18</f>
        <v>355.4</v>
      </c>
      <c r="AV63" s="1458">
        <f>Du!M18</f>
        <v>355.4</v>
      </c>
      <c r="AW63" s="1458">
        <f>KöM!M18</f>
        <v>355.4</v>
      </c>
      <c r="AX63" s="1458">
        <f>KH!M18</f>
        <v>355.4</v>
      </c>
      <c r="AY63" s="1458">
        <f>WR!M18</f>
        <v>355.4</v>
      </c>
      <c r="AZ63" s="1458">
        <f>SR!M18</f>
        <v>355.4</v>
      </c>
      <c r="BA63" s="1458">
        <f>SoBl!M18</f>
        <v>355.4</v>
      </c>
      <c r="BB63" s="1458">
        <f>Soja!M18</f>
        <v>355.4</v>
      </c>
      <c r="BC63" s="1458">
        <f>Öl!M18</f>
        <v>355.4</v>
      </c>
      <c r="BD63" s="1458">
        <f>FE!M18</f>
        <v>355.4</v>
      </c>
      <c r="BE63" s="1458">
        <f>AB!M18</f>
        <v>355.4</v>
      </c>
      <c r="BF63" s="1458">
        <f>Lu!M18</f>
        <v>355.4</v>
      </c>
      <c r="BG63" s="1458">
        <f>ZR!M18</f>
        <v>355.4</v>
      </c>
      <c r="BH63" s="1458">
        <f>FrühKa!M18</f>
        <v>355.4</v>
      </c>
      <c r="BI63" s="1458">
        <f>FrühKaFolieBer!M18</f>
        <v>355.4</v>
      </c>
      <c r="BJ63" s="1458">
        <f>SpKa!M18</f>
        <v>355.4</v>
      </c>
      <c r="BK63" s="1458">
        <f>SpKaBer!M18</f>
        <v>355.4</v>
      </c>
      <c r="BL63" s="1458">
        <f>'Kultur A'!M18</f>
        <v>0</v>
      </c>
      <c r="BM63" s="1458">
        <f>'FAKT-Brachebegrünung'!M18</f>
        <v>355.4</v>
      </c>
      <c r="BN63" s="1458">
        <f>Begr!M18</f>
        <v>355.4</v>
      </c>
      <c r="BO63" s="1459"/>
      <c r="BP63" s="1460">
        <f>'WW1'!P18</f>
        <v>355.4</v>
      </c>
      <c r="BQ63" s="1458">
        <f>'WW2'!P18</f>
        <v>355.4</v>
      </c>
      <c r="BR63" s="1458">
        <f>'WW3'!P18</f>
        <v>355.4</v>
      </c>
      <c r="BS63" s="1458">
        <f>'WW4'!P18</f>
        <v>355.4</v>
      </c>
      <c r="BT63" s="1458">
        <f>WRo!P18</f>
        <v>355.4</v>
      </c>
      <c r="BU63" s="1458">
        <f>Tr!P18</f>
        <v>355.4</v>
      </c>
      <c r="BV63" s="1458">
        <f>WG!P18</f>
        <v>355.4</v>
      </c>
      <c r="BW63" s="1458">
        <f>Di!P18</f>
        <v>355.4</v>
      </c>
      <c r="BX63" s="1458">
        <f>SW!P18</f>
        <v>355.4</v>
      </c>
      <c r="BY63" s="1458">
        <f>'SG-Fu'!P18</f>
        <v>355.4</v>
      </c>
      <c r="BZ63" s="1458">
        <f>BG!P18</f>
        <v>355.4</v>
      </c>
      <c r="CA63" s="1458">
        <f>Ha!P18</f>
        <v>355.4</v>
      </c>
      <c r="CB63" s="1458">
        <f>Du!P18</f>
        <v>355.4</v>
      </c>
      <c r="CC63" s="1458">
        <f>KöM!P18</f>
        <v>355.4</v>
      </c>
      <c r="CD63" s="1458">
        <f>KH!P18</f>
        <v>355.4</v>
      </c>
      <c r="CE63" s="1458">
        <f>WR!P18</f>
        <v>355.4</v>
      </c>
      <c r="CF63" s="1458">
        <f>SR!P18</f>
        <v>355.4</v>
      </c>
      <c r="CG63" s="1458">
        <f>SoBl!P18</f>
        <v>355.4</v>
      </c>
      <c r="CH63" s="1458">
        <f>Soja!P18</f>
        <v>355.4</v>
      </c>
      <c r="CI63" s="1458">
        <f>Öl!P18</f>
        <v>355.4</v>
      </c>
      <c r="CJ63" s="1458">
        <f>FE!P18</f>
        <v>355.4</v>
      </c>
      <c r="CK63" s="1458">
        <f>AB!P18</f>
        <v>355.4</v>
      </c>
      <c r="CL63" s="1458">
        <f>Lu!P18</f>
        <v>355.4</v>
      </c>
      <c r="CM63" s="1458">
        <f>ZR!P18</f>
        <v>355.4</v>
      </c>
      <c r="CN63" s="1458">
        <f>FrühKa!P18</f>
        <v>355.4</v>
      </c>
      <c r="CO63" s="1458">
        <f>FrühKaFolieBer!P18</f>
        <v>355.4</v>
      </c>
      <c r="CP63" s="1458">
        <f>SpKa!P18</f>
        <v>355.4</v>
      </c>
      <c r="CQ63" s="1458">
        <f>SpKaBer!P18</f>
        <v>355.4</v>
      </c>
      <c r="CR63" s="1458">
        <f>'Kultur A'!P18</f>
        <v>0</v>
      </c>
      <c r="CS63" s="1458">
        <f>'FAKT-Brachebegrünung'!P18</f>
        <v>355.4</v>
      </c>
      <c r="CT63" s="1458">
        <f>Begr!P18</f>
        <v>355.4</v>
      </c>
      <c r="CV63" s="1462" t="s">
        <v>1158</v>
      </c>
      <c r="CW63" s="1464"/>
      <c r="CX63" s="3661">
        <f>'Öko-KG1'!$J$18</f>
        <v>355.4</v>
      </c>
      <c r="CY63" s="1458">
        <f>'Öko-KG2'!$J$18</f>
        <v>355.4</v>
      </c>
      <c r="CZ63" s="1458">
        <f>'Öko-LU1'!$J$18</f>
        <v>355.4</v>
      </c>
      <c r="DA63" s="1458">
        <f>'Öko-LU2'!$J$18</f>
        <v>355.4</v>
      </c>
      <c r="DB63" s="1458">
        <f>'Öko-WW-Futter'!$J$18</f>
        <v>355.4</v>
      </c>
      <c r="DC63" s="1458">
        <f>'Öko-WW-Brot'!$J$18</f>
        <v>355.4</v>
      </c>
      <c r="DD63" s="1458">
        <f>'Öko-Dinkel'!$J$18</f>
        <v>355.4</v>
      </c>
      <c r="DE63" s="1458">
        <f>'Öko-Dinkel,gegerbt'!$J$18</f>
        <v>355.4</v>
      </c>
      <c r="DF63" s="1458">
        <f>'Öko-Roggen'!$J$18</f>
        <v>355.4</v>
      </c>
      <c r="DG63" s="1458">
        <f>'Öko-Hafer'!$J$18</f>
        <v>355.4</v>
      </c>
      <c r="DH63" s="1458">
        <f>'Öko-Wintergerste'!$J$18</f>
        <v>355.4</v>
      </c>
      <c r="DI63" s="1458">
        <f>'Öko-Braugerste'!$J$18</f>
        <v>355.4</v>
      </c>
      <c r="DJ63" s="1458">
        <f>'Öko-Körnermais'!$J$18</f>
        <v>355.4</v>
      </c>
      <c r="DK63" s="1458">
        <f>'Öko-Ackerbohnen'!$J$18</f>
        <v>355.4</v>
      </c>
      <c r="DL63" s="1458">
        <f>'Öko-Erbsen'!$J$18</f>
        <v>355.4</v>
      </c>
      <c r="DM63" s="1458">
        <f>'Öko-Sojabohnen'!$J$18</f>
        <v>355.4</v>
      </c>
      <c r="DN63" s="1458">
        <f>'Öko-Soblu'!$J$18</f>
        <v>355.4</v>
      </c>
      <c r="DO63" s="1458">
        <f>'Öko-Raps'!$J$18</f>
        <v>355.4</v>
      </c>
      <c r="DP63" s="1458">
        <f>'Öko-Kartoffel'!$J$18</f>
        <v>355.4</v>
      </c>
      <c r="DQ63" s="1458" t="e">
        <f>#REF!</f>
        <v>#REF!</v>
      </c>
      <c r="DR63" s="1458">
        <f>Begrün.!$J$18</f>
        <v>0</v>
      </c>
      <c r="DS63" s="1458">
        <f>Blühm.!$J$18</f>
        <v>0</v>
      </c>
      <c r="DT63" s="1456"/>
      <c r="DU63" s="1458">
        <f>'Öko-KG1'!M18</f>
        <v>355.4</v>
      </c>
      <c r="DV63" s="1458">
        <f>'Öko-KG2'!M18</f>
        <v>355.4</v>
      </c>
      <c r="DW63" s="1458">
        <f>'Öko-LU1'!M18</f>
        <v>355.4</v>
      </c>
      <c r="DX63" s="1458">
        <f>'Öko-LU2'!M18</f>
        <v>355.4</v>
      </c>
      <c r="DY63" s="1460">
        <f>'Öko-WW-Futter'!$M$18</f>
        <v>355.4</v>
      </c>
      <c r="DZ63" s="1458">
        <f>'Öko-WW-Brot'!$M$18</f>
        <v>355.4</v>
      </c>
      <c r="EA63" s="1458">
        <f>'Öko-Dinkel'!$M$18</f>
        <v>355.4</v>
      </c>
      <c r="EB63" s="1458">
        <f>'Öko-Dinkel,gegerbt'!$M$18</f>
        <v>355.4</v>
      </c>
      <c r="EC63" s="1458">
        <f>'Öko-Roggen'!$M$18</f>
        <v>355.4</v>
      </c>
      <c r="ED63" s="1458">
        <f>'Öko-Hafer'!$M$18</f>
        <v>355.4</v>
      </c>
      <c r="EE63" s="1458">
        <f>'Öko-Wintergerste'!$M$18</f>
        <v>355.4</v>
      </c>
      <c r="EF63" s="1458">
        <f>'Öko-Braugerste'!$M$18</f>
        <v>355.4</v>
      </c>
      <c r="EG63" s="1458">
        <f>'Öko-Körnermais'!$M$18</f>
        <v>355.4</v>
      </c>
      <c r="EH63" s="1458">
        <f>'Öko-Ackerbohnen'!$M$18</f>
        <v>355.4</v>
      </c>
      <c r="EI63" s="1458">
        <f>'Öko-Erbsen'!$M$18</f>
        <v>355.4</v>
      </c>
      <c r="EJ63" s="1458">
        <f>'Öko-Sojabohnen'!$M$18</f>
        <v>355.4</v>
      </c>
      <c r="EK63" s="1458">
        <f>'Öko-Soblu'!$M$18</f>
        <v>355.4</v>
      </c>
      <c r="EL63" s="1458">
        <f>'Öko-Raps'!$M$18</f>
        <v>355.4</v>
      </c>
      <c r="EM63" s="1458">
        <f>'Öko-Kartoffel'!$M$18</f>
        <v>355.4</v>
      </c>
      <c r="EN63" s="1458" t="e">
        <f>#REF!</f>
        <v>#REF!</v>
      </c>
      <c r="EO63" s="1458">
        <f>Begrün.!$M$18</f>
        <v>0</v>
      </c>
      <c r="EP63" s="1458">
        <f>Blühm.!$M$18</f>
        <v>0</v>
      </c>
      <c r="EQ63" s="1456"/>
      <c r="ER63" s="1458">
        <f>'Öko-KG1'!$P$18</f>
        <v>355.4</v>
      </c>
      <c r="ES63" s="1458">
        <f>'Öko-KG2'!$P$18</f>
        <v>355.4</v>
      </c>
      <c r="ET63" s="1458">
        <f>'Öko-LU1'!$P$18</f>
        <v>355.4</v>
      </c>
      <c r="EU63" s="1458">
        <f>'Öko-LU2'!$P$18</f>
        <v>355.4</v>
      </c>
      <c r="EV63" s="1458">
        <f>'Öko-WW-Futter'!$P$18</f>
        <v>355.4</v>
      </c>
      <c r="EW63" s="1458">
        <f>'Öko-WW-Brot'!$P$18</f>
        <v>355.4</v>
      </c>
      <c r="EX63" s="1458">
        <f>'Öko-Dinkel'!$P$18</f>
        <v>355.4</v>
      </c>
      <c r="EY63" s="1458">
        <f>'Öko-Dinkel,gegerbt'!$P$18</f>
        <v>355.4</v>
      </c>
      <c r="EZ63" s="1458">
        <f>'Öko-Roggen'!$P$18</f>
        <v>355.4</v>
      </c>
      <c r="FA63" s="1458">
        <f>'Öko-Hafer'!$P$18</f>
        <v>355.4</v>
      </c>
      <c r="FB63" s="1458">
        <f>'Öko-Wintergerste'!$P$18</f>
        <v>355.4</v>
      </c>
      <c r="FC63" s="1458">
        <f>'Öko-Braugerste'!$P$18</f>
        <v>355.4</v>
      </c>
      <c r="FD63" s="1458">
        <f>'Öko-Körnermais'!$P$18</f>
        <v>355.4</v>
      </c>
      <c r="FE63" s="1458">
        <f>'Öko-Ackerbohnen'!$P$18</f>
        <v>355.4</v>
      </c>
      <c r="FF63" s="1458">
        <f>'Öko-Erbsen'!$P$18</f>
        <v>355.4</v>
      </c>
      <c r="FG63" s="1458">
        <f>'Öko-Sojabohnen'!$P$18</f>
        <v>355.4</v>
      </c>
      <c r="FH63" s="1458">
        <f>'Öko-Soblu'!$P$18</f>
        <v>355.4</v>
      </c>
      <c r="FI63" s="1458">
        <f>'Öko-Raps'!$P$18</f>
        <v>355.4</v>
      </c>
      <c r="FJ63" s="1458">
        <f>'Öko-Kartoffel'!$P$18</f>
        <v>355.4</v>
      </c>
      <c r="FK63" s="1458" t="e">
        <f>#REF!</f>
        <v>#REF!</v>
      </c>
      <c r="FL63" s="1458">
        <f>Begrün.!$P$18</f>
        <v>0</v>
      </c>
      <c r="FM63" s="1458">
        <f>Blühm.!$P$18</f>
        <v>0</v>
      </c>
    </row>
    <row r="64" spans="1:171" ht="16.149999999999999" customHeight="1" thickBot="1">
      <c r="A64" s="1463">
        <f>ROWS($A$1:A64)</f>
        <v>64</v>
      </c>
      <c r="B64" s="1462" t="s">
        <v>1157</v>
      </c>
      <c r="C64" s="1461"/>
      <c r="D64" s="3661">
        <f>'WW1'!J13</f>
        <v>180</v>
      </c>
      <c r="E64" s="1458">
        <f>'WW2'!J13</f>
        <v>180</v>
      </c>
      <c r="F64" s="1458">
        <f>'WW3'!J13</f>
        <v>100</v>
      </c>
      <c r="G64" s="1458">
        <f>'WW4'!J13</f>
        <v>100</v>
      </c>
      <c r="H64" s="1458">
        <f>WRo!J13</f>
        <v>180</v>
      </c>
      <c r="I64" s="1458">
        <f>Tr!J13</f>
        <v>180</v>
      </c>
      <c r="J64" s="1458">
        <f>WG!J13</f>
        <v>100</v>
      </c>
      <c r="K64" s="1458">
        <f>Di!J13</f>
        <v>0</v>
      </c>
      <c r="L64" s="1458">
        <f>SW!J13</f>
        <v>100</v>
      </c>
      <c r="M64" s="1458">
        <f>'SG-Fu'!J13</f>
        <v>100</v>
      </c>
      <c r="N64" s="1458">
        <f>BG!J13</f>
        <v>100</v>
      </c>
      <c r="O64" s="1458">
        <f>Ha!J13</f>
        <v>100</v>
      </c>
      <c r="P64" s="1458">
        <f>Du!J13</f>
        <v>100</v>
      </c>
      <c r="Q64" s="1458">
        <f>KöM!J13</f>
        <v>100</v>
      </c>
      <c r="R64" s="1458">
        <f>KH!J13</f>
        <v>100</v>
      </c>
      <c r="S64" s="1458">
        <f>WR!J13</f>
        <v>100</v>
      </c>
      <c r="T64" s="1458">
        <f>SR!J13</f>
        <v>100</v>
      </c>
      <c r="U64" s="1458">
        <f>SoBl!J13</f>
        <v>100</v>
      </c>
      <c r="V64" s="1458">
        <f>Soja!J13</f>
        <v>100</v>
      </c>
      <c r="W64" s="1458">
        <f>Öl!J13</f>
        <v>100</v>
      </c>
      <c r="X64" s="1458">
        <f>FE!J13</f>
        <v>200</v>
      </c>
      <c r="Y64" s="1458">
        <f>AB!J13</f>
        <v>100</v>
      </c>
      <c r="Z64" s="1458">
        <f>Lu!J13</f>
        <v>100</v>
      </c>
      <c r="AA64" s="1458">
        <f>ZR!J13</f>
        <v>100</v>
      </c>
      <c r="AB64" s="1458">
        <f>FrühKa!J13</f>
        <v>100</v>
      </c>
      <c r="AC64" s="1458">
        <f>FrühKaFolieBer!J13</f>
        <v>100</v>
      </c>
      <c r="AD64" s="1458">
        <f>SpKa!J13</f>
        <v>100</v>
      </c>
      <c r="AE64" s="1458">
        <f>SpKaBer!J13</f>
        <v>100</v>
      </c>
      <c r="AF64" s="1458">
        <f>'Kultur A'!J13</f>
        <v>0</v>
      </c>
      <c r="AG64" s="1458">
        <f>'FAKT-Brachebegrünung'!J13</f>
        <v>730</v>
      </c>
      <c r="AH64" s="1458">
        <f>Begr!J13</f>
        <v>100</v>
      </c>
      <c r="AI64" s="1459"/>
      <c r="AJ64" s="1460">
        <f>'WW1'!M13</f>
        <v>180</v>
      </c>
      <c r="AK64" s="1458">
        <f>'WW2'!M13</f>
        <v>180</v>
      </c>
      <c r="AL64" s="1458">
        <f>'WW3'!M13</f>
        <v>100</v>
      </c>
      <c r="AM64" s="1458">
        <f>'WW4'!M13</f>
        <v>100</v>
      </c>
      <c r="AN64" s="1458">
        <f>WRo!M13</f>
        <v>180</v>
      </c>
      <c r="AO64" s="1458">
        <f>Tr!M13</f>
        <v>180</v>
      </c>
      <c r="AP64" s="1458">
        <f>WG!M13</f>
        <v>100</v>
      </c>
      <c r="AQ64" s="1458">
        <f>Di!M13</f>
        <v>0</v>
      </c>
      <c r="AR64" s="1458">
        <f>SW!M13</f>
        <v>100</v>
      </c>
      <c r="AS64" s="1458">
        <f>'SG-Fu'!M13</f>
        <v>100</v>
      </c>
      <c r="AT64" s="1458">
        <f>BG!M13</f>
        <v>100</v>
      </c>
      <c r="AU64" s="1458">
        <f>Ha!M13</f>
        <v>100</v>
      </c>
      <c r="AV64" s="1458">
        <f>Du!M13</f>
        <v>100</v>
      </c>
      <c r="AW64" s="1458">
        <f>KöM!M13</f>
        <v>100</v>
      </c>
      <c r="AX64" s="1458">
        <f>KH!M13</f>
        <v>100</v>
      </c>
      <c r="AY64" s="1458">
        <f>WR!M13</f>
        <v>100</v>
      </c>
      <c r="AZ64" s="1458">
        <f>SR!M13</f>
        <v>100</v>
      </c>
      <c r="BA64" s="1458">
        <f>SoBl!M13</f>
        <v>100</v>
      </c>
      <c r="BB64" s="1458">
        <f>Soja!M13</f>
        <v>100</v>
      </c>
      <c r="BC64" s="1458">
        <f>Öl!M13</f>
        <v>100</v>
      </c>
      <c r="BD64" s="1458">
        <f>FE!M13</f>
        <v>200</v>
      </c>
      <c r="BE64" s="1458">
        <f>AB!M13</f>
        <v>100</v>
      </c>
      <c r="BF64" s="1458">
        <f>Lu!M13</f>
        <v>100</v>
      </c>
      <c r="BG64" s="1458">
        <f>ZR!M13</f>
        <v>0</v>
      </c>
      <c r="BH64" s="1458">
        <f>FrühKa!M13</f>
        <v>100</v>
      </c>
      <c r="BI64" s="1458">
        <f>FrühKaFolieBer!M13</f>
        <v>100</v>
      </c>
      <c r="BJ64" s="1458">
        <f>SpKa!M13</f>
        <v>100</v>
      </c>
      <c r="BK64" s="1458">
        <f>SpKaBer!M13</f>
        <v>100</v>
      </c>
      <c r="BL64" s="1458">
        <f>'Kultur A'!M13</f>
        <v>0</v>
      </c>
      <c r="BM64" s="1458">
        <f>'FAKT-Brachebegrünung'!M13</f>
        <v>730</v>
      </c>
      <c r="BN64" s="1458">
        <f>Begr!M13</f>
        <v>100</v>
      </c>
      <c r="BO64" s="1459"/>
      <c r="BP64" s="1460">
        <f>'WW1'!P13</f>
        <v>180</v>
      </c>
      <c r="BQ64" s="1458">
        <f>'WW2'!P13</f>
        <v>180</v>
      </c>
      <c r="BR64" s="1458">
        <f>'WW3'!P13</f>
        <v>100</v>
      </c>
      <c r="BS64" s="1458">
        <f>'WW4'!P13</f>
        <v>100</v>
      </c>
      <c r="BT64" s="1458">
        <f>WRo!P13</f>
        <v>180</v>
      </c>
      <c r="BU64" s="1458">
        <f>Tr!P13</f>
        <v>180</v>
      </c>
      <c r="BV64" s="1458">
        <f>WG!P13</f>
        <v>100</v>
      </c>
      <c r="BW64" s="1458">
        <f>Di!P13</f>
        <v>0</v>
      </c>
      <c r="BX64" s="1458">
        <f>SW!P13</f>
        <v>100</v>
      </c>
      <c r="BY64" s="1458">
        <f>'SG-Fu'!P13</f>
        <v>100</v>
      </c>
      <c r="BZ64" s="1458">
        <f>BG!P13</f>
        <v>100</v>
      </c>
      <c r="CA64" s="1458">
        <f>Ha!P13</f>
        <v>100</v>
      </c>
      <c r="CB64" s="1458">
        <f>Du!P13</f>
        <v>100</v>
      </c>
      <c r="CC64" s="1458">
        <f>KöM!P13</f>
        <v>100</v>
      </c>
      <c r="CD64" s="1458">
        <f>KH!P13</f>
        <v>100</v>
      </c>
      <c r="CE64" s="1458">
        <f>WR!P13</f>
        <v>100</v>
      </c>
      <c r="CF64" s="1458">
        <f>SR!P13</f>
        <v>100</v>
      </c>
      <c r="CG64" s="1458">
        <f>SoBl!P13</f>
        <v>100</v>
      </c>
      <c r="CH64" s="1458">
        <f>Soja!P13</f>
        <v>100</v>
      </c>
      <c r="CI64" s="1458">
        <f>Öl!P13</f>
        <v>100</v>
      </c>
      <c r="CJ64" s="1458">
        <f>FE!P13</f>
        <v>200</v>
      </c>
      <c r="CK64" s="1458">
        <f>AB!P13</f>
        <v>100</v>
      </c>
      <c r="CL64" s="1458">
        <f>Lu!P13</f>
        <v>100</v>
      </c>
      <c r="CM64" s="1458">
        <f>ZR!P13</f>
        <v>100</v>
      </c>
      <c r="CN64" s="1458">
        <f>FrühKa!P13</f>
        <v>100</v>
      </c>
      <c r="CO64" s="1458">
        <f>FrühKaFolieBer!P13</f>
        <v>100</v>
      </c>
      <c r="CP64" s="1458">
        <f>SpKa!P13</f>
        <v>100</v>
      </c>
      <c r="CQ64" s="1458">
        <f>SpKaBer!P13</f>
        <v>100</v>
      </c>
      <c r="CR64" s="1458">
        <f>'Kultur A'!P13</f>
        <v>0</v>
      </c>
      <c r="CS64" s="1458">
        <f>'FAKT-Brachebegrünung'!P13</f>
        <v>730</v>
      </c>
      <c r="CT64" s="1458">
        <f>Begr!P13</f>
        <v>100</v>
      </c>
      <c r="CV64" s="1462" t="s">
        <v>1157</v>
      </c>
      <c r="CW64" s="1461"/>
      <c r="CX64" s="3661">
        <f>'Öko-KG1'!$J$13</f>
        <v>100</v>
      </c>
      <c r="CY64" s="1458">
        <f>'Öko-KG2'!$J$13</f>
        <v>340</v>
      </c>
      <c r="CZ64" s="1458">
        <f>'Öko-LU1'!$J$13</f>
        <v>340</v>
      </c>
      <c r="DA64" s="1458">
        <f>'Öko-LU2'!$J$13</f>
        <v>340</v>
      </c>
      <c r="DB64" s="1458">
        <f>'Öko-WW-Futter'!$J$13</f>
        <v>240</v>
      </c>
      <c r="DC64" s="1458">
        <f>'Öko-WW-Brot'!$J$13</f>
        <v>340</v>
      </c>
      <c r="DD64" s="1458">
        <f>'Öko-Dinkel'!$J$13</f>
        <v>240</v>
      </c>
      <c r="DE64" s="1458">
        <f>'Öko-Dinkel,gegerbt'!$J$13</f>
        <v>240</v>
      </c>
      <c r="DF64" s="1458">
        <f>'Öko-Roggen'!$J$13</f>
        <v>240</v>
      </c>
      <c r="DG64" s="1458">
        <f>'Öko-Hafer'!$J$13</f>
        <v>240</v>
      </c>
      <c r="DH64" s="1458">
        <f>'Öko-Wintergerste'!$J$13</f>
        <v>240</v>
      </c>
      <c r="DI64" s="1458">
        <f>'Öko-Braugerste'!$J$13</f>
        <v>240</v>
      </c>
      <c r="DJ64" s="1458">
        <f>'Öko-Körnermais'!$J$13</f>
        <v>240</v>
      </c>
      <c r="DK64" s="1458">
        <f>'Öko-Ackerbohnen'!$J$13</f>
        <v>240</v>
      </c>
      <c r="DL64" s="1458">
        <f>'Öko-Erbsen'!$J$13</f>
        <v>240</v>
      </c>
      <c r="DM64" s="1458">
        <f>'Öko-Sojabohnen'!$J$13</f>
        <v>240</v>
      </c>
      <c r="DN64" s="1458">
        <f>'Öko-Soblu'!$J$13</f>
        <v>240</v>
      </c>
      <c r="DO64" s="1458">
        <f>'Öko-Raps'!$J$13</f>
        <v>240</v>
      </c>
      <c r="DP64" s="1458">
        <f>'Öko-Kartoffel'!$J$13</f>
        <v>240</v>
      </c>
      <c r="DQ64" s="1458" t="e">
        <f>#REF!</f>
        <v>#REF!</v>
      </c>
      <c r="DR64" s="1458">
        <f>Begrün.!$J$13</f>
        <v>0</v>
      </c>
      <c r="DS64" s="1458">
        <f>Blühm.!$J$13</f>
        <v>100</v>
      </c>
      <c r="DT64" s="1456"/>
      <c r="DU64" s="1458">
        <f>'Öko-KG1'!$M$13</f>
        <v>100</v>
      </c>
      <c r="DV64" s="1458">
        <f>'Öko-KG2'!$M$13</f>
        <v>340</v>
      </c>
      <c r="DW64" s="1458">
        <f>'Öko-LU1'!$M$13</f>
        <v>340</v>
      </c>
      <c r="DX64" s="1458">
        <f>'Öko-LU2'!$M$13</f>
        <v>340</v>
      </c>
      <c r="DY64" s="1460">
        <f>'Öko-WW-Futter'!$M$13</f>
        <v>240</v>
      </c>
      <c r="DZ64" s="1458">
        <f>'Öko-WW-Brot'!$M$13</f>
        <v>340</v>
      </c>
      <c r="EA64" s="1458">
        <f>'Öko-Dinkel'!$M$13</f>
        <v>240</v>
      </c>
      <c r="EB64" s="1458">
        <f>'Öko-Dinkel,gegerbt'!$M$13</f>
        <v>240</v>
      </c>
      <c r="EC64" s="1458">
        <f>'Öko-Roggen'!$M$13</f>
        <v>240</v>
      </c>
      <c r="ED64" s="1458">
        <f>'Öko-Hafer'!$M$13</f>
        <v>240</v>
      </c>
      <c r="EE64" s="1458">
        <f>'Öko-Wintergerste'!$M$13</f>
        <v>240</v>
      </c>
      <c r="EF64" s="1458">
        <f>'Öko-Braugerste'!$M$13</f>
        <v>240</v>
      </c>
      <c r="EG64" s="1458">
        <f>'Öko-Körnermais'!$M$13</f>
        <v>240</v>
      </c>
      <c r="EH64" s="1458">
        <f>'Öko-Ackerbohnen'!$M$13</f>
        <v>240</v>
      </c>
      <c r="EI64" s="1458">
        <f>'Öko-Erbsen'!$M$13</f>
        <v>240</v>
      </c>
      <c r="EJ64" s="1458">
        <f>'Öko-Sojabohnen'!$M$13</f>
        <v>240</v>
      </c>
      <c r="EK64" s="1458">
        <f>'Öko-Soblu'!$M$13</f>
        <v>240</v>
      </c>
      <c r="EL64" s="1458">
        <f>'Öko-Raps'!$M$13</f>
        <v>240</v>
      </c>
      <c r="EM64" s="1458">
        <f>'Öko-Kartoffel'!$M$13</f>
        <v>240</v>
      </c>
      <c r="EN64" s="1458" t="e">
        <f>#REF!</f>
        <v>#REF!</v>
      </c>
      <c r="EO64" s="1458">
        <f>Begrün.!$M$13</f>
        <v>0</v>
      </c>
      <c r="EP64" s="1458">
        <f>Blühm.!$M$13</f>
        <v>100</v>
      </c>
      <c r="EQ64" s="1456"/>
      <c r="ER64" s="1458">
        <f>'Öko-KG1'!$P$13</f>
        <v>100</v>
      </c>
      <c r="ES64" s="1458">
        <f>'Öko-KG2'!$P$13</f>
        <v>340</v>
      </c>
      <c r="ET64" s="1458">
        <f>'Öko-LU1'!$P$13</f>
        <v>340</v>
      </c>
      <c r="EU64" s="1458">
        <f>'Öko-LU2'!$P$13</f>
        <v>340</v>
      </c>
      <c r="EV64" s="1458">
        <f>'Öko-WW-Futter'!$P$13</f>
        <v>240</v>
      </c>
      <c r="EW64" s="1458">
        <f>'Öko-WW-Brot'!$P$13</f>
        <v>340</v>
      </c>
      <c r="EX64" s="1458">
        <f>'Öko-Dinkel'!$P$13</f>
        <v>240</v>
      </c>
      <c r="EY64" s="1458">
        <f>'Öko-Dinkel,gegerbt'!$P$13</f>
        <v>240</v>
      </c>
      <c r="EZ64" s="1458">
        <f>'Öko-Roggen'!$P$13</f>
        <v>240</v>
      </c>
      <c r="FA64" s="1458">
        <f>'Öko-Hafer'!$P$13</f>
        <v>240</v>
      </c>
      <c r="FB64" s="1458">
        <f>'Öko-Wintergerste'!$P$13</f>
        <v>240</v>
      </c>
      <c r="FC64" s="1458">
        <f>'Öko-Braugerste'!$P$13</f>
        <v>240</v>
      </c>
      <c r="FD64" s="1458">
        <f>'Öko-Körnermais'!$P$13</f>
        <v>240</v>
      </c>
      <c r="FE64" s="1458">
        <f>'Öko-Ackerbohnen'!$P$13</f>
        <v>240</v>
      </c>
      <c r="FF64" s="1458">
        <f>'Öko-Erbsen'!$P$13</f>
        <v>240</v>
      </c>
      <c r="FG64" s="1458">
        <f>'Öko-Sojabohnen'!$P$13</f>
        <v>240</v>
      </c>
      <c r="FH64" s="1458">
        <f>'Öko-Soblu'!$P$13</f>
        <v>240</v>
      </c>
      <c r="FI64" s="1458">
        <f>'Öko-Raps'!$P$13</f>
        <v>240</v>
      </c>
      <c r="FJ64" s="1458">
        <f>'Öko-Kartoffel'!$P$13</f>
        <v>240</v>
      </c>
      <c r="FK64" s="1458" t="e">
        <f>#REF!</f>
        <v>#REF!</v>
      </c>
      <c r="FL64" s="1458">
        <f>Begrün.!$P$13</f>
        <v>0</v>
      </c>
      <c r="FM64" s="1458">
        <f>Blühm.!$P$13</f>
        <v>100</v>
      </c>
    </row>
    <row r="65" spans="2:169" s="3329" customFormat="1" ht="16.149999999999999" customHeight="1" thickBot="1">
      <c r="B65" s="3323" t="s">
        <v>1156</v>
      </c>
      <c r="C65" s="3324"/>
      <c r="D65" s="3325" t="s">
        <v>97</v>
      </c>
      <c r="E65" s="3325" t="s">
        <v>95</v>
      </c>
      <c r="F65" s="3325" t="s">
        <v>93</v>
      </c>
      <c r="G65" s="3325" t="s">
        <v>91</v>
      </c>
      <c r="H65" s="3325" t="s">
        <v>1155</v>
      </c>
      <c r="I65" s="3326" t="s">
        <v>87</v>
      </c>
      <c r="J65" s="3326" t="s">
        <v>85</v>
      </c>
      <c r="K65" s="3326" t="s">
        <v>83</v>
      </c>
      <c r="L65" s="3326" t="s">
        <v>80</v>
      </c>
      <c r="M65" s="3325" t="s">
        <v>78</v>
      </c>
      <c r="N65" s="3326" t="s">
        <v>76</v>
      </c>
      <c r="O65" s="3326" t="s">
        <v>74</v>
      </c>
      <c r="P65" s="3326" t="s">
        <v>72</v>
      </c>
      <c r="Q65" s="3326" t="s">
        <v>69</v>
      </c>
      <c r="R65" s="3326" t="s">
        <v>66</v>
      </c>
      <c r="S65" s="3326" t="s">
        <v>63</v>
      </c>
      <c r="T65" s="3326" t="s">
        <v>61</v>
      </c>
      <c r="U65" s="3326" t="s">
        <v>59</v>
      </c>
      <c r="V65" s="3326" t="s">
        <v>58</v>
      </c>
      <c r="W65" s="3326" t="s">
        <v>56</v>
      </c>
      <c r="X65" s="3326" t="s">
        <v>53</v>
      </c>
      <c r="Y65" s="3326" t="s">
        <v>51</v>
      </c>
      <c r="Z65" s="3326" t="s">
        <v>49</v>
      </c>
      <c r="AA65" s="3326" t="s">
        <v>44</v>
      </c>
      <c r="AB65" s="3326" t="s">
        <v>42</v>
      </c>
      <c r="AC65" s="3326" t="s">
        <v>40</v>
      </c>
      <c r="AD65" s="3326" t="s">
        <v>38</v>
      </c>
      <c r="AE65" s="3326" t="s">
        <v>36</v>
      </c>
      <c r="AF65" s="3325" t="s">
        <v>23</v>
      </c>
      <c r="AG65" s="3325" t="s">
        <v>28</v>
      </c>
      <c r="AH65" s="3326" t="s">
        <v>1043</v>
      </c>
      <c r="AI65" s="3327"/>
      <c r="AJ65" s="3328" t="s">
        <v>97</v>
      </c>
      <c r="AK65" s="3325" t="s">
        <v>95</v>
      </c>
      <c r="AL65" s="3325" t="s">
        <v>93</v>
      </c>
      <c r="AM65" s="3325" t="s">
        <v>91</v>
      </c>
      <c r="AN65" s="3326" t="s">
        <v>1155</v>
      </c>
      <c r="AO65" s="3326" t="s">
        <v>87</v>
      </c>
      <c r="AP65" s="3326" t="s">
        <v>85</v>
      </c>
      <c r="AQ65" s="3326" t="s">
        <v>83</v>
      </c>
      <c r="AR65" s="3326" t="s">
        <v>80</v>
      </c>
      <c r="AS65" s="3325" t="s">
        <v>78</v>
      </c>
      <c r="AT65" s="3326" t="s">
        <v>76</v>
      </c>
      <c r="AU65" s="3326" t="s">
        <v>74</v>
      </c>
      <c r="AV65" s="3326" t="s">
        <v>72</v>
      </c>
      <c r="AW65" s="3326" t="s">
        <v>69</v>
      </c>
      <c r="AX65" s="3326" t="s">
        <v>66</v>
      </c>
      <c r="AY65" s="3326" t="s">
        <v>63</v>
      </c>
      <c r="AZ65" s="3326" t="s">
        <v>61</v>
      </c>
      <c r="BA65" s="3326" t="s">
        <v>59</v>
      </c>
      <c r="BB65" s="3326" t="s">
        <v>58</v>
      </c>
      <c r="BC65" s="3326" t="s">
        <v>56</v>
      </c>
      <c r="BD65" s="3326" t="s">
        <v>53</v>
      </c>
      <c r="BE65" s="3326" t="s">
        <v>51</v>
      </c>
      <c r="BF65" s="3326" t="s">
        <v>49</v>
      </c>
      <c r="BG65" s="3326" t="s">
        <v>44</v>
      </c>
      <c r="BH65" s="3326" t="s">
        <v>42</v>
      </c>
      <c r="BI65" s="3326" t="s">
        <v>40</v>
      </c>
      <c r="BJ65" s="3326" t="s">
        <v>38</v>
      </c>
      <c r="BK65" s="3326" t="s">
        <v>36</v>
      </c>
      <c r="BL65" s="3325" t="s">
        <v>23</v>
      </c>
      <c r="BM65" s="3325" t="s">
        <v>28</v>
      </c>
      <c r="BN65" s="3326" t="s">
        <v>1043</v>
      </c>
      <c r="BO65" s="3327"/>
      <c r="BP65" s="3328" t="s">
        <v>97</v>
      </c>
      <c r="BQ65" s="3325" t="s">
        <v>95</v>
      </c>
      <c r="BR65" s="3325" t="s">
        <v>93</v>
      </c>
      <c r="BS65" s="3325" t="s">
        <v>91</v>
      </c>
      <c r="BT65" s="3326" t="s">
        <v>1155</v>
      </c>
      <c r="BU65" s="3326" t="s">
        <v>87</v>
      </c>
      <c r="BV65" s="3326" t="s">
        <v>85</v>
      </c>
      <c r="BW65" s="3326" t="s">
        <v>83</v>
      </c>
      <c r="BX65" s="3326" t="s">
        <v>80</v>
      </c>
      <c r="BY65" s="3325" t="s">
        <v>78</v>
      </c>
      <c r="BZ65" s="3326" t="s">
        <v>76</v>
      </c>
      <c r="CA65" s="3326" t="s">
        <v>74</v>
      </c>
      <c r="CB65" s="3326" t="s">
        <v>72</v>
      </c>
      <c r="CC65" s="3326" t="s">
        <v>69</v>
      </c>
      <c r="CD65" s="3326" t="s">
        <v>66</v>
      </c>
      <c r="CE65" s="3326" t="s">
        <v>63</v>
      </c>
      <c r="CF65" s="3326" t="s">
        <v>61</v>
      </c>
      <c r="CG65" s="3326" t="s">
        <v>59</v>
      </c>
      <c r="CH65" s="3326" t="s">
        <v>58</v>
      </c>
      <c r="CI65" s="3326" t="s">
        <v>56</v>
      </c>
      <c r="CJ65" s="3326" t="s">
        <v>53</v>
      </c>
      <c r="CK65" s="3326" t="s">
        <v>51</v>
      </c>
      <c r="CL65" s="3326" t="s">
        <v>49</v>
      </c>
      <c r="CM65" s="3326" t="s">
        <v>44</v>
      </c>
      <c r="CN65" s="3326" t="s">
        <v>42</v>
      </c>
      <c r="CO65" s="3326" t="s">
        <v>40</v>
      </c>
      <c r="CP65" s="3326" t="s">
        <v>38</v>
      </c>
      <c r="CQ65" s="3326" t="s">
        <v>36</v>
      </c>
      <c r="CR65" s="3325" t="s">
        <v>23</v>
      </c>
      <c r="CS65" s="3325" t="s">
        <v>28</v>
      </c>
      <c r="CT65" s="3326" t="s">
        <v>1043</v>
      </c>
      <c r="CV65" s="3330"/>
      <c r="CW65" s="3331"/>
      <c r="CX65" s="3325" t="str">
        <f>"'Öko-KG1'"</f>
        <v>'Öko-KG1'</v>
      </c>
      <c r="CY65" s="3333" t="str">
        <f>"'Öko-KG2'"</f>
        <v>'Öko-KG2'</v>
      </c>
      <c r="CZ65" s="3333" t="str">
        <f>"'Öko-LU1'"</f>
        <v>'Öko-LU1'</v>
      </c>
      <c r="DA65" s="3333" t="str">
        <f>"'Öko-LU2'"</f>
        <v>'Öko-LU2'</v>
      </c>
      <c r="DB65" s="3334" t="str">
        <f>"'Öko-WW-Futter'"</f>
        <v>'Öko-WW-Futter'</v>
      </c>
      <c r="DC65" s="3334" t="str">
        <f>"'Öko-WW-Brot'"</f>
        <v>'Öko-WW-Brot'</v>
      </c>
      <c r="DD65" s="3334" t="str">
        <f>"'Öko-Dinkel'"</f>
        <v>'Öko-Dinkel'</v>
      </c>
      <c r="DE65" s="3334" t="str">
        <f>"'Öko-Dinkel,gegerbt'"</f>
        <v>'Öko-Dinkel,gegerbt'</v>
      </c>
      <c r="DF65" s="3334" t="str">
        <f>"'Öko-Roggen'"</f>
        <v>'Öko-Roggen'</v>
      </c>
      <c r="DG65" s="3333" t="str">
        <f>"'Öko-Hafer'"</f>
        <v>'Öko-Hafer'</v>
      </c>
      <c r="DH65" s="3333" t="str">
        <f>"'Öko-Wintergerste'"</f>
        <v>'Öko-Wintergerste'</v>
      </c>
      <c r="DI65" s="3334" t="str">
        <f>"'Öko-Braugerste'"</f>
        <v>'Öko-Braugerste'</v>
      </c>
      <c r="DJ65" s="3334" t="str">
        <f>"'Öko-Körnermais'"</f>
        <v>'Öko-Körnermais'</v>
      </c>
      <c r="DK65" s="3334" t="str">
        <f>"'Öko-Ackerbohnen'"</f>
        <v>'Öko-Ackerbohnen'</v>
      </c>
      <c r="DL65" s="3334" t="str">
        <f>"'Öko-Erbsen'"</f>
        <v>'Öko-Erbsen'</v>
      </c>
      <c r="DM65" s="3334" t="str">
        <f>"'Öko-Sojabohnen'"</f>
        <v>'Öko-Sojabohnen'</v>
      </c>
      <c r="DN65" s="3334" t="str">
        <f>"'Öko-Soblu'"</f>
        <v>'Öko-Soblu'</v>
      </c>
      <c r="DO65" s="3334" t="str">
        <f>"'Öko-Raps'"</f>
        <v>'Öko-Raps'</v>
      </c>
      <c r="DP65" s="3334" t="str">
        <f>"'Öko-Kartoffel'"</f>
        <v>'Öko-Kartoffel'</v>
      </c>
      <c r="DQ65" s="3334" t="str">
        <f>"'Öko-Möhre'"</f>
        <v>'Öko-Möhre'</v>
      </c>
      <c r="DR65" s="3334" t="str">
        <f>"'Begrün.'"</f>
        <v>'Begrün.'</v>
      </c>
      <c r="DS65" s="3335" t="str">
        <f>"'Blühm.'"</f>
        <v>'Blühm.'</v>
      </c>
      <c r="DU65" s="3336" t="str">
        <f>"'Öko-KG1'"</f>
        <v>'Öko-KG1'</v>
      </c>
      <c r="DV65" s="3337" t="str">
        <f>"'Öko-KG2'"</f>
        <v>'Öko-KG2'</v>
      </c>
      <c r="DW65" s="3332" t="str">
        <f>"'Öko-LU1'"</f>
        <v>'Öko-LU1'</v>
      </c>
      <c r="DX65" s="3333" t="str">
        <f>"'Öko-LU2'"</f>
        <v>'Öko-LU2'</v>
      </c>
      <c r="DY65" s="3333" t="str">
        <f>"'Öko-WW-Futter'"</f>
        <v>'Öko-WW-Futter'</v>
      </c>
      <c r="DZ65" s="3333" t="str">
        <f>"'Öko-WW-Brot'"</f>
        <v>'Öko-WW-Brot'</v>
      </c>
      <c r="EA65" s="3334" t="str">
        <f>"'Öko-Dinkel'"</f>
        <v>'Öko-Dinkel'</v>
      </c>
      <c r="EB65" s="3334" t="str">
        <f>"'Öko-Dinkel,gegerbt'"</f>
        <v>'Öko-Dinkel,gegerbt'</v>
      </c>
      <c r="EC65" s="3334" t="str">
        <f>"'Öko-Roggen'"</f>
        <v>'Öko-Roggen'</v>
      </c>
      <c r="ED65" s="3334" t="str">
        <f>"'Öko-Hafer'"</f>
        <v>'Öko-Hafer'</v>
      </c>
      <c r="EE65" s="3334" t="str">
        <f>"'Öko-Wintergerste'"</f>
        <v>'Öko-Wintergerste'</v>
      </c>
      <c r="EF65" s="3334" t="str">
        <f>"'Öko-Braugerste'"</f>
        <v>'Öko-Braugerste'</v>
      </c>
      <c r="EG65" s="3333" t="str">
        <f>"'Öko-Körnermais'"</f>
        <v>'Öko-Körnermais'</v>
      </c>
      <c r="EH65" s="3334" t="str">
        <f>"'Öko-Ackerbohnen'"</f>
        <v>'Öko-Ackerbohnen'</v>
      </c>
      <c r="EI65" s="3334" t="str">
        <f>"'Öko-Erbsen'"</f>
        <v>'Öko-Erbsen'</v>
      </c>
      <c r="EJ65" s="3334" t="str">
        <f>"'Öko-Sojabohnen'"</f>
        <v>'Öko-Sojabohnen'</v>
      </c>
      <c r="EK65" s="3334" t="str">
        <f>"'Öko-Soblu'"</f>
        <v>'Öko-Soblu'</v>
      </c>
      <c r="EL65" s="3334" t="str">
        <f>"'Öko-Raps'"</f>
        <v>'Öko-Raps'</v>
      </c>
      <c r="EM65" s="3334" t="str">
        <f>"'Öko-Kartoffel'"</f>
        <v>'Öko-Kartoffel'</v>
      </c>
      <c r="EN65" s="3334" t="str">
        <f>"'Öko-Möhre'"</f>
        <v>'Öko-Möhre'</v>
      </c>
      <c r="EO65" s="3334" t="str">
        <f>"'Begrün.'"</f>
        <v>'Begrün.'</v>
      </c>
      <c r="EP65" s="3334" t="str">
        <f>"'Blühm.'"</f>
        <v>'Blühm.'</v>
      </c>
      <c r="ER65" s="3338" t="str">
        <f>"'Öko-KG1'"</f>
        <v>'Öko-KG1'</v>
      </c>
      <c r="ES65" s="3334" t="str">
        <f>"'Öko-KG2'"</f>
        <v>'Öko-KG2'</v>
      </c>
      <c r="ET65" s="3332" t="str">
        <f>"'Öko-LU1'"</f>
        <v>'Öko-LU1'</v>
      </c>
      <c r="EU65" s="3333" t="str">
        <f>"'Öko-LU2'"</f>
        <v>'Öko-LU2'</v>
      </c>
      <c r="EV65" s="3333" t="str">
        <f>"'Öko-WW-Futter'"</f>
        <v>'Öko-WW-Futter'</v>
      </c>
      <c r="EW65" s="3333" t="str">
        <f>"'Öko-WW-Brot'"</f>
        <v>'Öko-WW-Brot'</v>
      </c>
      <c r="EX65" s="3334" t="str">
        <f>"'Öko-Dinkel'"</f>
        <v>'Öko-Dinkel'</v>
      </c>
      <c r="EY65" s="3334" t="str">
        <f>"'Öko-Dinkel,gegerbt'"</f>
        <v>'Öko-Dinkel,gegerbt'</v>
      </c>
      <c r="EZ65" s="3334" t="str">
        <f>"'Öko-Roggen'"</f>
        <v>'Öko-Roggen'</v>
      </c>
      <c r="FA65" s="3334" t="str">
        <f>"'Öko-Hafer'"</f>
        <v>'Öko-Hafer'</v>
      </c>
      <c r="FB65" s="3334" t="str">
        <f>"'Öko-Wintergerste'"</f>
        <v>'Öko-Wintergerste'</v>
      </c>
      <c r="FC65" s="3334" t="str">
        <f>"'Öko-Braugerste'"</f>
        <v>'Öko-Braugerste'</v>
      </c>
      <c r="FD65" s="3333" t="str">
        <f>"'Öko-Körnermais'"</f>
        <v>'Öko-Körnermais'</v>
      </c>
      <c r="FE65" s="3334" t="str">
        <f>"'Öko-Ackerbohnen'"</f>
        <v>'Öko-Ackerbohnen'</v>
      </c>
      <c r="FF65" s="3334" t="str">
        <f>"'Öko-Erbsen'"</f>
        <v>'Öko-Erbsen'</v>
      </c>
      <c r="FG65" s="3334" t="str">
        <f>"'Öko-Sojabohnen'"</f>
        <v>'Öko-Sojabohnen'</v>
      </c>
      <c r="FH65" s="3334" t="str">
        <f>"'Öko-Soblu'"</f>
        <v>'Öko-Soblu'</v>
      </c>
      <c r="FI65" s="3334" t="str">
        <f>"'Öko-Raps'"</f>
        <v>'Öko-Raps'</v>
      </c>
      <c r="FJ65" s="3334" t="str">
        <f>"'Öko-Kartoffel'"</f>
        <v>'Öko-Kartoffel'</v>
      </c>
      <c r="FK65" s="3334" t="str">
        <f>"'Öko-Möhre'"</f>
        <v>'Öko-Möhre'</v>
      </c>
      <c r="FL65" s="3334" t="str">
        <f>"'Begrün.'"</f>
        <v>'Begrün.'</v>
      </c>
      <c r="FM65" s="3334" t="str">
        <f>"'Blühm.'"</f>
        <v>'Blühm.'</v>
      </c>
    </row>
    <row r="66" spans="2:169" ht="16.149999999999999" customHeight="1">
      <c r="D66" s="1456" t="str">
        <f ca="1">CELL("filename",Daten!A1)</f>
        <v>\\bk.bwl.net\LEL\Public\Abteilung2\PRODUKTE\Kalkulationsdaten\Pflanzenbau\Marktfrüchte\2022\aktuelle Internetversion\[Kalkulationsdaten_Marktfrüchte_2022.xlsx]Daten</v>
      </c>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BO66" s="1456"/>
      <c r="BP66" s="1456"/>
      <c r="BQ66" s="1456"/>
      <c r="BR66" s="1456"/>
      <c r="BS66" s="1456"/>
      <c r="BT66" s="1456"/>
      <c r="BU66" s="1456"/>
      <c r="BV66" s="1456"/>
      <c r="BW66" s="1456"/>
      <c r="BX66" s="1456"/>
      <c r="BY66" s="1456"/>
      <c r="BZ66" s="1456"/>
      <c r="CA66" s="1456"/>
      <c r="CB66" s="1456"/>
      <c r="CC66" s="1456"/>
      <c r="CD66" s="1456"/>
      <c r="CE66" s="1456"/>
      <c r="CF66" s="1456"/>
      <c r="CG66" s="1456"/>
      <c r="CH66" s="1456"/>
      <c r="CI66" s="1456"/>
      <c r="CJ66" s="1456"/>
      <c r="CK66" s="1456"/>
      <c r="CL66" s="1456"/>
      <c r="CM66" s="1456"/>
      <c r="CN66" s="1456"/>
      <c r="CO66" s="1456"/>
      <c r="CP66" s="1456"/>
      <c r="CQ66" s="1456"/>
      <c r="CR66" s="1456"/>
      <c r="CS66" s="1456"/>
      <c r="CT66" s="1456"/>
      <c r="EP66" s="3660" t="s">
        <v>2051</v>
      </c>
    </row>
    <row r="67" spans="2:169" ht="16.149999999999999" customHeight="1">
      <c r="EP67" s="3660">
        <f ca="1">INDIRECT(EP65&amp;"!$M$13")</f>
        <v>100</v>
      </c>
    </row>
    <row r="68" spans="2:169" ht="16.149999999999999" customHeight="1"/>
    <row r="69" spans="2:169" ht="16.149999999999999" customHeight="1"/>
    <row r="70" spans="2:169" ht="16.149999999999999" customHeight="1"/>
    <row r="71" spans="2:169" ht="16.149999999999999" customHeight="1"/>
    <row r="72" spans="2:169" ht="16.149999999999999" customHeight="1"/>
    <row r="73" spans="2:169" ht="16.149999999999999" customHeight="1"/>
    <row r="74" spans="2:169" ht="16.149999999999999" customHeight="1"/>
    <row r="75" spans="2:169" ht="16.149999999999999" customHeight="1"/>
    <row r="76" spans="2:169" ht="16.149999999999999" customHeight="1"/>
    <row r="77" spans="2:169" ht="16.149999999999999" customHeight="1"/>
    <row r="78" spans="2:169" ht="16.149999999999999" customHeight="1"/>
    <row r="79" spans="2:169" ht="16.149999999999999" customHeight="1"/>
    <row r="80" spans="2:169"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sheetData>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1"/>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P19 DV18:ED19"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FFFF00"/>
    <pageSetUpPr fitToPage="1"/>
  </sheetPr>
  <dimension ref="A1:AO218"/>
  <sheetViews>
    <sheetView showZeros="0" zoomScaleNormal="100" workbookViewId="0">
      <pane ySplit="4" topLeftCell="A5" activePane="bottomLeft" state="frozen"/>
      <selection activeCell="R33" sqref="R33"/>
      <selection pane="bottomLeft"/>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375" style="38" hidden="1" customWidth="1"/>
    <col min="18" max="18" width="34.625" style="35" hidden="1" customWidth="1"/>
    <col min="19" max="19" width="16" style="35" hidden="1" customWidth="1"/>
    <col min="20" max="20" width="8" style="35" hidden="1" customWidth="1"/>
    <col min="21" max="21" width="0" style="35" hidden="1" customWidth="1"/>
    <col min="22" max="22" width="12.875" style="35" hidden="1" customWidth="1"/>
    <col min="23" max="23" width="46.5" style="35" hidden="1" customWidth="1"/>
    <col min="24" max="24" width="4.25" style="35" hidden="1" customWidth="1"/>
    <col min="25" max="25" width="5.375" style="35" hidden="1" customWidth="1"/>
    <col min="26" max="26" width="5.25" style="35" hidden="1" customWidth="1"/>
    <col min="27" max="29" width="0" style="35" hidden="1" customWidth="1"/>
    <col min="30" max="30" width="7.5" style="35" hidden="1" customWidth="1"/>
    <col min="31" max="16384" width="10.5" style="35"/>
  </cols>
  <sheetData>
    <row r="1" spans="1:41" s="1891" customFormat="1" ht="30.4" customHeight="1">
      <c r="A1" s="1895">
        <v>0</v>
      </c>
      <c r="B1" s="326"/>
      <c r="C1" s="1908"/>
      <c r="D1" s="1827"/>
      <c r="E1" s="323"/>
      <c r="F1" s="323"/>
      <c r="G1" s="607"/>
      <c r="H1" s="1902"/>
      <c r="I1" s="1907" t="s">
        <v>1264</v>
      </c>
      <c r="J1" s="1906">
        <f>(J7+J13+J18+J22+I11+I12)-(J23+J27+J34+J43+J60+J65+J67+J69+J71+J75)</f>
        <v>1535.7191492072375</v>
      </c>
      <c r="K1" s="4859">
        <f>M1-J1</f>
        <v>205.0869233916053</v>
      </c>
      <c r="L1" s="4859"/>
      <c r="M1" s="1906">
        <f>(M7+M13+M18+M22+L11+L12)-(M23+M27+M34+M43+M60+M65+M67+M69+M71+M75)</f>
        <v>1740.8060725988428</v>
      </c>
      <c r="N1" s="4859">
        <f>P1-M1</f>
        <v>347.60594617317133</v>
      </c>
      <c r="O1" s="4859"/>
      <c r="P1" s="1906">
        <f>(P7+P13+P18+P22+O11+O12)-(P23+P27+P34+P43+P60+P65+P67+P69+P71+P75)</f>
        <v>2088.4120187720141</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98</v>
      </c>
      <c r="L2" s="4870"/>
      <c r="M2" s="4870"/>
      <c r="N2" s="4870"/>
      <c r="O2" s="4870"/>
      <c r="P2" s="4870"/>
      <c r="Q2" s="1904">
        <v>50</v>
      </c>
    </row>
    <row r="3" spans="1:41" s="1891" customFormat="1" ht="21.75" customHeight="1">
      <c r="A3" s="1895"/>
      <c r="B3" s="1903" t="s">
        <v>1263</v>
      </c>
      <c r="H3" s="1902"/>
      <c r="J3" s="4866" t="s">
        <v>1262</v>
      </c>
      <c r="K3" s="4867"/>
      <c r="L3" s="4867"/>
      <c r="M3" s="1901"/>
      <c r="N3" s="4871" t="str">
        <f>IF(AND(T3=TRUE,T4=TRUE),"nur 1 Strohnutzung möglich !","")</f>
        <v/>
      </c>
      <c r="O3" s="4872"/>
      <c r="P3" s="1900"/>
      <c r="Q3" s="1895"/>
      <c r="R3" s="1899"/>
      <c r="S3" s="287" t="s">
        <v>1261</v>
      </c>
      <c r="T3" s="1898" t="b">
        <v>1</v>
      </c>
    </row>
    <row r="4" spans="1:41" s="1891" customFormat="1" ht="20.25" customHeight="1">
      <c r="A4" s="1895"/>
      <c r="B4" s="377" t="s">
        <v>1154</v>
      </c>
      <c r="C4" s="35"/>
      <c r="D4" s="35"/>
      <c r="E4" s="4830" t="s">
        <v>1260</v>
      </c>
      <c r="F4" s="4830"/>
      <c r="G4" s="4830"/>
      <c r="H4" s="4830"/>
      <c r="I4" s="4830"/>
      <c r="J4" s="4866" t="s">
        <v>1250</v>
      </c>
      <c r="K4" s="4867"/>
      <c r="L4" s="4867"/>
      <c r="M4" s="1897"/>
      <c r="N4" s="4872"/>
      <c r="O4" s="4872"/>
      <c r="P4" s="1896">
        <f>'SDK1'!O3</f>
        <v>0</v>
      </c>
      <c r="Q4" s="1895"/>
      <c r="R4" s="1894"/>
      <c r="S4" s="3911" t="s">
        <v>1259</v>
      </c>
      <c r="T4" s="1893" t="b">
        <v>0</v>
      </c>
      <c r="U4" s="1892"/>
    </row>
    <row r="5" spans="1:41" ht="6" customHeight="1"/>
    <row r="6" spans="1:41" s="1885" customFormat="1" ht="24" customHeight="1">
      <c r="A6" s="48"/>
      <c r="B6" s="1890" t="s">
        <v>1207</v>
      </c>
      <c r="C6" s="1889"/>
      <c r="D6" s="1889"/>
      <c r="E6" s="1889"/>
      <c r="F6" s="1889"/>
      <c r="G6" s="1888"/>
      <c r="H6" s="4864" t="s">
        <v>179</v>
      </c>
      <c r="I6" s="4865"/>
      <c r="J6" s="1887">
        <v>65</v>
      </c>
      <c r="K6" s="4849" t="s">
        <v>152</v>
      </c>
      <c r="L6" s="4850"/>
      <c r="M6" s="1887">
        <v>80</v>
      </c>
      <c r="N6" s="4864" t="s">
        <v>178</v>
      </c>
      <c r="O6" s="4865"/>
      <c r="P6" s="1886">
        <v>95</v>
      </c>
      <c r="Q6" s="70"/>
    </row>
    <row r="7" spans="1:41" s="252" customFormat="1" ht="18.75" customHeight="1">
      <c r="A7" s="47"/>
      <c r="B7" s="311" t="s">
        <v>1258</v>
      </c>
      <c r="C7" s="47"/>
      <c r="D7" s="47"/>
      <c r="E7" s="47"/>
      <c r="F7" s="47"/>
      <c r="G7" s="1884"/>
      <c r="H7" s="1881"/>
      <c r="I7" s="1880"/>
      <c r="J7" s="1614">
        <f>SUM(I9:I12)</f>
        <v>1805.2666666666669</v>
      </c>
      <c r="K7" s="1883"/>
      <c r="L7" s="1882"/>
      <c r="M7" s="1617">
        <f>SUM(L9:L12)</f>
        <v>2221.8666666666668</v>
      </c>
      <c r="N7" s="1881"/>
      <c r="O7" s="1880"/>
      <c r="P7" s="1614">
        <f>SUM(O9:O12)</f>
        <v>2638.4666666666672</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'SDK1'!O16</f>
        <v>21.133333333333336</v>
      </c>
      <c r="H9" s="1877">
        <f>J6-H10</f>
        <v>65</v>
      </c>
      <c r="I9" s="1873">
        <f>H9*G9</f>
        <v>1373.666666666667</v>
      </c>
      <c r="J9" s="43"/>
      <c r="K9" s="1876">
        <f>M6-K10</f>
        <v>80</v>
      </c>
      <c r="L9" s="1875">
        <f>K9*G9</f>
        <v>1690.666666666667</v>
      </c>
      <c r="M9" s="1854"/>
      <c r="N9" s="1874">
        <f>P6-N10</f>
        <v>95</v>
      </c>
      <c r="O9" s="1873">
        <f>N9*G9</f>
        <v>2007.666666666667</v>
      </c>
      <c r="P9" s="43"/>
      <c r="Q9" s="38"/>
      <c r="R9" s="265" t="s">
        <v>1256</v>
      </c>
      <c r="S9" s="1872"/>
    </row>
    <row r="10" spans="1:41" s="1842" customFormat="1" ht="15" customHeight="1">
      <c r="A10" s="377"/>
      <c r="B10" s="239"/>
      <c r="C10" s="281" t="str">
        <f>IF('SDK1'!O9&gt;0,"Nebenprodukt (incl. MwSt.)","Nebenprodukt (ohne MwSt)")</f>
        <v>Nebenprodukt (ohne MwSt)</v>
      </c>
      <c r="D10" s="1851"/>
      <c r="E10" s="4873" t="s">
        <v>1255</v>
      </c>
      <c r="F10" s="4874"/>
      <c r="G10" s="1871"/>
      <c r="H10" s="1866"/>
      <c r="I10" s="1865">
        <f>H10*G10</f>
        <v>0</v>
      </c>
      <c r="J10" s="1870"/>
      <c r="K10" s="1869"/>
      <c r="L10" s="1868">
        <f>K10*G10</f>
        <v>0</v>
      </c>
      <c r="M10" s="1867"/>
      <c r="N10" s="1866"/>
      <c r="O10" s="1865">
        <f>N10*G10</f>
        <v>0</v>
      </c>
      <c r="P10" s="1864"/>
      <c r="Q10" s="38"/>
      <c r="R10" s="1863">
        <f>I10+I11+I12</f>
        <v>431.59999999999997</v>
      </c>
      <c r="S10" s="1862">
        <f>L10+L11+L12</f>
        <v>531.19999999999993</v>
      </c>
      <c r="T10" s="1861">
        <f>O10+O11+O12</f>
        <v>630.79999999999995</v>
      </c>
      <c r="W10" s="252" t="s">
        <v>1254</v>
      </c>
    </row>
    <row r="11" spans="1:41" s="1842" customFormat="1" ht="15" customHeight="1">
      <c r="A11" s="377"/>
      <c r="B11" s="274"/>
      <c r="C11" s="45" t="s">
        <v>1253</v>
      </c>
      <c r="D11" s="377"/>
      <c r="E11" s="1860">
        <v>0.8</v>
      </c>
      <c r="F11" s="45" t="s">
        <v>1252</v>
      </c>
      <c r="G11" s="1859">
        <f>'SDK1'!$O$48</f>
        <v>8.2999999999999989</v>
      </c>
      <c r="H11" s="1858">
        <f>IF($T$3=FALSE,0,J6*$E$11)</f>
        <v>52</v>
      </c>
      <c r="I11" s="1852">
        <f>H11*$G$11</f>
        <v>431.59999999999997</v>
      </c>
      <c r="J11" s="1857"/>
      <c r="K11" s="1856">
        <f>IF($T$3=FALSE,0,M6*$E$11)</f>
        <v>64</v>
      </c>
      <c r="L11" s="1855">
        <f>K11*$G$11</f>
        <v>531.19999999999993</v>
      </c>
      <c r="M11" s="1854"/>
      <c r="N11" s="1853">
        <f>IF($T$3=FALSE,0,P6*$E$11)</f>
        <v>76</v>
      </c>
      <c r="O11" s="1852">
        <f>N11*$G$11</f>
        <v>630.79999999999995</v>
      </c>
      <c r="P11" s="43"/>
      <c r="Q11" s="38"/>
      <c r="U11" s="1842">
        <f>O6*$E$11</f>
        <v>0</v>
      </c>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824"/>
      <c r="I13" s="1823"/>
      <c r="J13" s="1614">
        <f>SUM(I14:I17)</f>
        <v>180</v>
      </c>
      <c r="K13" s="1826"/>
      <c r="L13" s="1825"/>
      <c r="M13" s="1617">
        <f>SUM(L14:L17)</f>
        <v>180</v>
      </c>
      <c r="N13" s="1824"/>
      <c r="O13" s="1823"/>
      <c r="P13" s="1614">
        <f>SUM(O14:O17)</f>
        <v>180</v>
      </c>
      <c r="Q13" s="38"/>
      <c r="R13" s="1827"/>
      <c r="W13" s="1840" t="s">
        <v>1247</v>
      </c>
      <c r="X13" s="1838">
        <f>IF(OR(T3=TRUE,T4=TRUE),J6*$E$11,"0")</f>
        <v>52</v>
      </c>
      <c r="Y13" s="1839">
        <f>IF(OR(T3=TRUE,T4=TRUE),M6*$E$11,"0")</f>
        <v>64</v>
      </c>
      <c r="Z13" s="1838">
        <f>IF(OR(T3=TRUE,T4=TRUE),P6*$E$11,"0")</f>
        <v>76</v>
      </c>
    </row>
    <row r="14" spans="1:41" s="42" customFormat="1" ht="15" customHeight="1">
      <c r="A14" s="45"/>
      <c r="B14" s="1821"/>
      <c r="C14" s="4833" t="s">
        <v>2108</v>
      </c>
      <c r="D14" s="4833"/>
      <c r="E14" s="4833"/>
      <c r="F14" s="4833"/>
      <c r="G14" s="1837"/>
      <c r="H14" s="1836" t="s">
        <v>1299</v>
      </c>
      <c r="I14" s="1817">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20.799999999999997</v>
      </c>
      <c r="Y14" s="1834">
        <f>$Y$13*F30</f>
        <v>25.599999999999994</v>
      </c>
      <c r="Z14" s="1834">
        <f>$Z$13*F30</f>
        <v>30.399999999999991</v>
      </c>
      <c r="AG14" s="4084"/>
    </row>
    <row r="15" spans="1:41" s="42" customFormat="1" ht="15" customHeight="1">
      <c r="A15" s="45"/>
      <c r="B15" s="1821"/>
      <c r="C15" s="4833" t="s">
        <v>2109</v>
      </c>
      <c r="D15" s="4833"/>
      <c r="E15" s="4833"/>
      <c r="F15" s="4833"/>
      <c r="G15" s="1837"/>
      <c r="H15" s="1836" t="s">
        <v>1299</v>
      </c>
      <c r="I15" s="1817">
        <f>IF(H15="ja",Q15,0)</f>
        <v>80</v>
      </c>
      <c r="J15" s="45"/>
      <c r="K15" s="1836" t="s">
        <v>1299</v>
      </c>
      <c r="L15" s="1671">
        <f>IF(K15="ja",Q15,0)</f>
        <v>80</v>
      </c>
      <c r="M15" s="1589"/>
      <c r="N15" s="1836" t="s">
        <v>1299</v>
      </c>
      <c r="O15" s="1817">
        <f>IF(N15="ja",Q15,0)</f>
        <v>80</v>
      </c>
      <c r="P15" s="1586"/>
      <c r="Q15" s="1835">
        <f>IF(C15=0,0,VLOOKUP(C15,'SD2'!$C$11:$N$49,'SD2'!$N$1,FALSE))</f>
        <v>80</v>
      </c>
      <c r="R15" s="1827"/>
      <c r="S15" s="252"/>
      <c r="T15" s="252"/>
      <c r="W15" s="42" t="s">
        <v>1054</v>
      </c>
      <c r="X15" s="1834">
        <f>$X$13*F31</f>
        <v>12.48</v>
      </c>
      <c r="Y15" s="1834">
        <f>$Y$13*F31</f>
        <v>15.36</v>
      </c>
      <c r="Z15" s="1834">
        <f>$Z$13*F31</f>
        <v>18.239999999999998</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58.240000000000009</v>
      </c>
      <c r="Y16" s="1834">
        <f>$Y$13*F32</f>
        <v>71.680000000000007</v>
      </c>
      <c r="Z16" s="1834">
        <f>$Z$13*F32</f>
        <v>85.12</v>
      </c>
    </row>
    <row r="17" spans="1:33" s="42" customFormat="1" ht="15" customHeight="1">
      <c r="A17" s="45"/>
      <c r="B17" s="1821"/>
      <c r="C17" s="4834"/>
      <c r="D17" s="4834"/>
      <c r="E17" s="4834"/>
      <c r="F17" s="4834"/>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8.3199999999999985</v>
      </c>
      <c r="Y17" s="1834">
        <f>$Y$13*F33</f>
        <v>10.239999999999998</v>
      </c>
      <c r="Z17" s="1834">
        <f>$Z$13*F33</f>
        <v>12.159999999999998</v>
      </c>
    </row>
    <row r="18" spans="1:33"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33"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IF(OR($C19=0,$M$6=0),0,VLOOKUP($C19,'SD2'!$C$59:$N$74,12,FALSE))</f>
        <v>158</v>
      </c>
      <c r="M19" s="1589"/>
      <c r="N19" s="1818"/>
      <c r="O19" s="1817">
        <f>IF(OR($C19=0,$P$6=0),0,VLOOKUP($C19,'SD2'!C59:N75,12,FALSE))</f>
        <v>158</v>
      </c>
      <c r="P19" s="1586"/>
      <c r="Q19" s="38"/>
      <c r="R19" s="1816">
        <f>J13+J18</f>
        <v>535.4</v>
      </c>
      <c r="S19" s="1815">
        <f>M13+M18</f>
        <v>535.4</v>
      </c>
      <c r="T19" s="1814">
        <f>P13+P18</f>
        <v>535.4</v>
      </c>
      <c r="AG19" s="4084"/>
    </row>
    <row r="20" spans="1:33" s="42" customFormat="1" ht="15.6" customHeight="1">
      <c r="A20" s="3908"/>
      <c r="B20" s="1821"/>
      <c r="C20" s="4034" t="s">
        <v>2182</v>
      </c>
      <c r="D20" s="4034"/>
      <c r="E20" s="4034"/>
      <c r="F20" s="4034"/>
      <c r="G20" s="1820"/>
      <c r="H20" s="1818"/>
      <c r="I20" s="3965">
        <f>IF(OR($C20=0,$J$6=0),0,VLOOKUP($C20,'SD2'!C60:N76,12,FALSE))</f>
        <v>63.4</v>
      </c>
      <c r="J20" s="3908"/>
      <c r="K20" s="1819"/>
      <c r="L20" s="3955">
        <f>IF(OR($C20=0,$M$6=0),0,VLOOKUP($C20,'SD2'!$C$59:$N$74,12,FALSE))</f>
        <v>63.4</v>
      </c>
      <c r="M20" s="3920"/>
      <c r="N20" s="1818"/>
      <c r="O20" s="3965">
        <f>IF(OR($C20=0,$P$6=0),0,VLOOKUP($C20,'SD2'!C60:N76,12,FALSE))</f>
        <v>63.4</v>
      </c>
      <c r="P20" s="1586"/>
      <c r="Q20" s="38"/>
      <c r="R20" s="4043"/>
      <c r="S20" s="4043"/>
      <c r="T20" s="4043"/>
    </row>
    <row r="21" spans="1:33"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IF(OR($C21=0,$M$6=0),0,VLOOKUP($C21,'SD2'!$C$59:$N$74,12,FALSE))</f>
        <v>134</v>
      </c>
      <c r="M21" s="3920"/>
      <c r="N21" s="1818"/>
      <c r="O21" s="3965">
        <f>IF(OR($C21=0,$P$6=0),0,VLOOKUP($C21,'SD2'!C61:N77,12,FALSE))</f>
        <v>134</v>
      </c>
      <c r="P21" s="1586"/>
      <c r="Q21" s="38"/>
      <c r="R21" s="4043"/>
      <c r="S21" s="4043"/>
      <c r="T21" s="4043"/>
    </row>
    <row r="22" spans="1:33"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33" ht="18.75" customHeight="1">
      <c r="A23" s="377"/>
      <c r="B23" s="266" t="s">
        <v>1242</v>
      </c>
      <c r="C23" s="1801"/>
      <c r="D23" s="1801"/>
      <c r="F23" s="4831" t="s">
        <v>1233</v>
      </c>
      <c r="G23" s="4832"/>
      <c r="H23" s="1616"/>
      <c r="I23" s="1615"/>
      <c r="J23" s="1599">
        <f>SUM(I25:I26)</f>
        <v>158</v>
      </c>
      <c r="K23" s="1619"/>
      <c r="L23" s="1618"/>
      <c r="M23" s="1800">
        <f>SUM(L25:L26)</f>
        <v>158</v>
      </c>
      <c r="N23" s="1616"/>
      <c r="O23" s="1615"/>
      <c r="P23" s="1599">
        <f>SUM(O25:O26)</f>
        <v>158</v>
      </c>
    </row>
    <row r="24" spans="1:33"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33" s="42" customFormat="1" ht="15" customHeight="1">
      <c r="A25" s="1306"/>
      <c r="B25" s="1796"/>
      <c r="C25" s="1306" t="s">
        <v>1241</v>
      </c>
      <c r="D25" s="4851"/>
      <c r="E25" s="4852"/>
      <c r="F25" s="1795">
        <f>'SDK7'!F45/100</f>
        <v>0.79</v>
      </c>
      <c r="G25" s="1794">
        <f>F25*(100+$D$24)/100</f>
        <v>0.79</v>
      </c>
      <c r="H25" s="1793">
        <v>200</v>
      </c>
      <c r="I25" s="1754">
        <f>H25*$G25</f>
        <v>158</v>
      </c>
      <c r="J25" s="45"/>
      <c r="K25" s="1793">
        <f>H25</f>
        <v>200</v>
      </c>
      <c r="L25" s="1596">
        <f>K25*$G25</f>
        <v>158</v>
      </c>
      <c r="M25" s="1589"/>
      <c r="N25" s="1793">
        <f>H25</f>
        <v>200</v>
      </c>
      <c r="O25" s="1754">
        <f>N25*$G25</f>
        <v>158</v>
      </c>
      <c r="P25" s="1718"/>
      <c r="Q25" s="38"/>
    </row>
    <row r="26" spans="1:33"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33" s="708" customFormat="1" ht="18.75" customHeight="1">
      <c r="A27" s="1270"/>
      <c r="B27" s="1788" t="s">
        <v>1240</v>
      </c>
      <c r="C27" s="1270"/>
      <c r="D27" s="73"/>
      <c r="E27" s="38"/>
      <c r="F27" s="38"/>
      <c r="G27" s="1787"/>
      <c r="H27" s="1746"/>
      <c r="I27" s="1745"/>
      <c r="J27" s="1614">
        <f>SUM(I30:I33)</f>
        <v>438.80069999999989</v>
      </c>
      <c r="K27" s="1748"/>
      <c r="L27" s="1747"/>
      <c r="M27" s="1617">
        <f>SUM(L30:L33)</f>
        <v>532.66240000000005</v>
      </c>
      <c r="N27" s="1746"/>
      <c r="O27" s="1745"/>
      <c r="P27" s="1614">
        <f>SUM(O30:O33)</f>
        <v>626.52409999999986</v>
      </c>
      <c r="Q27" s="38"/>
    </row>
    <row r="28" spans="1:33" s="708" customFormat="1" ht="13.7" customHeight="1">
      <c r="A28" s="1270"/>
      <c r="B28" s="1334"/>
      <c r="C28" s="3064"/>
      <c r="D28" s="1786" t="s">
        <v>1075</v>
      </c>
      <c r="E28" s="1786" t="s">
        <v>1239</v>
      </c>
      <c r="F28" s="1786" t="s">
        <v>1239</v>
      </c>
      <c r="G28" s="1785" t="s">
        <v>1238</v>
      </c>
      <c r="H28" s="1745"/>
      <c r="I28" s="1782"/>
      <c r="J28" s="3065"/>
      <c r="K28" s="1748"/>
      <c r="L28" s="1678"/>
      <c r="M28" s="1783"/>
      <c r="N28" s="1746"/>
      <c r="O28" s="1782"/>
      <c r="P28" s="1599"/>
      <c r="Q28" s="38"/>
    </row>
    <row r="29" spans="1:33" s="708" customFormat="1" ht="15" customHeight="1">
      <c r="A29" s="1270"/>
      <c r="B29" s="1781"/>
      <c r="C29" s="1307" t="s">
        <v>1237</v>
      </c>
      <c r="D29" s="1607" t="s">
        <v>908</v>
      </c>
      <c r="E29" s="1607" t="s">
        <v>1236</v>
      </c>
      <c r="F29" s="1607" t="s">
        <v>1235</v>
      </c>
      <c r="G29" s="1607" t="s">
        <v>909</v>
      </c>
      <c r="H29" s="1778" t="s">
        <v>909</v>
      </c>
      <c r="I29" s="1600" t="s">
        <v>171</v>
      </c>
      <c r="J29" s="3064"/>
      <c r="K29" s="1780" t="s">
        <v>909</v>
      </c>
      <c r="L29" s="1603" t="s">
        <v>171</v>
      </c>
      <c r="M29" s="1779"/>
      <c r="N29" s="1778" t="s">
        <v>909</v>
      </c>
      <c r="O29" s="1600" t="s">
        <v>171</v>
      </c>
      <c r="P29" s="1777"/>
      <c r="Q29" s="38"/>
    </row>
    <row r="30" spans="1:33" s="42" customFormat="1" ht="15" customHeight="1">
      <c r="A30" s="1306"/>
      <c r="B30" s="1776"/>
      <c r="C30" s="1775" t="s">
        <v>246</v>
      </c>
      <c r="D30" s="1723">
        <f>'SDK1'!O52</f>
        <v>1.6033333333333331</v>
      </c>
      <c r="E30" s="1774">
        <f>VLOOKUP(K2,'SD8'!B9:L42,3,FALSE)</f>
        <v>1.81</v>
      </c>
      <c r="F30" s="1774">
        <f>VLOOKUP(K2,'SD8'!B9:L40,7,FALSE)</f>
        <v>0.39999999999999991</v>
      </c>
      <c r="G30" s="1773">
        <v>20</v>
      </c>
      <c r="H30" s="1771">
        <f>IF(J$6=0,0,(J$6*$E30+$G30+X14))</f>
        <v>158.44999999999999</v>
      </c>
      <c r="I30" s="1754">
        <f>H30*$D30</f>
        <v>254.04816666666662</v>
      </c>
      <c r="J30" s="45"/>
      <c r="K30" s="1772">
        <f>IF(M$6=0,0,(M$6*$E30+$G30+Y14))</f>
        <v>190.4</v>
      </c>
      <c r="L30" s="1596">
        <f>K30*$D30</f>
        <v>305.27466666666663</v>
      </c>
      <c r="M30" s="1589"/>
      <c r="N30" s="1771">
        <f>IF(P$6=0,0,(P$6*$E30+$G30+Z14))</f>
        <v>222.35000000000002</v>
      </c>
      <c r="O30" s="1754">
        <f>N30*$D30</f>
        <v>356.50116666666662</v>
      </c>
      <c r="P30" s="1718"/>
      <c r="Q30" s="38"/>
    </row>
    <row r="31" spans="1:33" s="42" customFormat="1" ht="15" customHeight="1">
      <c r="A31" s="1306"/>
      <c r="B31" s="274"/>
      <c r="C31" s="1306" t="s">
        <v>244</v>
      </c>
      <c r="D31" s="1723">
        <f>'SDK1'!O53</f>
        <v>1.0999999999999999</v>
      </c>
      <c r="E31" s="1774">
        <f>VLOOKUP(K2,'SD8'!B9:L42,4,FALSE)</f>
        <v>0.8</v>
      </c>
      <c r="F31" s="1774">
        <f>VLOOKUP(K2,'SD8'!B9:L42,8,FALSE)</f>
        <v>0.24</v>
      </c>
      <c r="G31" s="1773"/>
      <c r="H31" s="1771">
        <f>IF(J$6=0,0,(J$6*$E31+$G31+X15))</f>
        <v>64.48</v>
      </c>
      <c r="I31" s="1754">
        <f>H31*$D31</f>
        <v>70.927999999999997</v>
      </c>
      <c r="J31" s="45"/>
      <c r="K31" s="1772">
        <f>IF(M$6=0,0,(M$6*$E31+$G31+Y15))</f>
        <v>79.36</v>
      </c>
      <c r="L31" s="1596">
        <f>K31*$D31</f>
        <v>87.295999999999992</v>
      </c>
      <c r="M31" s="1589"/>
      <c r="N31" s="1771">
        <f>IF(P$6=0,0,(P$6*$E31+$G31+Z15))</f>
        <v>94.24</v>
      </c>
      <c r="O31" s="1754">
        <f>N31*$D31</f>
        <v>103.66399999999999</v>
      </c>
      <c r="P31" s="1718"/>
      <c r="Q31" s="38"/>
    </row>
    <row r="32" spans="1:33" s="42" customFormat="1" ht="15" customHeight="1">
      <c r="A32" s="1306"/>
      <c r="B32" s="274"/>
      <c r="C32" s="1306" t="s">
        <v>242</v>
      </c>
      <c r="D32" s="1723">
        <f>'SDK1'!O54</f>
        <v>1.02</v>
      </c>
      <c r="E32" s="1774">
        <f>VLOOKUP(K2,'SD8'!B9:L42,5,FALSE)</f>
        <v>0.6</v>
      </c>
      <c r="F32" s="1774">
        <f>VLOOKUP(K2,'SD8'!B9:L42,9,FALSE)</f>
        <v>1.1200000000000001</v>
      </c>
      <c r="G32" s="1773"/>
      <c r="H32" s="1771">
        <f>IF(J$6=0,0,(J$6*$E32+$G32+X16))</f>
        <v>97.240000000000009</v>
      </c>
      <c r="I32" s="1754">
        <f>H32*$D32</f>
        <v>99.18480000000001</v>
      </c>
      <c r="J32" s="45"/>
      <c r="K32" s="1772">
        <f>IF(M$6=0,0,(M$6*$E32+$G32+Y16))</f>
        <v>119.68</v>
      </c>
      <c r="L32" s="1596">
        <f>K32*$D32</f>
        <v>122.07360000000001</v>
      </c>
      <c r="M32" s="1589"/>
      <c r="N32" s="1771">
        <f>IF(P$6=0,0,(P$6*$E32+$G32+Z16))</f>
        <v>142.12</v>
      </c>
      <c r="O32" s="1754">
        <f>N32*$D32</f>
        <v>144.9624</v>
      </c>
      <c r="P32" s="1718"/>
      <c r="Q32" s="38"/>
    </row>
    <row r="33" spans="1:34"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21.32</v>
      </c>
      <c r="I33" s="1750">
        <f>H33*$D33</f>
        <v>14.639733333333336</v>
      </c>
      <c r="J33" s="45"/>
      <c r="K33" s="1768">
        <f>IF(M$6=0,0,(M$6*$E33+$G33+Y17))</f>
        <v>26.24</v>
      </c>
      <c r="L33" s="1590">
        <f>K33*$D33</f>
        <v>18.018133333333335</v>
      </c>
      <c r="M33" s="1589"/>
      <c r="N33" s="1767">
        <f>IF(P$6=0,0,(P$6*$E33+$G33+Z17))</f>
        <v>31.159999999999997</v>
      </c>
      <c r="O33" s="1750">
        <f>N33*$D33</f>
        <v>21.396533333333334</v>
      </c>
      <c r="P33" s="1749"/>
      <c r="Q33" s="38"/>
    </row>
    <row r="34" spans="1:34" s="708" customFormat="1" ht="18.75" customHeight="1">
      <c r="A34" s="1270"/>
      <c r="B34" s="1276" t="s">
        <v>1234</v>
      </c>
      <c r="C34" s="1270"/>
      <c r="D34" s="3064"/>
      <c r="E34" s="3064"/>
      <c r="F34" s="4831" t="s">
        <v>1233</v>
      </c>
      <c r="G34" s="4832"/>
      <c r="H34" s="1764"/>
      <c r="I34" s="1763"/>
      <c r="J34" s="1614">
        <f>SUM(I36:I42)</f>
        <v>52.271999999999991</v>
      </c>
      <c r="K34" s="1766"/>
      <c r="L34" s="1765"/>
      <c r="M34" s="1617">
        <f>SUM(L36:L42)</f>
        <v>52.271999999999991</v>
      </c>
      <c r="N34" s="1764"/>
      <c r="O34" s="1763"/>
      <c r="P34" s="1614">
        <f>SUM(O36:O42)</f>
        <v>107.72199999999999</v>
      </c>
      <c r="Q34" s="38"/>
    </row>
    <row r="35" spans="1:34"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34" s="42" customFormat="1" ht="15" customHeight="1">
      <c r="A36" s="1306"/>
      <c r="B36" s="1594"/>
      <c r="C36" s="4857" t="s">
        <v>706</v>
      </c>
      <c r="D36" s="4857"/>
      <c r="E36" s="4858"/>
      <c r="F36" s="1756">
        <f>IF(C36="",0,VLOOKUP(C36,'SDK5'!C3:AF83,2,FALSE))</f>
        <v>290.39999999999998</v>
      </c>
      <c r="G36" s="1756">
        <f>F36*(100+$D$35)/100</f>
        <v>290.39999999999998</v>
      </c>
      <c r="H36" s="1755">
        <v>0.18</v>
      </c>
      <c r="I36" s="1754">
        <f>$G36*H36</f>
        <v>52.271999999999991</v>
      </c>
      <c r="J36" s="45"/>
      <c r="K36" s="1755">
        <v>0.18</v>
      </c>
      <c r="L36" s="1596">
        <f t="shared" ref="L36:L42" si="0">$G36*K36</f>
        <v>52.271999999999991</v>
      </c>
      <c r="M36" s="1589"/>
      <c r="N36" s="1755">
        <v>0.18</v>
      </c>
      <c r="O36" s="1754">
        <f t="shared" ref="O36:O42" si="1">$G36*N36</f>
        <v>52.271999999999991</v>
      </c>
      <c r="P36" s="1758"/>
      <c r="Q36" s="38" t="str">
        <f>VLOOKUP(C36,'SDK5'!C5:AF85,3,FALSE)</f>
        <v>H</v>
      </c>
    </row>
    <row r="37" spans="1:34" s="42" customFormat="1" ht="15" customHeight="1">
      <c r="A37" s="1306"/>
      <c r="B37" s="1594"/>
      <c r="C37" s="4855" t="s">
        <v>700</v>
      </c>
      <c r="D37" s="4855"/>
      <c r="E37" s="4856"/>
      <c r="F37" s="1756">
        <f>IF(C37="",0,VLOOKUP(C37,'SDK5'!C4:AF84,2,FALSE))</f>
        <v>5.5</v>
      </c>
      <c r="G37" s="1756">
        <f t="shared" ref="G37:G42" si="2">F37*(100+$D$35)/100</f>
        <v>5.5</v>
      </c>
      <c r="H37" s="1755"/>
      <c r="I37" s="1754">
        <f t="shared" ref="I37:I42" si="3">$G37*H37</f>
        <v>0</v>
      </c>
      <c r="J37" s="45"/>
      <c r="K37" s="1755"/>
      <c r="L37" s="1596">
        <f t="shared" si="0"/>
        <v>0</v>
      </c>
      <c r="M37" s="1589"/>
      <c r="N37" s="1755">
        <v>0.5</v>
      </c>
      <c r="O37" s="1754">
        <f t="shared" si="1"/>
        <v>2.75</v>
      </c>
      <c r="P37" s="1718"/>
      <c r="Q37" s="38" t="str">
        <f>VLOOKUP(C37,'SDK5'!C6:AF86,3,FALSE)</f>
        <v>W</v>
      </c>
    </row>
    <row r="38" spans="1:34" s="42" customFormat="1" ht="15" customHeight="1">
      <c r="A38" s="1306"/>
      <c r="B38" s="1757"/>
      <c r="C38" s="4855" t="s">
        <v>684</v>
      </c>
      <c r="D38" s="4855"/>
      <c r="E38" s="4856"/>
      <c r="F38" s="1756">
        <f>IF(C38="",0,VLOOKUP(C38,'SDK5'!C5:AF85,2,FALSE))</f>
        <v>52.7</v>
      </c>
      <c r="G38" s="1756">
        <f t="shared" si="2"/>
        <v>52.7</v>
      </c>
      <c r="H38" s="1755"/>
      <c r="I38" s="1754">
        <f t="shared" si="3"/>
        <v>0</v>
      </c>
      <c r="J38" s="45"/>
      <c r="K38" s="1755"/>
      <c r="L38" s="1596">
        <f t="shared" si="0"/>
        <v>0</v>
      </c>
      <c r="M38" s="1589"/>
      <c r="N38" s="1755">
        <v>1</v>
      </c>
      <c r="O38" s="1754">
        <f t="shared" si="1"/>
        <v>52.7</v>
      </c>
      <c r="P38" s="1718"/>
      <c r="Q38" s="38" t="str">
        <f>VLOOKUP(C38,'SDK5'!C7:AF87,3,FALSE)</f>
        <v>F</v>
      </c>
      <c r="AH38" s="4084"/>
    </row>
    <row r="39" spans="1:34" s="42" customFormat="1" ht="15" customHeight="1">
      <c r="A39" s="1306"/>
      <c r="B39" s="1594"/>
      <c r="C39" s="4855"/>
      <c r="D39" s="4855"/>
      <c r="E39" s="4856"/>
      <c r="F39" s="1756">
        <f>IF(C39="",0,VLOOKUP(C39,'SDK5'!C6:AF86,2,FALSE))</f>
        <v>0</v>
      </c>
      <c r="G39" s="1756">
        <f t="shared" si="2"/>
        <v>0</v>
      </c>
      <c r="H39" s="1755"/>
      <c r="I39" s="1754">
        <f t="shared" si="3"/>
        <v>0</v>
      </c>
      <c r="J39" s="45"/>
      <c r="K39" s="1755"/>
      <c r="L39" s="1596">
        <f t="shared" si="0"/>
        <v>0</v>
      </c>
      <c r="M39" s="1589"/>
      <c r="N39" s="1755"/>
      <c r="O39" s="1754">
        <f t="shared" si="1"/>
        <v>0</v>
      </c>
      <c r="P39" s="1718"/>
      <c r="Q39" s="38" t="e">
        <f>VLOOKUP(C39,'SDK5'!C8:AF88,3,FALSE)</f>
        <v>#N/A</v>
      </c>
    </row>
    <row r="40" spans="1:34" s="42" customFormat="1" ht="15" customHeight="1">
      <c r="A40" s="1306"/>
      <c r="B40" s="1594"/>
      <c r="C40" s="4855"/>
      <c r="D40" s="4855"/>
      <c r="E40" s="4856"/>
      <c r="F40" s="1756">
        <f>IF(C40="",0,VLOOKUP(C40,'SDK5'!C7:AF87,2,FALSE))</f>
        <v>0</v>
      </c>
      <c r="G40" s="1756">
        <f t="shared" si="2"/>
        <v>0</v>
      </c>
      <c r="H40" s="1755"/>
      <c r="I40" s="1754">
        <f t="shared" si="3"/>
        <v>0</v>
      </c>
      <c r="J40" s="45"/>
      <c r="K40" s="1755"/>
      <c r="L40" s="1596">
        <f t="shared" si="0"/>
        <v>0</v>
      </c>
      <c r="M40" s="1589"/>
      <c r="N40" s="1755"/>
      <c r="O40" s="1754">
        <f t="shared" si="1"/>
        <v>0</v>
      </c>
      <c r="P40" s="1718"/>
      <c r="Q40" s="38" t="e">
        <f>VLOOKUP(C40,'SDK5'!C9:AF89,3,FALSE)</f>
        <v>#N/A</v>
      </c>
    </row>
    <row r="41" spans="1:34" s="42" customFormat="1" ht="15" customHeight="1">
      <c r="A41" s="1306"/>
      <c r="B41" s="1594"/>
      <c r="C41" s="4855"/>
      <c r="D41" s="4855"/>
      <c r="E41" s="4856"/>
      <c r="F41" s="1756">
        <f>IF(C41="",0,VLOOKUP(C41,'SDK5'!C8:AF88,2,FALSE))</f>
        <v>0</v>
      </c>
      <c r="G41" s="1756">
        <f t="shared" si="2"/>
        <v>0</v>
      </c>
      <c r="H41" s="1755"/>
      <c r="I41" s="1754">
        <f t="shared" si="3"/>
        <v>0</v>
      </c>
      <c r="J41" s="45"/>
      <c r="K41" s="1755"/>
      <c r="L41" s="1596">
        <f t="shared" si="0"/>
        <v>0</v>
      </c>
      <c r="M41" s="1589"/>
      <c r="N41" s="1755"/>
      <c r="O41" s="1754">
        <f t="shared" si="1"/>
        <v>0</v>
      </c>
      <c r="P41" s="1718"/>
      <c r="Q41" s="38" t="e">
        <f>VLOOKUP(C41,'SDK5'!C10:AF90,3,FALSE)</f>
        <v>#N/A</v>
      </c>
    </row>
    <row r="42" spans="1:34" s="42" customFormat="1" ht="15" customHeight="1">
      <c r="A42" s="1306"/>
      <c r="B42" s="1753"/>
      <c r="C42" s="4860"/>
      <c r="D42" s="4860"/>
      <c r="E42" s="4861"/>
      <c r="F42" s="1752">
        <f>IF(C42="",0,VLOOKUP(C42,'SDK5'!C9:AF89,2,FALSE))</f>
        <v>0</v>
      </c>
      <c r="G42" s="1752">
        <f t="shared" si="2"/>
        <v>0</v>
      </c>
      <c r="H42" s="1751"/>
      <c r="I42" s="1750">
        <f t="shared" si="3"/>
        <v>0</v>
      </c>
      <c r="J42" s="45"/>
      <c r="K42" s="1751"/>
      <c r="L42" s="1590">
        <f t="shared" si="0"/>
        <v>0</v>
      </c>
      <c r="M42" s="1589"/>
      <c r="N42" s="1751"/>
      <c r="O42" s="1750">
        <f t="shared" si="1"/>
        <v>0</v>
      </c>
      <c r="P42" s="1749"/>
      <c r="Q42" s="38" t="e">
        <f>VLOOKUP(C42,'SDK5'!C11:AF91,3,FALSE)</f>
        <v>#N/A</v>
      </c>
    </row>
    <row r="43" spans="1:34" s="708" customFormat="1" ht="18.75" customHeight="1">
      <c r="A43" s="1270"/>
      <c r="B43" s="1276" t="s">
        <v>1231</v>
      </c>
      <c r="C43" s="1270"/>
      <c r="D43" s="1270"/>
      <c r="E43" s="1270"/>
      <c r="F43" s="1270"/>
      <c r="G43" s="1620"/>
      <c r="H43" s="1746"/>
      <c r="I43" s="1745"/>
      <c r="J43" s="1614">
        <f>SUM(J46:J57)</f>
        <v>155.54521197960787</v>
      </c>
      <c r="K43" s="1748"/>
      <c r="L43" s="1747"/>
      <c r="M43" s="1617">
        <f>SUM(M46:M57)</f>
        <v>163.95096214901963</v>
      </c>
      <c r="N43" s="1746"/>
      <c r="O43" s="1745"/>
      <c r="P43" s="1614">
        <f>SUM(P46:P57)</f>
        <v>178.12391402196079</v>
      </c>
      <c r="Q43" s="38"/>
    </row>
    <row r="44" spans="1:34"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34"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c r="AH45" s="4084"/>
    </row>
    <row r="46" spans="1:34"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row>
    <row r="47" spans="1:34"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34"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3</v>
      </c>
      <c r="L48" s="1722">
        <f t="shared" si="6"/>
        <v>0.96</v>
      </c>
      <c r="M48" s="1721">
        <f t="shared" si="7"/>
        <v>10.804246249411765</v>
      </c>
      <c r="N48" s="1720">
        <v>4</v>
      </c>
      <c r="O48" s="1719">
        <f t="shared" si="8"/>
        <v>1.28</v>
      </c>
      <c r="P48" s="1718">
        <f t="shared" si="9"/>
        <v>14.405661665882354</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2</v>
      </c>
      <c r="O49" s="1719">
        <f t="shared" si="8"/>
        <v>0.72</v>
      </c>
      <c r="P49" s="1718">
        <f t="shared" si="9"/>
        <v>11.534403407058823</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1.0833333333333333</v>
      </c>
      <c r="I50" s="1719">
        <f t="shared" si="4"/>
        <v>0.43333333333333335</v>
      </c>
      <c r="J50" s="1718">
        <f t="shared" si="5"/>
        <v>7.4595946431372555</v>
      </c>
      <c r="K50" s="1720">
        <v>1.0833333333333333</v>
      </c>
      <c r="L50" s="1722">
        <f t="shared" si="6"/>
        <v>0.43333333333333335</v>
      </c>
      <c r="M50" s="1721">
        <f t="shared" si="7"/>
        <v>7.4595946431372555</v>
      </c>
      <c r="N50" s="1720">
        <v>1.0833333333333333</v>
      </c>
      <c r="O50" s="1719">
        <f t="shared" si="8"/>
        <v>0.43333333333333335</v>
      </c>
      <c r="P50" s="1718">
        <f t="shared" si="9"/>
        <v>7.4595946431372555</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H11/40</f>
        <v>1.3</v>
      </c>
      <c r="I57" s="1703">
        <f t="shared" si="4"/>
        <v>1.3</v>
      </c>
      <c r="J57" s="1702">
        <f t="shared" si="5"/>
        <v>20.818783929411765</v>
      </c>
      <c r="K57" s="1704">
        <f>K11/40</f>
        <v>1.6</v>
      </c>
      <c r="L57" s="1705">
        <f t="shared" si="6"/>
        <v>1.6</v>
      </c>
      <c r="M57" s="1652">
        <f t="shared" si="7"/>
        <v>25.623118682352942</v>
      </c>
      <c r="N57" s="1704">
        <f>N11/40</f>
        <v>1.9</v>
      </c>
      <c r="O57" s="1703">
        <f t="shared" si="8"/>
        <v>1.9</v>
      </c>
      <c r="P57" s="1702">
        <f t="shared" si="9"/>
        <v>30.427453435294115</v>
      </c>
      <c r="Q57" s="38">
        <f>$Q$2*H57</f>
        <v>65</v>
      </c>
    </row>
    <row r="58" spans="1:17" s="65" customFormat="1" ht="18.75" customHeight="1">
      <c r="A58" s="1373"/>
      <c r="B58" s="1276" t="s">
        <v>1223</v>
      </c>
      <c r="C58" s="1373"/>
      <c r="D58" s="1373"/>
      <c r="E58" s="1373"/>
      <c r="F58" s="38"/>
      <c r="G58" s="1620"/>
      <c r="H58" s="1697"/>
      <c r="I58" s="1696">
        <f>SUM($I$46:$I$57)</f>
        <v>6.1533333333333333</v>
      </c>
      <c r="J58" s="1701"/>
      <c r="K58" s="1700"/>
      <c r="L58" s="1699">
        <f>SUM($L$46:$L$57)</f>
        <v>6.7733333333333334</v>
      </c>
      <c r="M58" s="1698"/>
      <c r="N58" s="1697"/>
      <c r="O58" s="1696">
        <f>SUM($O$46:$O$57)</f>
        <v>7.7533333333333339</v>
      </c>
      <c r="P58" s="1695"/>
      <c r="Q58" s="38"/>
    </row>
    <row r="59" spans="1:17" s="65" customFormat="1" ht="15" customHeight="1">
      <c r="A59" s="1373"/>
      <c r="B59" s="1694"/>
      <c r="C59" s="353"/>
      <c r="D59" s="280" t="s">
        <v>1222</v>
      </c>
      <c r="E59" s="1693">
        <v>80</v>
      </c>
      <c r="F59" s="353" t="s">
        <v>1221</v>
      </c>
      <c r="G59" s="1692"/>
      <c r="H59" s="1688"/>
      <c r="I59" s="1687">
        <f>IF(I58+SUM($I$46:$I$57)*$E$59%&gt;I58+10,I58+10,I58+SUM($I$46:$I$57)*$E$59%)</f>
        <v>11.076000000000001</v>
      </c>
      <c r="J59" s="1686"/>
      <c r="K59" s="1691"/>
      <c r="L59" s="1690">
        <f>IF(L58+SUM($L$46:$L$57)*$E$59%&gt;L58+10,L58+10,L58+SUM($L$46:$L$57)*$E$59%)</f>
        <v>12.192</v>
      </c>
      <c r="M59" s="1689"/>
      <c r="N59" s="1688"/>
      <c r="O59" s="1687">
        <f>IF(O58+SUM($O$46:$O$57)*$E$59%&gt;O58+10,O58+10,O58+SUM($O$46:$O$57)*$E$59%)</f>
        <v>13.956000000000001</v>
      </c>
      <c r="P59" s="1686"/>
      <c r="Q59" s="38"/>
    </row>
    <row r="60" spans="1:17" s="42" customFormat="1" ht="18.75" customHeight="1">
      <c r="A60" s="1306"/>
      <c r="B60" s="1276" t="s">
        <v>1220</v>
      </c>
      <c r="C60" s="1373"/>
      <c r="D60" s="1373"/>
      <c r="E60" s="45"/>
      <c r="F60" s="45"/>
      <c r="G60" s="1685"/>
      <c r="H60" s="1677"/>
      <c r="I60" s="1676"/>
      <c r="J60" s="1684">
        <f>IF(J6=0,0,SUM(I62:I64))</f>
        <v>281.89999999999998</v>
      </c>
      <c r="K60" s="1680"/>
      <c r="L60" s="1679"/>
      <c r="M60" s="1617">
        <f>IF(M6=0,0,SUM(L62:L64))</f>
        <v>311.89999999999998</v>
      </c>
      <c r="N60" s="1677"/>
      <c r="O60" s="1676"/>
      <c r="P60" s="1684">
        <f>IF(P6=0,0,SUM(O62:O64))</f>
        <v>341.9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2.5</v>
      </c>
      <c r="G64" s="1655">
        <f>(100+$D$61)/100*F64</f>
        <v>2.5</v>
      </c>
      <c r="H64" s="1651"/>
      <c r="I64" s="1650">
        <f>H11*$G$64</f>
        <v>130</v>
      </c>
      <c r="J64" s="227"/>
      <c r="K64" s="1654"/>
      <c r="L64" s="1653">
        <f>K11*$G$64</f>
        <v>160</v>
      </c>
      <c r="M64" s="1652"/>
      <c r="N64" s="1651"/>
      <c r="O64" s="1650">
        <f>N11*$G$64</f>
        <v>190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117.32500000000002</v>
      </c>
      <c r="K67" s="1641" t="s">
        <v>1217</v>
      </c>
      <c r="L67" s="1640" t="s">
        <v>1216</v>
      </c>
      <c r="M67" s="1617">
        <f>S68*(K9+K10)*L68%+F68</f>
        <v>288.39999999999998</v>
      </c>
      <c r="N67" s="1639" t="s">
        <v>1217</v>
      </c>
      <c r="O67" s="1638" t="s">
        <v>1216</v>
      </c>
      <c r="P67" s="1614">
        <f>T68*(N9+N10)*O68%+F68</f>
        <v>256.97500000000002</v>
      </c>
      <c r="Q67" s="38"/>
    </row>
    <row r="68" spans="1:20" s="708" customFormat="1" ht="15" customHeight="1">
      <c r="A68" s="1270"/>
      <c r="B68" s="1637"/>
      <c r="C68" s="4839" t="s">
        <v>1215</v>
      </c>
      <c r="D68" s="4839"/>
      <c r="E68" s="4839"/>
      <c r="F68" s="1636"/>
      <c r="G68" s="1627" t="s">
        <v>171</v>
      </c>
      <c r="H68" s="1634">
        <v>16</v>
      </c>
      <c r="I68" s="1633">
        <v>50</v>
      </c>
      <c r="J68" s="1632"/>
      <c r="K68" s="1634">
        <v>20</v>
      </c>
      <c r="L68" s="1633">
        <v>50</v>
      </c>
      <c r="M68" s="1635"/>
      <c r="N68" s="1634">
        <v>18</v>
      </c>
      <c r="O68" s="1633">
        <v>50</v>
      </c>
      <c r="P68" s="1632"/>
      <c r="Q68" s="38"/>
      <c r="R68" s="1631">
        <f>IF($H$68=0,0,VLOOKUP($H$68,'SD6'!B8:C101,'SD6'!C1,FALSE))*(1+'SDK1'!O11/100)</f>
        <v>3.6100000000000003</v>
      </c>
      <c r="S68" s="1631">
        <f>IF($K$68=0,0,VLOOKUP($K$68,'SD6'!B8:C101,'SD6'!C1,FALSE))*(1+'SDK1'!O11/100)</f>
        <v>7.2099999999999991</v>
      </c>
      <c r="T68" s="1631">
        <f>IF($N$68=0,0,VLOOKUP($N$68,'SD6'!B8:C101,'SD6'!C1,FALSE))*(1+'SDK1'!O11/100)</f>
        <v>5.41</v>
      </c>
    </row>
    <row r="69" spans="1:20" s="708" customFormat="1" ht="18.75" customHeight="1">
      <c r="A69" s="1270"/>
      <c r="B69" s="1276" t="s">
        <v>1214</v>
      </c>
      <c r="C69" s="1270"/>
      <c r="D69" s="1270"/>
      <c r="E69" s="38"/>
      <c r="F69" s="38"/>
      <c r="G69" s="1620"/>
      <c r="H69" s="44"/>
      <c r="I69" s="73"/>
      <c r="J69" s="1614">
        <f>H70*$F70/1000</f>
        <v>21.978666666666673</v>
      </c>
      <c r="K69" s="1630"/>
      <c r="L69" s="1629"/>
      <c r="M69" s="1617">
        <f>K70*$F70/1000</f>
        <v>27.050666666666672</v>
      </c>
      <c r="N69" s="44"/>
      <c r="O69" s="73"/>
      <c r="P69" s="1614">
        <f>N70*$F70/1000</f>
        <v>32.122666666666674</v>
      </c>
      <c r="Q69" s="38"/>
    </row>
    <row r="70" spans="1:20" s="708" customFormat="1" ht="15" customHeight="1">
      <c r="A70" s="1270"/>
      <c r="B70" s="1332"/>
      <c r="C70" s="1331" t="s">
        <v>896</v>
      </c>
      <c r="D70" s="353"/>
      <c r="E70" s="280"/>
      <c r="F70" s="1628">
        <f>'SDK7'!G102</f>
        <v>16</v>
      </c>
      <c r="G70" s="1627" t="s">
        <v>171</v>
      </c>
      <c r="H70" s="1623">
        <f>I9+I10</f>
        <v>1373.666666666667</v>
      </c>
      <c r="I70" s="1622"/>
      <c r="J70" s="1621"/>
      <c r="K70" s="1626">
        <f>L9+L10</f>
        <v>1690.666666666667</v>
      </c>
      <c r="L70" s="1625"/>
      <c r="M70" s="1624"/>
      <c r="N70" s="1623">
        <f>O9+O10</f>
        <v>2007.666666666667</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10.725938813154901</v>
      </c>
      <c r="K75" s="3063"/>
      <c r="L75" s="1056"/>
      <c r="M75" s="1578">
        <f>(M23+M27+M34+M43+M60+M65+M67+M69+M71)*('SDK1'!$O$59%*$G$75/12)</f>
        <v>13.424565252137258</v>
      </c>
      <c r="N75" s="1580"/>
      <c r="O75" s="1579"/>
      <c r="P75" s="1578">
        <f>(P23+P27+P34+P43+P60+P65+P67+P69+P71)*('SDK1'!$O$59%*$G$75/12)</f>
        <v>14.886967206025489</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L101" s="15"/>
      <c r="M101" s="35"/>
      <c r="N101" s="35"/>
      <c r="O101" s="35"/>
      <c r="P101" s="35"/>
      <c r="Q101" s="35"/>
    </row>
    <row r="102" spans="1:17">
      <c r="A102" s="35"/>
      <c r="L102" s="15"/>
      <c r="M102" s="35"/>
      <c r="N102" s="35"/>
      <c r="O102" s="35"/>
      <c r="P102" s="35"/>
      <c r="Q102" s="35"/>
    </row>
    <row r="103" spans="1:17">
      <c r="A103" s="35"/>
      <c r="L103" s="15"/>
      <c r="M103" s="35"/>
      <c r="N103" s="35"/>
      <c r="O103" s="35"/>
      <c r="P103" s="35"/>
      <c r="Q103" s="35"/>
    </row>
    <row r="104" spans="1:17">
      <c r="A104" s="35"/>
      <c r="L104" s="15"/>
      <c r="M104" s="35"/>
      <c r="N104" s="35"/>
      <c r="O104" s="35"/>
      <c r="P104" s="35"/>
      <c r="Q104" s="35"/>
    </row>
    <row r="105" spans="1:17">
      <c r="A105" s="35"/>
      <c r="L105" s="15"/>
      <c r="M105" s="35"/>
      <c r="N105" s="35"/>
      <c r="O105" s="35"/>
      <c r="P105" s="35"/>
      <c r="Q105" s="35"/>
    </row>
    <row r="106" spans="1:17">
      <c r="A106" s="35"/>
      <c r="L106" s="15"/>
      <c r="M106" s="35"/>
      <c r="N106" s="35"/>
      <c r="O106" s="35"/>
      <c r="P106" s="35"/>
      <c r="Q106" s="35"/>
    </row>
    <row r="107" spans="1:17">
      <c r="A107" s="35"/>
      <c r="L107" s="15"/>
      <c r="M107" s="35"/>
      <c r="N107" s="35"/>
      <c r="O107" s="35"/>
      <c r="P107" s="35"/>
      <c r="Q107" s="35"/>
    </row>
    <row r="108" spans="1:17">
      <c r="A108" s="35"/>
      <c r="L108" s="15"/>
      <c r="M108" s="35"/>
      <c r="N108" s="35"/>
      <c r="O108" s="35"/>
      <c r="P108" s="35"/>
      <c r="Q108" s="35"/>
    </row>
    <row r="109" spans="1:17">
      <c r="A109" s="35"/>
      <c r="L109" s="15"/>
      <c r="M109" s="35"/>
      <c r="N109" s="35"/>
      <c r="O109" s="35"/>
      <c r="P109" s="35"/>
      <c r="Q109" s="35"/>
    </row>
    <row r="110" spans="1:17">
      <c r="A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L114" s="15"/>
      <c r="M114" s="35"/>
      <c r="N114" s="35"/>
      <c r="O114" s="35"/>
      <c r="P114" s="35"/>
      <c r="Q114" s="35"/>
    </row>
    <row r="115" spans="1:17">
      <c r="A115" s="35"/>
      <c r="L115" s="15"/>
      <c r="M115" s="35"/>
      <c r="N115" s="35"/>
      <c r="O115" s="35"/>
      <c r="P115" s="35"/>
      <c r="Q115" s="35"/>
    </row>
    <row r="116" spans="1:17">
      <c r="A116" s="35"/>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23"/>
      <c r="C120" s="15"/>
      <c r="L120" s="15"/>
      <c r="M120" s="35"/>
      <c r="N120" s="35"/>
      <c r="O120" s="35"/>
      <c r="P120" s="35"/>
      <c r="Q120" s="35"/>
    </row>
    <row r="121" spans="1:17">
      <c r="A121" s="35"/>
      <c r="B121" s="623"/>
      <c r="C121" s="15"/>
      <c r="L121" s="15"/>
      <c r="M121" s="35"/>
      <c r="N121" s="35"/>
      <c r="O121" s="35"/>
      <c r="P121" s="35"/>
      <c r="Q121" s="35"/>
    </row>
    <row r="122" spans="1:17">
      <c r="A122" s="35"/>
      <c r="B122" s="623"/>
      <c r="C122" s="15"/>
      <c r="L122" s="15"/>
      <c r="M122" s="35"/>
      <c r="N122" s="35"/>
      <c r="O122" s="35"/>
      <c r="P122" s="35"/>
      <c r="Q122" s="35"/>
    </row>
    <row r="123" spans="1:17">
      <c r="A123" s="35"/>
      <c r="B123" s="623"/>
      <c r="C123" s="15"/>
      <c r="L123" s="15"/>
      <c r="M123" s="35"/>
      <c r="N123" s="35"/>
      <c r="O123" s="35"/>
      <c r="P123" s="35"/>
      <c r="Q123" s="35"/>
    </row>
    <row r="124" spans="1:17">
      <c r="A124" s="35"/>
      <c r="B124" s="623"/>
      <c r="C124" s="15"/>
      <c r="L124" s="15"/>
      <c r="M124" s="35"/>
      <c r="N124" s="35"/>
      <c r="O124" s="35"/>
      <c r="P124" s="35"/>
      <c r="Q124" s="35"/>
    </row>
    <row r="125" spans="1:17">
      <c r="A125" s="35"/>
      <c r="B125" s="623"/>
      <c r="C125" s="15"/>
      <c r="L125" s="15"/>
      <c r="M125" s="35"/>
      <c r="N125" s="35"/>
      <c r="O125" s="35"/>
      <c r="P125" s="35"/>
      <c r="Q125" s="35"/>
    </row>
    <row r="126" spans="1:17">
      <c r="A126" s="35"/>
      <c r="B126" s="623"/>
      <c r="C126" s="15"/>
      <c r="L126" s="15"/>
      <c r="M126" s="35"/>
      <c r="N126" s="35"/>
      <c r="O126" s="35"/>
      <c r="P126" s="35"/>
      <c r="Q126" s="35"/>
    </row>
    <row r="127" spans="1:17">
      <c r="A127" s="35"/>
      <c r="B127" s="623"/>
      <c r="C127" s="15"/>
      <c r="L127" s="15"/>
      <c r="M127" s="35"/>
      <c r="N127" s="35"/>
      <c r="O127" s="35"/>
      <c r="P127" s="35"/>
      <c r="Q127" s="35"/>
    </row>
    <row r="128" spans="1:17">
      <c r="A128" s="35"/>
      <c r="B128" s="623"/>
      <c r="C128" s="15"/>
      <c r="L128" s="15"/>
      <c r="M128" s="35"/>
      <c r="N128" s="35"/>
      <c r="O128" s="35"/>
      <c r="P128" s="35"/>
      <c r="Q128" s="35"/>
    </row>
    <row r="129" spans="1:17">
      <c r="A129" s="35"/>
      <c r="B129" s="623"/>
      <c r="C129" s="15"/>
      <c r="L129" s="15"/>
      <c r="M129" s="35"/>
      <c r="N129" s="35"/>
      <c r="O129" s="35"/>
      <c r="P129" s="35"/>
      <c r="Q129" s="35"/>
    </row>
    <row r="130" spans="1:17">
      <c r="A130" s="35"/>
      <c r="B130" s="623"/>
      <c r="C130" s="15"/>
      <c r="L130" s="15"/>
      <c r="M130" s="35"/>
      <c r="N130" s="35"/>
      <c r="O130" s="35"/>
      <c r="P130" s="35"/>
      <c r="Q130" s="35"/>
    </row>
    <row r="131" spans="1:17">
      <c r="A131" s="35"/>
      <c r="B131" s="623"/>
      <c r="C131" s="15"/>
      <c r="L131" s="15"/>
      <c r="M131" s="35"/>
      <c r="N131" s="35"/>
      <c r="O131" s="35"/>
      <c r="P131" s="35"/>
      <c r="Q131" s="35"/>
    </row>
    <row r="132" spans="1:17">
      <c r="A132" s="35"/>
      <c r="B132" s="623"/>
      <c r="C132" s="15"/>
      <c r="L132" s="15"/>
      <c r="M132" s="35"/>
      <c r="N132" s="35"/>
      <c r="O132" s="35"/>
      <c r="P132" s="35"/>
      <c r="Q132" s="35"/>
    </row>
    <row r="133" spans="1:17">
      <c r="A133" s="35"/>
      <c r="B133" s="623"/>
      <c r="C133" s="15"/>
      <c r="L133" s="15"/>
      <c r="M133" s="35"/>
      <c r="N133" s="35"/>
      <c r="O133" s="35"/>
      <c r="P133" s="35"/>
      <c r="Q133" s="35"/>
    </row>
    <row r="134" spans="1:17">
      <c r="A134" s="35"/>
      <c r="B134" s="623"/>
      <c r="C134" s="15"/>
      <c r="L134" s="15"/>
      <c r="M134" s="35"/>
      <c r="N134" s="35"/>
      <c r="O134" s="35"/>
      <c r="P134" s="35"/>
      <c r="Q134" s="35"/>
    </row>
    <row r="135" spans="1:17">
      <c r="A135" s="35"/>
      <c r="B135" s="623"/>
      <c r="C135" s="15"/>
      <c r="L135" s="15"/>
      <c r="M135" s="35"/>
      <c r="N135" s="35"/>
      <c r="O135" s="35"/>
      <c r="P135" s="35"/>
      <c r="Q135" s="35"/>
    </row>
    <row r="136" spans="1:17">
      <c r="A136" s="35"/>
      <c r="B136" s="623"/>
      <c r="C136" s="15"/>
      <c r="L136" s="15"/>
      <c r="M136" s="35"/>
      <c r="N136" s="35"/>
      <c r="O136" s="35"/>
      <c r="P136" s="35"/>
      <c r="Q136" s="35"/>
    </row>
    <row r="137" spans="1:17">
      <c r="A137" s="35"/>
      <c r="B137" s="623"/>
      <c r="C137" s="15"/>
      <c r="L137" s="15"/>
      <c r="M137" s="35"/>
      <c r="N137" s="35"/>
      <c r="O137" s="35"/>
      <c r="P137" s="35"/>
      <c r="Q137" s="35"/>
    </row>
    <row r="138" spans="1:17">
      <c r="A138" s="35"/>
      <c r="B138" s="623"/>
      <c r="C138" s="15"/>
      <c r="L138" s="15"/>
      <c r="M138" s="35"/>
      <c r="N138" s="35"/>
      <c r="O138" s="35"/>
      <c r="P138" s="35"/>
      <c r="Q138" s="35"/>
    </row>
    <row r="139" spans="1:17">
      <c r="A139" s="35"/>
      <c r="B139" s="623"/>
      <c r="C139" s="15"/>
      <c r="L139" s="15"/>
      <c r="M139" s="35"/>
      <c r="N139" s="35"/>
      <c r="O139" s="35"/>
      <c r="P139" s="35"/>
      <c r="Q139" s="35"/>
    </row>
    <row r="140" spans="1:17">
      <c r="A140" s="35"/>
      <c r="B140" s="623"/>
      <c r="C140" s="15"/>
      <c r="L140" s="15"/>
      <c r="M140" s="35"/>
      <c r="N140" s="35"/>
      <c r="O140" s="35"/>
      <c r="P140" s="35"/>
      <c r="Q140" s="35"/>
    </row>
    <row r="141" spans="1:17">
      <c r="A141" s="35"/>
      <c r="B141" s="623"/>
      <c r="C141" s="15"/>
      <c r="L141" s="15"/>
      <c r="M141" s="35"/>
      <c r="N141" s="35"/>
      <c r="O141" s="35"/>
      <c r="P141" s="35"/>
      <c r="Q141" s="35"/>
    </row>
    <row r="142" spans="1:17">
      <c r="A142" s="35"/>
      <c r="B142" s="623"/>
      <c r="C142" s="15"/>
      <c r="L142" s="15"/>
    </row>
    <row r="143" spans="1:17">
      <c r="A143" s="35"/>
      <c r="B143" s="623"/>
      <c r="C143" s="15"/>
      <c r="L143" s="15"/>
    </row>
    <row r="144" spans="1:17">
      <c r="A144" s="35"/>
      <c r="B144" s="623"/>
      <c r="C144" s="15"/>
      <c r="L144" s="15"/>
    </row>
    <row r="145" spans="1:17">
      <c r="A145" s="35"/>
      <c r="B145" s="623"/>
      <c r="C145" s="15"/>
      <c r="L145" s="15"/>
      <c r="M145" s="35"/>
      <c r="N145" s="35"/>
      <c r="O145" s="35"/>
      <c r="P145" s="35"/>
      <c r="Q145" s="35"/>
    </row>
    <row r="146" spans="1:17">
      <c r="A146" s="35"/>
      <c r="B146" s="623"/>
      <c r="C146" s="15"/>
      <c r="L146" s="15"/>
      <c r="M146" s="35"/>
      <c r="N146" s="35" t="str">
        <f>'SDK3'!C96</f>
        <v>(Datengrundlage MR 2021)</v>
      </c>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D149" s="15"/>
      <c r="F149" s="15"/>
      <c r="G149" s="15"/>
      <c r="H149" s="15"/>
      <c r="I149" s="15"/>
      <c r="J149" s="15"/>
      <c r="M149" s="35"/>
      <c r="N149" s="35"/>
      <c r="O149" s="35"/>
      <c r="P149" s="35"/>
      <c r="Q149" s="35"/>
    </row>
    <row r="150" spans="1:17">
      <c r="A150" s="35"/>
      <c r="B150" s="623"/>
      <c r="C150" s="15"/>
      <c r="D150" s="15"/>
      <c r="F150" s="15"/>
      <c r="G150" s="15"/>
      <c r="H150" s="15"/>
      <c r="I150" s="15"/>
      <c r="J150" s="15"/>
      <c r="M150" s="35"/>
      <c r="N150" s="35"/>
      <c r="O150" s="35"/>
      <c r="P150" s="35"/>
      <c r="Q150" s="35"/>
    </row>
    <row r="151" spans="1:17">
      <c r="A151" s="35"/>
      <c r="B151" s="623"/>
      <c r="C151" s="15"/>
      <c r="D151" s="15"/>
      <c r="F151" s="15"/>
      <c r="G151" s="15"/>
      <c r="H151" s="15"/>
      <c r="I151" s="15"/>
      <c r="J151" s="15"/>
      <c r="M151" s="35"/>
      <c r="N151" s="35"/>
      <c r="O151" s="35"/>
      <c r="P151" s="35"/>
      <c r="Q151" s="35"/>
    </row>
    <row r="152" spans="1:17">
      <c r="A152" s="35"/>
      <c r="B152" s="623"/>
      <c r="C152" s="15"/>
      <c r="D152" s="15"/>
      <c r="F152" s="15"/>
      <c r="G152" s="15"/>
      <c r="H152" s="15"/>
      <c r="I152" s="15"/>
      <c r="J152" s="15"/>
      <c r="M152" s="35"/>
      <c r="N152" s="35"/>
      <c r="O152" s="35"/>
      <c r="P152" s="35"/>
      <c r="Q152" s="35"/>
    </row>
    <row r="153" spans="1:17">
      <c r="A153" s="35"/>
      <c r="B153" s="623"/>
      <c r="C153" s="15"/>
      <c r="D153" s="15"/>
      <c r="F153" s="15"/>
      <c r="G153" s="15"/>
      <c r="H153" s="15"/>
      <c r="I153" s="15"/>
      <c r="J153" s="15"/>
      <c r="M153" s="35"/>
      <c r="N153" s="35"/>
      <c r="O153" s="35"/>
      <c r="P153" s="35"/>
      <c r="Q153" s="35"/>
    </row>
    <row r="154" spans="1:17">
      <c r="A154" s="35"/>
      <c r="B154" s="623"/>
      <c r="C154" s="15"/>
      <c r="D154" s="15"/>
      <c r="F154" s="15"/>
      <c r="G154" s="15"/>
      <c r="H154" s="15"/>
      <c r="I154" s="15"/>
      <c r="J154" s="15"/>
      <c r="M154" s="35"/>
      <c r="N154" s="35"/>
      <c r="O154" s="35"/>
      <c r="P154" s="35"/>
      <c r="Q154" s="35"/>
    </row>
    <row r="155" spans="1:17">
      <c r="A155" s="35"/>
      <c r="B155" s="623"/>
      <c r="C155" s="15"/>
      <c r="D155" s="15"/>
      <c r="F155" s="15"/>
      <c r="G155" s="15"/>
      <c r="H155" s="15"/>
      <c r="I155" s="15"/>
      <c r="J155" s="15"/>
      <c r="M155" s="35"/>
      <c r="N155" s="35"/>
      <c r="O155" s="35"/>
      <c r="P155" s="35"/>
      <c r="Q155" s="35"/>
    </row>
    <row r="156" spans="1:17">
      <c r="A156" s="35"/>
      <c r="B156" s="623"/>
      <c r="C156" s="15"/>
      <c r="D156" s="15"/>
      <c r="F156" s="15"/>
      <c r="G156" s="15"/>
      <c r="H156" s="15"/>
      <c r="I156" s="15"/>
      <c r="J156" s="15"/>
      <c r="M156" s="35"/>
      <c r="N156" s="35"/>
      <c r="O156" s="35"/>
      <c r="P156" s="35"/>
      <c r="Q156" s="35"/>
    </row>
    <row r="157" spans="1:17">
      <c r="A157" s="35"/>
      <c r="B157" s="623"/>
      <c r="C157" s="15"/>
      <c r="D157" s="15"/>
      <c r="F157" s="15"/>
      <c r="G157" s="15"/>
      <c r="H157" s="15"/>
      <c r="I157" s="15"/>
      <c r="J157" s="15"/>
      <c r="M157" s="35"/>
      <c r="N157" s="35"/>
      <c r="O157" s="35"/>
      <c r="P157" s="35"/>
      <c r="Q157" s="35"/>
    </row>
    <row r="158" spans="1:17">
      <c r="A158" s="35"/>
      <c r="B158" s="623"/>
      <c r="C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 ref="K6:L6"/>
    <mergeCell ref="F34:G34"/>
    <mergeCell ref="D25:E25"/>
    <mergeCell ref="D26:E26"/>
    <mergeCell ref="C48:D48"/>
    <mergeCell ref="C39:E39"/>
    <mergeCell ref="C47:D47"/>
    <mergeCell ref="C40:E40"/>
    <mergeCell ref="C36:E36"/>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E4:I4"/>
    <mergeCell ref="F23:G23"/>
    <mergeCell ref="C14:F14"/>
    <mergeCell ref="C15:F15"/>
    <mergeCell ref="C17:F17"/>
    <mergeCell ref="C19:F1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16" orientation="portrait" r:id="rId1"/>
  <headerFooter alignWithMargins="0">
    <oddFooter>&amp;L&amp;11LEL Schwäbisch Gmünd&amp;C23&amp;R&amp;11&amp;F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0" r:id="rId4" name="Check Box 2">
              <controlPr defaultSize="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7411" r:id="rId5" name="Check Box 3">
              <controlPr defaultSize="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7" width="0" style="35" hidden="1" customWidth="1"/>
    <col min="38" max="16384" width="10.5" style="35"/>
  </cols>
  <sheetData>
    <row r="1" spans="1:41" s="1891" customFormat="1" ht="30.4" customHeight="1">
      <c r="A1" s="1895"/>
      <c r="B1" s="326"/>
      <c r="C1" s="1908"/>
      <c r="D1" s="1827"/>
      <c r="E1" s="323"/>
      <c r="F1" s="323"/>
      <c r="G1" s="607"/>
      <c r="H1" s="1902"/>
      <c r="I1" s="1907" t="s">
        <v>1264</v>
      </c>
      <c r="J1" s="1906">
        <f>(J7+J13+J18+J22+I11+I12)-(J23+J27+J34+J43+J60+J65+J67+J69+J71+J75)</f>
        <v>746.67258462105337</v>
      </c>
      <c r="K1" s="4859">
        <f>M1-J1</f>
        <v>186.71716026295917</v>
      </c>
      <c r="L1" s="4859"/>
      <c r="M1" s="1906">
        <f>(M7+M13+M18+M22+L11+L12)-(M23+M27+M34+M43+M60+M65+M67+M69+M71+M75)</f>
        <v>933.38974488401254</v>
      </c>
      <c r="N1" s="4859">
        <f>P1-M1</f>
        <v>207.34609776295861</v>
      </c>
      <c r="O1" s="4859"/>
      <c r="P1" s="1906">
        <f>(P7+P13+P18+P22+O11+O12)-(P23+P27+P34+P43+P60+P65+P67+P69+P71+P75)</f>
        <v>1140.7358426469712</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96</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1260</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60</v>
      </c>
      <c r="K6" s="4849" t="s">
        <v>152</v>
      </c>
      <c r="L6" s="4850"/>
      <c r="M6" s="1887">
        <v>75</v>
      </c>
      <c r="N6" s="4864" t="s">
        <v>178</v>
      </c>
      <c r="O6" s="4865"/>
      <c r="P6" s="1886">
        <v>90</v>
      </c>
      <c r="Q6" s="70"/>
    </row>
    <row r="7" spans="1:41" s="252" customFormat="1" ht="18.75" customHeight="1">
      <c r="A7" s="47"/>
      <c r="B7" s="311" t="s">
        <v>1258</v>
      </c>
      <c r="C7" s="47"/>
      <c r="D7" s="47"/>
      <c r="E7" s="47"/>
      <c r="F7" s="47"/>
      <c r="G7" s="1884"/>
      <c r="H7" s="1881"/>
      <c r="I7" s="1880"/>
      <c r="J7" s="1614">
        <f>SUM(I9:I10)</f>
        <v>1300.0000000000002</v>
      </c>
      <c r="K7" s="1883"/>
      <c r="L7" s="1882"/>
      <c r="M7" s="1617">
        <f>SUM(L9:L10)</f>
        <v>1625.0000000000005</v>
      </c>
      <c r="N7" s="1881"/>
      <c r="O7" s="1880"/>
      <c r="P7" s="1614">
        <f>SUM(O9:O10)</f>
        <v>1950.0000000000005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'SDK1'!O17</f>
        <v>21.666666666666671</v>
      </c>
      <c r="H9" s="1877">
        <f>J6-H10</f>
        <v>60</v>
      </c>
      <c r="I9" s="1873">
        <f>H9*G9</f>
        <v>1300.0000000000002</v>
      </c>
      <c r="J9" s="43"/>
      <c r="K9" s="1876">
        <f>M6-K10</f>
        <v>75</v>
      </c>
      <c r="L9" s="1875">
        <f>K9*G9</f>
        <v>1625.0000000000005</v>
      </c>
      <c r="M9" s="1854"/>
      <c r="N9" s="1874">
        <f>P6-N10</f>
        <v>90</v>
      </c>
      <c r="O9" s="1873">
        <f>N9*G9</f>
        <v>1950.0000000000005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824"/>
      <c r="I13" s="1823"/>
      <c r="J13" s="1614">
        <f>SUM(I14:I17)</f>
        <v>180</v>
      </c>
      <c r="K13" s="1826"/>
      <c r="L13" s="1825"/>
      <c r="M13" s="1617">
        <f>SUM(L14:L17)</f>
        <v>180</v>
      </c>
      <c r="N13" s="1824"/>
      <c r="O13" s="1823"/>
      <c r="P13" s="1614">
        <f>SUM(O14:O17)</f>
        <v>180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t="s">
        <v>2109</v>
      </c>
      <c r="D15" s="4833"/>
      <c r="E15" s="4833"/>
      <c r="F15" s="4833"/>
      <c r="G15" s="1837"/>
      <c r="H15" s="1836" t="s">
        <v>1299</v>
      </c>
      <c r="I15" s="1817">
        <f>IF(H15="ja",Q15,0)</f>
        <v>80</v>
      </c>
      <c r="J15" s="45"/>
      <c r="K15" s="1836" t="s">
        <v>1299</v>
      </c>
      <c r="L15" s="1671">
        <f>IF(K15="ja",Q15,0)</f>
        <v>80</v>
      </c>
      <c r="M15" s="1589"/>
      <c r="N15" s="1836" t="s">
        <v>1299</v>
      </c>
      <c r="O15" s="1817">
        <f>IF(N15="ja",Q15,0)</f>
        <v>80</v>
      </c>
      <c r="P15" s="1586"/>
      <c r="Q15" s="1835">
        <f>IF(C15=0,0,VLOOKUP(C15,'SD2'!$C$11:$N$49,'SD2'!$N$1,FALSE))</f>
        <v>80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3955">
        <f>IF(OR($C19=0,$M$6=0),0,VLOOKUP($C19,'SD2'!$C$59:$N$74,12,FALSE))</f>
        <v>158</v>
      </c>
      <c r="M19" s="1589"/>
      <c r="N19" s="1818"/>
      <c r="O19" s="1817">
        <f>IF(OR($C19=0,$P$6=0),0,VLOOKUP($C19,'SD2'!C59:N75,12,FALSE))</f>
        <v>158</v>
      </c>
      <c r="P19" s="1586"/>
      <c r="Q19" s="38"/>
      <c r="R19" s="1816">
        <f>J13+J18</f>
        <v>535.4</v>
      </c>
      <c r="S19" s="1815">
        <f>M13+M18</f>
        <v>535.4</v>
      </c>
      <c r="T19" s="1814">
        <f>P13+P18</f>
        <v>535.4</v>
      </c>
    </row>
    <row r="20" spans="1:26" s="42" customFormat="1" ht="15">
      <c r="A20" s="3908"/>
      <c r="B20" s="1821"/>
      <c r="C20" s="4034" t="s">
        <v>2182</v>
      </c>
      <c r="D20" s="4034"/>
      <c r="E20" s="4034"/>
      <c r="F20" s="4034"/>
      <c r="G20" s="1820"/>
      <c r="H20" s="1818"/>
      <c r="I20" s="3965">
        <f>IF(OR($C20=0,$J$6=0),0,VLOOKUP($C20,'SD2'!C60:N76,12,FALSE))</f>
        <v>63.4</v>
      </c>
      <c r="J20" s="3908"/>
      <c r="K20" s="1819"/>
      <c r="L20" s="3955">
        <f>IF(OR($C20=0,$M$6=0),0,VLOOKUP($C20,'SD2'!$C$59:$N$74,12,FALSE))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IF(OR($C21=0,$M$6=0),0,VLOOKUP($C21,'SD2'!$C$59:$N$74,12,FALSE))</f>
        <v>134</v>
      </c>
      <c r="M21" s="3920"/>
      <c r="N21" s="1818"/>
      <c r="O21" s="3965">
        <f>IF(OR($C21=0,$P$6=0),0,VLOOKUP($C21,'SD2'!C61:N77,12,FALSE))</f>
        <v>134</v>
      </c>
      <c r="P21" s="1586"/>
      <c r="Q21" s="38"/>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161.5</v>
      </c>
      <c r="K23" s="1619"/>
      <c r="L23" s="1618"/>
      <c r="M23" s="1800">
        <f>SUM(L25:L26)</f>
        <v>161.5</v>
      </c>
      <c r="N23" s="1616"/>
      <c r="O23" s="1615"/>
      <c r="P23" s="1599">
        <f>SUM(O25:O26)</f>
        <v>161.5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'SDK7'!F46/100</f>
        <v>0.85</v>
      </c>
      <c r="G25" s="1794">
        <f>F25*(100+$D$24)/100</f>
        <v>0.85</v>
      </c>
      <c r="H25" s="1793">
        <v>190</v>
      </c>
      <c r="I25" s="1754">
        <f>H25*$G25</f>
        <v>161.5</v>
      </c>
      <c r="J25" s="45"/>
      <c r="K25" s="1793">
        <f>H25</f>
        <v>190</v>
      </c>
      <c r="L25" s="1596">
        <f>K25*$G25</f>
        <v>161.5</v>
      </c>
      <c r="M25" s="1589"/>
      <c r="N25" s="1793">
        <f>H25</f>
        <v>190</v>
      </c>
      <c r="O25" s="1754">
        <f>N25*$G25</f>
        <v>161.5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332.80866666666657</v>
      </c>
      <c r="K27" s="1748"/>
      <c r="L27" s="1747"/>
      <c r="M27" s="1617">
        <f>SUM(L30:L33)</f>
        <v>407.99416666666662</v>
      </c>
      <c r="N27" s="1746"/>
      <c r="O27" s="1745"/>
      <c r="P27" s="1614">
        <f>SUM(O30:O33)</f>
        <v>483.17966666666655</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2.11</v>
      </c>
      <c r="F30" s="1774">
        <f>VLOOKUP(K2,'SD8'!B9:L42,7,FALSE)</f>
        <v>0.39999999999999991</v>
      </c>
      <c r="G30" s="1773">
        <v>20</v>
      </c>
      <c r="H30" s="1771">
        <f>IF(J$6=0,0,(J$6*$E30+$G30+X14))</f>
        <v>146.6</v>
      </c>
      <c r="I30" s="1754">
        <f>H30*$D30</f>
        <v>235.04866666666661</v>
      </c>
      <c r="J30" s="45"/>
      <c r="K30" s="1772">
        <f>IF(M$6=0,0,(M$6*$E30+$G30+Y14))</f>
        <v>178.25</v>
      </c>
      <c r="L30" s="1596">
        <f>K30*$D30</f>
        <v>285.79416666666663</v>
      </c>
      <c r="M30" s="1589"/>
      <c r="N30" s="1771">
        <f>IF(P$6=0,0,(P$6*$E30+$G30+Z14))</f>
        <v>209.89999999999998</v>
      </c>
      <c r="O30" s="1754">
        <f>N30*$D30</f>
        <v>336.53966666666656</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48</v>
      </c>
      <c r="I31" s="1754">
        <f>H31*$D31</f>
        <v>52.8</v>
      </c>
      <c r="J31" s="45"/>
      <c r="K31" s="1772">
        <f>IF(M$6=0,0,(M$6*$E31+$G31+Y15))</f>
        <v>60</v>
      </c>
      <c r="L31" s="1596">
        <f>K31*$D31</f>
        <v>65.999999999999986</v>
      </c>
      <c r="M31" s="1589"/>
      <c r="N31" s="1771">
        <f>IF(P$6=0,0,(P$6*$E31+$G31+Z15))</f>
        <v>72</v>
      </c>
      <c r="O31" s="1754">
        <f>N31*$D31</f>
        <v>79.199999999999989</v>
      </c>
      <c r="P31" s="1718"/>
      <c r="Q31" s="38"/>
    </row>
    <row r="32" spans="1:26" s="42" customFormat="1" ht="15" customHeight="1">
      <c r="A32" s="1306"/>
      <c r="B32" s="274"/>
      <c r="C32" s="1306" t="s">
        <v>242</v>
      </c>
      <c r="D32" s="1723">
        <f>'SDK1'!O54</f>
        <v>1.02</v>
      </c>
      <c r="E32" s="1774">
        <f>VLOOKUP(K2,'SD8'!B9:L42,5,FALSE)</f>
        <v>0.6</v>
      </c>
      <c r="F32" s="1774">
        <f>VLOOKUP(K2,'SD8'!B9:L42,9,FALSE)</f>
        <v>1.1200000000000001</v>
      </c>
      <c r="G32" s="1773"/>
      <c r="H32" s="1771">
        <f>IF(J$6=0,0,(J$6*$E32+$G32+X16))</f>
        <v>36</v>
      </c>
      <c r="I32" s="1754">
        <f>H32*$D32</f>
        <v>36.72</v>
      </c>
      <c r="J32" s="45"/>
      <c r="K32" s="1772">
        <f>IF(M$6=0,0,(M$6*$E32+$G32+Y16))</f>
        <v>45</v>
      </c>
      <c r="L32" s="1596">
        <f>K32*$D32</f>
        <v>45.9</v>
      </c>
      <c r="M32" s="1589"/>
      <c r="N32" s="1771">
        <f>IF(P$6=0,0,(P$6*$E32+$G32+Z16))</f>
        <v>54</v>
      </c>
      <c r="O32" s="1754">
        <f>N32*$D32</f>
        <v>55.08</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12</v>
      </c>
      <c r="I33" s="1750">
        <f>H33*$D33</f>
        <v>8.240000000000002</v>
      </c>
      <c r="J33" s="45"/>
      <c r="K33" s="1768">
        <f>IF(M$6=0,0,(M$6*$E33+$G33+Y17))</f>
        <v>15</v>
      </c>
      <c r="L33" s="1590">
        <f>K33*$D33</f>
        <v>10.3</v>
      </c>
      <c r="M33" s="1589"/>
      <c r="N33" s="1767">
        <f>IF(P$6=0,0,(P$6*$E33+$G33+Z17))</f>
        <v>18</v>
      </c>
      <c r="O33" s="1750">
        <f>N33*$D33</f>
        <v>12.360000000000001</v>
      </c>
      <c r="P33" s="1749"/>
      <c r="Q33" s="38"/>
    </row>
    <row r="34" spans="1:17" s="708" customFormat="1" ht="18.75" customHeight="1">
      <c r="A34" s="1270"/>
      <c r="B34" s="1276" t="s">
        <v>1234</v>
      </c>
      <c r="C34" s="1270"/>
      <c r="D34" s="37"/>
      <c r="E34" s="37"/>
      <c r="F34" s="4831" t="s">
        <v>1233</v>
      </c>
      <c r="G34" s="4832"/>
      <c r="H34" s="1764"/>
      <c r="I34" s="1763"/>
      <c r="J34" s="1614">
        <f>SUM(I36:I42)</f>
        <v>182.58799999999999</v>
      </c>
      <c r="K34" s="1766"/>
      <c r="L34" s="1765"/>
      <c r="M34" s="1617">
        <f>SUM(L36:L42)</f>
        <v>182.58799999999999</v>
      </c>
      <c r="N34" s="1764"/>
      <c r="O34" s="1763"/>
      <c r="P34" s="1614">
        <f>SUM(O36:O42)</f>
        <v>186.43799999999999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706</v>
      </c>
      <c r="D36" s="4857"/>
      <c r="E36" s="4858"/>
      <c r="F36" s="1756">
        <f>IF(C36="",0,VLOOKUP(C36,'SDK5'!C3:AF83,2,FALSE))</f>
        <v>290.39999999999998</v>
      </c>
      <c r="G36" s="1756">
        <f t="shared" ref="G36:G42" si="0">F36*(100+$D$35)/100</f>
        <v>290.39999999999998</v>
      </c>
      <c r="H36" s="1755">
        <v>0.22</v>
      </c>
      <c r="I36" s="1754">
        <f t="shared" ref="I36:I42" si="1">$G36*H36</f>
        <v>63.887999999999998</v>
      </c>
      <c r="J36" s="45"/>
      <c r="K36" s="1755">
        <v>0.22</v>
      </c>
      <c r="L36" s="1596">
        <f t="shared" ref="L36:L42" si="2">$G36*K36</f>
        <v>63.887999999999998</v>
      </c>
      <c r="M36" s="1589"/>
      <c r="N36" s="1755">
        <v>0.22</v>
      </c>
      <c r="O36" s="1754">
        <f t="shared" ref="O36:O42" si="3">$G36*N36</f>
        <v>63.887999999999998</v>
      </c>
      <c r="P36" s="1758"/>
      <c r="Q36" s="38" t="str">
        <f>VLOOKUP(C36,'SDK5'!$C$5:$AF$85,3,FALSE)</f>
        <v>H</v>
      </c>
    </row>
    <row r="37" spans="1:17" s="42" customFormat="1" ht="15" customHeight="1">
      <c r="A37" s="1306"/>
      <c r="B37" s="1594"/>
      <c r="C37" s="4855" t="s">
        <v>700</v>
      </c>
      <c r="D37" s="4855"/>
      <c r="E37" s="4856"/>
      <c r="F37" s="1756">
        <f>IF(C37="",0,VLOOKUP(C37,'SDK5'!C4:AF84,2,FALSE))</f>
        <v>5.5</v>
      </c>
      <c r="G37" s="1756">
        <f t="shared" si="0"/>
        <v>5.5</v>
      </c>
      <c r="H37" s="1755"/>
      <c r="I37" s="1754">
        <f t="shared" si="1"/>
        <v>0</v>
      </c>
      <c r="J37" s="45"/>
      <c r="K37" s="1755"/>
      <c r="L37" s="1596">
        <f t="shared" si="2"/>
        <v>0</v>
      </c>
      <c r="M37" s="1589"/>
      <c r="N37" s="1755">
        <v>0.7</v>
      </c>
      <c r="O37" s="1754">
        <f t="shared" si="3"/>
        <v>3.8499999999999996</v>
      </c>
      <c r="P37" s="1718"/>
      <c r="Q37" s="38" t="str">
        <f>VLOOKUP(C37,'SDK5'!$C$5:$AF$85,3,FALSE)</f>
        <v>W</v>
      </c>
    </row>
    <row r="38" spans="1:17" s="42" customFormat="1" ht="15" customHeight="1">
      <c r="A38" s="1306"/>
      <c r="B38" s="1757"/>
      <c r="C38" s="4855" t="s">
        <v>2057</v>
      </c>
      <c r="D38" s="4855"/>
      <c r="E38" s="4856"/>
      <c r="F38" s="1756">
        <f>IF(C38="",0,VLOOKUP(C38,'SDK5'!C5:AF85,2,FALSE))</f>
        <v>67.599999999999994</v>
      </c>
      <c r="G38" s="1756">
        <f t="shared" si="0"/>
        <v>67.599999999999994</v>
      </c>
      <c r="H38" s="1755">
        <v>1</v>
      </c>
      <c r="I38" s="1754">
        <f t="shared" si="1"/>
        <v>67.599999999999994</v>
      </c>
      <c r="J38" s="45"/>
      <c r="K38" s="1755">
        <v>1</v>
      </c>
      <c r="L38" s="1596">
        <f t="shared" si="2"/>
        <v>67.599999999999994</v>
      </c>
      <c r="M38" s="1589"/>
      <c r="N38" s="1755">
        <v>1</v>
      </c>
      <c r="O38" s="1754">
        <f t="shared" si="3"/>
        <v>67.599999999999994</v>
      </c>
      <c r="P38" s="1718"/>
      <c r="Q38" s="38" t="str">
        <f>VLOOKUP(C38,'SDK5'!$C$5:$AF$85,3,FALSE)</f>
        <v>F</v>
      </c>
    </row>
    <row r="39" spans="1:17" s="42" customFormat="1" ht="15" customHeight="1">
      <c r="A39" s="1306"/>
      <c r="B39" s="1594"/>
      <c r="C39" s="4855" t="s">
        <v>669</v>
      </c>
      <c r="D39" s="4855"/>
      <c r="E39" s="4856"/>
      <c r="F39" s="1756">
        <f>IF(C39="",0,VLOOKUP(C39,'SDK5'!C6:AF86,2,FALSE))</f>
        <v>51.1</v>
      </c>
      <c r="G39" s="1756">
        <f t="shared" si="0"/>
        <v>51.1</v>
      </c>
      <c r="H39" s="1755">
        <v>1</v>
      </c>
      <c r="I39" s="1754">
        <f t="shared" si="1"/>
        <v>51.1</v>
      </c>
      <c r="J39" s="45"/>
      <c r="K39" s="1755">
        <v>1</v>
      </c>
      <c r="L39" s="1596">
        <f t="shared" si="2"/>
        <v>51.1</v>
      </c>
      <c r="M39" s="1589"/>
      <c r="N39" s="1755">
        <v>1</v>
      </c>
      <c r="O39" s="1754">
        <f t="shared" si="3"/>
        <v>51.1</v>
      </c>
      <c r="P39" s="1718"/>
      <c r="Q39" s="38" t="str">
        <f>VLOOKUP(C39,'SDK5'!$C$5:$AF$85,3,FALSE)</f>
        <v>F</v>
      </c>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145.68701648470588</v>
      </c>
      <c r="K43" s="1748"/>
      <c r="L43" s="1747"/>
      <c r="M43" s="1617">
        <f>SUM(M46:M57)</f>
        <v>151.00987681882353</v>
      </c>
      <c r="N43" s="1746"/>
      <c r="O43" s="1745"/>
      <c r="P43" s="1614">
        <f>SUM(P46:P57)</f>
        <v>156.33273715294118</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 t="shared" ref="Q46:Q57" si="10">$Q$2*H46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f t="shared" si="10"/>
        <v>0</v>
      </c>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3</v>
      </c>
      <c r="L48" s="1722">
        <f t="shared" si="6"/>
        <v>0.96</v>
      </c>
      <c r="M48" s="1721">
        <f t="shared" si="7"/>
        <v>10.804246249411765</v>
      </c>
      <c r="N48" s="1720">
        <v>4</v>
      </c>
      <c r="O48" s="1719">
        <f t="shared" si="8"/>
        <v>1.28</v>
      </c>
      <c r="P48" s="1718">
        <f t="shared" si="9"/>
        <v>14.405661665882354</v>
      </c>
      <c r="Q48" s="38">
        <f t="shared" si="10"/>
        <v>0</v>
      </c>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H49*$G49</f>
        <v>17.301605110588234</v>
      </c>
      <c r="K49" s="1720">
        <v>3</v>
      </c>
      <c r="L49" s="1722">
        <f t="shared" si="6"/>
        <v>1.08</v>
      </c>
      <c r="M49" s="1721">
        <f t="shared" si="7"/>
        <v>17.301605110588234</v>
      </c>
      <c r="N49" s="1720">
        <v>3</v>
      </c>
      <c r="O49" s="1719">
        <f t="shared" si="8"/>
        <v>1.08</v>
      </c>
      <c r="P49" s="1718">
        <f t="shared" si="9"/>
        <v>17.301605110588234</v>
      </c>
      <c r="Q49" s="38">
        <f t="shared" si="10"/>
        <v>0</v>
      </c>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1</v>
      </c>
      <c r="I50" s="1719">
        <f t="shared" si="4"/>
        <v>0.4</v>
      </c>
      <c r="J50" s="1718">
        <f t="shared" si="5"/>
        <v>6.8857796705882359</v>
      </c>
      <c r="K50" s="1720">
        <f>$M$6/60</f>
        <v>1.25</v>
      </c>
      <c r="L50" s="1722">
        <f t="shared" si="6"/>
        <v>0.5</v>
      </c>
      <c r="M50" s="1721">
        <f t="shared" si="7"/>
        <v>8.6072245882352956</v>
      </c>
      <c r="N50" s="1720">
        <f>$P$6/60</f>
        <v>1.5</v>
      </c>
      <c r="O50" s="1719">
        <f t="shared" si="8"/>
        <v>0.60000000000000009</v>
      </c>
      <c r="P50" s="1718">
        <f t="shared" si="9"/>
        <v>10.328669505882354</v>
      </c>
      <c r="Q50" s="38">
        <f t="shared" si="10"/>
        <v>0</v>
      </c>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f t="shared" si="10"/>
        <v>0</v>
      </c>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f t="shared" si="10"/>
        <v>0</v>
      </c>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f t="shared" si="10"/>
        <v>0</v>
      </c>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f t="shared" si="10"/>
        <v>0</v>
      </c>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f t="shared" si="10"/>
        <v>0</v>
      </c>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f t="shared" si="10"/>
        <v>0</v>
      </c>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f t="shared" si="10"/>
        <v>0</v>
      </c>
    </row>
    <row r="58" spans="1:17" s="65" customFormat="1" ht="18.75" customHeight="1">
      <c r="A58" s="1373"/>
      <c r="B58" s="1276" t="s">
        <v>1223</v>
      </c>
      <c r="C58" s="1373"/>
      <c r="D58" s="1373"/>
      <c r="E58" s="1373"/>
      <c r="F58" s="38"/>
      <c r="G58" s="1620"/>
      <c r="H58" s="1697"/>
      <c r="I58" s="1696">
        <f>SUM($I$46:$I$57)</f>
        <v>5.5400000000000009</v>
      </c>
      <c r="J58" s="1701"/>
      <c r="K58" s="1700"/>
      <c r="L58" s="1699">
        <f>SUM($L$46:$L$57)</f>
        <v>5.96</v>
      </c>
      <c r="M58" s="1698"/>
      <c r="N58" s="1697"/>
      <c r="O58" s="1696">
        <f>SUM($O$46:$O$57)</f>
        <v>6.3800000000000008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9.9720000000000013</v>
      </c>
      <c r="J59" s="1686"/>
      <c r="K59" s="1691"/>
      <c r="L59" s="1690">
        <f>IF(L58+SUM($L$46:$L$57)*$E$59%&gt;L58+10,L58+10,L58+SUM($L$46:$L$57)*$E$59%)</f>
        <v>10.728</v>
      </c>
      <c r="M59" s="1689"/>
      <c r="N59" s="1688"/>
      <c r="O59" s="1687">
        <f>IF(O58+SUM($O$46:$O$57)*$E$59%&gt;O58+10,O58+10,O58+SUM($O$46:$O$57)*$E$59%)</f>
        <v>11.484000000000002</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84</v>
      </c>
      <c r="K67" s="1641" t="s">
        <v>1217</v>
      </c>
      <c r="L67" s="1640" t="s">
        <v>1216</v>
      </c>
      <c r="M67" s="1617">
        <f>S68*(K9+K10)*L68%+F68</f>
        <v>135.375</v>
      </c>
      <c r="N67" s="1639" t="s">
        <v>1217</v>
      </c>
      <c r="O67" s="1638" t="s">
        <v>1216</v>
      </c>
      <c r="P67" s="1614">
        <f>T68*(N9+N10)*O68%+F68</f>
        <v>162.45000000000002</v>
      </c>
      <c r="Q67" s="38"/>
    </row>
    <row r="68" spans="1:20" s="708" customFormat="1" ht="15" customHeight="1">
      <c r="A68" s="1270"/>
      <c r="B68" s="1637"/>
      <c r="C68" s="4839" t="s">
        <v>1215</v>
      </c>
      <c r="D68" s="4839"/>
      <c r="E68" s="4839"/>
      <c r="F68" s="1636"/>
      <c r="G68" s="1627" t="s">
        <v>171</v>
      </c>
      <c r="H68" s="1634">
        <v>15.1</v>
      </c>
      <c r="I68" s="1633">
        <v>50</v>
      </c>
      <c r="J68" s="1632"/>
      <c r="K68" s="1634">
        <v>16</v>
      </c>
      <c r="L68" s="1633">
        <v>50</v>
      </c>
      <c r="M68" s="1635"/>
      <c r="N68" s="1634">
        <v>16</v>
      </c>
      <c r="O68" s="1633">
        <v>50</v>
      </c>
      <c r="P68" s="1632"/>
      <c r="Q68" s="38"/>
      <c r="R68" s="1631">
        <f>IF($H$68=0,0,VLOOKUP($H$68,'SD6'!B8:C101,'SD6'!C1,FALSE))*(1+'SDK1'!O11/100)</f>
        <v>2.8</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20.800000000000004</v>
      </c>
      <c r="K69" s="1630"/>
      <c r="L69" s="1629"/>
      <c r="M69" s="1617">
        <f>K70*$F70/1000</f>
        <v>26.000000000000007</v>
      </c>
      <c r="N69" s="44"/>
      <c r="O69" s="73"/>
      <c r="P69" s="1614">
        <f>N70*$F70/1000</f>
        <v>31.200000000000006</v>
      </c>
      <c r="Q69" s="38"/>
    </row>
    <row r="70" spans="1:20" s="708" customFormat="1" ht="15" customHeight="1">
      <c r="A70" s="1270"/>
      <c r="B70" s="1332"/>
      <c r="C70" s="1331" t="s">
        <v>896</v>
      </c>
      <c r="D70" s="353"/>
      <c r="E70" s="280"/>
      <c r="F70" s="1628">
        <f>'SDK7'!G102</f>
        <v>16</v>
      </c>
      <c r="G70" s="1627" t="s">
        <v>171</v>
      </c>
      <c r="H70" s="1623">
        <f>I9+I10</f>
        <v>1300.0000000000002</v>
      </c>
      <c r="I70" s="1622"/>
      <c r="J70" s="1621"/>
      <c r="K70" s="1626">
        <f>L9+L10</f>
        <v>1625.0000000000005</v>
      </c>
      <c r="L70" s="1625"/>
      <c r="M70" s="1624"/>
      <c r="N70" s="1623">
        <f>O9+O10</f>
        <v>1950.0000000000005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9.4437322275745075</v>
      </c>
      <c r="K75" s="711"/>
      <c r="L75" s="1056"/>
      <c r="M75" s="1578">
        <f>(M23+M27+M34+M43+M60+M65+M67+M69+M71)*('SDK1'!$O$59%*$G$75/12)</f>
        <v>10.643211630498037</v>
      </c>
      <c r="N75" s="1580"/>
      <c r="O75" s="1579"/>
      <c r="P75" s="1578">
        <f>(P23+P27+P34+P43+P60+P65+P67+P69+P71)*('SDK1'!$O$59%*$G$75/12)</f>
        <v>11.663753533421566</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B101" s="35"/>
      <c r="L101" s="15"/>
      <c r="M101" s="35"/>
      <c r="N101" s="35"/>
      <c r="O101" s="35"/>
      <c r="P101" s="35"/>
      <c r="Q101" s="35"/>
    </row>
    <row r="102" spans="1:17">
      <c r="A102" s="35"/>
      <c r="B102" s="35"/>
      <c r="L102" s="15"/>
      <c r="M102" s="35"/>
      <c r="N102" s="35"/>
      <c r="O102" s="35"/>
      <c r="P102" s="35"/>
      <c r="Q102" s="35"/>
    </row>
    <row r="103" spans="1:17">
      <c r="A103" s="35"/>
      <c r="B103" s="35"/>
      <c r="L103" s="15"/>
      <c r="M103" s="35"/>
      <c r="N103" s="35"/>
      <c r="O103" s="35"/>
      <c r="P103" s="35"/>
      <c r="Q103" s="35"/>
    </row>
    <row r="104" spans="1:17">
      <c r="A104" s="35"/>
      <c r="B104" s="35"/>
      <c r="L104" s="15"/>
      <c r="M104" s="35"/>
      <c r="N104" s="35"/>
      <c r="O104" s="35"/>
      <c r="P104" s="35"/>
      <c r="Q104" s="35"/>
    </row>
    <row r="105" spans="1:17">
      <c r="A105" s="35"/>
      <c r="B105" s="35"/>
      <c r="L105" s="15"/>
      <c r="M105" s="35"/>
      <c r="N105" s="35"/>
      <c r="O105" s="35"/>
      <c r="P105" s="35"/>
      <c r="Q105" s="35"/>
    </row>
    <row r="106" spans="1:17">
      <c r="A106" s="35"/>
      <c r="B106" s="35"/>
      <c r="L106" s="15"/>
      <c r="M106" s="35"/>
      <c r="N106" s="35"/>
      <c r="O106" s="35"/>
      <c r="P106" s="35"/>
      <c r="Q106" s="35"/>
    </row>
    <row r="107" spans="1:17">
      <c r="A107" s="35"/>
      <c r="B107" s="35"/>
      <c r="L107" s="15"/>
      <c r="M107" s="35"/>
      <c r="N107" s="35"/>
      <c r="O107" s="35"/>
      <c r="P107" s="35"/>
      <c r="Q107" s="35"/>
    </row>
    <row r="108" spans="1:17">
      <c r="A108" s="35"/>
      <c r="B108" s="35"/>
      <c r="L108" s="15"/>
      <c r="M108" s="35"/>
      <c r="N108" s="35"/>
      <c r="O108" s="35"/>
      <c r="P108" s="35"/>
      <c r="Q108" s="35"/>
    </row>
    <row r="109" spans="1:17">
      <c r="A109" s="35"/>
      <c r="B109" s="35"/>
      <c r="L109" s="15"/>
      <c r="M109" s="35"/>
      <c r="N109" s="35"/>
      <c r="O109" s="35"/>
      <c r="P109" s="35"/>
      <c r="Q109" s="35"/>
    </row>
    <row r="110" spans="1:17">
      <c r="A110" s="35"/>
      <c r="B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G114" s="39">
        <f>'SDK3'!C122</f>
        <v>0</v>
      </c>
      <c r="L114" s="15"/>
      <c r="M114" s="35"/>
      <c r="N114" s="35"/>
      <c r="O114" s="35"/>
      <c r="P114" s="35"/>
      <c r="Q114" s="35"/>
    </row>
    <row r="115" spans="1:17">
      <c r="A115" s="35"/>
      <c r="L115" s="15"/>
      <c r="M115" s="35"/>
      <c r="N115" s="35"/>
      <c r="O115" s="35"/>
      <c r="P115" s="35"/>
      <c r="Q115" s="35"/>
    </row>
    <row r="116" spans="1:17">
      <c r="A116" s="35"/>
      <c r="G116" s="39">
        <f>'SDK3'!C124</f>
        <v>0</v>
      </c>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23"/>
      <c r="C120" s="15"/>
      <c r="L120" s="15"/>
      <c r="M120" s="35"/>
      <c r="N120" s="35"/>
      <c r="O120" s="35"/>
      <c r="P120" s="35"/>
      <c r="Q120" s="35"/>
    </row>
    <row r="121" spans="1:17">
      <c r="A121" s="35"/>
      <c r="B121" s="623"/>
      <c r="C121" s="15"/>
      <c r="L121" s="15"/>
      <c r="M121" s="35"/>
      <c r="N121" s="35"/>
      <c r="O121" s="35"/>
      <c r="P121" s="35"/>
      <c r="Q121" s="35"/>
    </row>
    <row r="122" spans="1:17">
      <c r="A122" s="35"/>
      <c r="B122" s="623"/>
      <c r="C122" s="15"/>
      <c r="L122" s="15"/>
      <c r="M122" s="35"/>
      <c r="N122" s="35"/>
      <c r="O122" s="35"/>
      <c r="P122" s="35"/>
      <c r="Q122" s="35"/>
    </row>
    <row r="123" spans="1:17">
      <c r="A123" s="35"/>
      <c r="B123" s="623"/>
      <c r="C123" s="15"/>
      <c r="L123" s="15"/>
      <c r="M123" s="35"/>
      <c r="N123" s="35"/>
      <c r="O123" s="35"/>
      <c r="P123" s="35"/>
      <c r="Q123" s="35"/>
    </row>
    <row r="124" spans="1:17">
      <c r="A124" s="35"/>
      <c r="B124" s="623"/>
      <c r="C124" s="15"/>
      <c r="L124" s="15"/>
      <c r="M124" s="35"/>
      <c r="N124" s="35"/>
      <c r="O124" s="35"/>
      <c r="P124" s="35"/>
      <c r="Q124" s="35"/>
    </row>
    <row r="125" spans="1:17">
      <c r="A125" s="35"/>
      <c r="B125" s="623"/>
      <c r="C125" s="15"/>
      <c r="L125" s="15"/>
      <c r="M125" s="35"/>
      <c r="N125" s="35"/>
      <c r="O125" s="35"/>
      <c r="P125" s="35"/>
      <c r="Q125" s="35"/>
    </row>
    <row r="126" spans="1:17">
      <c r="A126" s="35"/>
      <c r="B126" s="623"/>
      <c r="C126" s="15"/>
      <c r="L126" s="15"/>
      <c r="M126" s="35"/>
      <c r="N126" s="35"/>
      <c r="O126" s="35"/>
      <c r="P126" s="35"/>
      <c r="Q126" s="35"/>
    </row>
    <row r="127" spans="1:17">
      <c r="A127" s="35"/>
      <c r="B127" s="623"/>
      <c r="C127" s="15"/>
      <c r="L127" s="15"/>
      <c r="M127" s="35"/>
      <c r="N127" s="35"/>
      <c r="O127" s="35"/>
      <c r="P127" s="35"/>
      <c r="Q127" s="35"/>
    </row>
    <row r="128" spans="1:17">
      <c r="A128" s="35"/>
      <c r="B128" s="623"/>
      <c r="C128" s="15"/>
      <c r="L128" s="15"/>
      <c r="M128" s="35"/>
      <c r="N128" s="35"/>
      <c r="O128" s="35"/>
      <c r="P128" s="35"/>
      <c r="Q128" s="35"/>
    </row>
    <row r="129" spans="1:17">
      <c r="A129" s="35"/>
      <c r="B129" s="623"/>
      <c r="C129" s="15"/>
      <c r="L129" s="15"/>
      <c r="M129" s="35"/>
      <c r="N129" s="35"/>
      <c r="O129" s="35"/>
      <c r="P129" s="35"/>
      <c r="Q129" s="35"/>
    </row>
    <row r="130" spans="1:17">
      <c r="A130" s="35"/>
      <c r="B130" s="623"/>
      <c r="C130" s="15"/>
      <c r="L130" s="15"/>
      <c r="M130" s="35"/>
      <c r="N130" s="35"/>
      <c r="O130" s="35"/>
      <c r="P130" s="35"/>
      <c r="Q130" s="35"/>
    </row>
    <row r="131" spans="1:17">
      <c r="A131" s="35"/>
      <c r="B131" s="623"/>
      <c r="C131" s="15"/>
      <c r="L131" s="15"/>
      <c r="M131" s="35"/>
      <c r="N131" s="35"/>
      <c r="O131" s="35"/>
      <c r="P131" s="35"/>
      <c r="Q131" s="35"/>
    </row>
    <row r="132" spans="1:17">
      <c r="A132" s="35"/>
      <c r="B132" s="623"/>
      <c r="C132" s="15"/>
      <c r="L132" s="15"/>
      <c r="M132" s="35"/>
      <c r="N132" s="35"/>
      <c r="O132" s="35"/>
      <c r="P132" s="35"/>
      <c r="Q132" s="35"/>
    </row>
    <row r="133" spans="1:17">
      <c r="A133" s="35"/>
      <c r="B133" s="623"/>
      <c r="C133" s="15"/>
      <c r="L133" s="15"/>
      <c r="M133" s="35"/>
      <c r="N133" s="35"/>
      <c r="O133" s="35"/>
      <c r="P133" s="35"/>
      <c r="Q133" s="35"/>
    </row>
    <row r="134" spans="1:17">
      <c r="A134" s="35"/>
      <c r="B134" s="623"/>
      <c r="C134" s="15"/>
      <c r="L134" s="15"/>
      <c r="M134" s="35"/>
      <c r="N134" s="35"/>
      <c r="O134" s="35"/>
      <c r="P134" s="35"/>
      <c r="Q134" s="35"/>
    </row>
    <row r="135" spans="1:17">
      <c r="A135" s="35"/>
      <c r="B135" s="623"/>
      <c r="C135" s="15"/>
      <c r="L135" s="15"/>
      <c r="M135" s="35"/>
      <c r="N135" s="35"/>
      <c r="O135" s="35"/>
      <c r="P135" s="35"/>
      <c r="Q135" s="35"/>
    </row>
    <row r="136" spans="1:17">
      <c r="A136" s="35"/>
      <c r="B136" s="623"/>
      <c r="C136" s="15"/>
      <c r="L136" s="15"/>
      <c r="M136" s="35"/>
      <c r="N136" s="35"/>
      <c r="O136" s="35"/>
      <c r="P136" s="35"/>
      <c r="Q136" s="35"/>
    </row>
    <row r="137" spans="1:17">
      <c r="A137" s="35"/>
      <c r="B137" s="623"/>
      <c r="C137" s="15"/>
      <c r="L137" s="15"/>
      <c r="M137" s="35"/>
      <c r="N137" s="35"/>
      <c r="O137" s="35"/>
      <c r="P137" s="35"/>
      <c r="Q137" s="35"/>
    </row>
    <row r="138" spans="1:17">
      <c r="A138" s="35"/>
      <c r="B138" s="623"/>
      <c r="C138" s="15"/>
      <c r="L138" s="15"/>
      <c r="M138" s="35"/>
      <c r="N138" s="35"/>
      <c r="O138" s="35"/>
      <c r="P138" s="35"/>
      <c r="Q138" s="35"/>
    </row>
    <row r="139" spans="1:17">
      <c r="A139" s="35"/>
      <c r="B139" s="623"/>
      <c r="C139" s="15"/>
      <c r="L139" s="15"/>
      <c r="M139" s="35"/>
      <c r="N139" s="35"/>
      <c r="O139" s="35"/>
      <c r="P139" s="35"/>
      <c r="Q139" s="35"/>
    </row>
    <row r="140" spans="1:17">
      <c r="A140" s="35"/>
      <c r="B140" s="623"/>
      <c r="C140" s="15"/>
      <c r="L140" s="15"/>
      <c r="M140" s="35"/>
      <c r="N140" s="35"/>
      <c r="O140" s="35"/>
      <c r="P140" s="35"/>
      <c r="Q140" s="35"/>
    </row>
    <row r="141" spans="1:17">
      <c r="A141" s="35"/>
      <c r="B141" s="623"/>
      <c r="C141" s="15"/>
      <c r="L141" s="15"/>
      <c r="M141" s="35"/>
      <c r="N141" s="35"/>
      <c r="O141" s="35"/>
      <c r="P141" s="35"/>
      <c r="Q141" s="35"/>
    </row>
    <row r="142" spans="1:17">
      <c r="A142" s="35"/>
      <c r="B142" s="623"/>
      <c r="C142" s="15"/>
      <c r="L142" s="15"/>
    </row>
    <row r="143" spans="1:17">
      <c r="A143" s="35"/>
      <c r="B143" s="623"/>
      <c r="C143" s="15"/>
      <c r="L143" s="15"/>
    </row>
    <row r="144" spans="1:17">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D149" s="15"/>
      <c r="F149" s="15"/>
      <c r="G149" s="15"/>
      <c r="H149" s="15"/>
      <c r="I149" s="15"/>
      <c r="J149" s="15"/>
      <c r="M149" s="35"/>
      <c r="N149" s="35"/>
      <c r="O149" s="35"/>
      <c r="P149" s="35"/>
      <c r="Q149" s="35"/>
    </row>
    <row r="150" spans="1:17">
      <c r="A150" s="35"/>
      <c r="B150" s="623"/>
      <c r="C150" s="15"/>
      <c r="D150" s="15"/>
      <c r="F150" s="15"/>
      <c r="G150" s="15"/>
      <c r="H150" s="15"/>
      <c r="I150" s="15"/>
      <c r="J150" s="15"/>
      <c r="M150" s="35"/>
      <c r="N150" s="35"/>
      <c r="O150" s="35"/>
      <c r="P150" s="35"/>
      <c r="Q150" s="35"/>
    </row>
    <row r="151" spans="1:17">
      <c r="A151" s="35"/>
      <c r="B151" s="623"/>
      <c r="C151" s="15"/>
      <c r="D151" s="15"/>
      <c r="F151" s="15"/>
      <c r="G151" s="15"/>
      <c r="H151" s="15"/>
      <c r="I151" s="15"/>
      <c r="J151" s="15"/>
      <c r="M151" s="35"/>
      <c r="N151" s="35"/>
      <c r="O151" s="35"/>
      <c r="P151" s="35"/>
      <c r="Q151" s="35"/>
    </row>
    <row r="152" spans="1:17">
      <c r="A152" s="35"/>
      <c r="B152" s="623"/>
      <c r="C152" s="15"/>
      <c r="D152" s="15"/>
      <c r="F152" s="15"/>
      <c r="G152" s="15"/>
      <c r="H152" s="15"/>
      <c r="I152" s="15"/>
      <c r="J152" s="15"/>
      <c r="M152" s="35"/>
      <c r="N152" s="35"/>
      <c r="O152" s="35"/>
      <c r="P152" s="35"/>
      <c r="Q152" s="35"/>
    </row>
    <row r="153" spans="1:17">
      <c r="A153" s="35"/>
      <c r="B153" s="623"/>
      <c r="C153" s="15"/>
      <c r="D153" s="15"/>
      <c r="F153" s="15"/>
      <c r="G153" s="15"/>
      <c r="H153" s="15"/>
      <c r="I153" s="15"/>
      <c r="J153" s="15"/>
      <c r="M153" s="35"/>
      <c r="N153" s="35"/>
      <c r="O153" s="35"/>
      <c r="P153" s="35"/>
      <c r="Q153" s="35"/>
    </row>
    <row r="154" spans="1:17">
      <c r="A154" s="35"/>
      <c r="B154" s="623"/>
      <c r="C154" s="15"/>
      <c r="D154" s="15"/>
      <c r="F154" s="15"/>
      <c r="G154" s="15"/>
      <c r="H154" s="15"/>
      <c r="I154" s="15"/>
      <c r="J154" s="15"/>
      <c r="M154" s="35"/>
      <c r="N154" s="35"/>
      <c r="O154" s="35"/>
      <c r="P154" s="35"/>
      <c r="Q154" s="35"/>
    </row>
    <row r="155" spans="1:17">
      <c r="A155" s="35"/>
      <c r="B155" s="623"/>
      <c r="C155" s="15"/>
      <c r="D155" s="15"/>
      <c r="F155" s="15"/>
      <c r="G155" s="15"/>
      <c r="H155" s="15"/>
      <c r="I155" s="15"/>
      <c r="J155" s="15"/>
      <c r="M155" s="35"/>
      <c r="N155" s="35"/>
      <c r="O155" s="35"/>
      <c r="P155" s="35"/>
      <c r="Q155" s="35"/>
    </row>
    <row r="156" spans="1:17">
      <c r="A156" s="35"/>
      <c r="B156" s="623"/>
      <c r="C156" s="15"/>
      <c r="D156" s="15"/>
      <c r="F156" s="15"/>
      <c r="G156" s="15"/>
      <c r="H156" s="15"/>
      <c r="I156" s="15"/>
      <c r="J156" s="15"/>
      <c r="M156" s="35"/>
      <c r="N156" s="35"/>
      <c r="O156" s="35"/>
      <c r="P156" s="35"/>
      <c r="Q156" s="35"/>
    </row>
    <row r="157" spans="1:17">
      <c r="A157" s="35"/>
      <c r="B157" s="623"/>
      <c r="C157" s="15"/>
      <c r="D157" s="15"/>
      <c r="F157" s="15"/>
      <c r="G157" s="15"/>
      <c r="H157" s="15"/>
      <c r="I157" s="15"/>
      <c r="J157" s="15"/>
      <c r="M157" s="35"/>
      <c r="N157" s="35"/>
      <c r="O157" s="35"/>
      <c r="P157" s="35"/>
      <c r="Q157" s="35"/>
    </row>
    <row r="158" spans="1:17">
      <c r="A158" s="35"/>
      <c r="B158" s="623"/>
      <c r="C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B23" location="Sonstige!A1" display=" Saatgut"/>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18" orientation="portrait" r:id="rId1"/>
  <headerFooter alignWithMargins="0">
    <oddFooter>&amp;L&amp;11LEL Schwäbisch Gmünd&amp;C25&amp;R&amp;11&amp;F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12</xdr:col>
                    <xdr:colOff>123825</xdr:colOff>
                    <xdr:row>3</xdr:row>
                    <xdr:rowOff>9525</xdr:rowOff>
                  </from>
                  <to>
                    <xdr:col>12</xdr:col>
                    <xdr:colOff>381000</xdr:colOff>
                    <xdr:row>3</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12</xdr:col>
                    <xdr:colOff>123825</xdr:colOff>
                    <xdr:row>2</xdr:row>
                    <xdr:rowOff>38100</xdr:rowOff>
                  </from>
                  <to>
                    <xdr:col>12</xdr:col>
                    <xdr:colOff>390525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tabColor rgb="FFFFC0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4.37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3" width="0" style="35" hidden="1" customWidth="1"/>
    <col min="34" max="16384" width="10.5" style="35"/>
  </cols>
  <sheetData>
    <row r="1" spans="1:41" s="1891" customFormat="1" ht="30.4" customHeight="1">
      <c r="A1" s="1895"/>
      <c r="B1" s="326"/>
      <c r="C1" s="1908"/>
      <c r="D1" s="1827"/>
      <c r="E1" s="323"/>
      <c r="F1" s="323"/>
      <c r="G1" s="607"/>
      <c r="H1" s="1902"/>
      <c r="I1" s="1907" t="s">
        <v>1264</v>
      </c>
      <c r="J1" s="1906">
        <f>(J7+J13+J18+J22+I11+I12)-(J23+J27+J34+J43+J60+J65+J67+J69+J71+J75)</f>
        <v>720.81137248471384</v>
      </c>
      <c r="K1" s="4859">
        <f>M1-J1</f>
        <v>131.30106370954877</v>
      </c>
      <c r="L1" s="4859"/>
      <c r="M1" s="1906">
        <f>(M7+M13+M18+M22+L11+L12)-(M23+M27+M34+M43+M60+M65+M67+M69+M71+M75)</f>
        <v>852.11243619426261</v>
      </c>
      <c r="N1" s="4859">
        <f>P1-M1</f>
        <v>124.21094618974894</v>
      </c>
      <c r="O1" s="4859"/>
      <c r="P1" s="1906">
        <f>(P7+P13+P18+P22+O11+O12)-(P23+P27+P34+P43+P60+P65+P67+P69+P71+P75)</f>
        <v>976.32338238401155</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90</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55</v>
      </c>
      <c r="K6" s="4849" t="s">
        <v>152</v>
      </c>
      <c r="L6" s="4850"/>
      <c r="M6" s="1887">
        <v>65</v>
      </c>
      <c r="N6" s="4864" t="s">
        <v>178</v>
      </c>
      <c r="O6" s="4865"/>
      <c r="P6" s="1886">
        <v>75</v>
      </c>
      <c r="Q6" s="70"/>
    </row>
    <row r="7" spans="1:41" s="252" customFormat="1" ht="18.75" customHeight="1">
      <c r="A7" s="47"/>
      <c r="B7" s="311" t="s">
        <v>1258</v>
      </c>
      <c r="C7" s="47"/>
      <c r="D7" s="47"/>
      <c r="E7" s="47"/>
      <c r="F7" s="47"/>
      <c r="G7" s="1884"/>
      <c r="H7" s="1881"/>
      <c r="I7" s="1880"/>
      <c r="J7" s="1614">
        <f>SUM(I9:I10)</f>
        <v>1070.6666666666665</v>
      </c>
      <c r="K7" s="1883"/>
      <c r="L7" s="1882"/>
      <c r="M7" s="1617">
        <f>SUM(L9:L10)</f>
        <v>1265.3333333333333</v>
      </c>
      <c r="N7" s="1881"/>
      <c r="O7" s="1880"/>
      <c r="P7" s="1614">
        <f>SUM(O9:O10)</f>
        <v>1459.9999999999998</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'SDK1'!O20</f>
        <v>19.466666666666665</v>
      </c>
      <c r="H9" s="1877">
        <f>J6-H10</f>
        <v>55</v>
      </c>
      <c r="I9" s="1873">
        <f>H9*G9</f>
        <v>1070.6666666666665</v>
      </c>
      <c r="J9" s="43"/>
      <c r="K9" s="1876">
        <f>M6-K10</f>
        <v>65</v>
      </c>
      <c r="L9" s="1875">
        <f>K9*G9</f>
        <v>1265.3333333333333</v>
      </c>
      <c r="M9" s="1854"/>
      <c r="N9" s="1874">
        <f>P6-N10</f>
        <v>75</v>
      </c>
      <c r="O9" s="1873">
        <f>N9*G9</f>
        <v>1459.9999999999998</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0.9</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180</v>
      </c>
      <c r="K13" s="1826"/>
      <c r="L13" s="1825"/>
      <c r="M13" s="1617">
        <f>SUM(L14:L17)</f>
        <v>180</v>
      </c>
      <c r="N13" s="1824"/>
      <c r="O13" s="1823"/>
      <c r="P13" s="1614">
        <f>SUM(O14:O17)</f>
        <v>180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t="s">
        <v>2109</v>
      </c>
      <c r="D15" s="4833"/>
      <c r="E15" s="4833"/>
      <c r="F15" s="4833"/>
      <c r="G15" s="1837"/>
      <c r="H15" s="1836" t="s">
        <v>1299</v>
      </c>
      <c r="I15" s="1817">
        <f>IF(H15="ja",$Q15,0)</f>
        <v>80</v>
      </c>
      <c r="J15" s="1918"/>
      <c r="K15" s="1836" t="s">
        <v>1299</v>
      </c>
      <c r="L15" s="1671">
        <f>IF(K15="ja",$Q15,0)</f>
        <v>80</v>
      </c>
      <c r="M15" s="1589"/>
      <c r="N15" s="1836" t="s">
        <v>1299</v>
      </c>
      <c r="O15" s="1817">
        <f>IF(N15="ja",$Q15,0)</f>
        <v>80</v>
      </c>
      <c r="P15" s="1586"/>
      <c r="Q15" s="1835">
        <f>IF(C15=0,0,VLOOKUP(C15,'SD2'!$C$11:$N$49,'SD2'!$N$1,FALSE))</f>
        <v>80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535.4</v>
      </c>
      <c r="S19" s="1815">
        <f>M13+M18</f>
        <v>535.4</v>
      </c>
      <c r="T19" s="1814">
        <f>P13+P18</f>
        <v>535.4</v>
      </c>
    </row>
    <row r="20" spans="1:26" s="42" customFormat="1" ht="15">
      <c r="A20" s="3908"/>
      <c r="B20" s="1821"/>
      <c r="C20" s="4034" t="s">
        <v>2182</v>
      </c>
      <c r="D20" s="4034"/>
      <c r="E20" s="4034"/>
      <c r="F20" s="4034"/>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82.5</v>
      </c>
      <c r="K23" s="1619"/>
      <c r="L23" s="1618"/>
      <c r="M23" s="1800">
        <f>SUM(L25:L26)</f>
        <v>82.5</v>
      </c>
      <c r="N23" s="1616"/>
      <c r="O23" s="1615"/>
      <c r="P23" s="1599">
        <f>SUM(O25:O26)</f>
        <v>62.099999999999994</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t="s">
        <v>1267</v>
      </c>
      <c r="E25" s="4852"/>
      <c r="F25" s="1795">
        <f>'SDK7'!F49/100</f>
        <v>0.75</v>
      </c>
      <c r="G25" s="1794">
        <f>F25*(100+$D$24)/100</f>
        <v>0.75</v>
      </c>
      <c r="H25" s="1793">
        <v>110</v>
      </c>
      <c r="I25" s="1754">
        <f>H25*$G25</f>
        <v>82.5</v>
      </c>
      <c r="J25" s="45"/>
      <c r="K25" s="1793">
        <f>H25</f>
        <v>110</v>
      </c>
      <c r="L25" s="1596">
        <f>K25*$G25</f>
        <v>82.5</v>
      </c>
      <c r="M25" s="1589"/>
      <c r="N25" s="1793"/>
      <c r="O25" s="1754">
        <f>N25*$G25</f>
        <v>0</v>
      </c>
      <c r="P25" s="1718"/>
      <c r="Q25" s="38"/>
    </row>
    <row r="26" spans="1:26" s="42" customFormat="1" ht="15" customHeight="1">
      <c r="A26" s="1306"/>
      <c r="B26" s="1332"/>
      <c r="C26" s="1792"/>
      <c r="D26" s="4853" t="s">
        <v>1266</v>
      </c>
      <c r="E26" s="4854"/>
      <c r="F26" s="1791">
        <f>'SDK7'!F50/100</f>
        <v>0.69</v>
      </c>
      <c r="G26" s="1790">
        <f>F26*(100+$D$24)/100</f>
        <v>0.69</v>
      </c>
      <c r="H26" s="1789"/>
      <c r="I26" s="1750">
        <f>H26*$G26</f>
        <v>0</v>
      </c>
      <c r="J26" s="45"/>
      <c r="K26" s="1789">
        <f>H26</f>
        <v>0</v>
      </c>
      <c r="L26" s="1590">
        <f>K26*$G26</f>
        <v>0</v>
      </c>
      <c r="M26" s="1589"/>
      <c r="N26" s="1789">
        <v>90</v>
      </c>
      <c r="O26" s="1750">
        <f>N26*$G26</f>
        <v>62.099999999999994</v>
      </c>
      <c r="P26" s="1749"/>
      <c r="Q26" s="38"/>
    </row>
    <row r="27" spans="1:26" s="708" customFormat="1" ht="18.75" customHeight="1">
      <c r="A27" s="1270"/>
      <c r="B27" s="1788" t="s">
        <v>1240</v>
      </c>
      <c r="C27" s="1270"/>
      <c r="D27" s="73"/>
      <c r="E27" s="38"/>
      <c r="F27" s="38"/>
      <c r="G27" s="1787"/>
      <c r="H27" s="1746"/>
      <c r="I27" s="1745"/>
      <c r="J27" s="1614">
        <f>SUM(I30:I33)</f>
        <v>254.83683333333332</v>
      </c>
      <c r="K27" s="1748"/>
      <c r="L27" s="1747"/>
      <c r="M27" s="1617">
        <f>SUM(L30:L33)</f>
        <v>295.34049999999996</v>
      </c>
      <c r="N27" s="1746"/>
      <c r="O27" s="1745"/>
      <c r="P27" s="1614">
        <f>SUM(O30:O33)</f>
        <v>335.84416666666658</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1.51</v>
      </c>
      <c r="F30" s="1774">
        <f>VLOOKUP(K2,'SD8'!B9:L42,7,FALSE)</f>
        <v>0.44999999999999996</v>
      </c>
      <c r="G30" s="1773">
        <v>20</v>
      </c>
      <c r="H30" s="1771">
        <f>IF(J$6=0,0,(J$6*$E30+$G30+X14))</f>
        <v>103.05</v>
      </c>
      <c r="I30" s="1754">
        <f>H30*$D30</f>
        <v>165.22349999999997</v>
      </c>
      <c r="J30" s="45"/>
      <c r="K30" s="1772">
        <f>IF(M$6=0,0,(M$6*$E30+$G30+Y14))</f>
        <v>118.15</v>
      </c>
      <c r="L30" s="1596">
        <f>K30*$D30</f>
        <v>189.4338333333333</v>
      </c>
      <c r="M30" s="1589"/>
      <c r="N30" s="1771">
        <f>IF(P$6=0,0,(P$6*$E30+$G30+Z14))</f>
        <v>133.25</v>
      </c>
      <c r="O30" s="1754">
        <f>N30*$D30</f>
        <v>213.64416666666662</v>
      </c>
      <c r="P30" s="1718"/>
      <c r="Q30" s="38"/>
    </row>
    <row r="31" spans="1:26" s="42" customFormat="1" ht="15" customHeight="1">
      <c r="A31" s="1306"/>
      <c r="B31" s="274"/>
      <c r="C31" s="1306" t="s">
        <v>244</v>
      </c>
      <c r="D31" s="1723">
        <f>'SDK1'!O53</f>
        <v>1.0999999999999999</v>
      </c>
      <c r="E31" s="1774">
        <f>VLOOKUP(K2,'SD8'!B9:L42,4,FALSE)</f>
        <v>0.8</v>
      </c>
      <c r="F31" s="1774">
        <f>VLOOKUP(K2,'SD8'!B9:L42,8,FALSE)</f>
        <v>0.27</v>
      </c>
      <c r="G31" s="1773"/>
      <c r="H31" s="1771">
        <f>IF(J$6=0,0,(J$6*$E31+$G31+X15))</f>
        <v>44</v>
      </c>
      <c r="I31" s="1754">
        <f>H31*$D31</f>
        <v>48.399999999999991</v>
      </c>
      <c r="J31" s="45"/>
      <c r="K31" s="1772">
        <f>IF(M$6=0,0,(M$6*$E31+$G31+Y15))</f>
        <v>52</v>
      </c>
      <c r="L31" s="1596">
        <f>K31*$D31</f>
        <v>57.199999999999996</v>
      </c>
      <c r="M31" s="1589"/>
      <c r="N31" s="1771">
        <f>IF(P$6=0,0,(P$6*$E31+$G31+Z15))</f>
        <v>60</v>
      </c>
      <c r="O31" s="1754">
        <f>N31*$D31</f>
        <v>65.999999999999986</v>
      </c>
      <c r="P31" s="1718"/>
      <c r="Q31" s="38"/>
    </row>
    <row r="32" spans="1:26" s="42" customFormat="1" ht="15" customHeight="1">
      <c r="A32" s="1306"/>
      <c r="B32" s="274"/>
      <c r="C32" s="1306" t="s">
        <v>242</v>
      </c>
      <c r="D32" s="1723">
        <f>'SDK1'!O54</f>
        <v>1.02</v>
      </c>
      <c r="E32" s="1774">
        <f>VLOOKUP(K2,'SD8'!B9:L42,5,FALSE)</f>
        <v>0.6</v>
      </c>
      <c r="F32" s="1774">
        <f>VLOOKUP(K2,'SD8'!B9:L42,9,FALSE)</f>
        <v>1.7999999999999998</v>
      </c>
      <c r="G32" s="1773"/>
      <c r="H32" s="1771">
        <f>IF(J$6=0,0,(J$6*$E32+$G32+X16))</f>
        <v>33</v>
      </c>
      <c r="I32" s="1754">
        <f>H32*$D32</f>
        <v>33.660000000000004</v>
      </c>
      <c r="J32" s="45"/>
      <c r="K32" s="1772">
        <f>IF(M$6=0,0,(M$6*$E32+$G32+Y16))</f>
        <v>39</v>
      </c>
      <c r="L32" s="1596">
        <f>K32*$D32</f>
        <v>39.78</v>
      </c>
      <c r="M32" s="1589"/>
      <c r="N32" s="1771">
        <f>IF(P$6=0,0,(P$6*$E32+$G32+Z16))</f>
        <v>45</v>
      </c>
      <c r="O32" s="1754">
        <f>N32*$D32</f>
        <v>45.9</v>
      </c>
      <c r="P32" s="1718"/>
      <c r="Q32" s="38"/>
    </row>
    <row r="33" spans="1:17" s="42" customFormat="1" ht="15" customHeight="1">
      <c r="A33" s="1306"/>
      <c r="B33" s="239"/>
      <c r="C33" s="1331" t="s">
        <v>240</v>
      </c>
      <c r="D33" s="1706">
        <f>'SDK1'!O55</f>
        <v>0.68666666666666676</v>
      </c>
      <c r="E33" s="1770">
        <f>VLOOKUP(K2,'SD8'!B9:L42,6,FALSE)</f>
        <v>0.2</v>
      </c>
      <c r="F33" s="1770">
        <f>VLOOKUP(K2,'SD8'!B9:L42,10,FALSE)</f>
        <v>0.18</v>
      </c>
      <c r="G33" s="1769"/>
      <c r="H33" s="1767">
        <f>IF(J$6=0,0,(J$6*$E33+$G33+X17))</f>
        <v>11</v>
      </c>
      <c r="I33" s="1750">
        <f>H33*$D33</f>
        <v>7.5533333333333346</v>
      </c>
      <c r="J33" s="45"/>
      <c r="K33" s="1768">
        <f>IF(M$6=0,0,(M$6*$E33+$G33+Y17))</f>
        <v>13</v>
      </c>
      <c r="L33" s="1590">
        <f>K33*$D33</f>
        <v>8.9266666666666676</v>
      </c>
      <c r="M33" s="1589"/>
      <c r="N33" s="1767">
        <f>IF(P$6=0,0,(P$6*$E33+$G33+Z17))</f>
        <v>15</v>
      </c>
      <c r="O33" s="1750">
        <f>N33*$D33</f>
        <v>10.3</v>
      </c>
      <c r="P33" s="1749"/>
      <c r="Q33" s="38"/>
    </row>
    <row r="34" spans="1:17" s="708" customFormat="1" ht="18.75" customHeight="1">
      <c r="A34" s="1270"/>
      <c r="B34" s="1276" t="s">
        <v>1234</v>
      </c>
      <c r="C34" s="1270"/>
      <c r="D34" s="37"/>
      <c r="E34" s="37"/>
      <c r="F34" s="4831" t="s">
        <v>1233</v>
      </c>
      <c r="G34" s="4832"/>
      <c r="H34" s="1764"/>
      <c r="I34" s="1763"/>
      <c r="J34" s="1614">
        <f>SUM(I36:I42)</f>
        <v>132.58799999999999</v>
      </c>
      <c r="K34" s="1766"/>
      <c r="L34" s="1765"/>
      <c r="M34" s="1617">
        <f>SUM(L36:L42)</f>
        <v>132.58799999999999</v>
      </c>
      <c r="N34" s="1764"/>
      <c r="O34" s="1763"/>
      <c r="P34" s="1614">
        <f>SUM(O36:O42)</f>
        <v>150.64800000000002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706</v>
      </c>
      <c r="D36" s="4857"/>
      <c r="E36" s="4858"/>
      <c r="F36" s="1756">
        <f>IF(C36="",0,VLOOKUP(C36,'SDK5'!C3:AF83,2,FALSE))</f>
        <v>290.39999999999998</v>
      </c>
      <c r="G36" s="1756">
        <f t="shared" ref="G36:G42" si="0">F36*(100+$D$35)/100</f>
        <v>290.39999999999998</v>
      </c>
      <c r="H36" s="1755">
        <v>0.22</v>
      </c>
      <c r="I36" s="1754">
        <f t="shared" ref="I36:I42" si="1">$G36*H36</f>
        <v>63.887999999999998</v>
      </c>
      <c r="J36" s="45"/>
      <c r="K36" s="1755">
        <v>0.22</v>
      </c>
      <c r="L36" s="1596">
        <f t="shared" ref="L36:L42" si="2">$G36*K36</f>
        <v>63.887999999999998</v>
      </c>
      <c r="M36" s="1589"/>
      <c r="N36" s="1755">
        <v>0.22</v>
      </c>
      <c r="O36" s="1754">
        <f t="shared" ref="O36:O42" si="3">$G36*N36</f>
        <v>63.887999999999998</v>
      </c>
      <c r="P36" s="1758"/>
      <c r="Q36" s="38"/>
    </row>
    <row r="37" spans="1:17" s="42" customFormat="1" ht="15" customHeight="1">
      <c r="A37" s="1306"/>
      <c r="B37" s="1594"/>
      <c r="C37" s="4855" t="s">
        <v>700</v>
      </c>
      <c r="D37" s="4855"/>
      <c r="E37" s="4856"/>
      <c r="F37" s="1756">
        <f>IF(C37="",0,VLOOKUP(C37,'SDK5'!C4:AF84,2,FALSE))</f>
        <v>5.5</v>
      </c>
      <c r="G37" s="1756">
        <f t="shared" si="0"/>
        <v>5.5</v>
      </c>
      <c r="H37" s="1755"/>
      <c r="I37" s="1754">
        <f t="shared" si="1"/>
        <v>0</v>
      </c>
      <c r="J37" s="45"/>
      <c r="K37" s="1755"/>
      <c r="L37" s="1596">
        <f t="shared" si="2"/>
        <v>0</v>
      </c>
      <c r="M37" s="1589"/>
      <c r="N37" s="1755">
        <v>1</v>
      </c>
      <c r="O37" s="1754">
        <f t="shared" si="3"/>
        <v>5.5</v>
      </c>
      <c r="P37" s="1718"/>
      <c r="Q37" s="38"/>
    </row>
    <row r="38" spans="1:17" s="42" customFormat="1" ht="15" customHeight="1">
      <c r="A38" s="1306"/>
      <c r="B38" s="1757"/>
      <c r="C38" s="4855" t="s">
        <v>678</v>
      </c>
      <c r="D38" s="4855"/>
      <c r="E38" s="4856"/>
      <c r="F38" s="1756">
        <f>IF(C38="",0,VLOOKUP(C38,'SDK5'!C5:AF85,2,FALSE))</f>
        <v>62.8</v>
      </c>
      <c r="G38" s="1756">
        <f t="shared" si="0"/>
        <v>62.8</v>
      </c>
      <c r="H38" s="1755"/>
      <c r="I38" s="1754">
        <f t="shared" si="1"/>
        <v>0</v>
      </c>
      <c r="J38" s="45"/>
      <c r="K38" s="1755"/>
      <c r="L38" s="1596">
        <f t="shared" si="2"/>
        <v>0</v>
      </c>
      <c r="M38" s="1589"/>
      <c r="N38" s="1755">
        <v>0.2</v>
      </c>
      <c r="O38" s="1754">
        <f t="shared" si="3"/>
        <v>12.56</v>
      </c>
      <c r="P38" s="1718"/>
      <c r="Q38" s="38"/>
    </row>
    <row r="39" spans="1:17" s="42" customFormat="1" ht="15" customHeight="1">
      <c r="A39" s="1306"/>
      <c r="B39" s="1594"/>
      <c r="C39" s="4855" t="s">
        <v>2066</v>
      </c>
      <c r="D39" s="4855"/>
      <c r="E39" s="4856"/>
      <c r="F39" s="1756">
        <f>IF(C39="",0,VLOOKUP(C39,'SDK5'!C6:AF86,2,FALSE))</f>
        <v>68.7</v>
      </c>
      <c r="G39" s="1756">
        <f t="shared" si="0"/>
        <v>68.7</v>
      </c>
      <c r="H39" s="1755">
        <v>1</v>
      </c>
      <c r="I39" s="1754">
        <f t="shared" si="1"/>
        <v>68.7</v>
      </c>
      <c r="J39" s="45"/>
      <c r="K39" s="1755">
        <v>1</v>
      </c>
      <c r="L39" s="1596">
        <f t="shared" si="2"/>
        <v>68.7</v>
      </c>
      <c r="M39" s="1589"/>
      <c r="N39" s="1755">
        <v>1</v>
      </c>
      <c r="O39" s="1754">
        <f t="shared" si="3"/>
        <v>68.7</v>
      </c>
      <c r="P39" s="1718"/>
      <c r="Q39" s="38"/>
    </row>
    <row r="40" spans="1:17" s="42" customFormat="1" ht="15" customHeight="1">
      <c r="A40" s="1306"/>
      <c r="B40" s="1594"/>
      <c r="C40" s="4855" t="s">
        <v>368</v>
      </c>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t="s">
        <v>368</v>
      </c>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139.34599980862745</v>
      </c>
      <c r="K43" s="1748"/>
      <c r="L43" s="1747"/>
      <c r="M43" s="1617">
        <f>SUM(M46:M57)</f>
        <v>140.49362975372549</v>
      </c>
      <c r="N43" s="1746"/>
      <c r="O43" s="1745"/>
      <c r="P43" s="1614">
        <f>SUM(P46:P57)</f>
        <v>151.00987681882353</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3</v>
      </c>
      <c r="O48" s="1719">
        <f t="shared" si="8"/>
        <v>0.96</v>
      </c>
      <c r="P48" s="1718">
        <f t="shared" si="9"/>
        <v>10.804246249411765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2</v>
      </c>
      <c r="I49" s="1719">
        <f t="shared" si="4"/>
        <v>0.72</v>
      </c>
      <c r="J49" s="1718">
        <f t="shared" si="5"/>
        <v>11.534403407058823</v>
      </c>
      <c r="K49" s="1720">
        <v>2</v>
      </c>
      <c r="L49" s="1722">
        <f t="shared" si="6"/>
        <v>0.72</v>
      </c>
      <c r="M49" s="1721">
        <f t="shared" si="7"/>
        <v>11.534403407058823</v>
      </c>
      <c r="N49" s="1720">
        <v>3</v>
      </c>
      <c r="O49" s="1719">
        <f t="shared" si="8"/>
        <v>1.08</v>
      </c>
      <c r="P49" s="1718">
        <f t="shared" si="9"/>
        <v>17.301605110588234</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0.91666666666666663</v>
      </c>
      <c r="I50" s="1719">
        <f t="shared" si="4"/>
        <v>0.3666666666666667</v>
      </c>
      <c r="J50" s="1718">
        <f t="shared" si="5"/>
        <v>6.3119646980392163</v>
      </c>
      <c r="K50" s="1720">
        <f>M6/60</f>
        <v>1.0833333333333333</v>
      </c>
      <c r="L50" s="1722">
        <f t="shared" si="6"/>
        <v>0.43333333333333335</v>
      </c>
      <c r="M50" s="1721">
        <f t="shared" si="7"/>
        <v>7.4595946431372555</v>
      </c>
      <c r="N50" s="1720">
        <f>P6/60</f>
        <v>1.25</v>
      </c>
      <c r="O50" s="1719">
        <f t="shared" si="8"/>
        <v>0.5</v>
      </c>
      <c r="P50" s="1718">
        <f t="shared" si="9"/>
        <v>8.6072245882352956</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5.1466666666666665</v>
      </c>
      <c r="J58" s="1701"/>
      <c r="K58" s="1700"/>
      <c r="L58" s="1699">
        <f>SUM($L$46:$L$57)</f>
        <v>5.2133333333333338</v>
      </c>
      <c r="M58" s="1698"/>
      <c r="N58" s="1697"/>
      <c r="O58" s="1696">
        <f>SUM($O$46:$O$57)</f>
        <v>5.96</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9.2639999999999993</v>
      </c>
      <c r="J59" s="1686"/>
      <c r="K59" s="1691"/>
      <c r="L59" s="1690">
        <f>IF(L58+SUM($L$46:$L$57)*$E$59%&gt;L58+10,L58+10,L58+SUM($L$46:$L$57)*$E$59%)</f>
        <v>9.3840000000000003</v>
      </c>
      <c r="M59" s="1689"/>
      <c r="N59" s="1688"/>
      <c r="O59" s="1687">
        <f>IF(O58+SUM($O$46:$O$57)*$E$59%&gt;O58+10,O58+10,O58+SUM($O$46:$O$57)*$E$59%)</f>
        <v>10.728</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99.275000000000006</v>
      </c>
      <c r="K67" s="1641" t="s">
        <v>1217</v>
      </c>
      <c r="L67" s="1640" t="s">
        <v>1216</v>
      </c>
      <c r="M67" s="1617">
        <f>S68*(K9+K10)*L68%+F68</f>
        <v>117.32500000000002</v>
      </c>
      <c r="N67" s="1639" t="s">
        <v>1217</v>
      </c>
      <c r="O67" s="1638" t="s">
        <v>1216</v>
      </c>
      <c r="P67" s="1614">
        <f>T68*(N9+N10)*O68%+F68</f>
        <v>135.375</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17.130666666666663</v>
      </c>
      <c r="K69" s="1630"/>
      <c r="L69" s="1629"/>
      <c r="M69" s="1617">
        <f>K70*$F70/1000</f>
        <v>20.245333333333331</v>
      </c>
      <c r="N69" s="44"/>
      <c r="O69" s="73"/>
      <c r="P69" s="1614">
        <f>N70*$F70/1000</f>
        <v>23.359999999999996</v>
      </c>
      <c r="Q69" s="38"/>
    </row>
    <row r="70" spans="1:20" s="708" customFormat="1" ht="15" customHeight="1">
      <c r="A70" s="1270"/>
      <c r="B70" s="1332"/>
      <c r="C70" s="1331" t="s">
        <v>896</v>
      </c>
      <c r="D70" s="353"/>
      <c r="E70" s="280"/>
      <c r="F70" s="1628">
        <f>'SDK7'!G102</f>
        <v>16</v>
      </c>
      <c r="G70" s="1627" t="s">
        <v>171</v>
      </c>
      <c r="H70" s="1623">
        <f>I9+I10</f>
        <v>1070.6666666666665</v>
      </c>
      <c r="I70" s="1622"/>
      <c r="J70" s="1621"/>
      <c r="K70" s="1626">
        <f>L9+L10</f>
        <v>1265.3333333333333</v>
      </c>
      <c r="L70" s="1625"/>
      <c r="M70" s="1624"/>
      <c r="N70" s="1623">
        <f>O9+O10</f>
        <v>1459.9999999999998</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7.6787943733254886</v>
      </c>
      <c r="K75" s="711"/>
      <c r="L75" s="1056"/>
      <c r="M75" s="1578">
        <f>(M23+M27+M34+M43+M60+M65+M67+M69+M71)*('SDK1'!$O$59%*$G$75/12)</f>
        <v>8.2284340520117638</v>
      </c>
      <c r="N75" s="1580"/>
      <c r="O75" s="1579"/>
      <c r="P75" s="1578">
        <f>(P23+P27+P34+P43+P60+P65+P67+P69+P71)*('SDK1'!$O$59%*$G$75/12)</f>
        <v>8.839574130498038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D149" s="15"/>
      <c r="F149" s="15"/>
      <c r="G149" s="15"/>
      <c r="H149" s="15"/>
      <c r="I149" s="15"/>
      <c r="J149" s="15"/>
      <c r="M149" s="35"/>
      <c r="N149" s="35"/>
      <c r="O149" s="35"/>
      <c r="P149" s="35"/>
      <c r="Q149" s="35"/>
    </row>
    <row r="150" spans="1:17">
      <c r="A150" s="35"/>
      <c r="B150" s="623"/>
      <c r="C150" s="15"/>
      <c r="D150" s="15"/>
      <c r="F150" s="15"/>
      <c r="G150" s="15"/>
      <c r="H150" s="15"/>
      <c r="I150" s="15"/>
      <c r="J150" s="15"/>
      <c r="M150" s="35"/>
      <c r="N150" s="35"/>
      <c r="O150" s="35"/>
      <c r="P150" s="35"/>
      <c r="Q150" s="35"/>
    </row>
    <row r="151" spans="1:17">
      <c r="A151" s="35"/>
      <c r="B151" s="623"/>
      <c r="C151" s="15"/>
      <c r="D151" s="15"/>
      <c r="F151" s="15"/>
      <c r="G151" s="15"/>
      <c r="H151" s="15"/>
      <c r="I151" s="15"/>
      <c r="J151" s="15"/>
      <c r="M151" s="35"/>
      <c r="N151" s="35"/>
      <c r="O151" s="35"/>
      <c r="P151" s="35"/>
      <c r="Q151" s="35"/>
    </row>
    <row r="152" spans="1:17">
      <c r="A152" s="35"/>
      <c r="B152" s="623"/>
      <c r="C152" s="15"/>
      <c r="D152" s="15"/>
      <c r="F152" s="15"/>
      <c r="G152" s="15"/>
      <c r="H152" s="15"/>
      <c r="I152" s="15"/>
      <c r="J152" s="15"/>
      <c r="M152" s="35"/>
      <c r="N152" s="35"/>
      <c r="O152" s="35"/>
      <c r="P152" s="35"/>
      <c r="Q152" s="35"/>
    </row>
    <row r="153" spans="1:17">
      <c r="A153" s="35"/>
      <c r="B153" s="623"/>
      <c r="C153" s="15"/>
      <c r="D153" s="15"/>
      <c r="F153" s="15"/>
      <c r="G153" s="15"/>
      <c r="H153" s="15"/>
      <c r="I153" s="15"/>
      <c r="J153" s="15"/>
      <c r="M153" s="35"/>
      <c r="N153" s="35"/>
      <c r="O153" s="35"/>
      <c r="P153" s="35"/>
      <c r="Q153" s="35"/>
    </row>
    <row r="154" spans="1:17">
      <c r="A154" s="35"/>
      <c r="B154" s="623"/>
      <c r="C154" s="15"/>
      <c r="D154" s="15"/>
      <c r="F154" s="15"/>
      <c r="G154" s="15"/>
      <c r="H154" s="15"/>
      <c r="I154" s="15"/>
      <c r="J154" s="15"/>
      <c r="M154" s="35"/>
      <c r="N154" s="35"/>
      <c r="O154" s="35"/>
      <c r="P154" s="35"/>
      <c r="Q154" s="35"/>
    </row>
    <row r="155" spans="1:17">
      <c r="A155" s="35"/>
      <c r="B155" s="623"/>
      <c r="C155" s="15"/>
      <c r="D155" s="15"/>
      <c r="F155" s="15"/>
      <c r="G155" s="15"/>
      <c r="H155" s="15"/>
      <c r="I155" s="15"/>
      <c r="J155" s="15"/>
      <c r="M155" s="35"/>
      <c r="N155" s="35"/>
      <c r="O155" s="35"/>
      <c r="P155" s="35"/>
      <c r="Q155" s="35"/>
    </row>
    <row r="156" spans="1:17">
      <c r="A156" s="35"/>
      <c r="B156" s="623"/>
      <c r="C156" s="15"/>
      <c r="D156" s="15"/>
      <c r="F156" s="15"/>
      <c r="G156" s="15"/>
      <c r="H156" s="15"/>
      <c r="I156" s="15"/>
      <c r="J156" s="15"/>
      <c r="M156" s="35"/>
      <c r="N156" s="35"/>
      <c r="O156" s="35"/>
      <c r="P156" s="35"/>
      <c r="Q156" s="35"/>
    </row>
    <row r="157" spans="1:17">
      <c r="A157" s="35"/>
      <c r="B157" s="623"/>
      <c r="C157" s="15"/>
      <c r="D157" s="15"/>
      <c r="F157" s="15"/>
      <c r="G157" s="15"/>
      <c r="H157" s="15"/>
      <c r="I157" s="15"/>
      <c r="J157" s="15"/>
      <c r="M157" s="35"/>
      <c r="N157" s="35"/>
      <c r="O157" s="35"/>
      <c r="P157" s="35"/>
      <c r="Q157" s="35"/>
    </row>
    <row r="158" spans="1:17">
      <c r="A158" s="35"/>
      <c r="B158" s="623"/>
      <c r="C158" s="15"/>
      <c r="D158" s="15"/>
      <c r="F158" s="15"/>
      <c r="G158" s="15"/>
      <c r="H158" s="15"/>
      <c r="I158" s="15"/>
      <c r="J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4" orientation="portrait" r:id="rId1"/>
  <headerFooter alignWithMargins="0">
    <oddFooter>&amp;L&amp;11LEL Schwäbisch Gmünd&amp;C31&amp;R&amp;11&amp;F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12</xdr:col>
                    <xdr:colOff>285750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12</xdr:col>
                    <xdr:colOff>285750</xdr:colOff>
                    <xdr:row>2</xdr:row>
                    <xdr:rowOff>47625</xdr:rowOff>
                  </from>
                  <to>
                    <xdr:col>12</xdr:col>
                    <xdr:colOff>533400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'SDK5'!$H$214:$H$313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5" width="0" style="35" hidden="1" customWidth="1"/>
    <col min="36" max="16384" width="10.5" style="35"/>
  </cols>
  <sheetData>
    <row r="1" spans="1:41" s="1891" customFormat="1" ht="30.4" customHeight="1">
      <c r="A1" s="1895"/>
      <c r="B1" s="326"/>
      <c r="C1" s="1908"/>
      <c r="D1" s="1827"/>
      <c r="E1" s="323"/>
      <c r="F1" s="323"/>
      <c r="G1" s="607"/>
      <c r="H1" s="1902"/>
      <c r="I1" s="1907" t="s">
        <v>1264</v>
      </c>
      <c r="J1" s="1906">
        <f>(J7+J13+J18+J22+I11+I12)-(J23+J27+J34+J43+J60+J65+J67+J69+J71+J75)</f>
        <v>713.2661151930472</v>
      </c>
      <c r="K1" s="4859">
        <f>M1-J1</f>
        <v>191.14253306432306</v>
      </c>
      <c r="L1" s="4859"/>
      <c r="M1" s="1906">
        <f>(M7+M13+M18+M22+L11+L12)-(M23+M27+M34+M43+M60+M65+M67+M69+M71+M75)</f>
        <v>904.40864825737026</v>
      </c>
      <c r="N1" s="4859">
        <f>P1-M1</f>
        <v>186.9307694094</v>
      </c>
      <c r="O1" s="4859"/>
      <c r="P1" s="1906">
        <f>(P7+P13+P18+P22+O11+O12)-(P23+P27+P34+P43+P60+P65+P67+P69+P71+P75)</f>
        <v>1091.3394176667703</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88</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60</v>
      </c>
      <c r="K6" s="4849" t="s">
        <v>152</v>
      </c>
      <c r="L6" s="4850"/>
      <c r="M6" s="1887">
        <v>75</v>
      </c>
      <c r="N6" s="4864" t="s">
        <v>178</v>
      </c>
      <c r="O6" s="4865"/>
      <c r="P6" s="1886">
        <v>90</v>
      </c>
      <c r="Q6" s="70"/>
    </row>
    <row r="7" spans="1:41" s="252" customFormat="1" ht="18.75" customHeight="1">
      <c r="A7" s="47"/>
      <c r="B7" s="311" t="s">
        <v>1258</v>
      </c>
      <c r="C7" s="47"/>
      <c r="D7" s="47"/>
      <c r="E7" s="47"/>
      <c r="F7" s="47"/>
      <c r="G7" s="1884"/>
      <c r="H7" s="1881"/>
      <c r="I7" s="1880"/>
      <c r="J7" s="1614">
        <f>SUM(I9:I10)</f>
        <v>1172</v>
      </c>
      <c r="K7" s="1883"/>
      <c r="L7" s="1882"/>
      <c r="M7" s="1617">
        <f>SUM(L9:L10)</f>
        <v>1464.9999999999998</v>
      </c>
      <c r="N7" s="1881"/>
      <c r="O7" s="1880"/>
      <c r="P7" s="1614">
        <f>SUM(O9:O10)</f>
        <v>1757.9999999999998</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'SDK1'!O21</f>
        <v>19.533333333333331</v>
      </c>
      <c r="H9" s="1877">
        <f>J6-H10</f>
        <v>60</v>
      </c>
      <c r="I9" s="1873">
        <f>H9*G9</f>
        <v>1172</v>
      </c>
      <c r="J9" s="43"/>
      <c r="K9" s="1876">
        <f>M6-K10</f>
        <v>75</v>
      </c>
      <c r="L9" s="1875">
        <f>K9*G9</f>
        <v>1464.9999999999998</v>
      </c>
      <c r="M9" s="1854"/>
      <c r="N9" s="1874">
        <f>P6-N10</f>
        <v>90</v>
      </c>
      <c r="O9" s="1873">
        <f>N9*G9</f>
        <v>1757.9999999999998</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0.9</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180</v>
      </c>
      <c r="K13" s="1927"/>
      <c r="L13" s="1825"/>
      <c r="M13" s="1617">
        <f>SUM(L14:L17)</f>
        <v>180</v>
      </c>
      <c r="N13" s="1926"/>
      <c r="O13" s="1823"/>
      <c r="P13" s="1614">
        <f>SUM(O14:O17)</f>
        <v>180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t="s">
        <v>2109</v>
      </c>
      <c r="D15" s="4833"/>
      <c r="E15" s="4833"/>
      <c r="F15" s="4833"/>
      <c r="G15" s="1837"/>
      <c r="H15" s="1836" t="s">
        <v>1299</v>
      </c>
      <c r="I15" s="1817">
        <f>IF(H15="ja",$Q15,0)</f>
        <v>80</v>
      </c>
      <c r="J15" s="1918"/>
      <c r="K15" s="1836" t="s">
        <v>1299</v>
      </c>
      <c r="L15" s="1671">
        <f>IF(K15="ja",$Q15,0)</f>
        <v>80</v>
      </c>
      <c r="M15" s="1589"/>
      <c r="N15" s="1836" t="s">
        <v>1299</v>
      </c>
      <c r="O15" s="1817">
        <f>IF(N15="ja",$Q15,0)</f>
        <v>80</v>
      </c>
      <c r="P15" s="1586"/>
      <c r="Q15" s="1835">
        <f>IF(C15=0,0,VLOOKUP(C15,'SD2'!$C$11:$N$49,'SD2'!$N$1,FALSE))</f>
        <v>80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535.4</v>
      </c>
      <c r="S19" s="1815">
        <f>M13+M18</f>
        <v>535.4</v>
      </c>
      <c r="T19" s="1814">
        <f>P13+P18</f>
        <v>535.4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126</v>
      </c>
      <c r="K23" s="1619"/>
      <c r="L23" s="1618"/>
      <c r="M23" s="1800">
        <f>SUM(L25:L26)</f>
        <v>126</v>
      </c>
      <c r="N23" s="1616"/>
      <c r="O23" s="1615"/>
      <c r="P23" s="1599">
        <f>SUM(O25:O26)</f>
        <v>126</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t="s">
        <v>1267</v>
      </c>
      <c r="E25" s="4852"/>
      <c r="F25" s="1795">
        <f>'SDK7'!F51/100</f>
        <v>0.84</v>
      </c>
      <c r="G25" s="1794">
        <f>F25*(100+$D$24)/100</f>
        <v>0.84</v>
      </c>
      <c r="H25" s="1793">
        <v>150</v>
      </c>
      <c r="I25" s="1754">
        <f>H25*$G25</f>
        <v>126</v>
      </c>
      <c r="J25" s="45"/>
      <c r="K25" s="1793">
        <f>H25</f>
        <v>150</v>
      </c>
      <c r="L25" s="1596">
        <f>K25*$G25</f>
        <v>126</v>
      </c>
      <c r="M25" s="1589"/>
      <c r="N25" s="1793">
        <f>H25</f>
        <v>150</v>
      </c>
      <c r="O25" s="1754">
        <f>N25*$G25</f>
        <v>126</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302.02466666666669</v>
      </c>
      <c r="K27" s="1748"/>
      <c r="L27" s="1747"/>
      <c r="M27" s="1617">
        <f>SUM(L30:L33)</f>
        <v>369.5141666666666</v>
      </c>
      <c r="N27" s="1746"/>
      <c r="O27" s="1745"/>
      <c r="P27" s="1614">
        <f>SUM(O30:O33)</f>
        <v>437.00366666666662</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1.79</v>
      </c>
      <c r="F30" s="1774">
        <f>VLOOKUP(K2,'SD8'!B9:L42,7,FALSE)</f>
        <v>0.45000000000000018</v>
      </c>
      <c r="G30" s="1773">
        <v>20</v>
      </c>
      <c r="H30" s="1771">
        <f>IF(J$6=0,0,(J$6*$E30+$G30+X14))</f>
        <v>127.4</v>
      </c>
      <c r="I30" s="1754">
        <f>H30*$D30</f>
        <v>204.26466666666664</v>
      </c>
      <c r="J30" s="45"/>
      <c r="K30" s="1772">
        <f>IF(M$6=0,0,(M$6*$E30+$G30+Y14))</f>
        <v>154.25</v>
      </c>
      <c r="L30" s="1596">
        <f>K30*$D30</f>
        <v>247.31416666666664</v>
      </c>
      <c r="M30" s="1589"/>
      <c r="N30" s="1771">
        <f>IF(P$6=0,0,(P$6*$E30+$G30+Z14))</f>
        <v>181.1</v>
      </c>
      <c r="O30" s="1754">
        <f>N30*$D30</f>
        <v>290.36366666666663</v>
      </c>
      <c r="P30" s="1718"/>
      <c r="Q30" s="38"/>
    </row>
    <row r="31" spans="1:26" s="42" customFormat="1" ht="15" customHeight="1">
      <c r="A31" s="1306"/>
      <c r="B31" s="274"/>
      <c r="C31" s="1306" t="s">
        <v>244</v>
      </c>
      <c r="D31" s="1723">
        <f>'SDK1'!O53</f>
        <v>1.0999999999999999</v>
      </c>
      <c r="E31" s="1774">
        <f>VLOOKUP(K2,'SD8'!B9:L42,4,FALSE)</f>
        <v>0.8</v>
      </c>
      <c r="F31" s="1774">
        <f>VLOOKUP(K2,'SD8'!B9:L42,8,FALSE)</f>
        <v>0.27</v>
      </c>
      <c r="G31" s="1773"/>
      <c r="H31" s="1771">
        <f>IF(J$6=0,0,(J$6*$E31+$G31+X15))</f>
        <v>48</v>
      </c>
      <c r="I31" s="1754">
        <f>H31*$D31</f>
        <v>52.8</v>
      </c>
      <c r="J31" s="45"/>
      <c r="K31" s="1772">
        <f>IF(M$6=0,0,(M$6*$E31+$G31+Y15))</f>
        <v>60</v>
      </c>
      <c r="L31" s="1596">
        <f>K31*$D31</f>
        <v>65.999999999999986</v>
      </c>
      <c r="M31" s="1589"/>
      <c r="N31" s="1771">
        <f>IF(P$6=0,0,(P$6*$E31+$G31+Z15))</f>
        <v>72</v>
      </c>
      <c r="O31" s="1754">
        <f>N31*$D31</f>
        <v>79.199999999999989</v>
      </c>
      <c r="P31" s="1718"/>
      <c r="Q31" s="38"/>
    </row>
    <row r="32" spans="1:26" s="42" customFormat="1" ht="15" customHeight="1">
      <c r="A32" s="1306"/>
      <c r="B32" s="274"/>
      <c r="C32" s="1306" t="s">
        <v>242</v>
      </c>
      <c r="D32" s="1723">
        <f>'SDK1'!O54</f>
        <v>1.02</v>
      </c>
      <c r="E32" s="1774">
        <f>VLOOKUP(K2,'SD8'!B9:L42,5,FALSE)</f>
        <v>0.6</v>
      </c>
      <c r="F32" s="1774">
        <f>VLOOKUP(K2,'SD8'!B9:L42,9,FALSE)</f>
        <v>1.5299999999999998</v>
      </c>
      <c r="G32" s="1773"/>
      <c r="H32" s="1771">
        <f>IF(J$6=0,0,(J$6*$E32+$G32+X16))</f>
        <v>36</v>
      </c>
      <c r="I32" s="1754">
        <f>H32*$D32</f>
        <v>36.72</v>
      </c>
      <c r="J32" s="45"/>
      <c r="K32" s="1772">
        <f>IF(M$6=0,0,(M$6*$E32+$G32+Y16))</f>
        <v>45</v>
      </c>
      <c r="L32" s="1596">
        <f>K32*$D32</f>
        <v>45.9</v>
      </c>
      <c r="M32" s="1589"/>
      <c r="N32" s="1771">
        <f>IF(P$6=0,0,(P$6*$E32+$G32+Z16))</f>
        <v>54</v>
      </c>
      <c r="O32" s="1754">
        <f>N32*$D32</f>
        <v>55.08</v>
      </c>
      <c r="P32" s="1718"/>
      <c r="Q32" s="38"/>
    </row>
    <row r="33" spans="1:17" s="42" customFormat="1" ht="15" customHeight="1">
      <c r="A33" s="1306"/>
      <c r="B33" s="239"/>
      <c r="C33" s="1331" t="s">
        <v>240</v>
      </c>
      <c r="D33" s="1706">
        <f>'SDK1'!O55</f>
        <v>0.68666666666666676</v>
      </c>
      <c r="E33" s="1770">
        <f>VLOOKUP(K2,'SD8'!B9:L42,6,FALSE)</f>
        <v>0.2</v>
      </c>
      <c r="F33" s="1770">
        <f>VLOOKUP(K2,'SD8'!B9:L42,10,FALSE)</f>
        <v>0.18</v>
      </c>
      <c r="G33" s="1769"/>
      <c r="H33" s="1767">
        <f>IF(J$6=0,0,(J$6*$E33+$G33+X17))</f>
        <v>12</v>
      </c>
      <c r="I33" s="1750">
        <f>H33*$D33</f>
        <v>8.240000000000002</v>
      </c>
      <c r="J33" s="45"/>
      <c r="K33" s="1768">
        <f>IF(M$6=0,0,(M$6*$E33+$G33+Y17))</f>
        <v>15</v>
      </c>
      <c r="L33" s="1590">
        <f>K33*$D33</f>
        <v>10.3</v>
      </c>
      <c r="M33" s="1589"/>
      <c r="N33" s="1767">
        <f>IF(P$6=0,0,(P$6*$E33+$G33+Z17))</f>
        <v>18</v>
      </c>
      <c r="O33" s="1750">
        <f>N33*$D33</f>
        <v>12.360000000000001</v>
      </c>
      <c r="P33" s="1749"/>
      <c r="Q33" s="38"/>
    </row>
    <row r="34" spans="1:17" s="708" customFormat="1" ht="18.75" customHeight="1">
      <c r="A34" s="1270"/>
      <c r="B34" s="1276" t="s">
        <v>1234</v>
      </c>
      <c r="C34" s="1270"/>
      <c r="D34" s="37"/>
      <c r="E34" s="37"/>
      <c r="F34" s="4831" t="s">
        <v>1233</v>
      </c>
      <c r="G34" s="4832"/>
      <c r="H34" s="1764"/>
      <c r="I34" s="1763"/>
      <c r="J34" s="1614">
        <f>SUM(I36:I42)</f>
        <v>139.18799999999999</v>
      </c>
      <c r="K34" s="1766"/>
      <c r="L34" s="1765"/>
      <c r="M34" s="1617">
        <f>SUM(L36:L42)</f>
        <v>139.18799999999999</v>
      </c>
      <c r="N34" s="1764"/>
      <c r="O34" s="1763"/>
      <c r="P34" s="1614">
        <f>SUM(O36:O42)</f>
        <v>139.18799999999999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706</v>
      </c>
      <c r="D36" s="4857"/>
      <c r="E36" s="4858"/>
      <c r="F36" s="1756">
        <f>IF(C36="",0,VLOOKUP(C36,'SDK5'!C3:AF83,2,FALSE))</f>
        <v>290.39999999999998</v>
      </c>
      <c r="G36" s="1756">
        <f t="shared" ref="G36:G42" si="0">F36*(100+$D$35)/100</f>
        <v>290.39999999999998</v>
      </c>
      <c r="H36" s="1755">
        <v>0.22</v>
      </c>
      <c r="I36" s="1754">
        <f t="shared" ref="I36:I42" si="1">$G36*H36</f>
        <v>63.887999999999998</v>
      </c>
      <c r="J36" s="45"/>
      <c r="K36" s="1755">
        <v>0.22</v>
      </c>
      <c r="L36" s="1596">
        <f t="shared" ref="L36:L42" si="2">$G36*K36</f>
        <v>63.887999999999998</v>
      </c>
      <c r="M36" s="1589"/>
      <c r="N36" s="1755">
        <v>0.22</v>
      </c>
      <c r="O36" s="1754">
        <f t="shared" ref="O36:O42" si="3">$G36*N36</f>
        <v>63.887999999999998</v>
      </c>
      <c r="P36" s="1758"/>
      <c r="Q36" s="38"/>
    </row>
    <row r="37" spans="1:17" s="42" customFormat="1" ht="15" customHeight="1">
      <c r="A37" s="1306"/>
      <c r="B37" s="1594"/>
      <c r="C37" s="4855" t="s">
        <v>700</v>
      </c>
      <c r="D37" s="4855"/>
      <c r="E37" s="4856"/>
      <c r="F37" s="1756">
        <f>IF(C37="",0,VLOOKUP(C37,'SDK5'!C4:AF84,2,FALSE))</f>
        <v>5.5</v>
      </c>
      <c r="G37" s="1756">
        <f t="shared" si="0"/>
        <v>5.5</v>
      </c>
      <c r="H37" s="1755">
        <v>1.2</v>
      </c>
      <c r="I37" s="1754">
        <f t="shared" si="1"/>
        <v>6.6</v>
      </c>
      <c r="J37" s="45"/>
      <c r="K37" s="1755">
        <v>1.2</v>
      </c>
      <c r="L37" s="1596">
        <f t="shared" si="2"/>
        <v>6.6</v>
      </c>
      <c r="M37" s="1589"/>
      <c r="N37" s="1755">
        <v>1.2</v>
      </c>
      <c r="O37" s="1754">
        <f t="shared" si="3"/>
        <v>6.6</v>
      </c>
      <c r="P37" s="1718"/>
      <c r="Q37" s="38"/>
    </row>
    <row r="38" spans="1:17" s="42" customFormat="1" ht="15" customHeight="1">
      <c r="A38" s="1306"/>
      <c r="B38" s="1757"/>
      <c r="C38" s="4855" t="s">
        <v>2066</v>
      </c>
      <c r="D38" s="4855"/>
      <c r="E38" s="4856"/>
      <c r="F38" s="1756">
        <f>IF(C38="",0,VLOOKUP(C38,'SDK5'!C5:AF85,2,FALSE))</f>
        <v>68.7</v>
      </c>
      <c r="G38" s="1756">
        <f t="shared" si="0"/>
        <v>68.7</v>
      </c>
      <c r="H38" s="1755">
        <v>1</v>
      </c>
      <c r="I38" s="1754">
        <f t="shared" si="1"/>
        <v>68.7</v>
      </c>
      <c r="J38" s="45"/>
      <c r="K38" s="1755">
        <v>1</v>
      </c>
      <c r="L38" s="1596">
        <f t="shared" si="2"/>
        <v>68.7</v>
      </c>
      <c r="M38" s="1589"/>
      <c r="N38" s="1755">
        <v>1</v>
      </c>
      <c r="O38" s="1754">
        <f t="shared" si="3"/>
        <v>68.7</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139.34599980862745</v>
      </c>
      <c r="K43" s="1748"/>
      <c r="L43" s="1747"/>
      <c r="M43" s="1617">
        <f>SUM(M46:M57)</f>
        <v>141.06744472627452</v>
      </c>
      <c r="N43" s="1746"/>
      <c r="O43" s="1745"/>
      <c r="P43" s="1614">
        <f>SUM(P46:P57)</f>
        <v>146.9641200329412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3810" t="s">
        <v>515</v>
      </c>
      <c r="D46" s="3811"/>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3810" t="s">
        <v>467</v>
      </c>
      <c r="D48" s="3811"/>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3</v>
      </c>
      <c r="O48" s="1719">
        <f t="shared" si="8"/>
        <v>0.96</v>
      </c>
      <c r="P48" s="1718">
        <f t="shared" si="9"/>
        <v>10.804246249411765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2</v>
      </c>
      <c r="I49" s="1719">
        <f t="shared" si="4"/>
        <v>0.72</v>
      </c>
      <c r="J49" s="1718">
        <f t="shared" si="5"/>
        <v>11.534403407058823</v>
      </c>
      <c r="K49" s="1720">
        <v>2</v>
      </c>
      <c r="L49" s="1722">
        <f t="shared" si="6"/>
        <v>0.72</v>
      </c>
      <c r="M49" s="1721">
        <f t="shared" si="7"/>
        <v>11.534403407058823</v>
      </c>
      <c r="N49" s="1720">
        <v>2</v>
      </c>
      <c r="O49" s="1719">
        <f t="shared" si="8"/>
        <v>0.72</v>
      </c>
      <c r="P49" s="1718">
        <f t="shared" si="9"/>
        <v>11.534403407058823</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0.91666666666666663</v>
      </c>
      <c r="I50" s="1719">
        <f t="shared" si="4"/>
        <v>0.3666666666666667</v>
      </c>
      <c r="J50" s="1718">
        <f t="shared" si="5"/>
        <v>6.3119646980392163</v>
      </c>
      <c r="K50" s="1720">
        <v>1.1666666666666667</v>
      </c>
      <c r="L50" s="1722">
        <f t="shared" si="6"/>
        <v>0.46666666666666673</v>
      </c>
      <c r="M50" s="1721">
        <f t="shared" si="7"/>
        <v>8.033409615686276</v>
      </c>
      <c r="N50" s="1720">
        <v>1.5</v>
      </c>
      <c r="O50" s="1719">
        <f t="shared" si="8"/>
        <v>0.60000000000000009</v>
      </c>
      <c r="P50" s="1718">
        <f t="shared" si="9"/>
        <v>10.328669505882354</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5.1466666666666665</v>
      </c>
      <c r="J58" s="1701"/>
      <c r="K58" s="1700"/>
      <c r="L58" s="1699">
        <f>SUM($L$46:$L$57)</f>
        <v>5.246666666666667</v>
      </c>
      <c r="M58" s="1698"/>
      <c r="N58" s="1697"/>
      <c r="O58" s="1696">
        <f>SUM($O$46:$O$57)</f>
        <v>5.6999999999999993</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9.2639999999999993</v>
      </c>
      <c r="J59" s="1686"/>
      <c r="K59" s="1691"/>
      <c r="L59" s="1690">
        <f>IF(L58+SUM($L$46:$L$57)*$E$59%&gt;L58+10,L58+10,L58+SUM($L$46:$L$57)*$E$59%)</f>
        <v>9.4440000000000008</v>
      </c>
      <c r="M59" s="1689"/>
      <c r="N59" s="1688"/>
      <c r="O59" s="1687">
        <f>IF(O58+SUM($O$46:$O$57)*$E$59%&gt;O58+10,O58+10,O58+SUM($O$46:$O$57)*$E$59%)</f>
        <v>10.259999999999998</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108.30000000000001</v>
      </c>
      <c r="K67" s="1641" t="s">
        <v>1217</v>
      </c>
      <c r="L67" s="1640" t="s">
        <v>1216</v>
      </c>
      <c r="M67" s="1617">
        <f>S68*(K9+K10)*L68%+F68</f>
        <v>135.375</v>
      </c>
      <c r="N67" s="1639" t="s">
        <v>1217</v>
      </c>
      <c r="O67" s="1638" t="s">
        <v>1216</v>
      </c>
      <c r="P67" s="1614">
        <f>T68*(N9+N10)*O68%+F68</f>
        <v>162.45000000000002</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18.751999999999999</v>
      </c>
      <c r="K69" s="1630"/>
      <c r="L69" s="1629"/>
      <c r="M69" s="1617">
        <f>K70*$F70/1000</f>
        <v>23.439999999999998</v>
      </c>
      <c r="N69" s="44"/>
      <c r="O69" s="73"/>
      <c r="P69" s="1614">
        <f>N70*$F70/1000</f>
        <v>28.127999999999997</v>
      </c>
      <c r="Q69" s="38"/>
    </row>
    <row r="70" spans="1:20" s="708" customFormat="1" ht="15" customHeight="1">
      <c r="A70" s="1270"/>
      <c r="B70" s="1332"/>
      <c r="C70" s="1331" t="s">
        <v>896</v>
      </c>
      <c r="D70" s="353"/>
      <c r="E70" s="280"/>
      <c r="F70" s="1628">
        <f>'SDK7'!G102</f>
        <v>16</v>
      </c>
      <c r="G70" s="1627" t="s">
        <v>171</v>
      </c>
      <c r="H70" s="1623">
        <f>I9+I10</f>
        <v>1172</v>
      </c>
      <c r="I70" s="1622"/>
      <c r="J70" s="1621"/>
      <c r="K70" s="1626">
        <f>L9+L10</f>
        <v>1464.9999999999998</v>
      </c>
      <c r="L70" s="1625"/>
      <c r="M70" s="1624"/>
      <c r="N70" s="1623">
        <f>O9+O10</f>
        <v>1757.9999999999998</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8.6232183316588227</v>
      </c>
      <c r="K75" s="711"/>
      <c r="L75" s="1056"/>
      <c r="M75" s="1578">
        <f>(M23+M27+M34+M43+M60+M65+M67+M69+M71)*('SDK1'!$O$59%*$G$75/12)</f>
        <v>9.5067403496882346</v>
      </c>
      <c r="N75" s="1580"/>
      <c r="O75" s="1579"/>
      <c r="P75" s="1578">
        <f>(P23+P27+P34+P43+P60+P65+P67+P69+P71)*('SDK1'!$O$59%*$G$75/12)</f>
        <v>10.426795633621566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5">
    <mergeCell ref="C37:E37"/>
    <mergeCell ref="C36:E36"/>
    <mergeCell ref="C40:E40"/>
    <mergeCell ref="C38:E38"/>
    <mergeCell ref="C74:E74"/>
    <mergeCell ref="C55:D55"/>
    <mergeCell ref="C68:E68"/>
    <mergeCell ref="C62:E62"/>
    <mergeCell ref="C64:E64"/>
    <mergeCell ref="C73:E73"/>
    <mergeCell ref="C63:E63"/>
    <mergeCell ref="C57:D57"/>
    <mergeCell ref="C56:D56"/>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F23:G23"/>
    <mergeCell ref="F34:G34"/>
    <mergeCell ref="C47:D47"/>
    <mergeCell ref="C41:E41"/>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6" orientation="portrait" r:id="rId1"/>
  <headerFooter alignWithMargins="0">
    <oddFooter>&amp;L&amp;11LEL Schwäbisch Gmünd&amp;C33&amp;R&amp;11&amp;F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'SDK5'!$I$214:$I$313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2" width="0" style="35" hidden="1" customWidth="1"/>
    <col min="33" max="16384" width="10.5" style="35"/>
  </cols>
  <sheetData>
    <row r="1" spans="1:41" s="1891" customFormat="1" ht="30.4" customHeight="1">
      <c r="A1" s="1895"/>
      <c r="B1" s="326"/>
      <c r="C1" s="1908"/>
      <c r="D1" s="1827"/>
      <c r="E1" s="323"/>
      <c r="F1" s="323"/>
      <c r="G1" s="607"/>
      <c r="H1" s="1902"/>
      <c r="I1" s="1907" t="s">
        <v>1264</v>
      </c>
      <c r="J1" s="1906">
        <f>(J7+J13+J18+J22+I11+I12)-(J23+J27+J34+J43+J60+J65+J67+J69+J71+J75)</f>
        <v>443.26294276627846</v>
      </c>
      <c r="K1" s="4859">
        <f>M1-J1</f>
        <v>178.35235306432355</v>
      </c>
      <c r="L1" s="4859"/>
      <c r="M1" s="1906">
        <f>(M7+M13+M18+M22+L11+L12)-(M23+M27+M34+M43+M60+M65+M67+M69+M71+M75)</f>
        <v>621.61529583060201</v>
      </c>
      <c r="N1" s="4859">
        <f>P1-M1</f>
        <v>156.90490026295879</v>
      </c>
      <c r="O1" s="4859"/>
      <c r="P1" s="1906">
        <f>(P7+P13+P18+P22+O11+O12)-(P23+P27+P34+P43+P60+P65+P67+P69+P71+P75)</f>
        <v>778.5201960935608</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86</v>
      </c>
      <c r="L2" s="4870"/>
      <c r="M2" s="4870"/>
      <c r="N2" s="4870"/>
      <c r="O2" s="4870"/>
      <c r="P2" s="4870"/>
      <c r="Q2" s="1920">
        <v>30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55</v>
      </c>
      <c r="K6" s="4849" t="s">
        <v>152</v>
      </c>
      <c r="L6" s="4850"/>
      <c r="M6" s="1887">
        <v>70</v>
      </c>
      <c r="N6" s="4864" t="s">
        <v>178</v>
      </c>
      <c r="O6" s="4865"/>
      <c r="P6" s="1886">
        <v>85</v>
      </c>
      <c r="Q6" s="70"/>
    </row>
    <row r="7" spans="1:41" s="252" customFormat="1" ht="18.75" customHeight="1">
      <c r="A7" s="47"/>
      <c r="B7" s="311" t="s">
        <v>1258</v>
      </c>
      <c r="C7" s="47"/>
      <c r="D7" s="47"/>
      <c r="E7" s="47"/>
      <c r="F7" s="47"/>
      <c r="G7" s="1884"/>
      <c r="H7" s="1881"/>
      <c r="I7" s="1880"/>
      <c r="J7" s="1614">
        <f>SUM(I9:I10)</f>
        <v>1026.6666666666667</v>
      </c>
      <c r="K7" s="1883"/>
      <c r="L7" s="1882"/>
      <c r="M7" s="1617">
        <f>SUM(L9:L10)</f>
        <v>1306.6666666666667</v>
      </c>
      <c r="N7" s="1881"/>
      <c r="O7" s="1880"/>
      <c r="P7" s="1614">
        <f>SUM(O9:O10)</f>
        <v>1586.6666666666667</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'SDK1'!O22</f>
        <v>18.666666666666668</v>
      </c>
      <c r="H9" s="1877">
        <f>J6-H10</f>
        <v>55</v>
      </c>
      <c r="I9" s="1873">
        <f>H9*G9</f>
        <v>1026.6666666666667</v>
      </c>
      <c r="J9" s="43"/>
      <c r="K9" s="1876">
        <f>M6-K10</f>
        <v>70</v>
      </c>
      <c r="L9" s="1875">
        <f>K9*G9</f>
        <v>1306.6666666666667</v>
      </c>
      <c r="M9" s="1854"/>
      <c r="N9" s="1874">
        <f>P6-N10</f>
        <v>85</v>
      </c>
      <c r="O9" s="1873">
        <f>N9*G9</f>
        <v>1586.6666666666667</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0.7</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145.25</v>
      </c>
      <c r="K23" s="1619"/>
      <c r="L23" s="1618"/>
      <c r="M23" s="1800">
        <f>SUM(L25:L26)</f>
        <v>145.25</v>
      </c>
      <c r="N23" s="1616"/>
      <c r="O23" s="1615"/>
      <c r="P23" s="1599">
        <f>SUM(O25:O26)</f>
        <v>145.25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'SDK7'!F52/100</f>
        <v>0.83</v>
      </c>
      <c r="G25" s="1794">
        <f>F25*(100+$D$24)/100</f>
        <v>0.83</v>
      </c>
      <c r="H25" s="1793">
        <v>175</v>
      </c>
      <c r="I25" s="1754">
        <f>H25*$G25</f>
        <v>145.25</v>
      </c>
      <c r="J25" s="45"/>
      <c r="K25" s="1793">
        <f>H25</f>
        <v>175</v>
      </c>
      <c r="L25" s="1596">
        <f>K25*$G25</f>
        <v>145.25</v>
      </c>
      <c r="M25" s="1589"/>
      <c r="N25" s="1793">
        <v>175</v>
      </c>
      <c r="O25" s="1754">
        <f>N25*$G25</f>
        <v>145.25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279.52816666666666</v>
      </c>
      <c r="K27" s="1748"/>
      <c r="L27" s="1747"/>
      <c r="M27" s="1617">
        <f>SUM(L30:L33)</f>
        <v>347.01766666666663</v>
      </c>
      <c r="N27" s="1746"/>
      <c r="O27" s="1745"/>
      <c r="P27" s="1614">
        <f>SUM(O30:O33)</f>
        <v>414.50716666666665</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1.79</v>
      </c>
      <c r="F30" s="1774">
        <f>VLOOKUP(K2,'SD8'!B9:L42,7,FALSE)</f>
        <v>0.35000000000000009</v>
      </c>
      <c r="G30" s="1773">
        <v>20</v>
      </c>
      <c r="H30" s="1771">
        <f>IF(J$6=0,0,(J$6*$E30+$G30+X14))</f>
        <v>118.45</v>
      </c>
      <c r="I30" s="1754">
        <f>H30*$D30</f>
        <v>189.91483333333329</v>
      </c>
      <c r="J30" s="45"/>
      <c r="K30" s="1772">
        <f>IF(M$6=0,0,(M$6*$E30+$G30+Y14))</f>
        <v>145.30000000000001</v>
      </c>
      <c r="L30" s="1596">
        <f>K30*$D30</f>
        <v>232.96433333333331</v>
      </c>
      <c r="M30" s="1589"/>
      <c r="N30" s="1771">
        <f>IF(P$6=0,0,(P$6*$E30+$G30+Z14))</f>
        <v>172.15</v>
      </c>
      <c r="O30" s="1754">
        <f>N30*$D30</f>
        <v>276.01383333333331</v>
      </c>
      <c r="P30" s="1718"/>
      <c r="Q30" s="38"/>
    </row>
    <row r="31" spans="1:26" s="42" customFormat="1" ht="15" customHeight="1">
      <c r="A31" s="1306"/>
      <c r="B31" s="274"/>
      <c r="C31" s="1306" t="s">
        <v>244</v>
      </c>
      <c r="D31" s="1723">
        <f>'SDK1'!O53</f>
        <v>1.0999999999999999</v>
      </c>
      <c r="E31" s="1774">
        <f>VLOOKUP(K2,'SD8'!B9:L42,4,FALSE)</f>
        <v>0.8</v>
      </c>
      <c r="F31" s="1774">
        <f>VLOOKUP(K2,'SD8'!B9:L42,8,FALSE)</f>
        <v>0.20999999999999996</v>
      </c>
      <c r="G31" s="1773"/>
      <c r="H31" s="1771">
        <f>IF(J$6=0,0,(J$6*$E31+$G31+X15))</f>
        <v>44</v>
      </c>
      <c r="I31" s="1754">
        <f>H31*$D31</f>
        <v>48.399999999999991</v>
      </c>
      <c r="J31" s="45"/>
      <c r="K31" s="1772">
        <f>IF(M$6=0,0,(M$6*$E31+$G31+Y15))</f>
        <v>56</v>
      </c>
      <c r="L31" s="1596">
        <f>K31*$D31</f>
        <v>61.599999999999994</v>
      </c>
      <c r="M31" s="1589"/>
      <c r="N31" s="1771">
        <f>IF(P$6=0,0,(P$6*$E31+$G31+Z15))</f>
        <v>68</v>
      </c>
      <c r="O31" s="1754">
        <f>N31*$D31</f>
        <v>74.8</v>
      </c>
      <c r="P31" s="1718"/>
      <c r="Q31" s="38"/>
    </row>
    <row r="32" spans="1:26" s="42" customFormat="1" ht="15" customHeight="1">
      <c r="A32" s="1306"/>
      <c r="B32" s="274"/>
      <c r="C32" s="1306" t="s">
        <v>242</v>
      </c>
      <c r="D32" s="1723">
        <f>'SDK1'!O54</f>
        <v>1.02</v>
      </c>
      <c r="E32" s="1774">
        <f>VLOOKUP(K2,'SD8'!B9:L42,5,FALSE)</f>
        <v>0.6</v>
      </c>
      <c r="F32" s="1774">
        <f>VLOOKUP(K2,'SD8'!B9:L42,9,FALSE)</f>
        <v>1.19</v>
      </c>
      <c r="G32" s="1773"/>
      <c r="H32" s="1771">
        <f>IF(J$6=0,0,(J$6*$E32+$G32+X16))</f>
        <v>33</v>
      </c>
      <c r="I32" s="1754">
        <f>H32*$D32</f>
        <v>33.660000000000004</v>
      </c>
      <c r="J32" s="45"/>
      <c r="K32" s="1772">
        <f>IF(M$6=0,0,(M$6*$E32+$G32+Y16))</f>
        <v>42</v>
      </c>
      <c r="L32" s="1596">
        <f>K32*$D32</f>
        <v>42.84</v>
      </c>
      <c r="M32" s="1589"/>
      <c r="N32" s="1771">
        <f>IF(P$6=0,0,(P$6*$E32+$G32+Z16))</f>
        <v>51</v>
      </c>
      <c r="O32" s="1754">
        <f>N32*$D32</f>
        <v>52.02</v>
      </c>
      <c r="P32" s="1718"/>
      <c r="Q32" s="38"/>
    </row>
    <row r="33" spans="1:17" s="42" customFormat="1" ht="15" customHeight="1">
      <c r="A33" s="1306"/>
      <c r="B33" s="239"/>
      <c r="C33" s="1331" t="s">
        <v>240</v>
      </c>
      <c r="D33" s="1706">
        <f>'SDK1'!O55</f>
        <v>0.68666666666666676</v>
      </c>
      <c r="E33" s="1770">
        <f>VLOOKUP(K2,'SD8'!B9:L42,6,FALSE)</f>
        <v>0.2</v>
      </c>
      <c r="F33" s="1770">
        <f>VLOOKUP(K2,'SD8'!B9:L42,10,FALSE)</f>
        <v>7.0000000000000007E-2</v>
      </c>
      <c r="G33" s="1769"/>
      <c r="H33" s="1767">
        <f>IF(J$6=0,0,(J$6*$E33+$G33+X17))</f>
        <v>11</v>
      </c>
      <c r="I33" s="1750">
        <f>H33*$D33</f>
        <v>7.5533333333333346</v>
      </c>
      <c r="J33" s="45"/>
      <c r="K33" s="1768">
        <f>IF(M$6=0,0,(M$6*$E33+$G33+Y17))</f>
        <v>14</v>
      </c>
      <c r="L33" s="1590">
        <f>K33*$D33</f>
        <v>9.6133333333333351</v>
      </c>
      <c r="M33" s="1589"/>
      <c r="N33" s="1767">
        <f>IF(P$6=0,0,(P$6*$E33+$G33+Z17))</f>
        <v>17</v>
      </c>
      <c r="O33" s="1750">
        <f>N33*$D33</f>
        <v>11.673333333333336</v>
      </c>
      <c r="P33" s="1749"/>
      <c r="Q33" s="38"/>
    </row>
    <row r="34" spans="1:17" s="708" customFormat="1" ht="18.75" customHeight="1">
      <c r="A34" s="1270"/>
      <c r="B34" s="1276" t="s">
        <v>1234</v>
      </c>
      <c r="C34" s="1270"/>
      <c r="D34" s="37"/>
      <c r="E34" s="37"/>
      <c r="F34" s="4831" t="s">
        <v>1233</v>
      </c>
      <c r="G34" s="4832"/>
      <c r="H34" s="1764"/>
      <c r="I34" s="1763"/>
      <c r="J34" s="1614">
        <f>SUM(I36:I42)</f>
        <v>192.29999999999998</v>
      </c>
      <c r="K34" s="1766"/>
      <c r="L34" s="1765"/>
      <c r="M34" s="1617">
        <f>SUM(L36:L42)</f>
        <v>192.29999999999998</v>
      </c>
      <c r="N34" s="1764"/>
      <c r="O34" s="1763"/>
      <c r="P34" s="1614">
        <f>SUM(O36:O42)</f>
        <v>209.95999999999998</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713</v>
      </c>
      <c r="D36" s="4857"/>
      <c r="E36" s="4858"/>
      <c r="F36" s="1756">
        <f>IF(C36="",0,VLOOKUP(C36,'SDK5'!C3:AF83,2,FALSE))</f>
        <v>44.9</v>
      </c>
      <c r="G36" s="1756">
        <f t="shared" ref="G36:G42" si="0">F36*(100+$D$35)/100</f>
        <v>44.9</v>
      </c>
      <c r="H36" s="1931">
        <v>0.9</v>
      </c>
      <c r="I36" s="1754">
        <f t="shared" ref="I36:I42" si="1">$G36*H36</f>
        <v>40.409999999999997</v>
      </c>
      <c r="J36" s="45"/>
      <c r="K36" s="1931">
        <v>0.9</v>
      </c>
      <c r="L36" s="1596">
        <f t="shared" ref="L36:L42" si="2">$G36*K36</f>
        <v>40.409999999999997</v>
      </c>
      <c r="M36" s="1589"/>
      <c r="N36" s="1931">
        <v>0.9</v>
      </c>
      <c r="O36" s="1754">
        <f t="shared" ref="O36:O42" si="3">$G36*N36</f>
        <v>40.409999999999997</v>
      </c>
      <c r="P36" s="1758"/>
      <c r="Q36" s="38"/>
    </row>
    <row r="37" spans="1:17" s="42" customFormat="1" ht="15" customHeight="1">
      <c r="A37" s="1306"/>
      <c r="B37" s="1594"/>
      <c r="C37" s="4855" t="s">
        <v>688</v>
      </c>
      <c r="D37" s="4855"/>
      <c r="E37" s="4856"/>
      <c r="F37" s="1756">
        <f>IF(C37="",0,VLOOKUP(C37,'SDK5'!C4:AF84,2,FALSE))</f>
        <v>99.7</v>
      </c>
      <c r="G37" s="1756">
        <f t="shared" si="0"/>
        <v>99.7</v>
      </c>
      <c r="H37" s="1931">
        <v>0.5</v>
      </c>
      <c r="I37" s="1754">
        <f t="shared" si="1"/>
        <v>49.85</v>
      </c>
      <c r="J37" s="45"/>
      <c r="K37" s="1931">
        <v>0.5</v>
      </c>
      <c r="L37" s="1596">
        <f t="shared" si="2"/>
        <v>49.85</v>
      </c>
      <c r="M37" s="1589"/>
      <c r="N37" s="1931">
        <v>0.5</v>
      </c>
      <c r="O37" s="1754">
        <f t="shared" si="3"/>
        <v>49.85</v>
      </c>
      <c r="P37" s="1718"/>
      <c r="Q37" s="38"/>
    </row>
    <row r="38" spans="1:17" s="42" customFormat="1" ht="15" customHeight="1">
      <c r="A38" s="1306"/>
      <c r="B38" s="1757"/>
      <c r="C38" s="4855" t="s">
        <v>678</v>
      </c>
      <c r="D38" s="4855"/>
      <c r="E38" s="4856"/>
      <c r="F38" s="1756">
        <f>IF(C38="",0,VLOOKUP(C38,'SDK5'!C5:AF85,2,FALSE))</f>
        <v>62.8</v>
      </c>
      <c r="G38" s="1756">
        <f t="shared" si="0"/>
        <v>62.8</v>
      </c>
      <c r="H38" s="1931">
        <v>0.5</v>
      </c>
      <c r="I38" s="1754">
        <f t="shared" si="1"/>
        <v>31.4</v>
      </c>
      <c r="J38" s="45"/>
      <c r="K38" s="1931">
        <v>0.5</v>
      </c>
      <c r="L38" s="1596">
        <f t="shared" si="2"/>
        <v>31.4</v>
      </c>
      <c r="M38" s="1589"/>
      <c r="N38" s="1931">
        <v>0.5</v>
      </c>
      <c r="O38" s="1754">
        <f t="shared" si="3"/>
        <v>31.4</v>
      </c>
      <c r="P38" s="1718"/>
      <c r="Q38" s="38"/>
    </row>
    <row r="39" spans="1:17" s="42" customFormat="1" ht="15" customHeight="1">
      <c r="A39" s="1306"/>
      <c r="B39" s="1594"/>
      <c r="C39" s="4855" t="s">
        <v>2084</v>
      </c>
      <c r="D39" s="4855"/>
      <c r="E39" s="4856"/>
      <c r="F39" s="1756">
        <f>IF(C39="",0,VLOOKUP(C39,'SDK5'!C6:AF86,2,FALSE))</f>
        <v>47.3</v>
      </c>
      <c r="G39" s="1756">
        <f t="shared" si="0"/>
        <v>47.3</v>
      </c>
      <c r="H39" s="1931">
        <v>1.2</v>
      </c>
      <c r="I39" s="1754">
        <f t="shared" si="1"/>
        <v>56.76</v>
      </c>
      <c r="J39" s="45"/>
      <c r="K39" s="1931">
        <v>1.2</v>
      </c>
      <c r="L39" s="1596">
        <f t="shared" si="2"/>
        <v>56.76</v>
      </c>
      <c r="M39" s="1589"/>
      <c r="N39" s="1931">
        <v>1.5</v>
      </c>
      <c r="O39" s="1754">
        <f t="shared" si="3"/>
        <v>70.949999999999989</v>
      </c>
      <c r="P39" s="1718"/>
      <c r="Q39" s="38"/>
    </row>
    <row r="40" spans="1:17" s="42" customFormat="1" ht="15" customHeight="1">
      <c r="A40" s="1306"/>
      <c r="B40" s="1594"/>
      <c r="C40" s="4855" t="s">
        <v>2085</v>
      </c>
      <c r="D40" s="4855"/>
      <c r="E40" s="4856"/>
      <c r="F40" s="1756">
        <f>IF(C40="",0,VLOOKUP(C40,'SDK5'!C7:AF87,2,FALSE))</f>
        <v>34.700000000000003</v>
      </c>
      <c r="G40" s="1756">
        <f t="shared" si="0"/>
        <v>34.700000000000003</v>
      </c>
      <c r="H40" s="1931">
        <v>0.4</v>
      </c>
      <c r="I40" s="1754">
        <f t="shared" si="1"/>
        <v>13.880000000000003</v>
      </c>
      <c r="J40" s="45"/>
      <c r="K40" s="1931">
        <v>0.4</v>
      </c>
      <c r="L40" s="1596">
        <f t="shared" si="2"/>
        <v>13.880000000000003</v>
      </c>
      <c r="M40" s="1589"/>
      <c r="N40" s="1931">
        <v>0.5</v>
      </c>
      <c r="O40" s="1754">
        <f t="shared" si="3"/>
        <v>17.350000000000001</v>
      </c>
      <c r="P40" s="1718"/>
      <c r="Q40" s="38"/>
    </row>
    <row r="41" spans="1:17" s="42" customFormat="1" ht="15" customHeight="1">
      <c r="A41" s="1306"/>
      <c r="B41" s="1594"/>
      <c r="C41" s="4855"/>
      <c r="D41" s="4855"/>
      <c r="E41" s="4856"/>
      <c r="F41" s="1756">
        <f>IF(C41="",0,VLOOKUP(C41,'SDK5'!C8:AF88,2,FALSE))</f>
        <v>0</v>
      </c>
      <c r="G41" s="1756">
        <f t="shared" si="0"/>
        <v>0</v>
      </c>
      <c r="H41" s="1931"/>
      <c r="I41" s="1754">
        <f t="shared" si="1"/>
        <v>0</v>
      </c>
      <c r="J41" s="45"/>
      <c r="K41" s="1931"/>
      <c r="L41" s="1596">
        <f t="shared" si="2"/>
        <v>0</v>
      </c>
      <c r="M41" s="1589"/>
      <c r="N41" s="1931"/>
      <c r="O41" s="1754">
        <f t="shared" si="3"/>
        <v>0</v>
      </c>
      <c r="P41" s="1718"/>
      <c r="Q41" s="38"/>
    </row>
    <row r="42" spans="1:17" s="42" customFormat="1" ht="15" customHeight="1">
      <c r="A42" s="1306"/>
      <c r="B42" s="1753"/>
      <c r="C42" s="4860"/>
      <c r="D42" s="4860"/>
      <c r="E42" s="4861"/>
      <c r="F42" s="1752">
        <f>IF(C42="",0,VLOOKUP(C42,'SDK5'!C9:AF89,2,FALSE))</f>
        <v>0</v>
      </c>
      <c r="G42" s="1752">
        <f t="shared" si="0"/>
        <v>0</v>
      </c>
      <c r="H42" s="1930"/>
      <c r="I42" s="1750">
        <f t="shared" si="1"/>
        <v>0</v>
      </c>
      <c r="J42" s="45"/>
      <c r="K42" s="1930"/>
      <c r="L42" s="1590">
        <f t="shared" si="2"/>
        <v>0</v>
      </c>
      <c r="M42" s="1589"/>
      <c r="N42" s="1930"/>
      <c r="O42" s="1750">
        <f t="shared" si="3"/>
        <v>0</v>
      </c>
      <c r="P42" s="1749"/>
      <c r="Q42" s="38"/>
    </row>
    <row r="43" spans="1:17" s="708" customFormat="1" ht="18.75" customHeight="1">
      <c r="A43" s="1270"/>
      <c r="B43" s="1276" t="s">
        <v>1231</v>
      </c>
      <c r="C43" s="1270"/>
      <c r="D43" s="1270"/>
      <c r="E43" s="1270"/>
      <c r="F43" s="1270"/>
      <c r="G43" s="1620"/>
      <c r="H43" s="1746"/>
      <c r="I43" s="1745"/>
      <c r="J43" s="1614">
        <f>SUM(J46:J57)</f>
        <v>145.11320151215688</v>
      </c>
      <c r="K43" s="1748"/>
      <c r="L43" s="1747"/>
      <c r="M43" s="1617">
        <f>SUM(M46:M57)</f>
        <v>146.83464642980394</v>
      </c>
      <c r="N43" s="1746"/>
      <c r="O43" s="1745"/>
      <c r="P43" s="1614">
        <f>SUM(P46:P57)</f>
        <v>152.15750676392159</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30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3</v>
      </c>
      <c r="O48" s="1719">
        <f t="shared" si="8"/>
        <v>0.96</v>
      </c>
      <c r="P48" s="1718">
        <f t="shared" si="9"/>
        <v>10.804246249411765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3</v>
      </c>
      <c r="L49" s="1722">
        <f t="shared" si="6"/>
        <v>1.08</v>
      </c>
      <c r="M49" s="1721">
        <f t="shared" si="7"/>
        <v>17.301605110588234</v>
      </c>
      <c r="N49" s="1720">
        <v>3</v>
      </c>
      <c r="O49" s="1719">
        <f t="shared" si="8"/>
        <v>1.08</v>
      </c>
      <c r="P49" s="1718">
        <f t="shared" si="9"/>
        <v>17.301605110588234</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0.91666666666666663</v>
      </c>
      <c r="I50" s="1719">
        <f t="shared" si="4"/>
        <v>0.3666666666666667</v>
      </c>
      <c r="J50" s="1718">
        <f t="shared" si="5"/>
        <v>6.3119646980392163</v>
      </c>
      <c r="K50" s="1720">
        <f>$M$6/60</f>
        <v>1.1666666666666667</v>
      </c>
      <c r="L50" s="1722">
        <f t="shared" si="6"/>
        <v>0.46666666666666673</v>
      </c>
      <c r="M50" s="1721">
        <f t="shared" si="7"/>
        <v>8.033409615686276</v>
      </c>
      <c r="N50" s="1720">
        <f>$P$6/60</f>
        <v>1.4166666666666667</v>
      </c>
      <c r="O50" s="1719">
        <f t="shared" si="8"/>
        <v>0.56666666666666676</v>
      </c>
      <c r="P50" s="1718">
        <f t="shared" si="9"/>
        <v>9.7548545333333347</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5.5066666666666677</v>
      </c>
      <c r="J58" s="1701"/>
      <c r="K58" s="1700"/>
      <c r="L58" s="1699">
        <f>SUM($L$46:$L$57)</f>
        <v>5.6066666666666674</v>
      </c>
      <c r="M58" s="1698"/>
      <c r="N58" s="1697"/>
      <c r="O58" s="1696">
        <f>SUM($O$46:$O$57)</f>
        <v>6.0266666666666664</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9.9120000000000026</v>
      </c>
      <c r="J59" s="1686"/>
      <c r="K59" s="1691"/>
      <c r="L59" s="1690">
        <f>IF(L58+SUM($L$46:$L$57)*$E$59%&gt;L58+10,L58+10,L58+SUM($L$46:$L$57)*$E$59%)</f>
        <v>10.092000000000002</v>
      </c>
      <c r="M59" s="1689"/>
      <c r="N59" s="1688"/>
      <c r="O59" s="1687">
        <f>IF(O58+SUM($O$46:$O$57)*$E$59%&gt;O58+10,O58+10,O58+SUM($O$46:$O$57)*$E$59%)</f>
        <v>10.847999999999999</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99.275000000000006</v>
      </c>
      <c r="K67" s="1641" t="s">
        <v>1217</v>
      </c>
      <c r="L67" s="1640" t="s">
        <v>1216</v>
      </c>
      <c r="M67" s="1617">
        <f>S68*(K9+K10)*L68%+F68</f>
        <v>126.35000000000001</v>
      </c>
      <c r="N67" s="1639" t="s">
        <v>1217</v>
      </c>
      <c r="O67" s="1638" t="s">
        <v>1216</v>
      </c>
      <c r="P67" s="1614">
        <f>T68*(N9+N10)*O68%+F68</f>
        <v>153.42500000000001</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16.426666666666669</v>
      </c>
      <c r="K69" s="1630"/>
      <c r="L69" s="1629"/>
      <c r="M69" s="1617">
        <f>K70*$F70/1000</f>
        <v>20.906666666666666</v>
      </c>
      <c r="N69" s="44"/>
      <c r="O69" s="73"/>
      <c r="P69" s="1614">
        <f>N70*$F70/1000</f>
        <v>25.386666666666667</v>
      </c>
      <c r="Q69" s="38"/>
    </row>
    <row r="70" spans="1:20" s="708" customFormat="1" ht="15" customHeight="1">
      <c r="A70" s="1270"/>
      <c r="B70" s="1332"/>
      <c r="C70" s="1331" t="s">
        <v>896</v>
      </c>
      <c r="D70" s="353"/>
      <c r="E70" s="280"/>
      <c r="F70" s="1628">
        <f>'SDK7'!G102</f>
        <v>16</v>
      </c>
      <c r="G70" s="1627" t="s">
        <v>171</v>
      </c>
      <c r="H70" s="1623">
        <f>I9+I10</f>
        <v>1026.6666666666667</v>
      </c>
      <c r="I70" s="1622"/>
      <c r="J70" s="1621"/>
      <c r="K70" s="1626">
        <f>L9+L10</f>
        <v>1306.6666666666667</v>
      </c>
      <c r="L70" s="1625"/>
      <c r="M70" s="1624"/>
      <c r="N70" s="1623">
        <f>O9+O10</f>
        <v>1586.6666666666667</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9.0106890548980374</v>
      </c>
      <c r="K75" s="711"/>
      <c r="L75" s="1056"/>
      <c r="M75" s="1578">
        <f>(M23+M27+M34+M43+M60+M65+M67+M69+M71)*('SDK1'!$O$59%*$G$75/12)</f>
        <v>9.8923910729274489</v>
      </c>
      <c r="N75" s="1580"/>
      <c r="O75" s="1579"/>
      <c r="P75" s="1578">
        <f>(P23+P27+P34+P43+P60+P65+P67+P69+P71)*('SDK1'!$O$59%*$G$75/12)</f>
        <v>10.960130475850979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H150" s="1929"/>
      <c r="J150" s="1928"/>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D154" s="15"/>
      <c r="F154" s="15"/>
      <c r="G154" s="15"/>
      <c r="H154" s="15"/>
      <c r="I154" s="15"/>
      <c r="J154" s="15"/>
      <c r="M154" s="35"/>
      <c r="N154" s="35"/>
      <c r="O154" s="35"/>
      <c r="P154" s="35"/>
      <c r="Q154" s="35"/>
    </row>
    <row r="155" spans="1:17">
      <c r="A155" s="35"/>
      <c r="B155" s="623"/>
      <c r="C155" s="15"/>
      <c r="D155" s="15"/>
      <c r="F155" s="15"/>
      <c r="G155" s="15"/>
      <c r="H155" s="15"/>
      <c r="I155" s="15"/>
      <c r="J155" s="15"/>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28" orientation="portrait" r:id="rId1"/>
  <headerFooter alignWithMargins="0">
    <oddFooter>&amp;L&amp;11LEL Schwäbisch Gmünd&amp;C35&amp;R&amp;11&amp;F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'SDK5'!$J$214:$J$313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9" width="0" style="35" hidden="1" customWidth="1"/>
    <col min="30" max="16384" width="10.5" style="35"/>
  </cols>
  <sheetData>
    <row r="1" spans="1:41" s="1891" customFormat="1" ht="30.4" customHeight="1">
      <c r="A1" s="1895"/>
      <c r="B1" s="326"/>
      <c r="C1" s="1908"/>
      <c r="D1" s="1827"/>
      <c r="E1" s="323"/>
      <c r="F1" s="323"/>
      <c r="G1" s="607"/>
      <c r="H1" s="1902"/>
      <c r="I1" s="1907" t="s">
        <v>1264</v>
      </c>
      <c r="J1" s="1906">
        <f>(J7+J13+J18+J22+I11+I12)-(J23+J27+J34+J43+J60+J65+J67+J69+J71+J75)</f>
        <v>400.65622716150415</v>
      </c>
      <c r="K1" s="4859">
        <f>M1-J1</f>
        <v>126.79472965818422</v>
      </c>
      <c r="L1" s="4859"/>
      <c r="M1" s="1906">
        <f>(M7+M13+M18+M22+L11+L12)-(M23+M27+M34+M43+M60+M65+M67+M69+M71+M75)</f>
        <v>527.45095681968837</v>
      </c>
      <c r="N1" s="4859">
        <f>P1-M1</f>
        <v>149.43250745954924</v>
      </c>
      <c r="O1" s="4859"/>
      <c r="P1" s="1906">
        <f>(P7+P13+P18+P22+O11+O12)-(P23+P27+P34+P43+P60+P65+P67+P69+P71+P75)</f>
        <v>676.88346427923761</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84</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1260</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50</v>
      </c>
      <c r="K6" s="4849" t="s">
        <v>152</v>
      </c>
      <c r="L6" s="4850"/>
      <c r="M6" s="1887">
        <v>60</v>
      </c>
      <c r="N6" s="4864" t="s">
        <v>178</v>
      </c>
      <c r="O6" s="4865"/>
      <c r="P6" s="1886">
        <v>70</v>
      </c>
      <c r="Q6" s="70"/>
    </row>
    <row r="7" spans="1:41" s="252" customFormat="1" ht="18.75" customHeight="1">
      <c r="A7" s="47"/>
      <c r="B7" s="311" t="s">
        <v>1258</v>
      </c>
      <c r="C7" s="47"/>
      <c r="D7" s="47"/>
      <c r="E7" s="47"/>
      <c r="F7" s="47"/>
      <c r="G7" s="1884"/>
      <c r="H7" s="1881"/>
      <c r="I7" s="1880"/>
      <c r="J7" s="1614">
        <f>SUM(I9:I10)</f>
        <v>1083.3333333333335</v>
      </c>
      <c r="K7" s="1883"/>
      <c r="L7" s="1882"/>
      <c r="M7" s="1617">
        <f>SUM(L9:L10)</f>
        <v>1300.0000000000002</v>
      </c>
      <c r="N7" s="1881"/>
      <c r="O7" s="1880"/>
      <c r="P7" s="1614">
        <f>SUM(O9:O10)</f>
        <v>1516.666666666667</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'SDK1'!O23</f>
        <v>21.666666666666671</v>
      </c>
      <c r="H9" s="1877">
        <f>J6-H10</f>
        <v>50</v>
      </c>
      <c r="I9" s="1873">
        <f>H9*G9</f>
        <v>1083.3333333333335</v>
      </c>
      <c r="J9" s="43"/>
      <c r="K9" s="1876">
        <f>M6-K10</f>
        <v>60</v>
      </c>
      <c r="L9" s="1875">
        <f>K9*G9</f>
        <v>1300.0000000000002</v>
      </c>
      <c r="M9" s="1854"/>
      <c r="N9" s="1874">
        <f>P6-N10</f>
        <v>70</v>
      </c>
      <c r="O9" s="1873">
        <f>N9*G9</f>
        <v>1516.666666666667</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0.9</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0</v>
      </c>
      <c r="K13" s="1927"/>
      <c r="L13" s="1825"/>
      <c r="M13" s="1617">
        <f>SUM(L14:L17)</f>
        <v>0</v>
      </c>
      <c r="N13" s="1926"/>
      <c r="O13" s="1823"/>
      <c r="P13" s="1614">
        <f>SUM(O14:O17)</f>
        <v>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1246</v>
      </c>
      <c r="I14" s="3965">
        <f>IF(H14="ja",Q14,0)</f>
        <v>0</v>
      </c>
      <c r="J14" s="45"/>
      <c r="K14" s="1836" t="s">
        <v>1246</v>
      </c>
      <c r="L14" s="1671">
        <f>IF(K14="ja",Q14,0)</f>
        <v>0</v>
      </c>
      <c r="M14" s="1589"/>
      <c r="N14" s="1836" t="s">
        <v>1246</v>
      </c>
      <c r="O14" s="1817">
        <f>IF(N14="ja",Q14,0)</f>
        <v>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355.4</v>
      </c>
      <c r="S19" s="1815">
        <f>M13+M18</f>
        <v>355.4</v>
      </c>
      <c r="T19" s="1814">
        <f>P13+P18</f>
        <v>355.4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202.29999999999998</v>
      </c>
      <c r="K23" s="1619"/>
      <c r="L23" s="1618"/>
      <c r="M23" s="1800">
        <f>SUM(L25:L26)</f>
        <v>202.29999999999998</v>
      </c>
      <c r="N23" s="1616"/>
      <c r="O23" s="1615"/>
      <c r="P23" s="1599">
        <f>SUM(O25:O26)</f>
        <v>202.29999999999998</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'SDK7'!F53/100</f>
        <v>1.19</v>
      </c>
      <c r="G25" s="1794">
        <f>F25*(100+$D$24)/100</f>
        <v>1.19</v>
      </c>
      <c r="H25" s="1793">
        <v>170</v>
      </c>
      <c r="I25" s="1754">
        <f>H25*$G25</f>
        <v>202.29999999999998</v>
      </c>
      <c r="J25" s="45"/>
      <c r="K25" s="1793">
        <f>H25</f>
        <v>170</v>
      </c>
      <c r="L25" s="1596">
        <f>K25*$G25</f>
        <v>202.29999999999998</v>
      </c>
      <c r="M25" s="1589"/>
      <c r="N25" s="1793">
        <f>H25</f>
        <v>170</v>
      </c>
      <c r="O25" s="1754">
        <f>N25*$G25</f>
        <v>202.29999999999998</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252</v>
      </c>
      <c r="K27" s="1748"/>
      <c r="L27" s="1747"/>
      <c r="M27" s="1617">
        <f>SUM(L30:L33)</f>
        <v>295.98666666666662</v>
      </c>
      <c r="N27" s="1746"/>
      <c r="O27" s="1745"/>
      <c r="P27" s="1614">
        <f>SUM(O30:O33)</f>
        <v>339.9733333333333</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1.6</v>
      </c>
      <c r="F30" s="1774">
        <f>VLOOKUP(K2,'SD8'!B9:L42,7,FALSE)</f>
        <v>0.5</v>
      </c>
      <c r="G30" s="1773">
        <v>20</v>
      </c>
      <c r="H30" s="1771">
        <f>IF(J$6=0,0,(J$6*$E30+$G30+X14))</f>
        <v>100</v>
      </c>
      <c r="I30" s="1754">
        <f>H30*$D30</f>
        <v>160.33333333333331</v>
      </c>
      <c r="J30" s="45"/>
      <c r="K30" s="1772">
        <f>IF(M$6=0,0,(M$6*$E30+$G30+Y14))</f>
        <v>116</v>
      </c>
      <c r="L30" s="1596">
        <f>K30*$D30</f>
        <v>185.98666666666662</v>
      </c>
      <c r="M30" s="1589"/>
      <c r="N30" s="1771">
        <f>IF(P$6=0,0,(P$6*$E30+$G30+Z14))</f>
        <v>132</v>
      </c>
      <c r="O30" s="1754">
        <f>N30*$D30</f>
        <v>211.63999999999996</v>
      </c>
      <c r="P30" s="1718"/>
      <c r="Q30" s="38"/>
    </row>
    <row r="31" spans="1:26" s="42" customFormat="1" ht="15" customHeight="1">
      <c r="A31" s="1306"/>
      <c r="B31" s="274"/>
      <c r="C31" s="1306" t="s">
        <v>244</v>
      </c>
      <c r="D31" s="1723">
        <f>'SDK1'!O53</f>
        <v>1.0999999999999999</v>
      </c>
      <c r="E31" s="1774">
        <f>VLOOKUP(K2,'SD8'!B9:L42,4,FALSE)</f>
        <v>0.8</v>
      </c>
      <c r="F31" s="1774">
        <f>VLOOKUP(K2,'SD8'!B9:L42,8,FALSE)</f>
        <v>0.30000000000000004</v>
      </c>
      <c r="G31" s="1773"/>
      <c r="H31" s="1771">
        <f>IF(J$6=0,0,(J$6*$E31+$G31+X15))</f>
        <v>40</v>
      </c>
      <c r="I31" s="1754">
        <f>H31*$D31</f>
        <v>43.999999999999993</v>
      </c>
      <c r="J31" s="45"/>
      <c r="K31" s="1772">
        <f>IF(M$6=0,0,(M$6*$E31+$G31+Y15))</f>
        <v>48</v>
      </c>
      <c r="L31" s="1596">
        <f>K31*$D31</f>
        <v>52.8</v>
      </c>
      <c r="M31" s="1589"/>
      <c r="N31" s="1771">
        <f>IF(P$6=0,0,(P$6*$E31+$G31+Z15))</f>
        <v>56</v>
      </c>
      <c r="O31" s="1754">
        <f>N31*$D31</f>
        <v>61.599999999999994</v>
      </c>
      <c r="P31" s="1718"/>
      <c r="Q31" s="38"/>
    </row>
    <row r="32" spans="1:26" s="42" customFormat="1" ht="15" customHeight="1">
      <c r="A32" s="1306"/>
      <c r="B32" s="274"/>
      <c r="C32" s="1306" t="s">
        <v>242</v>
      </c>
      <c r="D32" s="1723">
        <f>'SDK1'!O54</f>
        <v>1.02</v>
      </c>
      <c r="E32" s="1774">
        <f>VLOOKUP(K2,'SD8'!B9:L42,5,FALSE)</f>
        <v>0.8</v>
      </c>
      <c r="F32" s="1774">
        <f>VLOOKUP(K2,'SD8'!B9:L42,9,FALSE)</f>
        <v>1.7</v>
      </c>
      <c r="G32" s="1773"/>
      <c r="H32" s="1771">
        <f>IF(J$6=0,0,(J$6*$E32+$G32+X16))</f>
        <v>40</v>
      </c>
      <c r="I32" s="1754">
        <f>H32*$D32</f>
        <v>40.799999999999997</v>
      </c>
      <c r="J32" s="45"/>
      <c r="K32" s="1772">
        <f>IF(M$6=0,0,(M$6*$E32+$G32+Y16))</f>
        <v>48</v>
      </c>
      <c r="L32" s="1596">
        <f>K32*$D32</f>
        <v>48.96</v>
      </c>
      <c r="M32" s="1589"/>
      <c r="N32" s="1771">
        <f>IF(P$6=0,0,(P$6*$E32+$G32+Z16))</f>
        <v>56</v>
      </c>
      <c r="O32" s="1754">
        <f>N32*$D32</f>
        <v>57.120000000000005</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10</v>
      </c>
      <c r="I33" s="1750">
        <f>H33*$D33</f>
        <v>6.8666666666666671</v>
      </c>
      <c r="J33" s="45"/>
      <c r="K33" s="1768">
        <f>IF(M$6=0,0,(M$6*$E33+$G33+Y17))</f>
        <v>12</v>
      </c>
      <c r="L33" s="1590">
        <f>K33*$D33</f>
        <v>8.240000000000002</v>
      </c>
      <c r="M33" s="1589"/>
      <c r="N33" s="1767">
        <f>IF(P$6=0,0,(P$6*$E33+$G33+Z17))</f>
        <v>14</v>
      </c>
      <c r="O33" s="1750">
        <f>N33*$D33</f>
        <v>9.6133333333333351</v>
      </c>
      <c r="P33" s="1749"/>
      <c r="Q33" s="38"/>
    </row>
    <row r="34" spans="1:17" s="708" customFormat="1" ht="18.75" customHeight="1">
      <c r="A34" s="1270"/>
      <c r="B34" s="1276" t="s">
        <v>1234</v>
      </c>
      <c r="C34" s="1270"/>
      <c r="D34" s="37"/>
      <c r="E34" s="37"/>
      <c r="F34" s="4831" t="s">
        <v>1233</v>
      </c>
      <c r="G34" s="4832"/>
      <c r="H34" s="1764"/>
      <c r="I34" s="1763"/>
      <c r="J34" s="1614">
        <f>SUM(I36:I42)</f>
        <v>170.75</v>
      </c>
      <c r="K34" s="1766"/>
      <c r="L34" s="1765"/>
      <c r="M34" s="1617">
        <f>SUM(L36:L42)</f>
        <v>189.59</v>
      </c>
      <c r="N34" s="1764"/>
      <c r="O34" s="1763"/>
      <c r="P34" s="1614">
        <f>SUM(O36:O42)</f>
        <v>189.59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688</v>
      </c>
      <c r="D36" s="4875"/>
      <c r="E36" s="4876"/>
      <c r="F36" s="1756">
        <f>IF(C36="",0,VLOOKUP(C36,'SDK5'!C3:AF83,2,FALSE))</f>
        <v>99.7</v>
      </c>
      <c r="G36" s="1756">
        <f t="shared" ref="G36:G42" si="0">F36*(100+$D$35)/100</f>
        <v>99.7</v>
      </c>
      <c r="H36" s="1931">
        <v>0.5</v>
      </c>
      <c r="I36" s="1754">
        <f t="shared" ref="I36:I42" si="1">$G36*H36</f>
        <v>49.85</v>
      </c>
      <c r="J36" s="45"/>
      <c r="K36" s="1931">
        <v>0.5</v>
      </c>
      <c r="L36" s="1596">
        <f t="shared" ref="L36:L42" si="2">$G36*K36</f>
        <v>49.85</v>
      </c>
      <c r="M36" s="1589"/>
      <c r="N36" s="1931">
        <v>0.5</v>
      </c>
      <c r="O36" s="1754">
        <f t="shared" ref="O36:O42" si="3">$G36*N36</f>
        <v>49.85</v>
      </c>
      <c r="P36" s="1758"/>
      <c r="Q36" s="38"/>
    </row>
    <row r="37" spans="1:17" s="42" customFormat="1" ht="15" customHeight="1">
      <c r="A37" s="1306"/>
      <c r="B37" s="1594"/>
      <c r="C37" s="4855" t="s">
        <v>724</v>
      </c>
      <c r="D37" s="4877"/>
      <c r="E37" s="4878"/>
      <c r="F37" s="1756">
        <f>IF(C37="",0,VLOOKUP(C37,'SDK5'!C4:AF84,2,FALSE))</f>
        <v>31.8</v>
      </c>
      <c r="G37" s="1756">
        <f t="shared" si="0"/>
        <v>31.8</v>
      </c>
      <c r="H37" s="1931">
        <v>1</v>
      </c>
      <c r="I37" s="1754">
        <f t="shared" si="1"/>
        <v>31.8</v>
      </c>
      <c r="J37" s="45"/>
      <c r="K37" s="1931">
        <v>1</v>
      </c>
      <c r="L37" s="1596">
        <f t="shared" si="2"/>
        <v>31.8</v>
      </c>
      <c r="M37" s="1589"/>
      <c r="N37" s="1931">
        <v>1</v>
      </c>
      <c r="O37" s="1754">
        <f t="shared" si="3"/>
        <v>31.8</v>
      </c>
      <c r="P37" s="1718"/>
      <c r="Q37" s="38"/>
    </row>
    <row r="38" spans="1:17" s="42" customFormat="1" ht="15" customHeight="1">
      <c r="A38" s="1306"/>
      <c r="B38" s="1757"/>
      <c r="C38" s="4855" t="s">
        <v>678</v>
      </c>
      <c r="D38" s="4877"/>
      <c r="E38" s="4878"/>
      <c r="F38" s="1756">
        <f>IF(C38="",0,VLOOKUP(C38,'SDK5'!C5:AF85,2,FALSE))</f>
        <v>62.8</v>
      </c>
      <c r="G38" s="1756">
        <f t="shared" si="0"/>
        <v>62.8</v>
      </c>
      <c r="H38" s="1931"/>
      <c r="I38" s="1754">
        <f t="shared" si="1"/>
        <v>0</v>
      </c>
      <c r="J38" s="45"/>
      <c r="K38" s="1931">
        <v>0.3</v>
      </c>
      <c r="L38" s="1596">
        <f t="shared" si="2"/>
        <v>18.84</v>
      </c>
      <c r="M38" s="1589"/>
      <c r="N38" s="1931">
        <v>0.3</v>
      </c>
      <c r="O38" s="1754">
        <f t="shared" si="3"/>
        <v>18.84</v>
      </c>
      <c r="P38" s="1718"/>
      <c r="Q38" s="38"/>
    </row>
    <row r="39" spans="1:17" s="42" customFormat="1" ht="15" customHeight="1">
      <c r="A39" s="1306"/>
      <c r="B39" s="1594"/>
      <c r="C39" s="4855" t="s">
        <v>2065</v>
      </c>
      <c r="D39" s="4877"/>
      <c r="E39" s="4878"/>
      <c r="F39" s="1756">
        <f>IF(C39="",0,VLOOKUP(C39,'SDK5'!C6:AF86,2,FALSE))</f>
        <v>59.4</v>
      </c>
      <c r="G39" s="1756">
        <f t="shared" si="0"/>
        <v>59.4</v>
      </c>
      <c r="H39" s="1931">
        <v>1.5</v>
      </c>
      <c r="I39" s="1754">
        <f t="shared" si="1"/>
        <v>89.1</v>
      </c>
      <c r="J39" s="45"/>
      <c r="K39" s="1931">
        <v>1.5</v>
      </c>
      <c r="L39" s="1596">
        <f t="shared" si="2"/>
        <v>89.1</v>
      </c>
      <c r="M39" s="1589"/>
      <c r="N39" s="1931">
        <v>1.5</v>
      </c>
      <c r="O39" s="1754">
        <f t="shared" si="3"/>
        <v>89.1</v>
      </c>
      <c r="P39" s="1718"/>
      <c r="Q39" s="38"/>
    </row>
    <row r="40" spans="1:17" s="42" customFormat="1" ht="15" customHeight="1">
      <c r="A40" s="1306"/>
      <c r="B40" s="1594"/>
      <c r="C40" s="4855"/>
      <c r="D40" s="4855"/>
      <c r="E40" s="4856"/>
      <c r="F40" s="1756">
        <f>IF(C40="",0,VLOOKUP(C40,'SDK5'!C7:AF87,2,FALSE))</f>
        <v>0</v>
      </c>
      <c r="G40" s="1756">
        <f t="shared" si="0"/>
        <v>0</v>
      </c>
      <c r="H40" s="1931"/>
      <c r="I40" s="1754">
        <f t="shared" si="1"/>
        <v>0</v>
      </c>
      <c r="J40" s="45"/>
      <c r="K40" s="1931"/>
      <c r="L40" s="1596">
        <f t="shared" si="2"/>
        <v>0</v>
      </c>
      <c r="M40" s="1589"/>
      <c r="N40" s="1931"/>
      <c r="O40" s="1754">
        <f t="shared" si="3"/>
        <v>0</v>
      </c>
      <c r="P40" s="1718"/>
      <c r="Q40" s="38"/>
    </row>
    <row r="41" spans="1:17" s="42" customFormat="1" ht="15" customHeight="1">
      <c r="A41" s="1306"/>
      <c r="B41" s="1594"/>
      <c r="C41" s="4855"/>
      <c r="D41" s="4855"/>
      <c r="E41" s="4856"/>
      <c r="F41" s="1756">
        <f>IF(C41="",0,VLOOKUP(C41,'SDK5'!C8:AF88,2,FALSE))</f>
        <v>0</v>
      </c>
      <c r="G41" s="1756">
        <f t="shared" si="0"/>
        <v>0</v>
      </c>
      <c r="H41" s="1931"/>
      <c r="I41" s="1754">
        <f t="shared" si="1"/>
        <v>0</v>
      </c>
      <c r="J41" s="45"/>
      <c r="K41" s="1931"/>
      <c r="L41" s="1596">
        <f t="shared" si="2"/>
        <v>0</v>
      </c>
      <c r="M41" s="1589"/>
      <c r="N41" s="1931"/>
      <c r="O41" s="1754">
        <f t="shared" si="3"/>
        <v>0</v>
      </c>
      <c r="P41" s="1718"/>
      <c r="Q41" s="38"/>
    </row>
    <row r="42" spans="1:17" s="42" customFormat="1" ht="15" customHeight="1">
      <c r="A42" s="1306"/>
      <c r="B42" s="1753"/>
      <c r="C42" s="4860"/>
      <c r="D42" s="4860"/>
      <c r="E42" s="4861"/>
      <c r="F42" s="1752">
        <f>IF(C42="",0,VLOOKUP(C42,'SDK5'!C9:AF89,2,FALSE))</f>
        <v>0</v>
      </c>
      <c r="G42" s="1752">
        <f t="shared" si="0"/>
        <v>0</v>
      </c>
      <c r="H42" s="1930"/>
      <c r="I42" s="1750">
        <f t="shared" si="1"/>
        <v>0</v>
      </c>
      <c r="J42" s="45"/>
      <c r="K42" s="1930"/>
      <c r="L42" s="1590">
        <f t="shared" si="2"/>
        <v>0</v>
      </c>
      <c r="M42" s="1589"/>
      <c r="N42" s="1930"/>
      <c r="O42" s="1750">
        <f t="shared" si="3"/>
        <v>0</v>
      </c>
      <c r="P42" s="1749"/>
      <c r="Q42" s="38"/>
    </row>
    <row r="43" spans="1:17" s="708" customFormat="1" ht="18.75" customHeight="1">
      <c r="A43" s="1270"/>
      <c r="B43" s="1276" t="s">
        <v>1231</v>
      </c>
      <c r="C43" s="1270"/>
      <c r="D43" s="1270"/>
      <c r="E43" s="1270"/>
      <c r="F43" s="1270"/>
      <c r="G43" s="1620"/>
      <c r="H43" s="1746"/>
      <c r="I43" s="1745"/>
      <c r="J43" s="1614">
        <f>SUM(J46:J57)</f>
        <v>144.53938653960785</v>
      </c>
      <c r="K43" s="1748"/>
      <c r="L43" s="1747"/>
      <c r="M43" s="1617">
        <f>SUM(M46:M57)</f>
        <v>149.28843190117647</v>
      </c>
      <c r="N43" s="1746"/>
      <c r="O43" s="1745"/>
      <c r="P43" s="1614">
        <f>SUM(P46:P57)</f>
        <v>150.43606184627453</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38"/>
      <c r="D45" s="130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5"/>
      <c r="E46" s="3812">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5"/>
      <c r="E47" s="3813">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5"/>
      <c r="E48" s="3813">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3</v>
      </c>
      <c r="L48" s="1722">
        <f t="shared" si="6"/>
        <v>0.96</v>
      </c>
      <c r="M48" s="1721">
        <f t="shared" si="7"/>
        <v>10.804246249411765</v>
      </c>
      <c r="N48" s="1720">
        <v>3</v>
      </c>
      <c r="O48" s="1719">
        <f t="shared" si="8"/>
        <v>0.96</v>
      </c>
      <c r="P48" s="1718">
        <f t="shared" si="9"/>
        <v>10.804246249411765</v>
      </c>
      <c r="Q48" s="38"/>
    </row>
    <row r="49" spans="1:17" s="42" customFormat="1" ht="15" customHeight="1">
      <c r="A49" s="1306"/>
      <c r="B49" s="1726"/>
      <c r="C49" s="4835" t="s">
        <v>456</v>
      </c>
      <c r="D49" s="4835"/>
      <c r="E49" s="3813">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3</v>
      </c>
      <c r="L49" s="1722">
        <f t="shared" si="6"/>
        <v>1.08</v>
      </c>
      <c r="M49" s="1721">
        <f t="shared" si="7"/>
        <v>17.301605110588234</v>
      </c>
      <c r="N49" s="1720">
        <v>3</v>
      </c>
      <c r="O49" s="1719">
        <f t="shared" si="8"/>
        <v>1.08</v>
      </c>
      <c r="P49" s="1718">
        <f t="shared" si="9"/>
        <v>17.301605110588234</v>
      </c>
      <c r="Q49" s="38"/>
    </row>
    <row r="50" spans="1:17" s="42" customFormat="1" ht="15" customHeight="1">
      <c r="A50" s="1306"/>
      <c r="B50" s="1726"/>
      <c r="C50" s="4835" t="s">
        <v>435</v>
      </c>
      <c r="D50" s="4835"/>
      <c r="E50" s="3813">
        <f>IF($C50=0,0,VLOOKUP($C50,'SDK3'!$C$24:$O$92,4,FALSE))</f>
        <v>83</v>
      </c>
      <c r="F50" s="1724">
        <f>IF($C50=0,0,VLOOKUP($C50,'SDK3'!$C$24:$O$92,12,FALSE))</f>
        <v>0.4</v>
      </c>
      <c r="G50" s="1723">
        <f>IF($C50=0,0,VLOOKUP($C50,'SDK3'!$C$24:$O$92,13,FALSE))</f>
        <v>6.8857796705882359</v>
      </c>
      <c r="H50" s="1720">
        <f>J6/60</f>
        <v>0.83333333333333337</v>
      </c>
      <c r="I50" s="1719">
        <f t="shared" si="4"/>
        <v>0.33333333333333337</v>
      </c>
      <c r="J50" s="1718">
        <f t="shared" si="5"/>
        <v>5.7381497254901968</v>
      </c>
      <c r="K50" s="1720">
        <f>M6/60</f>
        <v>1</v>
      </c>
      <c r="L50" s="1722">
        <f t="shared" si="6"/>
        <v>0.4</v>
      </c>
      <c r="M50" s="1721">
        <f t="shared" si="7"/>
        <v>6.8857796705882359</v>
      </c>
      <c r="N50" s="1720">
        <f>P6/60</f>
        <v>1.1666666666666667</v>
      </c>
      <c r="O50" s="1719">
        <f t="shared" si="8"/>
        <v>0.46666666666666673</v>
      </c>
      <c r="P50" s="1718">
        <f t="shared" si="9"/>
        <v>8.033409615686276</v>
      </c>
      <c r="Q50" s="38"/>
    </row>
    <row r="51" spans="1:17" s="42" customFormat="1" ht="15" customHeight="1">
      <c r="A51" s="1306"/>
      <c r="B51" s="1726"/>
      <c r="C51" s="4835" t="s">
        <v>512</v>
      </c>
      <c r="D51" s="4835" t="s">
        <v>512</v>
      </c>
      <c r="E51" s="3813">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5"/>
      <c r="E52" s="3813">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5"/>
      <c r="E53" s="3813">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5"/>
      <c r="E54" s="3813">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5"/>
      <c r="E55" s="3813">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0"/>
      <c r="E56" s="3814">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5.4733333333333336</v>
      </c>
      <c r="J58" s="1701"/>
      <c r="K58" s="1700"/>
      <c r="L58" s="1699">
        <f>SUM($L$46:$L$57)</f>
        <v>5.86</v>
      </c>
      <c r="M58" s="1698"/>
      <c r="N58" s="1697"/>
      <c r="O58" s="1696">
        <f>SUM($O$46:$O$57)</f>
        <v>5.9266666666666667</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9.8520000000000003</v>
      </c>
      <c r="J59" s="1686"/>
      <c r="K59" s="1691"/>
      <c r="L59" s="1690">
        <f>IF(L58+SUM($L$46:$L$57)*$E$59%&gt;L58+10,L58+10,L58+SUM($L$46:$L$57)*$E$59%)</f>
        <v>10.548000000000002</v>
      </c>
      <c r="M59" s="1689"/>
      <c r="N59" s="1688"/>
      <c r="O59" s="1687">
        <f>IF(O58+SUM($O$46:$O$57)*$E$59%&gt;O58+10,O58+10,O58+SUM($O$46:$O$57)*$E$59%)</f>
        <v>10.667999999999999</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90.250000000000014</v>
      </c>
      <c r="K67" s="1641" t="s">
        <v>1217</v>
      </c>
      <c r="L67" s="1640" t="s">
        <v>1216</v>
      </c>
      <c r="M67" s="1617">
        <f>S68*(K9+K10)*L68%+F68</f>
        <v>108.30000000000001</v>
      </c>
      <c r="N67" s="1639" t="s">
        <v>1217</v>
      </c>
      <c r="O67" s="1638" t="s">
        <v>1216</v>
      </c>
      <c r="P67" s="1614">
        <f>T68*(N9+N10)*O68%+F68</f>
        <v>126.35000000000001</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17.333333333333336</v>
      </c>
      <c r="K69" s="1630"/>
      <c r="L69" s="1629"/>
      <c r="M69" s="1617">
        <f>K70*$F70/1000</f>
        <v>20.800000000000004</v>
      </c>
      <c r="N69" s="44"/>
      <c r="O69" s="73"/>
      <c r="P69" s="1614">
        <f>N70*$F70/1000</f>
        <v>24.266666666666673</v>
      </c>
      <c r="Q69" s="38"/>
    </row>
    <row r="70" spans="1:20" s="708" customFormat="1" ht="15" customHeight="1">
      <c r="A70" s="1270"/>
      <c r="B70" s="1332"/>
      <c r="C70" s="1331" t="s">
        <v>896</v>
      </c>
      <c r="D70" s="353"/>
      <c r="E70" s="280"/>
      <c r="F70" s="1628">
        <f>'SDK7'!G102</f>
        <v>16</v>
      </c>
      <c r="G70" s="1627" t="s">
        <v>171</v>
      </c>
      <c r="H70" s="1623">
        <f>I9+I10</f>
        <v>1083.3333333333335</v>
      </c>
      <c r="I70" s="1622"/>
      <c r="J70" s="1621"/>
      <c r="K70" s="1626">
        <f>L9+L10</f>
        <v>1300.0000000000002</v>
      </c>
      <c r="L70" s="1625"/>
      <c r="M70" s="1624"/>
      <c r="N70" s="1623">
        <f>O9+O10</f>
        <v>1516.666666666667</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9.0043862988882353</v>
      </c>
      <c r="K75" s="711"/>
      <c r="L75" s="1056"/>
      <c r="M75" s="1578">
        <f>(M23+M27+M34+M43+M60+M65+M67+M69+M71)*('SDK1'!$O$59%*$G$75/12)</f>
        <v>9.7839446124686269</v>
      </c>
      <c r="N75" s="1580"/>
      <c r="O75" s="1579"/>
      <c r="P75" s="1578">
        <f>(P23+P27+P34+P43+P60+P65+P67+P69+P71)*('SDK1'!$O$59%*$G$75/12)</f>
        <v>10.367140541154901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40:E40"/>
    <mergeCell ref="N3:O4"/>
    <mergeCell ref="J4:L4"/>
    <mergeCell ref="C48:D48"/>
    <mergeCell ref="C56:D56"/>
    <mergeCell ref="C49:D49"/>
    <mergeCell ref="C63:E63"/>
    <mergeCell ref="N1:O1"/>
    <mergeCell ref="C42:E42"/>
    <mergeCell ref="H6:I6"/>
    <mergeCell ref="C19:F19"/>
    <mergeCell ref="E4:I4"/>
    <mergeCell ref="C16:F16"/>
    <mergeCell ref="C17:F17"/>
    <mergeCell ref="C41:E41"/>
    <mergeCell ref="K2:P2"/>
    <mergeCell ref="E22:G22"/>
    <mergeCell ref="F34:G34"/>
    <mergeCell ref="N6:O6"/>
    <mergeCell ref="B75:C75"/>
    <mergeCell ref="C73:E73"/>
    <mergeCell ref="C51:D51"/>
    <mergeCell ref="C52:D52"/>
    <mergeCell ref="C53:D53"/>
    <mergeCell ref="C54:D54"/>
    <mergeCell ref="C74:E74"/>
    <mergeCell ref="C55:D55"/>
    <mergeCell ref="C68:E68"/>
    <mergeCell ref="C62:E62"/>
    <mergeCell ref="C64:E64"/>
    <mergeCell ref="C57:D57"/>
    <mergeCell ref="C50:D50"/>
    <mergeCell ref="K1:L1"/>
    <mergeCell ref="C36:E36"/>
    <mergeCell ref="C37:E37"/>
    <mergeCell ref="C38:E38"/>
    <mergeCell ref="C39:E39"/>
    <mergeCell ref="F23:G23"/>
    <mergeCell ref="C46:D46"/>
    <mergeCell ref="D26:E26"/>
    <mergeCell ref="C14:F14"/>
    <mergeCell ref="C15:F15"/>
    <mergeCell ref="C47:D47"/>
    <mergeCell ref="K6:L6"/>
    <mergeCell ref="D25:E25"/>
    <mergeCell ref="J3:L3"/>
    <mergeCell ref="E10:F10"/>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0" orientation="portrait" r:id="rId1"/>
  <headerFooter alignWithMargins="0">
    <oddFooter>&amp;L&amp;11LEL Schwäbisch Gmünd&amp;C37&amp;R&amp;11&amp;F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Pflanzenschutzmittel" error="Bitte aus Dropdownliste auswählen.">
          <x14:formula1>
            <xm:f>'SDK5'!$G$214:$G$313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774.01567491810829</v>
      </c>
      <c r="K1" s="4859">
        <f>M1-J1</f>
        <v>44.683112499999879</v>
      </c>
      <c r="L1" s="4859"/>
      <c r="M1" s="1906">
        <f>(M7+M13+M18+M22+L11+L12)-(M23+M27+M34+M43+M60+M65+M67+M69+M71+M75)</f>
        <v>818.69878741810817</v>
      </c>
      <c r="N1" s="4859">
        <f>P1-M1</f>
        <v>280.79967500000021</v>
      </c>
      <c r="O1" s="4859"/>
      <c r="P1" s="1906">
        <f>(P7+P13+P18+P22+O11+O12)-(P23+P27+P34+P43+P60+P65+P67+P69+P71+P75)</f>
        <v>1099.4984624181084</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208</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55</v>
      </c>
      <c r="K6" s="4849" t="s">
        <v>152</v>
      </c>
      <c r="L6" s="4850"/>
      <c r="M6" s="1887">
        <v>65</v>
      </c>
      <c r="N6" s="4864" t="s">
        <v>178</v>
      </c>
      <c r="O6" s="4865"/>
      <c r="P6" s="1886">
        <v>75</v>
      </c>
      <c r="Q6" s="70"/>
    </row>
    <row r="7" spans="1:41" s="252" customFormat="1" ht="18.75" customHeight="1">
      <c r="A7" s="47"/>
      <c r="B7" s="311" t="s">
        <v>1258</v>
      </c>
      <c r="C7" s="47"/>
      <c r="D7" s="47"/>
      <c r="E7" s="47"/>
      <c r="F7" s="47"/>
      <c r="G7" s="1884"/>
      <c r="H7" s="1881"/>
      <c r="I7" s="1880"/>
      <c r="J7" s="1614">
        <f>SUM(I9:I10)</f>
        <v>1191.666666666667</v>
      </c>
      <c r="K7" s="1883"/>
      <c r="L7" s="1882"/>
      <c r="M7" s="1617">
        <f>SUM(L9:L10)</f>
        <v>1408.3333333333337</v>
      </c>
      <c r="N7" s="1881"/>
      <c r="O7" s="1880"/>
      <c r="P7" s="1614">
        <f>SUM(O9:O10)</f>
        <v>1625.0000000000005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'SDK1'!O24</f>
        <v>21.666666666666671</v>
      </c>
      <c r="H9" s="1877">
        <f>J6-H10</f>
        <v>55</v>
      </c>
      <c r="I9" s="1873">
        <f>H9*G9</f>
        <v>1191.666666666667</v>
      </c>
      <c r="J9" s="43"/>
      <c r="K9" s="1876">
        <f>M6-K10</f>
        <v>65</v>
      </c>
      <c r="L9" s="1875">
        <f>K9*G9</f>
        <v>1408.3333333333337</v>
      </c>
      <c r="M9" s="1854"/>
      <c r="N9" s="1874">
        <f>P6-N10</f>
        <v>75</v>
      </c>
      <c r="O9" s="1873">
        <f>N9*G9</f>
        <v>1625.0000000000005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153</v>
      </c>
      <c r="K23" s="1619"/>
      <c r="L23" s="1618"/>
      <c r="M23" s="1800">
        <f>SUM(L25:L26)</f>
        <v>153</v>
      </c>
      <c r="N23" s="1616"/>
      <c r="O23" s="1615"/>
      <c r="P23" s="1599">
        <f>SUM(O25:O26)</f>
        <v>153</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'SDK7'!F54/100</f>
        <v>0.9</v>
      </c>
      <c r="G25" s="1794">
        <f>F25*(100+$D$24)/100</f>
        <v>0.9</v>
      </c>
      <c r="H25" s="1936">
        <v>170</v>
      </c>
      <c r="I25" s="1754">
        <f>H25*$G25</f>
        <v>153</v>
      </c>
      <c r="J25" s="45"/>
      <c r="K25" s="1936">
        <v>170</v>
      </c>
      <c r="L25" s="1596">
        <f>K25*$G25</f>
        <v>153</v>
      </c>
      <c r="M25" s="1589"/>
      <c r="N25" s="1936">
        <f>H25</f>
        <v>170</v>
      </c>
      <c r="O25" s="1754">
        <f>N25*$G25</f>
        <v>153</v>
      </c>
      <c r="P25" s="1718"/>
      <c r="Q25" s="38"/>
    </row>
    <row r="26" spans="1:26" s="42" customFormat="1" ht="15" customHeight="1">
      <c r="A26" s="1306"/>
      <c r="B26" s="1332"/>
      <c r="C26" s="1792"/>
      <c r="D26" s="4853"/>
      <c r="E26" s="4854"/>
      <c r="F26" s="1791"/>
      <c r="G26" s="1790">
        <f>F26*(100+$D$24)/100</f>
        <v>0</v>
      </c>
      <c r="H26" s="1935"/>
      <c r="I26" s="1750">
        <f>H26*$G26</f>
        <v>0</v>
      </c>
      <c r="J26" s="45"/>
      <c r="K26" s="1935"/>
      <c r="L26" s="1590">
        <f>K26*$G26</f>
        <v>0</v>
      </c>
      <c r="M26" s="1589"/>
      <c r="N26" s="1935">
        <f>H26</f>
        <v>0</v>
      </c>
      <c r="O26" s="1750">
        <f>N26*$G26</f>
        <v>0</v>
      </c>
      <c r="P26" s="1749"/>
      <c r="Q26" s="38"/>
    </row>
    <row r="27" spans="1:26" s="708" customFormat="1" ht="18.75" customHeight="1">
      <c r="A27" s="1270"/>
      <c r="B27" s="1788" t="s">
        <v>1240</v>
      </c>
      <c r="C27" s="1270"/>
      <c r="D27" s="73"/>
      <c r="E27" s="38"/>
      <c r="F27" s="38"/>
      <c r="G27" s="1787"/>
      <c r="H27" s="1746"/>
      <c r="I27" s="1745"/>
      <c r="J27" s="1614">
        <f>SUM(I30:I33)</f>
        <v>307.74683333333331</v>
      </c>
      <c r="K27" s="1748"/>
      <c r="L27" s="1747"/>
      <c r="M27" s="1617">
        <f>SUM(L30:L33)</f>
        <v>357.87049999999994</v>
      </c>
      <c r="N27" s="1746"/>
      <c r="O27" s="1745"/>
      <c r="P27" s="1614">
        <f>SUM(O30:O33)</f>
        <v>407.99416666666662</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2.11</v>
      </c>
      <c r="F30" s="1774">
        <f>VLOOKUP(K2,'SD8'!B9:L42,7,FALSE)</f>
        <v>0.39999999999999991</v>
      </c>
      <c r="G30" s="1773">
        <v>20</v>
      </c>
      <c r="H30" s="1771">
        <f>IF(J$6=0,0,(J$6*$E30+$G30+X14))</f>
        <v>136.05000000000001</v>
      </c>
      <c r="I30" s="1754">
        <f>H30*$D30</f>
        <v>218.13349999999997</v>
      </c>
      <c r="J30" s="45"/>
      <c r="K30" s="1772">
        <f>IF(M$6=0,0,(M$6*$E30+$G30+Y14))</f>
        <v>157.15</v>
      </c>
      <c r="L30" s="1596">
        <f>K30*$D30</f>
        <v>251.9638333333333</v>
      </c>
      <c r="M30" s="1589"/>
      <c r="N30" s="1771">
        <f>IF(P$6=0,0,(P$6*$E30+$G30+Z14))</f>
        <v>178.25</v>
      </c>
      <c r="O30" s="1754">
        <f>N30*$D30</f>
        <v>285.79416666666663</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44</v>
      </c>
      <c r="I31" s="1754">
        <f>H31*$D31</f>
        <v>48.399999999999991</v>
      </c>
      <c r="J31" s="45"/>
      <c r="K31" s="1772">
        <f>IF(M$6=0,0,(M$6*$E31+$G31+Y15))</f>
        <v>52</v>
      </c>
      <c r="L31" s="1596">
        <f>K31*$D31</f>
        <v>57.199999999999996</v>
      </c>
      <c r="M31" s="1589"/>
      <c r="N31" s="1771">
        <f>IF(P$6=0,0,(P$6*$E31+$G31+Z15))</f>
        <v>60</v>
      </c>
      <c r="O31" s="1754">
        <f>N31*$D31</f>
        <v>65.999999999999986</v>
      </c>
      <c r="P31" s="1718"/>
      <c r="Q31" s="38"/>
    </row>
    <row r="32" spans="1:26" s="42" customFormat="1" ht="15" customHeight="1">
      <c r="A32" s="1306"/>
      <c r="B32" s="274"/>
      <c r="C32" s="1306" t="s">
        <v>242</v>
      </c>
      <c r="D32" s="1723">
        <f>'SDK1'!O54</f>
        <v>1.02</v>
      </c>
      <c r="E32" s="1774">
        <f>VLOOKUP(K2,'SD8'!B9:L42,5,FALSE)</f>
        <v>0.6</v>
      </c>
      <c r="F32" s="1774">
        <f>VLOOKUP(K2,'SD8'!B9:L42,9,FALSE)</f>
        <v>1.1200000000000001</v>
      </c>
      <c r="G32" s="1773"/>
      <c r="H32" s="1771">
        <f>IF(J$6=0,0,(J$6*$E32+$G32+X16))</f>
        <v>33</v>
      </c>
      <c r="I32" s="1754">
        <f>H32*$D32</f>
        <v>33.660000000000004</v>
      </c>
      <c r="J32" s="45"/>
      <c r="K32" s="1772">
        <f>IF(M$6=0,0,(M$6*$E32+$G32+Y16))</f>
        <v>39</v>
      </c>
      <c r="L32" s="1596">
        <f>K32*$D32</f>
        <v>39.78</v>
      </c>
      <c r="M32" s="1589"/>
      <c r="N32" s="1771">
        <f>IF(P$6=0,0,(P$6*$E32+$G32+Z16))</f>
        <v>45</v>
      </c>
      <c r="O32" s="1754">
        <f>N32*$D32</f>
        <v>45.9</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11</v>
      </c>
      <c r="I33" s="1750">
        <f>H33*$D33</f>
        <v>7.5533333333333346</v>
      </c>
      <c r="J33" s="45"/>
      <c r="K33" s="1768">
        <f>IF(M$6=0,0,(M$6*$E33+$G33+Y17))</f>
        <v>13</v>
      </c>
      <c r="L33" s="1590">
        <f>K33*$D33</f>
        <v>8.9266666666666676</v>
      </c>
      <c r="M33" s="1589"/>
      <c r="N33" s="1767">
        <f>IF(P$6=0,0,(P$6*$E33+$G33+Z17))</f>
        <v>15</v>
      </c>
      <c r="O33" s="1750">
        <f>N33*$D33</f>
        <v>10.3</v>
      </c>
      <c r="P33" s="1749"/>
      <c r="Q33" s="38"/>
    </row>
    <row r="34" spans="1:17" s="708" customFormat="1" ht="18.75" customHeight="1">
      <c r="A34" s="1270"/>
      <c r="B34" s="1276" t="s">
        <v>1234</v>
      </c>
      <c r="C34" s="1270"/>
      <c r="D34" s="37"/>
      <c r="E34" s="37"/>
      <c r="F34" s="4831" t="s">
        <v>1233</v>
      </c>
      <c r="G34" s="4832"/>
      <c r="H34" s="1764"/>
      <c r="I34" s="1763"/>
      <c r="J34" s="1614">
        <f>SUM(I36:I42)</f>
        <v>95.995000000000005</v>
      </c>
      <c r="K34" s="1766"/>
      <c r="L34" s="1765"/>
      <c r="M34" s="1617">
        <f>SUM(L36:L42)</f>
        <v>95.995000000000005</v>
      </c>
      <c r="N34" s="1764"/>
      <c r="O34" s="1763"/>
      <c r="P34" s="1614">
        <f>SUM(O36:O42)</f>
        <v>95.995000000000005</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674</v>
      </c>
      <c r="D36" s="4857"/>
      <c r="E36" s="4858"/>
      <c r="F36" s="1756">
        <f>IF(C36="",0,VLOOKUP(C36,'SDK5'!C3:AF83,2,FALSE))</f>
        <v>545.9</v>
      </c>
      <c r="G36" s="1756">
        <f t="shared" ref="G36:G42" si="0">F36*(100+$D$35)/100</f>
        <v>545.9</v>
      </c>
      <c r="H36" s="1755">
        <v>0.05</v>
      </c>
      <c r="I36" s="1754">
        <f t="shared" ref="I36:I42" si="1">$G36*H36</f>
        <v>27.295000000000002</v>
      </c>
      <c r="J36" s="45"/>
      <c r="K36" s="1755">
        <v>0.05</v>
      </c>
      <c r="L36" s="1596">
        <f t="shared" ref="L36:L42" si="2">$G36*K36</f>
        <v>27.295000000000002</v>
      </c>
      <c r="M36" s="1589"/>
      <c r="N36" s="1755">
        <v>0.05</v>
      </c>
      <c r="O36" s="1754">
        <f t="shared" ref="O36:O42" si="3">$G36*N36</f>
        <v>27.295000000000002</v>
      </c>
      <c r="P36" s="1758"/>
      <c r="Q36" s="38"/>
    </row>
    <row r="37" spans="1:17" s="42" customFormat="1" ht="15" customHeight="1">
      <c r="A37" s="1306"/>
      <c r="B37" s="1594"/>
      <c r="C37" s="4855" t="s">
        <v>2066</v>
      </c>
      <c r="D37" s="4855"/>
      <c r="E37" s="4856"/>
      <c r="F37" s="1756">
        <f>IF(C37="",0,VLOOKUP(C37,'SDK5'!C4:AF84,2,FALSE))</f>
        <v>68.7</v>
      </c>
      <c r="G37" s="1756">
        <f t="shared" si="0"/>
        <v>68.7</v>
      </c>
      <c r="H37" s="1755">
        <v>1</v>
      </c>
      <c r="I37" s="1754">
        <f t="shared" si="1"/>
        <v>68.7</v>
      </c>
      <c r="J37" s="45"/>
      <c r="K37" s="1755">
        <v>1</v>
      </c>
      <c r="L37" s="1596">
        <f t="shared" si="2"/>
        <v>68.7</v>
      </c>
      <c r="M37" s="1589"/>
      <c r="N37" s="1755">
        <v>1</v>
      </c>
      <c r="O37" s="1754">
        <f t="shared" si="3"/>
        <v>68.7</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139.91981478117648</v>
      </c>
      <c r="K43" s="1748"/>
      <c r="L43" s="1747"/>
      <c r="M43" s="1617">
        <f>SUM(M46:M57)</f>
        <v>139.91981478117648</v>
      </c>
      <c r="N43" s="1746"/>
      <c r="O43" s="1745"/>
      <c r="P43" s="1614">
        <f>SUM(P46:P57)</f>
        <v>139.91981478117648</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80"/>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79"/>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79"/>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2</v>
      </c>
      <c r="O48" s="1719">
        <f t="shared" si="8"/>
        <v>0.64</v>
      </c>
      <c r="P48" s="1718">
        <f t="shared" si="9"/>
        <v>7.202830832941177</v>
      </c>
      <c r="Q48" s="38"/>
    </row>
    <row r="49" spans="1:17" s="42" customFormat="1" ht="15" customHeight="1">
      <c r="A49" s="1306"/>
      <c r="B49" s="1726"/>
      <c r="C49" s="4835" t="s">
        <v>456</v>
      </c>
      <c r="D49" s="4879"/>
      <c r="E49" s="1725">
        <f>IF($C49=0,0,VLOOKUP($C49,'SDK3'!$C$24:$O$92,4,FALSE))</f>
        <v>83</v>
      </c>
      <c r="F49" s="1724">
        <f>IF($C49=0,0,VLOOKUP($C49,'SDK3'!$C$24:$O$92,12,FALSE))</f>
        <v>0.36</v>
      </c>
      <c r="G49" s="1723">
        <f>IF($C49=0,0,VLOOKUP($C49,'SDK3'!$C$24:$O$92,13,FALSE))</f>
        <v>5.7672017035294116</v>
      </c>
      <c r="H49" s="1720">
        <v>2</v>
      </c>
      <c r="I49" s="1719">
        <f t="shared" si="4"/>
        <v>0.72</v>
      </c>
      <c r="J49" s="1718">
        <f t="shared" si="5"/>
        <v>11.534403407058823</v>
      </c>
      <c r="K49" s="1720">
        <v>2</v>
      </c>
      <c r="L49" s="1722">
        <f t="shared" si="6"/>
        <v>0.72</v>
      </c>
      <c r="M49" s="1721">
        <f t="shared" si="7"/>
        <v>11.534403407058823</v>
      </c>
      <c r="N49" s="1720">
        <v>2</v>
      </c>
      <c r="O49" s="1719">
        <f t="shared" si="8"/>
        <v>0.72</v>
      </c>
      <c r="P49" s="1718">
        <f t="shared" si="9"/>
        <v>11.534403407058823</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1</v>
      </c>
      <c r="I50" s="1719">
        <f t="shared" si="4"/>
        <v>0.4</v>
      </c>
      <c r="J50" s="1718">
        <f t="shared" si="5"/>
        <v>6.8857796705882359</v>
      </c>
      <c r="K50" s="1720">
        <v>1</v>
      </c>
      <c r="L50" s="1722">
        <f t="shared" si="6"/>
        <v>0.4</v>
      </c>
      <c r="M50" s="1721">
        <f t="shared" si="7"/>
        <v>6.8857796705882359</v>
      </c>
      <c r="N50" s="1720">
        <v>1</v>
      </c>
      <c r="O50" s="1719">
        <f t="shared" si="8"/>
        <v>0.4</v>
      </c>
      <c r="P50" s="1718">
        <f t="shared" si="9"/>
        <v>6.8857796705882359</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5.1800000000000006</v>
      </c>
      <c r="J58" s="1701"/>
      <c r="K58" s="1700"/>
      <c r="L58" s="1699">
        <f>SUM($L$46:$L$57)</f>
        <v>5.1800000000000006</v>
      </c>
      <c r="M58" s="1698"/>
      <c r="N58" s="1697"/>
      <c r="O58" s="1696">
        <f>SUM($O$46:$O$57)</f>
        <v>5.1800000000000006</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9.3240000000000016</v>
      </c>
      <c r="J59" s="1686"/>
      <c r="K59" s="1691"/>
      <c r="L59" s="1690">
        <f>IF(L58+SUM($L$46:$L$57)*$E$59%&gt;L58+10,L58+10,L58+SUM($L$46:$L$57)*$E$59%)</f>
        <v>9.3240000000000016</v>
      </c>
      <c r="M59" s="1689"/>
      <c r="N59" s="1688"/>
      <c r="O59" s="1687">
        <f>IF(O58+SUM($O$46:$O$57)*$E$59%&gt;O58+10,O58+10,O58+SUM($O$46:$O$57)*$E$59%)</f>
        <v>9.3240000000000016</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117.32500000000002</v>
      </c>
      <c r="N67" s="1639" t="s">
        <v>1217</v>
      </c>
      <c r="O67" s="1638" t="s">
        <v>1216</v>
      </c>
      <c r="P67" s="1614">
        <f>T68*(N9+N10)*O68%+F68</f>
        <v>0</v>
      </c>
      <c r="Q67" s="38"/>
    </row>
    <row r="68" spans="1:20" s="708" customFormat="1" ht="15" customHeight="1">
      <c r="A68" s="1270"/>
      <c r="B68" s="1637"/>
      <c r="C68" s="4839" t="s">
        <v>1215</v>
      </c>
      <c r="D68" s="4839"/>
      <c r="E68" s="4839"/>
      <c r="F68" s="1636"/>
      <c r="G68" s="1627" t="s">
        <v>171</v>
      </c>
      <c r="H68" s="1634">
        <v>18</v>
      </c>
      <c r="I68" s="1633"/>
      <c r="J68" s="1632"/>
      <c r="K68" s="1634">
        <v>16</v>
      </c>
      <c r="L68" s="1633">
        <v>50</v>
      </c>
      <c r="M68" s="1635"/>
      <c r="N68" s="1634">
        <v>20</v>
      </c>
      <c r="O68" s="1633"/>
      <c r="P68" s="1632"/>
      <c r="Q68" s="38"/>
      <c r="R68" s="1631">
        <f>IF($H$68=0,0,VLOOKUP($H$68,'SD6'!B8:C101,'SD6'!C1,FALSE))*(1+'SDK1'!O11/100)</f>
        <v>5.41</v>
      </c>
      <c r="S68" s="1631">
        <f>IF($K$68=0,0,VLOOKUP($K$68,'SD6'!B8:C101,'SD6'!C1,FALSE))*(1+'SDK1'!O11/100)</f>
        <v>3.6100000000000003</v>
      </c>
      <c r="T68" s="1631">
        <f>IF($N$68=0,0,VLOOKUP($N$68,'SD6'!B8:C101,'SD6'!C1,FALSE))*(1+'SDK1'!O11/100)</f>
        <v>7.2099999999999991</v>
      </c>
    </row>
    <row r="69" spans="1:20" s="708" customFormat="1" ht="18.75" customHeight="1">
      <c r="A69" s="1270"/>
      <c r="B69" s="1276" t="s">
        <v>1214</v>
      </c>
      <c r="C69" s="1270"/>
      <c r="D69" s="1270"/>
      <c r="E69" s="38"/>
      <c r="F69" s="38"/>
      <c r="G69" s="1620"/>
      <c r="H69" s="1841"/>
      <c r="I69" s="558"/>
      <c r="J69" s="1684">
        <f>H70*$F70/1000</f>
        <v>19.06666666666667</v>
      </c>
      <c r="K69" s="1630"/>
      <c r="L69" s="1629"/>
      <c r="M69" s="1617">
        <f>K70*$F70/1000</f>
        <v>22.533333333333339</v>
      </c>
      <c r="N69" s="1841"/>
      <c r="O69" s="73"/>
      <c r="P69" s="1614">
        <f>N70*$F70/1000</f>
        <v>26.000000000000007</v>
      </c>
      <c r="Q69" s="38"/>
    </row>
    <row r="70" spans="1:20" s="708" customFormat="1" ht="15" customHeight="1">
      <c r="A70" s="1270"/>
      <c r="B70" s="1332"/>
      <c r="C70" s="1331" t="s">
        <v>896</v>
      </c>
      <c r="D70" s="353"/>
      <c r="E70" s="280"/>
      <c r="F70" s="1628">
        <f>'SDK7'!G103</f>
        <v>16</v>
      </c>
      <c r="G70" s="1627" t="s">
        <v>171</v>
      </c>
      <c r="H70" s="1932">
        <f>I9+I10</f>
        <v>1191.666666666667</v>
      </c>
      <c r="I70" s="1934"/>
      <c r="J70" s="1933"/>
      <c r="K70" s="1626">
        <f>L9+L10</f>
        <v>1408.3333333333337</v>
      </c>
      <c r="L70" s="1625"/>
      <c r="M70" s="1624"/>
      <c r="N70" s="1932">
        <f>O9+O10</f>
        <v>1625.0000000000005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5.4226769673823521</v>
      </c>
      <c r="K75" s="711"/>
      <c r="L75" s="1056"/>
      <c r="M75" s="1578">
        <f>(M23+M27+M34+M43+M60+M65+M67+M69+M71)*('SDK1'!$O$59%*$G$75/12)</f>
        <v>6.4908978007156852</v>
      </c>
      <c r="N75" s="1580"/>
      <c r="O75" s="1579"/>
      <c r="P75" s="1578">
        <f>(P23+P27+P34+P43+P60+P65+P67+P69+P71)*('SDK1'!$O$59%*$G$75/12)</f>
        <v>6.0925561340490182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2" orientation="portrait" r:id="rId1"/>
  <headerFooter alignWithMargins="0">
    <oddFooter>&amp;L&amp;11LEL Schwäbisch Gmünd&amp;C39&amp;R&amp;11&amp;F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'SDK5'!$K$214:$K$313</xm:f>
          </x14:formula1>
          <xm:sqref>C36:E42</xm:sqref>
        </x14:dataValidation>
        <x14:dataValidation type="list" allowBlank="1" showInputMessage="1" showErrorMessage="1" errorTitle="Arbeitsgänge" error="Bitte aus Dropdownliste auswählen.">
          <x14:formula1>
            <xm:f>'SDK3'!$C$23:$C$91</xm:f>
          </x14:formula1>
          <xm:sqref>C46:C57 D50:D57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450.58916609202981</v>
      </c>
      <c r="K1" s="4859">
        <f>M1-J1</f>
        <v>119.06951195107808</v>
      </c>
      <c r="L1" s="4859"/>
      <c r="M1" s="1906">
        <f>(M7+M13+M18+M22+L11+L12)-(M23+M27+M34+M43+M60+M65+M67+M69+M71+M75)</f>
        <v>569.6586780431079</v>
      </c>
      <c r="N1" s="4859">
        <f>P1-M1</f>
        <v>119.0695119510782</v>
      </c>
      <c r="O1" s="4859"/>
      <c r="P1" s="1906">
        <f>(P7+P13+P18+P22+O11+O12)-(P23+P27+P34+P43+P60+P65+P67+P69+P71+P75)</f>
        <v>688.7281899941861</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207</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50</v>
      </c>
      <c r="K6" s="4849" t="s">
        <v>152</v>
      </c>
      <c r="L6" s="4850"/>
      <c r="M6" s="1887">
        <v>60</v>
      </c>
      <c r="N6" s="4864" t="s">
        <v>178</v>
      </c>
      <c r="O6" s="4865"/>
      <c r="P6" s="1886">
        <v>70</v>
      </c>
      <c r="Q6" s="70"/>
    </row>
    <row r="7" spans="1:41" s="252" customFormat="1" ht="18.75" customHeight="1">
      <c r="A7" s="47"/>
      <c r="B7" s="311" t="s">
        <v>1258</v>
      </c>
      <c r="C7" s="47"/>
      <c r="D7" s="47"/>
      <c r="E7" s="47"/>
      <c r="F7" s="47"/>
      <c r="G7" s="1884"/>
      <c r="H7" s="1881"/>
      <c r="I7" s="1880"/>
      <c r="J7" s="1614">
        <f>SUM(I9:I10)</f>
        <v>933.33333333333337</v>
      </c>
      <c r="K7" s="1883"/>
      <c r="L7" s="1882"/>
      <c r="M7" s="1617">
        <f>SUM(L9:L10)</f>
        <v>1120</v>
      </c>
      <c r="N7" s="1881"/>
      <c r="O7" s="1880"/>
      <c r="P7" s="1614">
        <f>SUM(O9:O10)</f>
        <v>1306.6666666666667</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'SDK1'!O25</f>
        <v>18.666666666666668</v>
      </c>
      <c r="H9" s="1877">
        <f>J6-H10</f>
        <v>50</v>
      </c>
      <c r="I9" s="1873">
        <f>H9*G9</f>
        <v>933.33333333333337</v>
      </c>
      <c r="J9" s="43"/>
      <c r="K9" s="1876">
        <f>M6-K10</f>
        <v>60</v>
      </c>
      <c r="L9" s="1875">
        <f>K9*G9</f>
        <v>1120</v>
      </c>
      <c r="M9" s="1854"/>
      <c r="N9" s="1874">
        <f>P6-N10</f>
        <v>70</v>
      </c>
      <c r="O9" s="1873">
        <f>N9*G9</f>
        <v>1306.6666666666667</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153.6</v>
      </c>
      <c r="K23" s="1619"/>
      <c r="L23" s="1618"/>
      <c r="M23" s="1800">
        <f>SUM(L25:L26)</f>
        <v>153.6</v>
      </c>
      <c r="N23" s="1616"/>
      <c r="O23" s="1615"/>
      <c r="P23" s="1599">
        <f>SUM(O25:O26)</f>
        <v>153.6</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'SDK7'!F55/100</f>
        <v>0.96</v>
      </c>
      <c r="G25" s="1794">
        <f>F25*(100+$D$24)/100</f>
        <v>0.96</v>
      </c>
      <c r="H25" s="1793">
        <v>160</v>
      </c>
      <c r="I25" s="1754">
        <f>H25*$G25</f>
        <v>153.6</v>
      </c>
      <c r="J25" s="45"/>
      <c r="K25" s="1793">
        <f>H25</f>
        <v>160</v>
      </c>
      <c r="L25" s="1596">
        <f>K25*$G25</f>
        <v>153.6</v>
      </c>
      <c r="M25" s="1589"/>
      <c r="N25" s="1793">
        <f>H25</f>
        <v>160</v>
      </c>
      <c r="O25" s="1754">
        <f>N25*$G25</f>
        <v>153.6</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257.03166666666664</v>
      </c>
      <c r="K27" s="1748"/>
      <c r="L27" s="1747"/>
      <c r="M27" s="1617">
        <f>SUM(L30:L33)</f>
        <v>302.02466666666669</v>
      </c>
      <c r="N27" s="1746"/>
      <c r="O27" s="1745"/>
      <c r="P27" s="1614">
        <f>SUM(O30:O33)</f>
        <v>347.01766666666663</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1.79</v>
      </c>
      <c r="F30" s="1774">
        <f>VLOOKUP(K2,'SD8'!B9:L42,7,FALSE)</f>
        <v>0.39999999999999991</v>
      </c>
      <c r="G30" s="1773">
        <v>20</v>
      </c>
      <c r="H30" s="1771">
        <f>IF(J$6=0,0,(J$6*$E30+$G30+X14))</f>
        <v>109.5</v>
      </c>
      <c r="I30" s="1754">
        <f>H30*$D30</f>
        <v>175.56499999999997</v>
      </c>
      <c r="J30" s="45"/>
      <c r="K30" s="1772">
        <f>IF(M$6=0,0,(M$6*$E30+$G30+Y14))</f>
        <v>127.4</v>
      </c>
      <c r="L30" s="1596">
        <f>K30*$D30</f>
        <v>204.26466666666664</v>
      </c>
      <c r="M30" s="1589"/>
      <c r="N30" s="1771">
        <f>IF(P$6=0,0,(P$6*$E30+$G30+Z14))</f>
        <v>145.30000000000001</v>
      </c>
      <c r="O30" s="1754">
        <f>N30*$D30</f>
        <v>232.96433333333331</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40</v>
      </c>
      <c r="I31" s="1754">
        <f>H31*$D31</f>
        <v>43.999999999999993</v>
      </c>
      <c r="J31" s="45"/>
      <c r="K31" s="1772">
        <f>IF(M$6=0,0,(M$6*$E31+$G31+Y15))</f>
        <v>48</v>
      </c>
      <c r="L31" s="1596">
        <f>K31*$D31</f>
        <v>52.8</v>
      </c>
      <c r="M31" s="1589"/>
      <c r="N31" s="1771">
        <f>IF(P$6=0,0,(P$6*$E31+$G31+Z15))</f>
        <v>56</v>
      </c>
      <c r="O31" s="1754">
        <f>N31*$D31</f>
        <v>61.599999999999994</v>
      </c>
      <c r="P31" s="1718"/>
      <c r="Q31" s="38"/>
    </row>
    <row r="32" spans="1:26" s="42" customFormat="1" ht="15" customHeight="1">
      <c r="A32" s="1306"/>
      <c r="B32" s="274"/>
      <c r="C32" s="1306" t="s">
        <v>242</v>
      </c>
      <c r="D32" s="1723">
        <f>'SDK1'!O54</f>
        <v>1.02</v>
      </c>
      <c r="E32" s="1774">
        <f>VLOOKUP(K2,'SD8'!B9:L42,5,FALSE)</f>
        <v>0.6</v>
      </c>
      <c r="F32" s="1774">
        <f>VLOOKUP(K2,'SD8'!B9:L42,9,FALSE)</f>
        <v>1.3599999999999999</v>
      </c>
      <c r="G32" s="1773"/>
      <c r="H32" s="1771">
        <f>IF(J$6=0,0,(J$6*$E32+$G32+X16))</f>
        <v>30</v>
      </c>
      <c r="I32" s="1754">
        <f>H32*$D32</f>
        <v>30.6</v>
      </c>
      <c r="J32" s="45"/>
      <c r="K32" s="1772">
        <f>IF(M$6=0,0,(M$6*$E32+$G32+Y16))</f>
        <v>36</v>
      </c>
      <c r="L32" s="1596">
        <f>K32*$D32</f>
        <v>36.72</v>
      </c>
      <c r="M32" s="1589"/>
      <c r="N32" s="1771">
        <f>IF(P$6=0,0,(P$6*$E32+$G32+Z16))</f>
        <v>42</v>
      </c>
      <c r="O32" s="1754">
        <f>N32*$D32</f>
        <v>42.84</v>
      </c>
      <c r="P32" s="1718"/>
      <c r="Q32" s="38"/>
    </row>
    <row r="33" spans="1:17" s="42" customFormat="1" ht="15" customHeight="1">
      <c r="A33" s="1306"/>
      <c r="B33" s="239"/>
      <c r="C33" s="1331" t="s">
        <v>240</v>
      </c>
      <c r="D33" s="1706">
        <f>'SDK1'!O55</f>
        <v>0.68666666666666676</v>
      </c>
      <c r="E33" s="1770">
        <f>VLOOKUP(K2,'SD8'!B9:L42,6,FALSE)</f>
        <v>0.2</v>
      </c>
      <c r="F33" s="1770">
        <f>VLOOKUP(K2,'SD8'!B9:L42,10,FALSE)</f>
        <v>8.0000000000000016E-2</v>
      </c>
      <c r="G33" s="1769"/>
      <c r="H33" s="1767">
        <f>IF(J$6=0,0,(J$6*$E33+$G33+X17))</f>
        <v>10</v>
      </c>
      <c r="I33" s="1750">
        <f>H33*$D33</f>
        <v>6.8666666666666671</v>
      </c>
      <c r="J33" s="45"/>
      <c r="K33" s="1768">
        <f>IF(M$6=0,0,(M$6*$E33+$G33+Y17))</f>
        <v>12</v>
      </c>
      <c r="L33" s="1590">
        <f>K33*$D33</f>
        <v>8.240000000000002</v>
      </c>
      <c r="M33" s="1589"/>
      <c r="N33" s="1767">
        <f>IF(P$6=0,0,(P$6*$E33+$G33+Z17))</f>
        <v>14</v>
      </c>
      <c r="O33" s="1750">
        <f>N33*$D33</f>
        <v>9.6133333333333351</v>
      </c>
      <c r="P33" s="1749"/>
      <c r="Q33" s="38"/>
    </row>
    <row r="34" spans="1:17" s="708" customFormat="1" ht="18.75" customHeight="1">
      <c r="A34" s="1270"/>
      <c r="B34" s="1276" t="s">
        <v>1234</v>
      </c>
      <c r="C34" s="1270"/>
      <c r="D34" s="37"/>
      <c r="E34" s="37"/>
      <c r="F34" s="4831" t="s">
        <v>1233</v>
      </c>
      <c r="G34" s="4832"/>
      <c r="H34" s="1764"/>
      <c r="I34" s="1763"/>
      <c r="J34" s="1614">
        <f>SUM(I36:I42)</f>
        <v>125.82999999999998</v>
      </c>
      <c r="K34" s="1766"/>
      <c r="L34" s="1765"/>
      <c r="M34" s="1617">
        <f>SUM(L36:L42)</f>
        <v>125.82999999999998</v>
      </c>
      <c r="N34" s="1764"/>
      <c r="O34" s="1763"/>
      <c r="P34" s="1614">
        <f>SUM(O36:O42)</f>
        <v>125.82999999999998</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713</v>
      </c>
      <c r="D36" s="4857"/>
      <c r="E36" s="4858"/>
      <c r="F36" s="1756">
        <f>IF(C36="",0,VLOOKUP(C36,'SDK5'!C3:AF83,2,FALSE))</f>
        <v>44.9</v>
      </c>
      <c r="G36" s="1756">
        <f t="shared" ref="G36:G42" si="0">F36*(100+$D$35)/100</f>
        <v>44.9</v>
      </c>
      <c r="H36" s="1755">
        <v>0.9</v>
      </c>
      <c r="I36" s="1754">
        <f t="shared" ref="I36:I42" si="1">$G36*H36</f>
        <v>40.409999999999997</v>
      </c>
      <c r="J36" s="45"/>
      <c r="K36" s="1755">
        <v>0.9</v>
      </c>
      <c r="L36" s="1596">
        <f t="shared" ref="L36:L42" si="2">$G36*K36</f>
        <v>40.409999999999997</v>
      </c>
      <c r="M36" s="1589"/>
      <c r="N36" s="1755">
        <v>0.9</v>
      </c>
      <c r="O36" s="1754">
        <f t="shared" ref="O36:O42" si="3">$G36*N36</f>
        <v>40.409999999999997</v>
      </c>
      <c r="P36" s="1758"/>
      <c r="Q36" s="38"/>
    </row>
    <row r="37" spans="1:17" s="42" customFormat="1" ht="15" customHeight="1">
      <c r="A37" s="1306"/>
      <c r="B37" s="1594"/>
      <c r="C37" s="4855" t="s">
        <v>672</v>
      </c>
      <c r="D37" s="4855"/>
      <c r="E37" s="4856"/>
      <c r="F37" s="1756">
        <f>IF(C37="",0,VLOOKUP(C37,'SDK5'!C4:AF84,2,FALSE))</f>
        <v>130.1</v>
      </c>
      <c r="G37" s="1756">
        <f t="shared" si="0"/>
        <v>130.1</v>
      </c>
      <c r="H37" s="1755">
        <v>0.2</v>
      </c>
      <c r="I37" s="1754">
        <f t="shared" si="1"/>
        <v>26.02</v>
      </c>
      <c r="J37" s="45"/>
      <c r="K37" s="1755">
        <v>0.2</v>
      </c>
      <c r="L37" s="1596">
        <f t="shared" si="2"/>
        <v>26.02</v>
      </c>
      <c r="M37" s="1589"/>
      <c r="N37" s="1755">
        <v>0.2</v>
      </c>
      <c r="O37" s="1754">
        <f t="shared" si="3"/>
        <v>26.02</v>
      </c>
      <c r="P37" s="1718"/>
      <c r="Q37" s="38"/>
    </row>
    <row r="38" spans="1:17" s="42" customFormat="1" ht="15" customHeight="1">
      <c r="A38" s="1306"/>
      <c r="B38" s="1757"/>
      <c r="C38" s="4855" t="s">
        <v>2065</v>
      </c>
      <c r="D38" s="4855"/>
      <c r="E38" s="4856"/>
      <c r="F38" s="1756">
        <f>IF(C38="",0,VLOOKUP(C38,'SDK5'!C5:AF85,2,FALSE))</f>
        <v>59.4</v>
      </c>
      <c r="G38" s="1756">
        <f t="shared" si="0"/>
        <v>59.4</v>
      </c>
      <c r="H38" s="1755">
        <v>1</v>
      </c>
      <c r="I38" s="1754">
        <f t="shared" si="1"/>
        <v>59.4</v>
      </c>
      <c r="J38" s="45"/>
      <c r="K38" s="1755">
        <v>1</v>
      </c>
      <c r="L38" s="1596">
        <f t="shared" si="2"/>
        <v>59.4</v>
      </c>
      <c r="M38" s="1589"/>
      <c r="N38" s="1755">
        <v>1</v>
      </c>
      <c r="O38" s="1754">
        <f t="shared" si="3"/>
        <v>59.4</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138.77218483607845</v>
      </c>
      <c r="K43" s="1748"/>
      <c r="L43" s="1747"/>
      <c r="M43" s="1617">
        <f>SUM(M46:M57)</f>
        <v>139.91981478117648</v>
      </c>
      <c r="N43" s="1746"/>
      <c r="O43" s="1745"/>
      <c r="P43" s="1614">
        <f>SUM(P46:P57)</f>
        <v>141.06744472627452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80"/>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79"/>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79"/>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2</v>
      </c>
      <c r="O48" s="1719">
        <f t="shared" si="8"/>
        <v>0.64</v>
      </c>
      <c r="P48" s="1718">
        <f t="shared" si="9"/>
        <v>7.202830832941177</v>
      </c>
      <c r="Q48" s="38"/>
    </row>
    <row r="49" spans="1:17" s="42" customFormat="1" ht="15" customHeight="1">
      <c r="A49" s="1306"/>
      <c r="B49" s="1726"/>
      <c r="C49" s="4835" t="s">
        <v>456</v>
      </c>
      <c r="D49" s="4879"/>
      <c r="E49" s="1725">
        <f>IF($C49=0,0,VLOOKUP($C49,'SDK3'!$C$24:$O$92,4,FALSE))</f>
        <v>83</v>
      </c>
      <c r="F49" s="1724">
        <f>IF($C49=0,0,VLOOKUP($C49,'SDK3'!$C$24:$O$92,12,FALSE))</f>
        <v>0.36</v>
      </c>
      <c r="G49" s="1723">
        <f>IF($C49=0,0,VLOOKUP($C49,'SDK3'!$C$24:$O$92,13,FALSE))</f>
        <v>5.7672017035294116</v>
      </c>
      <c r="H49" s="1720">
        <v>2</v>
      </c>
      <c r="I49" s="1719">
        <f t="shared" si="4"/>
        <v>0.72</v>
      </c>
      <c r="J49" s="1718">
        <f t="shared" si="5"/>
        <v>11.534403407058823</v>
      </c>
      <c r="K49" s="1720">
        <v>2</v>
      </c>
      <c r="L49" s="1722">
        <f t="shared" si="6"/>
        <v>0.72</v>
      </c>
      <c r="M49" s="1721">
        <f t="shared" si="7"/>
        <v>11.534403407058823</v>
      </c>
      <c r="N49" s="1720">
        <v>2</v>
      </c>
      <c r="O49" s="1719">
        <f t="shared" si="8"/>
        <v>0.72</v>
      </c>
      <c r="P49" s="1718">
        <f t="shared" si="9"/>
        <v>11.534403407058823</v>
      </c>
      <c r="Q49" s="38"/>
    </row>
    <row r="50" spans="1:17" s="42" customFormat="1" ht="15" customHeight="1">
      <c r="A50" s="1306"/>
      <c r="B50" s="1726"/>
      <c r="C50" s="4835" t="s">
        <v>435</v>
      </c>
      <c r="D50" s="4879"/>
      <c r="E50" s="1725">
        <f>IF($C50=0,0,VLOOKUP($C50,'SDK3'!$C$24:$O$92,4,FALSE))</f>
        <v>83</v>
      </c>
      <c r="F50" s="1724">
        <f>IF($C50=0,0,VLOOKUP($C50,'SDK3'!$C$24:$O$92,12,FALSE))</f>
        <v>0.4</v>
      </c>
      <c r="G50" s="1723">
        <f>IF($C50=0,0,VLOOKUP($C50,'SDK3'!$C$24:$O$92,13,FALSE))</f>
        <v>6.8857796705882359</v>
      </c>
      <c r="H50" s="1720">
        <v>0.83333333333333337</v>
      </c>
      <c r="I50" s="1719">
        <f t="shared" si="4"/>
        <v>0.33333333333333337</v>
      </c>
      <c r="J50" s="1718">
        <f t="shared" si="5"/>
        <v>5.7381497254901968</v>
      </c>
      <c r="K50" s="1720">
        <v>1</v>
      </c>
      <c r="L50" s="1722">
        <f t="shared" si="6"/>
        <v>0.4</v>
      </c>
      <c r="M50" s="1721">
        <f t="shared" si="7"/>
        <v>6.8857796705882359</v>
      </c>
      <c r="N50" s="1720">
        <v>1.1666666666666667</v>
      </c>
      <c r="O50" s="1719">
        <f t="shared" si="8"/>
        <v>0.46666666666666673</v>
      </c>
      <c r="P50" s="1718">
        <f t="shared" si="9"/>
        <v>8.033409615686276</v>
      </c>
      <c r="Q50" s="38"/>
    </row>
    <row r="51" spans="1:17" s="42" customFormat="1" ht="15" customHeight="1">
      <c r="A51" s="1306"/>
      <c r="B51" s="1726"/>
      <c r="C51" s="4835" t="s">
        <v>512</v>
      </c>
      <c r="D51" s="4879"/>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79"/>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5.1133333333333333</v>
      </c>
      <c r="J58" s="1701"/>
      <c r="K58" s="1700"/>
      <c r="L58" s="1699">
        <f>SUM($L$46:$L$57)</f>
        <v>5.1800000000000006</v>
      </c>
      <c r="M58" s="1698"/>
      <c r="N58" s="1697"/>
      <c r="O58" s="1696">
        <f>SUM($O$46:$O$57)</f>
        <v>5.246666666666667</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9.2040000000000006</v>
      </c>
      <c r="J59" s="1686"/>
      <c r="K59" s="1691"/>
      <c r="L59" s="1690">
        <f>IF(L58+SUM($L$46:$L$57)*$E$59%&gt;L58+10,L58+10,L58+SUM($L$46:$L$57)*$E$59%)</f>
        <v>9.3240000000000016</v>
      </c>
      <c r="M59" s="1689"/>
      <c r="N59" s="1688"/>
      <c r="O59" s="1687">
        <f>IF(O58+SUM($O$46:$O$57)*$E$59%&gt;O58+10,O58+10,O58+SUM($O$46:$O$57)*$E$59%)</f>
        <v>9.4440000000000008</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90.250000000000014</v>
      </c>
      <c r="K67" s="1641" t="s">
        <v>1217</v>
      </c>
      <c r="L67" s="1640" t="s">
        <v>1216</v>
      </c>
      <c r="M67" s="1617">
        <f>S68*(K9+K10)*L68%+F68</f>
        <v>108.30000000000001</v>
      </c>
      <c r="N67" s="1639" t="s">
        <v>1217</v>
      </c>
      <c r="O67" s="1638" t="s">
        <v>1216</v>
      </c>
      <c r="P67" s="1614">
        <f>T68*(N9+N10)*O68%+F68</f>
        <v>126.35000000000001</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14.933333333333334</v>
      </c>
      <c r="K69" s="1630"/>
      <c r="L69" s="1629"/>
      <c r="M69" s="1617">
        <f>K70*$F70/1000</f>
        <v>17.920000000000002</v>
      </c>
      <c r="N69" s="44"/>
      <c r="O69" s="73"/>
      <c r="P69" s="1614">
        <f>N70*$F70/1000</f>
        <v>20.906666666666666</v>
      </c>
      <c r="Q69" s="38"/>
    </row>
    <row r="70" spans="1:20" s="708" customFormat="1" ht="15" customHeight="1">
      <c r="A70" s="1270"/>
      <c r="B70" s="1332"/>
      <c r="C70" s="1331" t="s">
        <v>896</v>
      </c>
      <c r="D70" s="353"/>
      <c r="E70" s="280"/>
      <c r="F70" s="1628">
        <f>'SDK7'!G103</f>
        <v>16</v>
      </c>
      <c r="G70" s="1627" t="s">
        <v>171</v>
      </c>
      <c r="H70" s="1623">
        <f>I9+I10</f>
        <v>933.33333333333337</v>
      </c>
      <c r="I70" s="1622"/>
      <c r="J70" s="1621"/>
      <c r="K70" s="1626">
        <f>L9+L10</f>
        <v>1120</v>
      </c>
      <c r="L70" s="1625"/>
      <c r="M70" s="1624"/>
      <c r="N70" s="1623">
        <f>O9+O10</f>
        <v>1306.6666666666667</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5.8269824052254888</v>
      </c>
      <c r="K75" s="711"/>
      <c r="L75" s="1056"/>
      <c r="M75" s="1578">
        <f>(M23+M27+M34+M43+M60+M65+M67+M69+M71)*('SDK1'!$O$59%*$G$75/12)</f>
        <v>6.2468405090490196</v>
      </c>
      <c r="N75" s="1580"/>
      <c r="O75" s="1579"/>
      <c r="P75" s="1578">
        <f>(P23+P27+P34+P43+P60+P65+P67+P69+P71)*('SDK1'!$O$59%*$G$75/12)</f>
        <v>6.6666986128725494</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4" orientation="portrait" r:id="rId1"/>
  <headerFooter alignWithMargins="0">
    <oddFooter>&amp;L&amp;11LEL Schwäbisch Gmünd&amp;C41&amp;R&amp;11&amp;F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Arbeitsgänge" error="Bitte aus Dropdownliste auswählen.">
          <x14:formula1>
            <xm:f>'SDK3'!$C$23:$C$91</xm:f>
          </x14:formula1>
          <xm:sqref>C46:C57 D53:D57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658.89344449149019</v>
      </c>
      <c r="K1" s="4859">
        <f>M1-J1</f>
        <v>182.35690403441185</v>
      </c>
      <c r="L1" s="4859"/>
      <c r="M1" s="1906">
        <f>(M7+M13+M18+M22+L11+L12)-(M23+M27+M34+M43+M60+M65+M67+M69+M71+M75)</f>
        <v>841.25034852590204</v>
      </c>
      <c r="N1" s="4859">
        <f>P1-M1</f>
        <v>182.35690403441185</v>
      </c>
      <c r="O1" s="4859"/>
      <c r="P1" s="1906">
        <f>(P7+P13+P18+P22+O11+O12)-(P23+P27+P34+P43+P60+P65+P67+P69+P71+P75)</f>
        <v>1023.6072525603139</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77</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45</v>
      </c>
      <c r="K6" s="4849" t="s">
        <v>152</v>
      </c>
      <c r="L6" s="4850"/>
      <c r="M6" s="1887">
        <v>55</v>
      </c>
      <c r="N6" s="4864" t="s">
        <v>178</v>
      </c>
      <c r="O6" s="4865"/>
      <c r="P6" s="1886">
        <v>65</v>
      </c>
      <c r="Q6" s="70"/>
    </row>
    <row r="7" spans="1:41" s="252" customFormat="1" ht="18.75" customHeight="1">
      <c r="A7" s="47"/>
      <c r="B7" s="311" t="s">
        <v>1258</v>
      </c>
      <c r="C7" s="47"/>
      <c r="D7" s="47"/>
      <c r="E7" s="47"/>
      <c r="F7" s="47"/>
      <c r="G7" s="1884"/>
      <c r="H7" s="1881"/>
      <c r="I7" s="1880"/>
      <c r="J7" s="1614">
        <f>SUM(I9:I10)</f>
        <v>1096</v>
      </c>
      <c r="K7" s="1883"/>
      <c r="L7" s="1882"/>
      <c r="M7" s="1617">
        <f>SUM(L9:L10)</f>
        <v>1340.2666666666667</v>
      </c>
      <c r="N7" s="1881"/>
      <c r="O7" s="1880"/>
      <c r="P7" s="1614">
        <f>SUM(O9:O10)</f>
        <v>1584.5333333333333</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938">
        <f>'SDK1'!O26</f>
        <v>25.066666666666666</v>
      </c>
      <c r="H9" s="1877">
        <f>J6-H10</f>
        <v>40</v>
      </c>
      <c r="I9" s="1873">
        <f>H9*G9</f>
        <v>1002.6666666666666</v>
      </c>
      <c r="J9" s="43"/>
      <c r="K9" s="1876">
        <f>M6-K10</f>
        <v>49</v>
      </c>
      <c r="L9" s="1875">
        <f>K9*G9</f>
        <v>1228.2666666666667</v>
      </c>
      <c r="M9" s="1854"/>
      <c r="N9" s="1874">
        <f>P6-N10</f>
        <v>58</v>
      </c>
      <c r="O9" s="1873">
        <f>N9*G9</f>
        <v>1453.8666666666666</v>
      </c>
      <c r="P9" s="43"/>
      <c r="Q9" s="38"/>
      <c r="R9" s="935"/>
      <c r="S9" s="265" t="s">
        <v>1265</v>
      </c>
      <c r="T9" s="1872"/>
    </row>
    <row r="10" spans="1:41" s="1842" customFormat="1" ht="15" customHeight="1">
      <c r="A10" s="377"/>
      <c r="B10" s="239"/>
      <c r="C10" s="281" t="str">
        <f>IF('SDK1'!O9&gt;0,"Nebenprodukt (incl. MwSt.)","Nebenprodukt (ohne MwSt)")</f>
        <v>Nebenprodukt (ohne MwSt)</v>
      </c>
      <c r="D10" s="1851"/>
      <c r="E10" s="4882" t="s">
        <v>1269</v>
      </c>
      <c r="F10" s="4883"/>
      <c r="G10" s="1937">
        <f>'SDK1'!O25</f>
        <v>18.666666666666668</v>
      </c>
      <c r="H10" s="1866">
        <v>5</v>
      </c>
      <c r="I10" s="1865">
        <f>H10*G10</f>
        <v>93.333333333333343</v>
      </c>
      <c r="J10" s="1870"/>
      <c r="K10" s="1869">
        <v>6</v>
      </c>
      <c r="L10" s="1868">
        <f>K10*G10</f>
        <v>112</v>
      </c>
      <c r="M10" s="1867"/>
      <c r="N10" s="1866">
        <v>7</v>
      </c>
      <c r="O10" s="1865">
        <f>N10*G10</f>
        <v>130.66666666666669</v>
      </c>
      <c r="P10" s="1864"/>
      <c r="Q10" s="38"/>
      <c r="R10" s="1863">
        <f>I10+I11+I12</f>
        <v>93.333333333333343</v>
      </c>
      <c r="S10" s="1862">
        <f>L10+L11+L12</f>
        <v>112</v>
      </c>
      <c r="T10" s="1861">
        <f>O10+O11+O12</f>
        <v>130.66666666666669</v>
      </c>
      <c r="W10" s="252" t="s">
        <v>1254</v>
      </c>
    </row>
    <row r="11" spans="1:41" s="1842" customFormat="1" ht="15" customHeight="1">
      <c r="A11" s="377"/>
      <c r="B11" s="274"/>
      <c r="C11" s="45" t="s">
        <v>1253</v>
      </c>
      <c r="D11" s="377"/>
      <c r="E11" s="1860">
        <v>0.7</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152</v>
      </c>
      <c r="K23" s="1619"/>
      <c r="L23" s="1618"/>
      <c r="M23" s="1800">
        <f>SUM(L25:L26)</f>
        <v>152</v>
      </c>
      <c r="N23" s="1616"/>
      <c r="O23" s="1615"/>
      <c r="P23" s="1599">
        <f>SUM(O25:O26)</f>
        <v>152</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'SDK7'!F56/100</f>
        <v>0.95</v>
      </c>
      <c r="G25" s="1794">
        <f>F25*(100+$D$24)/100</f>
        <v>0.95</v>
      </c>
      <c r="H25" s="1793">
        <v>160</v>
      </c>
      <c r="I25" s="1754">
        <f>H25*$G25</f>
        <v>152</v>
      </c>
      <c r="J25" s="45"/>
      <c r="K25" s="1793">
        <f>H25</f>
        <v>160</v>
      </c>
      <c r="L25" s="1596">
        <f>K25*$G25</f>
        <v>152</v>
      </c>
      <c r="M25" s="1589"/>
      <c r="N25" s="1793">
        <f>H25</f>
        <v>160</v>
      </c>
      <c r="O25" s="1754">
        <f>N25*$G25</f>
        <v>152</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204.95366666666663</v>
      </c>
      <c r="K27" s="1748"/>
      <c r="L27" s="1747"/>
      <c r="M27" s="1617">
        <f>SUM(L30:L33)</f>
        <v>243.37299999999996</v>
      </c>
      <c r="N27" s="1746"/>
      <c r="O27" s="1745"/>
      <c r="P27" s="1614">
        <f>SUM(O30:O33)</f>
        <v>281.79233333333326</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1.38</v>
      </c>
      <c r="F30" s="1774">
        <f>VLOOKUP(K2,'SD8'!B9:L42,7,FALSE)</f>
        <v>0.35000000000000009</v>
      </c>
      <c r="G30" s="1773">
        <v>20</v>
      </c>
      <c r="H30" s="1771">
        <f>IF(J$6=0,0,(J$6*$E30+$G30+X14))</f>
        <v>82.1</v>
      </c>
      <c r="I30" s="1754">
        <f>H30*$D30</f>
        <v>131.63366666666664</v>
      </c>
      <c r="J30" s="45"/>
      <c r="K30" s="1772">
        <f>IF(M$6=0,0,(M$6*$E30+$G30+Y14))</f>
        <v>95.899999999999991</v>
      </c>
      <c r="L30" s="1596">
        <f>K30*$D30</f>
        <v>153.75966666666662</v>
      </c>
      <c r="M30" s="1589"/>
      <c r="N30" s="1771">
        <f>IF(P$6=0,0,(P$6*$E30+$G30+Z14))</f>
        <v>109.69999999999999</v>
      </c>
      <c r="O30" s="1754">
        <f>N30*$D30</f>
        <v>175.88566666666662</v>
      </c>
      <c r="P30" s="1718"/>
      <c r="Q30" s="38"/>
    </row>
    <row r="31" spans="1:26" s="42" customFormat="1" ht="15" customHeight="1">
      <c r="A31" s="1306"/>
      <c r="B31" s="274"/>
      <c r="C31" s="1306" t="s">
        <v>244</v>
      </c>
      <c r="D31" s="1723">
        <f>'SDK1'!O53</f>
        <v>1.0999999999999999</v>
      </c>
      <c r="E31" s="1774">
        <f>VLOOKUP(K2,'SD8'!B9:L42,4,FALSE)</f>
        <v>0.8</v>
      </c>
      <c r="F31" s="1774">
        <f>VLOOKUP(K2,'SD8'!B9:L42,8,FALSE)</f>
        <v>0.20999999999999996</v>
      </c>
      <c r="G31" s="1773"/>
      <c r="H31" s="1771">
        <f>IF(J$6=0,0,(J$6*$E31+$G31+X15))</f>
        <v>36</v>
      </c>
      <c r="I31" s="1754">
        <f>H31*$D31</f>
        <v>39.599999999999994</v>
      </c>
      <c r="J31" s="45"/>
      <c r="K31" s="1772">
        <f>IF(M$6=0,0,(M$6*$E31+$G31+Y15))</f>
        <v>44</v>
      </c>
      <c r="L31" s="1596">
        <f>K31*$D31</f>
        <v>48.399999999999991</v>
      </c>
      <c r="M31" s="1589"/>
      <c r="N31" s="1771">
        <f>IF(P$6=0,0,(P$6*$E31+$G31+Z15))</f>
        <v>52</v>
      </c>
      <c r="O31" s="1754">
        <f>N31*$D31</f>
        <v>57.199999999999996</v>
      </c>
      <c r="P31" s="1718"/>
      <c r="Q31" s="38"/>
    </row>
    <row r="32" spans="1:26" s="42" customFormat="1" ht="15" customHeight="1">
      <c r="A32" s="1306"/>
      <c r="B32" s="274"/>
      <c r="C32" s="1306" t="s">
        <v>242</v>
      </c>
      <c r="D32" s="1723">
        <f>'SDK1'!O54</f>
        <v>1.02</v>
      </c>
      <c r="E32" s="1774">
        <f>VLOOKUP(K2,'SD8'!B9:L42,5,FALSE)</f>
        <v>0.6</v>
      </c>
      <c r="F32" s="1774">
        <f>VLOOKUP(K2,'SD8'!B9:L42,9,FALSE)</f>
        <v>1.19</v>
      </c>
      <c r="G32" s="1773"/>
      <c r="H32" s="1771">
        <f>IF(J$6=0,0,(J$6*$E32+$G32+X16))</f>
        <v>27</v>
      </c>
      <c r="I32" s="1754">
        <f>H32*$D32</f>
        <v>27.54</v>
      </c>
      <c r="J32" s="45"/>
      <c r="K32" s="1772">
        <f>IF(M$6=0,0,(M$6*$E32+$G32+Y16))</f>
        <v>33</v>
      </c>
      <c r="L32" s="1596">
        <f>K32*$D32</f>
        <v>33.660000000000004</v>
      </c>
      <c r="M32" s="1589"/>
      <c r="N32" s="1771">
        <f>IF(P$6=0,0,(P$6*$E32+$G32+Z16))</f>
        <v>39</v>
      </c>
      <c r="O32" s="1754">
        <f>N32*$D32</f>
        <v>39.78</v>
      </c>
      <c r="P32" s="1718"/>
      <c r="Q32" s="38"/>
    </row>
    <row r="33" spans="1:17" s="42" customFormat="1" ht="15" customHeight="1">
      <c r="A33" s="1306"/>
      <c r="B33" s="239"/>
      <c r="C33" s="1331" t="s">
        <v>240</v>
      </c>
      <c r="D33" s="1706">
        <f>'SDK1'!O55</f>
        <v>0.68666666666666676</v>
      </c>
      <c r="E33" s="1770">
        <f>VLOOKUP(K2,'SD8'!B9:L42,6,FALSE)</f>
        <v>0.2</v>
      </c>
      <c r="F33" s="1770">
        <f>VLOOKUP(K2,'SD8'!B9:L42,10,FALSE)</f>
        <v>7.0000000000000007E-2</v>
      </c>
      <c r="G33" s="1769"/>
      <c r="H33" s="1767">
        <f>IF(J$6=0,0,(J$6*$E33+$G33+X17))</f>
        <v>9</v>
      </c>
      <c r="I33" s="1750">
        <f>H33*$D33</f>
        <v>6.1800000000000006</v>
      </c>
      <c r="J33" s="45"/>
      <c r="K33" s="1768">
        <f>IF(M$6=0,0,(M$6*$E33+$G33+Y17))</f>
        <v>11</v>
      </c>
      <c r="L33" s="1590">
        <f>K33*$D33</f>
        <v>7.5533333333333346</v>
      </c>
      <c r="M33" s="1589"/>
      <c r="N33" s="1767">
        <f>IF(P$6=0,0,(P$6*$E33+$G33+Z17))</f>
        <v>13</v>
      </c>
      <c r="O33" s="1750">
        <f>N33*$D33</f>
        <v>8.9266666666666676</v>
      </c>
      <c r="P33" s="1749"/>
      <c r="Q33" s="38"/>
    </row>
    <row r="34" spans="1:17" s="708" customFormat="1" ht="18.75" customHeight="1">
      <c r="A34" s="1270"/>
      <c r="B34" s="1276" t="s">
        <v>1234</v>
      </c>
      <c r="C34" s="1270"/>
      <c r="D34" s="37"/>
      <c r="E34" s="37"/>
      <c r="F34" s="4831" t="s">
        <v>1233</v>
      </c>
      <c r="G34" s="4832"/>
      <c r="H34" s="1764"/>
      <c r="I34" s="1763"/>
      <c r="J34" s="1614">
        <f>SUM(I36:I42)</f>
        <v>141.14999999999998</v>
      </c>
      <c r="K34" s="1766"/>
      <c r="L34" s="1765"/>
      <c r="M34" s="1617">
        <f>SUM(L36:L42)</f>
        <v>141.14999999999998</v>
      </c>
      <c r="N34" s="1764"/>
      <c r="O34" s="1763"/>
      <c r="P34" s="1614">
        <f>SUM(O36:O42)</f>
        <v>141.14999999999998</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713</v>
      </c>
      <c r="D36" s="4857"/>
      <c r="E36" s="4858"/>
      <c r="F36" s="1756">
        <f>IF(C36="",0,VLOOKUP(C36,'SDK5'!C3:AF83,2,FALSE))</f>
        <v>44.9</v>
      </c>
      <c r="G36" s="1756">
        <f t="shared" ref="G36:G42" si="0">F36*(100+$D$35)/100</f>
        <v>44.9</v>
      </c>
      <c r="H36" s="1755">
        <v>0.9</v>
      </c>
      <c r="I36" s="1754">
        <f t="shared" ref="I36:I42" si="1">$G36*H36</f>
        <v>40.409999999999997</v>
      </c>
      <c r="J36" s="45"/>
      <c r="K36" s="1755">
        <v>0.9</v>
      </c>
      <c r="L36" s="1596">
        <f t="shared" ref="L36:L42" si="2">$G36*K36</f>
        <v>40.409999999999997</v>
      </c>
      <c r="M36" s="1589"/>
      <c r="N36" s="1755">
        <v>0.9</v>
      </c>
      <c r="O36" s="1754">
        <f t="shared" ref="O36:O42" si="3">$G36*N36</f>
        <v>40.409999999999997</v>
      </c>
      <c r="P36" s="1758"/>
      <c r="Q36" s="38" t="str">
        <f>VLOOKUP(C36,'SDK5'!$C$5:$AF$91,3,FALSE)</f>
        <v>H</v>
      </c>
    </row>
    <row r="37" spans="1:17" s="42" customFormat="1" ht="15" customHeight="1">
      <c r="A37" s="1306"/>
      <c r="B37" s="1594"/>
      <c r="C37" s="4855" t="s">
        <v>2067</v>
      </c>
      <c r="D37" s="4855"/>
      <c r="E37" s="4856"/>
      <c r="F37" s="1756">
        <f>IF(C37="",0,VLOOKUP(C37,'SDK5'!C4:AF84,2,FALSE))</f>
        <v>30.1</v>
      </c>
      <c r="G37" s="1756">
        <f t="shared" si="0"/>
        <v>30.1</v>
      </c>
      <c r="H37" s="1755">
        <v>1</v>
      </c>
      <c r="I37" s="1754">
        <f t="shared" si="1"/>
        <v>30.1</v>
      </c>
      <c r="J37" s="45"/>
      <c r="K37" s="1755">
        <v>1</v>
      </c>
      <c r="L37" s="1596">
        <f t="shared" si="2"/>
        <v>30.1</v>
      </c>
      <c r="M37" s="1589"/>
      <c r="N37" s="1755">
        <v>1</v>
      </c>
      <c r="O37" s="1754">
        <f t="shared" si="3"/>
        <v>30.1</v>
      </c>
      <c r="P37" s="1718"/>
      <c r="Q37" s="38" t="str">
        <f>VLOOKUP(C37,'SDK5'!$C$5:$AF$91,3,FALSE)</f>
        <v>H</v>
      </c>
    </row>
    <row r="38" spans="1:17" s="42" customFormat="1" ht="15" customHeight="1">
      <c r="A38" s="1306"/>
      <c r="B38" s="1757"/>
      <c r="C38" s="4855" t="s">
        <v>2084</v>
      </c>
      <c r="D38" s="4855"/>
      <c r="E38" s="4856"/>
      <c r="F38" s="1756">
        <f>IF(C38="",0,VLOOKUP(C38,'SDK5'!C5:AF85,2,FALSE))</f>
        <v>47.3</v>
      </c>
      <c r="G38" s="1756">
        <f t="shared" si="0"/>
        <v>47.3</v>
      </c>
      <c r="H38" s="1755">
        <v>1.2</v>
      </c>
      <c r="I38" s="1754">
        <f t="shared" si="1"/>
        <v>56.76</v>
      </c>
      <c r="J38" s="45"/>
      <c r="K38" s="1755">
        <v>1.2</v>
      </c>
      <c r="L38" s="1596">
        <f t="shared" si="2"/>
        <v>56.76</v>
      </c>
      <c r="M38" s="1589"/>
      <c r="N38" s="1755">
        <v>1.2</v>
      </c>
      <c r="O38" s="1754">
        <f t="shared" si="3"/>
        <v>56.76</v>
      </c>
      <c r="P38" s="1718"/>
      <c r="Q38" s="38" t="str">
        <f>VLOOKUP(C38,'SDK5'!$C$5:$AF$91,3,FALSE)</f>
        <v>F</v>
      </c>
    </row>
    <row r="39" spans="1:17" s="42" customFormat="1" ht="15" customHeight="1">
      <c r="A39" s="1306"/>
      <c r="B39" s="1594"/>
      <c r="C39" s="4855" t="s">
        <v>2085</v>
      </c>
      <c r="D39" s="4855"/>
      <c r="E39" s="4856"/>
      <c r="F39" s="1756">
        <f>IF(C39="",0,VLOOKUP(C39,'SDK5'!C6:AF86,2,FALSE))</f>
        <v>34.700000000000003</v>
      </c>
      <c r="G39" s="1756">
        <f>F39*(100+$D$35)/100</f>
        <v>34.700000000000003</v>
      </c>
      <c r="H39" s="1755">
        <v>0.4</v>
      </c>
      <c r="I39" s="1754">
        <f t="shared" si="1"/>
        <v>13.880000000000003</v>
      </c>
      <c r="J39" s="45"/>
      <c r="K39" s="1755">
        <v>0.4</v>
      </c>
      <c r="L39" s="1596">
        <f t="shared" si="2"/>
        <v>13.880000000000003</v>
      </c>
      <c r="M39" s="1589"/>
      <c r="N39" s="1755">
        <v>0.4</v>
      </c>
      <c r="O39" s="1754">
        <f t="shared" si="3"/>
        <v>13.880000000000003</v>
      </c>
      <c r="P39" s="1718"/>
      <c r="Q39" s="38" t="str">
        <f>VLOOKUP(C39,'SDK5'!$C$5:$AF$91,3,FALSE)</f>
        <v>F</v>
      </c>
    </row>
    <row r="40" spans="1:17" s="42" customFormat="1" ht="15" customHeight="1">
      <c r="A40" s="1306"/>
      <c r="B40" s="1594"/>
      <c r="C40" s="4855"/>
      <c r="D40" s="4855"/>
      <c r="E40" s="4856"/>
      <c r="F40" s="1756">
        <f>IF(C40="",0,VLOOKUP(C40,'SDK5'!C7:AF87,2,FALSE))</f>
        <v>0</v>
      </c>
      <c r="G40" s="1756"/>
      <c r="H40" s="1755"/>
      <c r="I40" s="1754">
        <f t="shared" si="1"/>
        <v>0</v>
      </c>
      <c r="J40" s="45"/>
      <c r="K40" s="1755"/>
      <c r="L40" s="1596">
        <f t="shared" si="2"/>
        <v>0</v>
      </c>
      <c r="M40" s="1589"/>
      <c r="N40" s="1755"/>
      <c r="O40" s="1754">
        <f t="shared" si="3"/>
        <v>0</v>
      </c>
      <c r="P40" s="1718"/>
      <c r="Q40" s="38" t="e">
        <f>VLOOKUP(C40,'SDK5'!$C$5:$AF$91,3,FALSE)</f>
        <v>#N/A</v>
      </c>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t="e">
        <f>VLOOKUP(C41,'SDK5'!$C$5:$AF$91,3,FALSE)</f>
        <v>#N/A</v>
      </c>
    </row>
    <row r="42" spans="1:17" s="42" customFormat="1" ht="15" customHeight="1">
      <c r="A42" s="1306"/>
      <c r="B42" s="1753"/>
      <c r="C42" s="4860"/>
      <c r="D42" s="4860"/>
      <c r="E42" s="4861"/>
      <c r="F42" s="1756">
        <f>IF(C42="",0,VLOOKUP(C42,'SDK5'!C9:AF89,2,FALSE))</f>
        <v>0</v>
      </c>
      <c r="G42" s="1752">
        <f t="shared" si="0"/>
        <v>0</v>
      </c>
      <c r="H42" s="1751"/>
      <c r="I42" s="1750">
        <f t="shared" si="1"/>
        <v>0</v>
      </c>
      <c r="J42" s="45"/>
      <c r="K42" s="1751"/>
      <c r="L42" s="1590">
        <f t="shared" si="2"/>
        <v>0</v>
      </c>
      <c r="M42" s="1589"/>
      <c r="N42" s="1751"/>
      <c r="O42" s="1750">
        <f t="shared" si="3"/>
        <v>0</v>
      </c>
      <c r="P42" s="1749"/>
      <c r="Q42" s="38" t="e">
        <f>VLOOKUP(C42,'SDK5'!$C$5:$AF$91,3,FALSE)</f>
        <v>#N/A</v>
      </c>
    </row>
    <row r="43" spans="1:17" s="708" customFormat="1" ht="18.75" customHeight="1">
      <c r="A43" s="1270"/>
      <c r="B43" s="1276" t="s">
        <v>1231</v>
      </c>
      <c r="C43" s="1270"/>
      <c r="D43" s="1270"/>
      <c r="E43" s="1270"/>
      <c r="F43" s="1270"/>
      <c r="G43" s="1620"/>
      <c r="H43" s="1746"/>
      <c r="I43" s="1745"/>
      <c r="J43" s="1614">
        <f>SUM(J46:J57)</f>
        <v>138.19836986352942</v>
      </c>
      <c r="K43" s="1748"/>
      <c r="L43" s="1747"/>
      <c r="M43" s="1617">
        <f>SUM(M46:M57)</f>
        <v>139.34599980862745</v>
      </c>
      <c r="N43" s="1746"/>
      <c r="O43" s="1745"/>
      <c r="P43" s="1614">
        <f>SUM(P46:P57)</f>
        <v>140.49362975372549</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512</v>
      </c>
      <c r="D46" s="4863"/>
      <c r="E46" s="1725">
        <f>IF($C46=0,0,VLOOKUP($C46,'SDK3'!$C$24:$O$92,4,FALSE))</f>
        <v>102</v>
      </c>
      <c r="F46" s="1724">
        <f>IF($C46=0,0,VLOOKUP($C46,'SDK3'!$C$24:$O$92,12,FALSE))</f>
        <v>0.93</v>
      </c>
      <c r="G46" s="1723">
        <f>IF($C46=0,0,VLOOKUP($C46,'SDK3'!$C$24:$O$92,13,FALSE))</f>
        <v>23.733808400000004</v>
      </c>
      <c r="H46" s="1728">
        <v>1</v>
      </c>
      <c r="I46" s="1727">
        <f t="shared" ref="I46:I57" si="4">$F46*H46</f>
        <v>0.93</v>
      </c>
      <c r="J46" s="1718">
        <f t="shared" ref="J46:J57" si="5">H46*$G46</f>
        <v>23.733808400000004</v>
      </c>
      <c r="K46" s="1728">
        <v>1</v>
      </c>
      <c r="L46" s="1729">
        <f t="shared" ref="L46:L57" si="6">$F46*K46</f>
        <v>0.93</v>
      </c>
      <c r="M46" s="1721">
        <f t="shared" ref="M46:M57" si="7">K46*$G46</f>
        <v>23.733808400000004</v>
      </c>
      <c r="N46" s="1728">
        <v>1</v>
      </c>
      <c r="O46" s="1727">
        <f t="shared" ref="O46:O57" si="8">$F46*N46</f>
        <v>0.93</v>
      </c>
      <c r="P46" s="1718">
        <f t="shared" ref="P46:P57" si="9">N46*$G46</f>
        <v>23.733808400000004</v>
      </c>
      <c r="Q46" s="38">
        <f>$Q$2*H46</f>
        <v>0</v>
      </c>
    </row>
    <row r="47" spans="1:17" s="42" customFormat="1" ht="15" customHeight="1">
      <c r="A47" s="1306"/>
      <c r="B47" s="1726"/>
      <c r="C47" s="4835" t="s">
        <v>515</v>
      </c>
      <c r="D47" s="4836"/>
      <c r="E47" s="1725">
        <f>IF($C47=0,0,VLOOKUP($C47,'SDK3'!$C$24:$O$92,4,FALSE))</f>
        <v>120</v>
      </c>
      <c r="F47" s="1724">
        <f>IF($C47=0,0,VLOOKUP($C47,'SDK3'!$C$24:$O$92,12,FALSE))</f>
        <v>1.46</v>
      </c>
      <c r="G47" s="1723">
        <f>IF($C47=0,0,VLOOKUP($C47,'SDK3'!$C$24:$O$92,13,FALSE))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8"/>
    </row>
    <row r="48" spans="1:17" s="42" customFormat="1" ht="15" customHeight="1">
      <c r="A48" s="1306"/>
      <c r="B48" s="1726"/>
      <c r="C48" s="4835" t="s">
        <v>493</v>
      </c>
      <c r="D48" s="4836"/>
      <c r="E48" s="1725">
        <f>IF($C48=0,0,VLOOKUP($C48,'SDK3'!$C$24:$O$92,4,FALSE))</f>
        <v>120</v>
      </c>
      <c r="F48" s="1724">
        <f>IF($C48=0,0,VLOOKUP($C48,'SDK3'!$C$24:$O$92,12,FALSE))</f>
        <v>1.03</v>
      </c>
      <c r="G48" s="1723">
        <f>IF($C48=0,0,VLOOKUP($C48,'SDK3'!$C$24:$O$92,13,FALSE))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8"/>
    </row>
    <row r="49" spans="1:17" s="42" customFormat="1" ht="15" customHeight="1">
      <c r="A49" s="1306"/>
      <c r="B49" s="1726"/>
      <c r="C49" s="4835" t="s">
        <v>467</v>
      </c>
      <c r="D49" s="4836"/>
      <c r="E49" s="1725">
        <f>IF($C49=0,0,VLOOKUP($C49,'SDK3'!$C$24:$O$92,4,FALSE))</f>
        <v>54</v>
      </c>
      <c r="F49" s="1724">
        <f>IF($C49=0,0,VLOOKUP($C49,'SDK3'!$C$24:$O$92,12,FALSE))</f>
        <v>0.32</v>
      </c>
      <c r="G49" s="1723">
        <f>IF($C49=0,0,VLOOKUP($C49,'SDK3'!$C$24:$O$92,13,FALSE))</f>
        <v>3.6014154164705885</v>
      </c>
      <c r="H49" s="1720">
        <v>2</v>
      </c>
      <c r="I49" s="1719">
        <f t="shared" si="4"/>
        <v>0.64</v>
      </c>
      <c r="J49" s="1718">
        <f t="shared" si="5"/>
        <v>7.202830832941177</v>
      </c>
      <c r="K49" s="1720">
        <v>2</v>
      </c>
      <c r="L49" s="1722">
        <f t="shared" si="6"/>
        <v>0.64</v>
      </c>
      <c r="M49" s="1721">
        <f t="shared" si="7"/>
        <v>7.202830832941177</v>
      </c>
      <c r="N49" s="1720">
        <v>2</v>
      </c>
      <c r="O49" s="1719">
        <f t="shared" si="8"/>
        <v>0.64</v>
      </c>
      <c r="P49" s="1718">
        <f t="shared" si="9"/>
        <v>7.202830832941177</v>
      </c>
      <c r="Q49" s="38"/>
    </row>
    <row r="50" spans="1:17" s="42" customFormat="1" ht="15" customHeight="1">
      <c r="A50" s="1306"/>
      <c r="B50" s="1726"/>
      <c r="C50" s="4835" t="s">
        <v>456</v>
      </c>
      <c r="D50" s="4836"/>
      <c r="E50" s="1725">
        <f>IF($C50=0,0,VLOOKUP($C50,'SDK3'!$C$24:$O$92,4,FALSE))</f>
        <v>83</v>
      </c>
      <c r="F50" s="1724">
        <f>IF($C50=0,0,VLOOKUP($C50,'SDK3'!$C$24:$O$92,12,FALSE))</f>
        <v>0.36</v>
      </c>
      <c r="G50" s="1723">
        <f>IF($C50=0,0,VLOOKUP($C50,'SDK3'!$C$24:$O$92,13,FALSE))</f>
        <v>5.7672017035294116</v>
      </c>
      <c r="H50" s="1720">
        <v>2</v>
      </c>
      <c r="I50" s="1719">
        <f t="shared" si="4"/>
        <v>0.72</v>
      </c>
      <c r="J50" s="1718">
        <f t="shared" si="5"/>
        <v>11.534403407058823</v>
      </c>
      <c r="K50" s="1720">
        <v>2</v>
      </c>
      <c r="L50" s="1722">
        <f t="shared" si="6"/>
        <v>0.72</v>
      </c>
      <c r="M50" s="1721">
        <f t="shared" si="7"/>
        <v>11.534403407058823</v>
      </c>
      <c r="N50" s="1720">
        <v>2</v>
      </c>
      <c r="O50" s="1719">
        <f t="shared" si="8"/>
        <v>0.72</v>
      </c>
      <c r="P50" s="1718">
        <f t="shared" si="9"/>
        <v>11.534403407058823</v>
      </c>
      <c r="Q50" s="38"/>
    </row>
    <row r="51" spans="1:17" s="42" customFormat="1" ht="15" customHeight="1">
      <c r="A51" s="1306"/>
      <c r="B51" s="1726"/>
      <c r="C51" s="4835" t="s">
        <v>435</v>
      </c>
      <c r="D51" s="4836"/>
      <c r="E51" s="1725">
        <f>IF($C51=0,0,VLOOKUP($C51,'SDK3'!$C$24:$O$92,4,FALSE))</f>
        <v>83</v>
      </c>
      <c r="F51" s="1724">
        <f>IF($C51=0,0,VLOOKUP($C51,'SDK3'!$C$24:$O$92,12,FALSE))</f>
        <v>0.4</v>
      </c>
      <c r="G51" s="1723">
        <f>IF($C51=0,0,VLOOKUP($C51,'SDK3'!$C$24:$O$92,13,FALSE))</f>
        <v>6.8857796705882359</v>
      </c>
      <c r="H51" s="1720">
        <v>0.75</v>
      </c>
      <c r="I51" s="1719">
        <f t="shared" si="4"/>
        <v>0.30000000000000004</v>
      </c>
      <c r="J51" s="1718">
        <f t="shared" si="5"/>
        <v>5.1643347529411772</v>
      </c>
      <c r="K51" s="1720">
        <v>0.91666666666666663</v>
      </c>
      <c r="L51" s="1722">
        <f t="shared" si="6"/>
        <v>0.3666666666666667</v>
      </c>
      <c r="M51" s="1721">
        <f t="shared" si="7"/>
        <v>6.3119646980392163</v>
      </c>
      <c r="N51" s="1720">
        <v>1.0833333333333333</v>
      </c>
      <c r="O51" s="1719">
        <f t="shared" si="8"/>
        <v>0.43333333333333335</v>
      </c>
      <c r="P51" s="1718">
        <f t="shared" si="9"/>
        <v>7.4595946431372555</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5.0799999999999992</v>
      </c>
      <c r="J58" s="1701"/>
      <c r="K58" s="1700"/>
      <c r="L58" s="1699">
        <f>SUM($L$46:$L$57)</f>
        <v>5.1466666666666665</v>
      </c>
      <c r="M58" s="1698"/>
      <c r="N58" s="1697"/>
      <c r="O58" s="1696">
        <f>SUM($O$46:$O$57)</f>
        <v>5.2133333333333329</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9.1439999999999984</v>
      </c>
      <c r="J59" s="1686"/>
      <c r="K59" s="1691"/>
      <c r="L59" s="1690">
        <f>IF(L58+SUM($L$46:$L$57)*$E$59%&gt;L58+10,L58+10,L58+SUM($L$46:$L$57)*$E$59%)</f>
        <v>9.2639999999999993</v>
      </c>
      <c r="M59" s="1689"/>
      <c r="N59" s="1688"/>
      <c r="O59" s="1687">
        <f>IF(O58+SUM($O$46:$O$57)*$E$59%&gt;O58+10,O58+10,O58+SUM($O$46:$O$57)*$E$59%)</f>
        <v>9.3840000000000003</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81.225000000000009</v>
      </c>
      <c r="K67" s="1641" t="s">
        <v>1217</v>
      </c>
      <c r="L67" s="1640" t="s">
        <v>1216</v>
      </c>
      <c r="M67" s="1617">
        <f>S68*(K9+K10)*L68%+F68</f>
        <v>99.275000000000006</v>
      </c>
      <c r="N67" s="1639" t="s">
        <v>1217</v>
      </c>
      <c r="O67" s="1638" t="s">
        <v>1216</v>
      </c>
      <c r="P67" s="1614">
        <f>T68*(N9+N10)*O68%+F68</f>
        <v>117.32500000000002</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4881"/>
      <c r="F69" s="4881"/>
      <c r="G69" s="1620"/>
      <c r="H69" s="44"/>
      <c r="I69" s="73"/>
      <c r="J69" s="1614">
        <f>H70*$F70/1000</f>
        <v>17.536000000000001</v>
      </c>
      <c r="K69" s="1630"/>
      <c r="L69" s="1629"/>
      <c r="M69" s="1617">
        <f>K70*$F70/1000</f>
        <v>21.444266666666667</v>
      </c>
      <c r="N69" s="44"/>
      <c r="O69" s="73"/>
      <c r="P69" s="1614">
        <f>N70*$F70/1000</f>
        <v>25.352533333333334</v>
      </c>
      <c r="Q69" s="38"/>
    </row>
    <row r="70" spans="1:20" s="708" customFormat="1" ht="15" customHeight="1">
      <c r="A70" s="1270"/>
      <c r="B70" s="1332"/>
      <c r="C70" s="1331" t="s">
        <v>896</v>
      </c>
      <c r="D70" s="353"/>
      <c r="E70" s="280"/>
      <c r="F70" s="1628">
        <f>'SDK7'!G103</f>
        <v>16</v>
      </c>
      <c r="G70" s="1627" t="s">
        <v>171</v>
      </c>
      <c r="H70" s="1623">
        <f>I9+I10</f>
        <v>1096</v>
      </c>
      <c r="I70" s="1622"/>
      <c r="J70" s="1621"/>
      <c r="K70" s="1626">
        <f>L9+L10</f>
        <v>1340.2666666666667</v>
      </c>
      <c r="L70" s="1625"/>
      <c r="M70" s="1624"/>
      <c r="N70" s="1623">
        <f>O9+O10</f>
        <v>1584.5333333333333</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5.5435189783137258</v>
      </c>
      <c r="K75" s="711"/>
      <c r="L75" s="1056"/>
      <c r="M75" s="1578">
        <f>(M23+M27+M34+M43+M60+M65+M67+M69+M71)*('SDK1'!$O$59%*$G$75/12)</f>
        <v>5.9280516654705862</v>
      </c>
      <c r="N75" s="1580"/>
      <c r="O75" s="1579"/>
      <c r="P75" s="1578">
        <f>(P23+P27+P34+P43+P60+P65+P67+P69+P71)*('SDK1'!$O$59%*$G$75/12)</f>
        <v>6.3125843526274492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8">
    <mergeCell ref="K2:P2"/>
    <mergeCell ref="D25:E25"/>
    <mergeCell ref="D26:E26"/>
    <mergeCell ref="C14:F14"/>
    <mergeCell ref="C15:F15"/>
    <mergeCell ref="N6:O6"/>
    <mergeCell ref="E10:F10"/>
    <mergeCell ref="K6:L6"/>
    <mergeCell ref="E4:I4"/>
    <mergeCell ref="N3:O4"/>
    <mergeCell ref="F23:G23"/>
    <mergeCell ref="J3:L3"/>
    <mergeCell ref="J4:L4"/>
    <mergeCell ref="H6:I6"/>
    <mergeCell ref="E22:G22"/>
    <mergeCell ref="C49:D49"/>
    <mergeCell ref="C38:E38"/>
    <mergeCell ref="C55:D55"/>
    <mergeCell ref="C48:D48"/>
    <mergeCell ref="C37:E37"/>
    <mergeCell ref="C53:D53"/>
    <mergeCell ref="C54:D54"/>
    <mergeCell ref="C51:D51"/>
    <mergeCell ref="C47:D47"/>
    <mergeCell ref="C50:D50"/>
    <mergeCell ref="C46:D46"/>
    <mergeCell ref="B75:C75"/>
    <mergeCell ref="K1:L1"/>
    <mergeCell ref="N1:O1"/>
    <mergeCell ref="C16:F16"/>
    <mergeCell ref="C74:E74"/>
    <mergeCell ref="C17:F17"/>
    <mergeCell ref="C19:F19"/>
    <mergeCell ref="C36:E36"/>
    <mergeCell ref="C42:E42"/>
    <mergeCell ref="C39:E39"/>
    <mergeCell ref="C40:E40"/>
    <mergeCell ref="C41:E41"/>
    <mergeCell ref="F34:G34"/>
    <mergeCell ref="C73:E73"/>
    <mergeCell ref="E69:F69"/>
    <mergeCell ref="C68:E68"/>
    <mergeCell ref="C62:E62"/>
    <mergeCell ref="C52:D52"/>
    <mergeCell ref="C56:D56"/>
    <mergeCell ref="C57:D57"/>
    <mergeCell ref="C64:E64"/>
    <mergeCell ref="C63:E6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6" orientation="portrait" r:id="rId1"/>
  <headerFooter alignWithMargins="0">
    <oddFooter>&amp;L&amp;11LEL Schwäbisch Gmünd&amp;C43&amp;R&amp;11&amp;F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0000"/>
    <pageSetUpPr fitToPage="1"/>
  </sheetPr>
  <dimension ref="B1:Q6"/>
  <sheetViews>
    <sheetView showZeros="0" zoomScaleNormal="100" workbookViewId="0"/>
  </sheetViews>
  <sheetFormatPr baseColWidth="10" defaultColWidth="11.25" defaultRowHeight="12.75"/>
  <cols>
    <col min="1" max="1" width="3.625" style="33" customWidth="1"/>
    <col min="2" max="10" width="11.25" style="33"/>
    <col min="11" max="11" width="10.5" style="33" customWidth="1"/>
    <col min="12" max="12" width="9.875" style="33" customWidth="1"/>
    <col min="13" max="14" width="11.25" style="33"/>
    <col min="15" max="15" width="15.875" style="33" hidden="1" customWidth="1"/>
    <col min="16" max="16" width="10.25" style="33" hidden="1" customWidth="1"/>
    <col min="17" max="17" width="1.5" style="33" bestFit="1" customWidth="1"/>
    <col min="18" max="21" width="10.25" style="33" customWidth="1"/>
    <col min="22" max="16384" width="11.25" style="33"/>
  </cols>
  <sheetData>
    <row r="1" spans="2:17">
      <c r="O1" s="135">
        <f>VLOOKUP(E5,O2:Q5,3,FALSE)</f>
        <v>2</v>
      </c>
    </row>
    <row r="2" spans="2:17" ht="27" customHeight="1">
      <c r="B2" s="134" t="s">
        <v>190</v>
      </c>
      <c r="I2" s="134" t="str">
        <f>'SDK1'!O8</f>
        <v>ohne MwSt.</v>
      </c>
      <c r="L2" s="133" t="s">
        <v>184</v>
      </c>
      <c r="M2" s="128"/>
      <c r="O2" s="132" t="s">
        <v>189</v>
      </c>
      <c r="P2" s="131"/>
      <c r="Q2" s="130">
        <v>1</v>
      </c>
    </row>
    <row r="3" spans="2:17" ht="19.5" customHeight="1">
      <c r="C3" s="4133" t="s">
        <v>188</v>
      </c>
      <c r="D3" s="4133"/>
      <c r="E3" s="4133"/>
      <c r="F3" s="4133"/>
      <c r="G3" s="4133"/>
      <c r="H3" s="4133"/>
      <c r="I3" s="4133"/>
      <c r="J3" s="4133"/>
      <c r="K3" s="4133"/>
      <c r="L3" s="129">
        <f>'SDK1'!O3</f>
        <v>0</v>
      </c>
      <c r="M3" s="128"/>
      <c r="O3" s="127" t="s">
        <v>185</v>
      </c>
      <c r="P3" s="126"/>
      <c r="Q3" s="125">
        <v>2</v>
      </c>
    </row>
    <row r="4" spans="2:17" ht="8.1" customHeight="1">
      <c r="M4" s="128"/>
      <c r="O4" s="127" t="s">
        <v>187</v>
      </c>
      <c r="P4" s="126"/>
      <c r="Q4" s="125">
        <v>3</v>
      </c>
    </row>
    <row r="5" spans="2:17" ht="34.5" customHeight="1">
      <c r="B5" s="4134" t="s">
        <v>186</v>
      </c>
      <c r="C5" s="4134"/>
      <c r="D5" s="4134"/>
      <c r="E5" s="4132" t="s">
        <v>185</v>
      </c>
      <c r="F5" s="4132"/>
      <c r="G5" s="4132"/>
      <c r="H5" s="4132"/>
      <c r="I5" s="124"/>
      <c r="J5" s="123"/>
      <c r="K5" s="122"/>
      <c r="O5" s="121"/>
      <c r="P5" s="120"/>
      <c r="Q5" s="119">
        <v>4</v>
      </c>
    </row>
    <row r="6" spans="2:17" ht="13.15" customHeight="1"/>
  </sheetData>
  <sheetProtection sheet="1" objects="1" scenarios="1"/>
  <mergeCells count="3">
    <mergeCell ref="E5:H5"/>
    <mergeCell ref="C3:K3"/>
    <mergeCell ref="B5:D5"/>
  </mergeCells>
  <dataValidations count="1">
    <dataValidation type="list" allowBlank="1" showInputMessage="1" showErrorMessage="1" errorTitle="Leistungsniveau" error="Bitte Leistungsniveau aus Dropdownliste auswählen." sqref="E5:H5">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1"/>
  <headerFooter alignWithMargins="0">
    <oddFooter>&amp;L&amp;11LEL Schwäbisch Gmünd&amp;C&amp;P&amp;R&amp;11&amp;F</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574.69951308066686</v>
      </c>
      <c r="K1" s="4859">
        <f>M1-J1</f>
        <v>114.40159440356842</v>
      </c>
      <c r="L1" s="4859"/>
      <c r="M1" s="1906">
        <f>(M7+M13+M18+M22+L11+L12)-(M23+M27+M34+M43+M60+M65+M67+M69+M71+M75)</f>
        <v>689.10110748423529</v>
      </c>
      <c r="N1" s="4859">
        <f>P1-M1</f>
        <v>128.50640361774549</v>
      </c>
      <c r="O1" s="4859"/>
      <c r="P1" s="1906">
        <f>(P7+P13+P18+P22+O11+O12)-(P23+P27+P34+P43+P60+P65+P67+P69+P71+P75)</f>
        <v>817.60751110198078</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206</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c r="U4" s="1892"/>
    </row>
    <row r="5" spans="1:41" ht="6" customHeight="1"/>
    <row r="6" spans="1:41" s="1885" customFormat="1" ht="24" customHeight="1">
      <c r="A6" s="48"/>
      <c r="B6" s="1890" t="s">
        <v>1207</v>
      </c>
      <c r="C6" s="1889"/>
      <c r="D6" s="1889"/>
      <c r="E6" s="1889"/>
      <c r="F6" s="1889"/>
      <c r="G6" s="1888"/>
      <c r="H6" s="4864" t="s">
        <v>179</v>
      </c>
      <c r="I6" s="4865"/>
      <c r="J6" s="1887">
        <v>45</v>
      </c>
      <c r="K6" s="4849" t="s">
        <v>152</v>
      </c>
      <c r="L6" s="4850"/>
      <c r="M6" s="1887">
        <v>55</v>
      </c>
      <c r="N6" s="4864" t="s">
        <v>178</v>
      </c>
      <c r="O6" s="4865"/>
      <c r="P6" s="1886">
        <v>65</v>
      </c>
      <c r="Q6" s="70"/>
    </row>
    <row r="7" spans="1:41" s="252" customFormat="1" ht="18.75" customHeight="1">
      <c r="A7" s="47"/>
      <c r="B7" s="311" t="s">
        <v>1258</v>
      </c>
      <c r="C7" s="47"/>
      <c r="D7" s="47"/>
      <c r="E7" s="47"/>
      <c r="F7" s="47"/>
      <c r="G7" s="1884"/>
      <c r="H7" s="1881"/>
      <c r="I7" s="1880"/>
      <c r="J7" s="1614">
        <f>SUM(I9:I10)</f>
        <v>862.5</v>
      </c>
      <c r="K7" s="1883"/>
      <c r="L7" s="1882"/>
      <c r="M7" s="1617">
        <f>SUM(L9:L10)</f>
        <v>1054.1666666666667</v>
      </c>
      <c r="N7" s="1881"/>
      <c r="O7" s="1880"/>
      <c r="P7" s="1614">
        <f>SUM(O9:O10)</f>
        <v>1245.8333333333335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'SDK1'!O27</f>
        <v>19.166666666666668</v>
      </c>
      <c r="H9" s="1877">
        <f>J6-H10</f>
        <v>45</v>
      </c>
      <c r="I9" s="1873">
        <f>H9*G9</f>
        <v>862.5</v>
      </c>
      <c r="J9" s="43"/>
      <c r="K9" s="1876">
        <f>M6-K10</f>
        <v>55</v>
      </c>
      <c r="L9" s="1875">
        <f>K9*G9</f>
        <v>1054.1666666666667</v>
      </c>
      <c r="M9" s="1854"/>
      <c r="N9" s="1874">
        <f>P6-N10</f>
        <v>65</v>
      </c>
      <c r="O9" s="1873">
        <f>N9*G9</f>
        <v>1245.8333333333335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1.1000000000000001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117.6</v>
      </c>
      <c r="K23" s="1619"/>
      <c r="L23" s="1618"/>
      <c r="M23" s="1800">
        <f>SUM(L25:L26)</f>
        <v>117.6</v>
      </c>
      <c r="N23" s="1616"/>
      <c r="O23" s="1615"/>
      <c r="P23" s="1599">
        <f>SUM(O25:O26)</f>
        <v>117.6</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'SDK7'!F57/100</f>
        <v>0.84</v>
      </c>
      <c r="G25" s="1794">
        <f>F25*(100+$D$24)/100</f>
        <v>0.84</v>
      </c>
      <c r="H25" s="1793">
        <v>140</v>
      </c>
      <c r="I25" s="1754">
        <f>H25*$G25</f>
        <v>117.6</v>
      </c>
      <c r="J25" s="45"/>
      <c r="K25" s="1793">
        <f>H25</f>
        <v>140</v>
      </c>
      <c r="L25" s="1596">
        <f>K25*$G25</f>
        <v>117.6</v>
      </c>
      <c r="M25" s="1589"/>
      <c r="N25" s="1793">
        <f>H25</f>
        <v>140</v>
      </c>
      <c r="O25" s="1754">
        <f>N25*$G25</f>
        <v>117.6</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214.33316666666664</v>
      </c>
      <c r="K27" s="1748"/>
      <c r="L27" s="1747"/>
      <c r="M27" s="1617">
        <f>SUM(L30:L33)</f>
        <v>254.83683333333332</v>
      </c>
      <c r="N27" s="1746"/>
      <c r="O27" s="1745"/>
      <c r="P27" s="1614">
        <f>SUM(O30:O33)</f>
        <v>295.34049999999996</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1.51</v>
      </c>
      <c r="F30" s="1774">
        <f>VLOOKUP(K2,'SD8'!B9:L42,7,FALSE)</f>
        <v>0.55000000000000004</v>
      </c>
      <c r="G30" s="1773">
        <v>20</v>
      </c>
      <c r="H30" s="1771">
        <f>IF(J$6=0,0,(J$6*$E30+$G30+X14))</f>
        <v>87.95</v>
      </c>
      <c r="I30" s="1754">
        <f>H30*$D30</f>
        <v>141.01316666666665</v>
      </c>
      <c r="J30" s="45"/>
      <c r="K30" s="1772">
        <f>IF(M$6=0,0,(M$6*$E30+$G30+Y14))</f>
        <v>103.05</v>
      </c>
      <c r="L30" s="1596">
        <f>K30*$D30</f>
        <v>165.22349999999997</v>
      </c>
      <c r="M30" s="1589"/>
      <c r="N30" s="1771">
        <f>IF(P$6=0,0,(P$6*$E30+$G30+Z14))</f>
        <v>118.15</v>
      </c>
      <c r="O30" s="1754">
        <f>N30*$D30</f>
        <v>189.4338333333333</v>
      </c>
      <c r="P30" s="1718"/>
      <c r="Q30" s="38"/>
    </row>
    <row r="31" spans="1:26" s="42" customFormat="1" ht="15" customHeight="1">
      <c r="A31" s="1306"/>
      <c r="B31" s="274"/>
      <c r="C31" s="1306" t="s">
        <v>244</v>
      </c>
      <c r="D31" s="1723">
        <f>'SDK1'!O53</f>
        <v>1.0999999999999999</v>
      </c>
      <c r="E31" s="1774">
        <f>VLOOKUP(K2,'SD8'!B9:L42,4,FALSE)</f>
        <v>0.8</v>
      </c>
      <c r="F31" s="1774">
        <f>VLOOKUP(K2,'SD8'!B9:L42,8,FALSE)</f>
        <v>0.32999999999999985</v>
      </c>
      <c r="G31" s="1773"/>
      <c r="H31" s="1771">
        <f>IF(J$6=0,0,(J$6*$E31+$G31+X15))</f>
        <v>36</v>
      </c>
      <c r="I31" s="1754">
        <f>H31*$D31</f>
        <v>39.599999999999994</v>
      </c>
      <c r="J31" s="45"/>
      <c r="K31" s="1772">
        <f>IF(M$6=0,0,(M$6*$E31+$G31+Y15))</f>
        <v>44</v>
      </c>
      <c r="L31" s="1596">
        <f>K31*$D31</f>
        <v>48.399999999999991</v>
      </c>
      <c r="M31" s="1589"/>
      <c r="N31" s="1771">
        <f>IF(P$6=0,0,(P$6*$E31+$G31+Z15))</f>
        <v>52</v>
      </c>
      <c r="O31" s="1754">
        <f>N31*$D31</f>
        <v>57.199999999999996</v>
      </c>
      <c r="P31" s="1718"/>
      <c r="Q31" s="38"/>
    </row>
    <row r="32" spans="1:26" s="42" customFormat="1" ht="15" customHeight="1">
      <c r="A32" s="1306"/>
      <c r="B32" s="274"/>
      <c r="C32" s="1306" t="s">
        <v>242</v>
      </c>
      <c r="D32" s="1723">
        <f>'SDK1'!O54</f>
        <v>1.02</v>
      </c>
      <c r="E32" s="1774">
        <f>VLOOKUP(K2,'SD8'!B9:L42,5,FALSE)</f>
        <v>0.6</v>
      </c>
      <c r="F32" s="1774">
        <f>VLOOKUP(K2,'SD8'!B9:L42,9,FALSE)</f>
        <v>1.87</v>
      </c>
      <c r="G32" s="1773"/>
      <c r="H32" s="1771">
        <f>IF(J$6=0,0,(J$6*$E32+$G32+X16))</f>
        <v>27</v>
      </c>
      <c r="I32" s="1754">
        <f>H32*$D32</f>
        <v>27.54</v>
      </c>
      <c r="J32" s="45"/>
      <c r="K32" s="1772">
        <f>IF(M$6=0,0,(M$6*$E32+$G32+Y16))</f>
        <v>33</v>
      </c>
      <c r="L32" s="1596">
        <f>K32*$D32</f>
        <v>33.660000000000004</v>
      </c>
      <c r="M32" s="1589"/>
      <c r="N32" s="1771">
        <f>IF(P$6=0,0,(P$6*$E32+$G32+Z16))</f>
        <v>39</v>
      </c>
      <c r="O32" s="1754">
        <f>N32*$D32</f>
        <v>39.78</v>
      </c>
      <c r="P32" s="1718"/>
      <c r="Q32" s="38"/>
    </row>
    <row r="33" spans="1:17" s="42" customFormat="1" ht="15" customHeight="1">
      <c r="A33" s="1306"/>
      <c r="B33" s="239"/>
      <c r="C33" s="1331" t="s">
        <v>240</v>
      </c>
      <c r="D33" s="1706">
        <f>'SDK1'!O55</f>
        <v>0.68666666666666676</v>
      </c>
      <c r="E33" s="1770">
        <f>VLOOKUP(K2,'SD8'!B9:L42,6,FALSE)</f>
        <v>0.2</v>
      </c>
      <c r="F33" s="1770">
        <f>VLOOKUP(K2,'SD8'!B9:L42,10,FALSE)</f>
        <v>0.21999999999999997</v>
      </c>
      <c r="G33" s="1769"/>
      <c r="H33" s="1767">
        <f>IF(J$6=0,0,(J$6*$E33+$G33+X17))</f>
        <v>9</v>
      </c>
      <c r="I33" s="1750">
        <f>H33*$D33</f>
        <v>6.1800000000000006</v>
      </c>
      <c r="J33" s="45"/>
      <c r="K33" s="1768">
        <f>IF(M$6=0,0,(M$6*$E33+$G33+Y17))</f>
        <v>11</v>
      </c>
      <c r="L33" s="1590">
        <f>K33*$D33</f>
        <v>7.5533333333333346</v>
      </c>
      <c r="M33" s="1589"/>
      <c r="N33" s="1767">
        <f>IF(P$6=0,0,(P$6*$E33+$G33+Z17))</f>
        <v>13</v>
      </c>
      <c r="O33" s="1750">
        <f>N33*$D33</f>
        <v>8.9266666666666676</v>
      </c>
      <c r="P33" s="1749"/>
      <c r="Q33" s="38"/>
    </row>
    <row r="34" spans="1:17" s="708" customFormat="1" ht="18.75" customHeight="1">
      <c r="A34" s="1270"/>
      <c r="B34" s="1276" t="s">
        <v>1234</v>
      </c>
      <c r="C34" s="1270"/>
      <c r="D34" s="37"/>
      <c r="E34" s="37"/>
      <c r="F34" s="4831" t="s">
        <v>1233</v>
      </c>
      <c r="G34" s="4832"/>
      <c r="H34" s="1764"/>
      <c r="I34" s="1763"/>
      <c r="J34" s="1614">
        <f>SUM(I36:I42)</f>
        <v>27.295000000000002</v>
      </c>
      <c r="K34" s="1766"/>
      <c r="L34" s="1765"/>
      <c r="M34" s="1617">
        <f>SUM(L36:L42)</f>
        <v>35.545000000000002</v>
      </c>
      <c r="N34" s="1764"/>
      <c r="O34" s="1763"/>
      <c r="P34" s="1614">
        <f>SUM(O36:O42)</f>
        <v>35.545000000000002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700</v>
      </c>
      <c r="D36" s="4857"/>
      <c r="E36" s="4858"/>
      <c r="F36" s="1756">
        <f>IF(C36="",0,VLOOKUP(C36,'SDK5'!C3:AF83,2,FALSE))</f>
        <v>5.5</v>
      </c>
      <c r="G36" s="1756">
        <f t="shared" ref="G36:G42" si="0">F36*(100+$D$35)/100</f>
        <v>5.5</v>
      </c>
      <c r="H36" s="1755"/>
      <c r="I36" s="1754">
        <f t="shared" ref="I36:I42" si="1">$G36*H36</f>
        <v>0</v>
      </c>
      <c r="J36" s="45"/>
      <c r="K36" s="1755">
        <v>1.5</v>
      </c>
      <c r="L36" s="1596">
        <f t="shared" ref="L36:L42" si="2">$G36*K36</f>
        <v>8.25</v>
      </c>
      <c r="M36" s="1589"/>
      <c r="N36" s="1755">
        <v>1.5</v>
      </c>
      <c r="O36" s="1754">
        <f t="shared" ref="O36:O42" si="3">$G36*N36</f>
        <v>8.25</v>
      </c>
      <c r="P36" s="1758"/>
      <c r="Q36" s="38"/>
    </row>
    <row r="37" spans="1:17" s="42" customFormat="1" ht="15" customHeight="1">
      <c r="A37" s="1306"/>
      <c r="B37" s="1594"/>
      <c r="C37" s="4855" t="s">
        <v>674</v>
      </c>
      <c r="D37" s="4855"/>
      <c r="E37" s="4856"/>
      <c r="F37" s="1756">
        <f>IF(C37="",0,VLOOKUP(C37,'SDK5'!C4:AF84,2,FALSE))</f>
        <v>545.9</v>
      </c>
      <c r="G37" s="1756">
        <f t="shared" si="0"/>
        <v>545.9</v>
      </c>
      <c r="H37" s="1755">
        <v>0.05</v>
      </c>
      <c r="I37" s="1754">
        <f t="shared" si="1"/>
        <v>27.295000000000002</v>
      </c>
      <c r="J37" s="45"/>
      <c r="K37" s="1755">
        <v>0.05</v>
      </c>
      <c r="L37" s="1596">
        <f t="shared" si="2"/>
        <v>27.295000000000002</v>
      </c>
      <c r="M37" s="1589"/>
      <c r="N37" s="1755">
        <v>0.05</v>
      </c>
      <c r="O37" s="1754">
        <f t="shared" si="3"/>
        <v>27.295000000000002</v>
      </c>
      <c r="P37" s="1718"/>
      <c r="Q37" s="38"/>
    </row>
    <row r="38" spans="1:17" s="42" customFormat="1" ht="15" customHeight="1">
      <c r="A38" s="1306"/>
      <c r="B38" s="1757"/>
      <c r="C38" s="4855"/>
      <c r="D38" s="4855"/>
      <c r="E38" s="4856"/>
      <c r="F38" s="1756">
        <f>IF(C38="",0,VLOOKUP(C38,'SDK5'!C5:AF85,2,FALSE))</f>
        <v>0</v>
      </c>
      <c r="G38" s="1756"/>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132.43116816</v>
      </c>
      <c r="K43" s="1748"/>
      <c r="L43" s="1747"/>
      <c r="M43" s="1617">
        <f>SUM(M46:M57)</f>
        <v>139.34599980862745</v>
      </c>
      <c r="N43" s="1746"/>
      <c r="O43" s="1745"/>
      <c r="P43" s="1614">
        <f>SUM(P46:P57)</f>
        <v>140.49362975372549</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2</v>
      </c>
      <c r="O48" s="1719">
        <f t="shared" si="8"/>
        <v>0.64</v>
      </c>
      <c r="P48" s="1718">
        <f t="shared" si="9"/>
        <v>7.202830832941177</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2</v>
      </c>
      <c r="L49" s="1722">
        <f t="shared" si="6"/>
        <v>0.72</v>
      </c>
      <c r="M49" s="1721">
        <f t="shared" si="7"/>
        <v>11.534403407058823</v>
      </c>
      <c r="N49" s="1720">
        <v>2</v>
      </c>
      <c r="O49" s="1719">
        <f t="shared" si="8"/>
        <v>0.72</v>
      </c>
      <c r="P49" s="1718">
        <f t="shared" si="9"/>
        <v>11.534403407058823</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0.75</v>
      </c>
      <c r="I50" s="1719">
        <f t="shared" si="4"/>
        <v>0.30000000000000004</v>
      </c>
      <c r="J50" s="1718">
        <f t="shared" si="5"/>
        <v>5.1643347529411772</v>
      </c>
      <c r="K50" s="1720">
        <v>0.91666666666666663</v>
      </c>
      <c r="L50" s="1722">
        <f t="shared" si="6"/>
        <v>0.3666666666666667</v>
      </c>
      <c r="M50" s="1721">
        <f t="shared" si="7"/>
        <v>6.3119646980392163</v>
      </c>
      <c r="N50" s="1720">
        <v>1.0833333333333333</v>
      </c>
      <c r="O50" s="1719">
        <f t="shared" si="8"/>
        <v>0.43333333333333335</v>
      </c>
      <c r="P50" s="1718">
        <f t="shared" si="9"/>
        <v>7.4595946431372555</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4.72</v>
      </c>
      <c r="J58" s="1701"/>
      <c r="K58" s="1700"/>
      <c r="L58" s="1699">
        <f>SUM($L$46:$L$57)</f>
        <v>5.1466666666666665</v>
      </c>
      <c r="M58" s="1698"/>
      <c r="N58" s="1697"/>
      <c r="O58" s="1696">
        <f>SUM($O$46:$O$57)</f>
        <v>5.2133333333333338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8.4959999999999987</v>
      </c>
      <c r="J59" s="1686"/>
      <c r="K59" s="1691"/>
      <c r="L59" s="1690">
        <f>IF(L58+SUM($L$46:$L$57)*$E$59%&gt;L58+10,L58+10,L58+SUM($L$46:$L$57)*$E$59%)</f>
        <v>9.2639999999999993</v>
      </c>
      <c r="M59" s="1689"/>
      <c r="N59" s="1688"/>
      <c r="O59" s="1687">
        <f>IF(O58+SUM($O$46:$O$57)*$E$59%&gt;O58+10,O58+10,O58+SUM($O$46:$O$57)*$E$59%)</f>
        <v>9.3840000000000003</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81.225000000000009</v>
      </c>
      <c r="K67" s="1641" t="s">
        <v>1217</v>
      </c>
      <c r="L67" s="1640" t="s">
        <v>1216</v>
      </c>
      <c r="M67" s="1617">
        <f>S68*(K9+K10)*L68%+F68</f>
        <v>99.275000000000006</v>
      </c>
      <c r="N67" s="1639" t="s">
        <v>1217</v>
      </c>
      <c r="O67" s="1638" t="s">
        <v>1216</v>
      </c>
      <c r="P67" s="1614">
        <f>T68*(N9+N10)*O68%+F68</f>
        <v>117.32500000000002</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13.8</v>
      </c>
      <c r="K69" s="1630"/>
      <c r="L69" s="1629"/>
      <c r="M69" s="1617">
        <f>K70*$F70/1000</f>
        <v>16.866666666666667</v>
      </c>
      <c r="N69" s="44"/>
      <c r="O69" s="73"/>
      <c r="P69" s="1614">
        <f>N70*$F70/1000</f>
        <v>19.933333333333337</v>
      </c>
      <c r="Q69" s="38"/>
    </row>
    <row r="70" spans="1:20" s="708" customFormat="1" ht="15" customHeight="1">
      <c r="A70" s="1270"/>
      <c r="B70" s="1332"/>
      <c r="C70" s="1331" t="s">
        <v>896</v>
      </c>
      <c r="D70" s="353"/>
      <c r="E70" s="280"/>
      <c r="F70" s="1628">
        <f>'SDK7'!G103</f>
        <v>16</v>
      </c>
      <c r="G70" s="1627" t="s">
        <v>171</v>
      </c>
      <c r="H70" s="1623">
        <f>I9+I10</f>
        <v>862.5</v>
      </c>
      <c r="I70" s="1622"/>
      <c r="J70" s="1621"/>
      <c r="K70" s="1626">
        <f>L9+L10</f>
        <v>1054.1666666666667</v>
      </c>
      <c r="L70" s="1625"/>
      <c r="M70" s="1624"/>
      <c r="N70" s="1623">
        <f>O9+O10</f>
        <v>1245.8333333333335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4.6161520926666659</v>
      </c>
      <c r="K75" s="711"/>
      <c r="L75" s="1056"/>
      <c r="M75" s="1578">
        <f>(M23+M27+M34+M43+M60+M65+M67+M69+M71)*('SDK1'!$O$59%*$G$75/12)</f>
        <v>5.0960593738039215</v>
      </c>
      <c r="N75" s="1580"/>
      <c r="O75" s="1579"/>
      <c r="P75" s="1578">
        <f>(P23+P27+P34+P43+P60+P65+P67+P69+P71)*('SDK1'!$O$59%*$G$75/12)</f>
        <v>5.4883591442941162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49:D49"/>
    <mergeCell ref="C53:D53"/>
    <mergeCell ref="C54:D54"/>
    <mergeCell ref="C50:D50"/>
    <mergeCell ref="C51:D51"/>
    <mergeCell ref="C52:D52"/>
    <mergeCell ref="C74:E74"/>
    <mergeCell ref="C55:D55"/>
    <mergeCell ref="C68:E68"/>
    <mergeCell ref="C62:E62"/>
    <mergeCell ref="C64:E64"/>
    <mergeCell ref="C73:E73"/>
    <mergeCell ref="C63:E63"/>
    <mergeCell ref="C57:D57"/>
    <mergeCell ref="C56:D56"/>
    <mergeCell ref="B75:C75"/>
    <mergeCell ref="K2:P2"/>
    <mergeCell ref="D25:E25"/>
    <mergeCell ref="D26:E26"/>
    <mergeCell ref="C14:F14"/>
    <mergeCell ref="C15:F15"/>
    <mergeCell ref="N6:O6"/>
    <mergeCell ref="K6:L6"/>
    <mergeCell ref="E10:F10"/>
    <mergeCell ref="C16:F16"/>
    <mergeCell ref="C48:D48"/>
    <mergeCell ref="F23:G23"/>
    <mergeCell ref="F34:G34"/>
    <mergeCell ref="C47:D47"/>
    <mergeCell ref="C46:D46"/>
    <mergeCell ref="C17:F17"/>
    <mergeCell ref="E22:G22"/>
    <mergeCell ref="K1:L1"/>
    <mergeCell ref="N1:O1"/>
    <mergeCell ref="C42:E42"/>
    <mergeCell ref="H6:I6"/>
    <mergeCell ref="C19:F19"/>
    <mergeCell ref="C39:E39"/>
    <mergeCell ref="E4:I4"/>
    <mergeCell ref="N3:O4"/>
    <mergeCell ref="J3:L3"/>
    <mergeCell ref="J4:L4"/>
    <mergeCell ref="C41:E41"/>
    <mergeCell ref="C37:E37"/>
    <mergeCell ref="C36:E36"/>
    <mergeCell ref="C40:E40"/>
    <mergeCell ref="C38:E38"/>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8" orientation="portrait" r:id="rId1"/>
  <headerFooter alignWithMargins="0">
    <oddFooter>&amp;L&amp;11LEL Schwäbisch Gmünd&amp;C45&amp;R&amp;11&amp;F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'SDK5'!$N$214:$N$313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B05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9" style="38" customWidth="1"/>
    <col min="18" max="22" width="9" style="35" customWidth="1"/>
    <col min="23" max="25" width="6.375" style="35" customWidth="1"/>
    <col min="26" max="26" width="4.125" style="35"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969.89756630281909</v>
      </c>
      <c r="K1" s="4859">
        <f>M1-J1</f>
        <v>286.78985098549015</v>
      </c>
      <c r="L1" s="4859"/>
      <c r="M1" s="1906">
        <f>(M7+M13+M18+M22+L11+L12)-(M23+M27+M34+M43+M60+M65+M67+M69+M71+M75)</f>
        <v>1256.6874172883092</v>
      </c>
      <c r="N1" s="4859">
        <f>P1-M1</f>
        <v>286.78985098549038</v>
      </c>
      <c r="O1" s="4859"/>
      <c r="P1" s="1906">
        <f>(P7+P13+P18+P22+O11+O12)-(P23+P27+P34+P43+P60+P65+P67+P69+P71+P75)</f>
        <v>1543.4772682737996</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205</v>
      </c>
      <c r="L2" s="4870"/>
      <c r="M2" s="4870"/>
      <c r="N2" s="4870"/>
      <c r="O2" s="4870"/>
      <c r="P2" s="4870"/>
      <c r="Q2" s="1920">
        <v>30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80</v>
      </c>
      <c r="K6" s="4849" t="s">
        <v>152</v>
      </c>
      <c r="L6" s="4850"/>
      <c r="M6" s="1887">
        <v>100</v>
      </c>
      <c r="N6" s="4864" t="s">
        <v>178</v>
      </c>
      <c r="O6" s="4865"/>
      <c r="P6" s="1886">
        <v>120</v>
      </c>
      <c r="Q6" s="70"/>
    </row>
    <row r="7" spans="1:41" s="252" customFormat="1" ht="18.75" customHeight="1">
      <c r="A7" s="47"/>
      <c r="B7" s="311" t="s">
        <v>1258</v>
      </c>
      <c r="C7" s="47"/>
      <c r="D7" s="47"/>
      <c r="E7" s="47"/>
      <c r="F7" s="47"/>
      <c r="G7" s="1884"/>
      <c r="H7" s="1881"/>
      <c r="I7" s="1880"/>
      <c r="J7" s="1614">
        <f>SUM(I9:I10)</f>
        <v>1929.3333333333337</v>
      </c>
      <c r="K7" s="1883"/>
      <c r="L7" s="1882"/>
      <c r="M7" s="1617">
        <f>SUM(L9:L10)</f>
        <v>2411.666666666667</v>
      </c>
      <c r="N7" s="1881"/>
      <c r="O7" s="1880"/>
      <c r="P7" s="1614">
        <f>SUM(O9:O10)</f>
        <v>2894.0000000000005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'SDK1'!O29</f>
        <v>24.116666666666671</v>
      </c>
      <c r="H9" s="1877">
        <f>J6-H10</f>
        <v>80</v>
      </c>
      <c r="I9" s="1873">
        <f>H9*G9</f>
        <v>1929.3333333333337</v>
      </c>
      <c r="J9" s="43"/>
      <c r="K9" s="1876">
        <f>M6-K10</f>
        <v>100</v>
      </c>
      <c r="L9" s="1875">
        <f>K9*G9</f>
        <v>2411.666666666667</v>
      </c>
      <c r="M9" s="1854"/>
      <c r="N9" s="1874">
        <f>P6-N10</f>
        <v>120</v>
      </c>
      <c r="O9" s="1873">
        <f>N9*G9</f>
        <v>2894.0000000000005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243</v>
      </c>
      <c r="K23" s="1619"/>
      <c r="L23" s="1618"/>
      <c r="M23" s="1800">
        <f>SUM(L25:L26)</f>
        <v>243</v>
      </c>
      <c r="N23" s="1616"/>
      <c r="O23" s="1615"/>
      <c r="P23" s="1599">
        <f>SUM(O25:O26)</f>
        <v>243</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'SDK7'!F59</f>
        <v>135</v>
      </c>
      <c r="G25" s="1794">
        <f>F25*(100+$D$24)/100</f>
        <v>135</v>
      </c>
      <c r="H25" s="1793">
        <v>1.8</v>
      </c>
      <c r="I25" s="1754">
        <f>H25*$G25</f>
        <v>243</v>
      </c>
      <c r="J25" s="45"/>
      <c r="K25" s="1793">
        <v>1.8</v>
      </c>
      <c r="L25" s="1596">
        <f>K25*$G25</f>
        <v>243</v>
      </c>
      <c r="M25" s="1589"/>
      <c r="N25" s="1793">
        <v>1.8</v>
      </c>
      <c r="O25" s="1754">
        <f>N25*$G25</f>
        <v>243</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331.26133333333325</v>
      </c>
      <c r="K27" s="1748"/>
      <c r="L27" s="1747"/>
      <c r="M27" s="1617">
        <f>SUM(L30:L33)</f>
        <v>406.05999999999995</v>
      </c>
      <c r="N27" s="1746"/>
      <c r="O27" s="1745"/>
      <c r="P27" s="1614">
        <f>SUM(O30:O33)</f>
        <v>480.85866666666658</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1.38</v>
      </c>
      <c r="F30" s="1774">
        <f>VLOOKUP(K2,'SD8'!B9:L42,7,FALSE)</f>
        <v>0.89999999999999991</v>
      </c>
      <c r="G30" s="1773">
        <v>20</v>
      </c>
      <c r="H30" s="1771">
        <f>IF(J$6=0,0,(J$6*$E30+$G30+X14))</f>
        <v>130.39999999999998</v>
      </c>
      <c r="I30" s="1754">
        <f>H30*$D30</f>
        <v>209.07466666666659</v>
      </c>
      <c r="J30" s="45"/>
      <c r="K30" s="1772">
        <f>IF(M$6=0,0,(M$6*$E30+$G30+Y14))</f>
        <v>158</v>
      </c>
      <c r="L30" s="1596">
        <f>K30*$D30</f>
        <v>253.32666666666663</v>
      </c>
      <c r="M30" s="1589"/>
      <c r="N30" s="1771">
        <f>IF(P$6=0,0,(P$6*$E30+$G30+Z14))</f>
        <v>185.6</v>
      </c>
      <c r="O30" s="1754">
        <f>N30*$D30</f>
        <v>297.57866666666661</v>
      </c>
      <c r="P30" s="1718"/>
      <c r="Q30" s="38"/>
    </row>
    <row r="31" spans="1:26" s="42" customFormat="1" ht="15" customHeight="1">
      <c r="A31" s="1306"/>
      <c r="B31" s="274"/>
      <c r="C31" s="1306" t="s">
        <v>244</v>
      </c>
      <c r="D31" s="1723">
        <f>'SDK1'!O53</f>
        <v>1.0999999999999999</v>
      </c>
      <c r="E31" s="1774">
        <f>VLOOKUP(K2,'SD8'!B9:L42,4,FALSE)</f>
        <v>0.8</v>
      </c>
      <c r="F31" s="1774">
        <f>VLOOKUP(K2,'SD8'!B9:L42,8,FALSE)</f>
        <v>0.19999999999999996</v>
      </c>
      <c r="G31" s="1773"/>
      <c r="H31" s="1771">
        <f>IF(J$6=0,0,(J$6*$E31+$G31+X15))</f>
        <v>64</v>
      </c>
      <c r="I31" s="1754">
        <f>H31*$D31</f>
        <v>70.399999999999991</v>
      </c>
      <c r="J31" s="45"/>
      <c r="K31" s="1772">
        <f>IF(M$6=0,0,(M$6*$E31+$G31+Y15))</f>
        <v>80</v>
      </c>
      <c r="L31" s="1596">
        <f>K31*$D31</f>
        <v>87.999999999999986</v>
      </c>
      <c r="M31" s="1589"/>
      <c r="N31" s="1771">
        <f>IF(P$6=0,0,(P$6*$E31+$G31+Z15))</f>
        <v>96</v>
      </c>
      <c r="O31" s="1754">
        <f>N31*$D31</f>
        <v>105.6</v>
      </c>
      <c r="P31" s="1718"/>
      <c r="Q31" s="38"/>
    </row>
    <row r="32" spans="1:26" s="42" customFormat="1" ht="15" customHeight="1">
      <c r="A32" s="1306"/>
      <c r="B32" s="274"/>
      <c r="C32" s="1306" t="s">
        <v>242</v>
      </c>
      <c r="D32" s="1723">
        <f>'SDK1'!O54</f>
        <v>1.02</v>
      </c>
      <c r="E32" s="1774">
        <f>VLOOKUP(K2,'SD8'!B9:L42,5,FALSE)</f>
        <v>0.5</v>
      </c>
      <c r="F32" s="1774">
        <f>VLOOKUP(K2,'SD8'!B9:L42,9,FALSE)</f>
        <v>2</v>
      </c>
      <c r="G32" s="1773"/>
      <c r="H32" s="1771">
        <f>IF(J$6=0,0,(J$6*$E32+$G32+X16))</f>
        <v>40</v>
      </c>
      <c r="I32" s="1754">
        <f>H32*$D32</f>
        <v>40.799999999999997</v>
      </c>
      <c r="J32" s="45"/>
      <c r="K32" s="1772">
        <f>IF(M$6=0,0,(M$6*$E32+$G32+Y16))</f>
        <v>50</v>
      </c>
      <c r="L32" s="1596">
        <f>K32*$D32</f>
        <v>51</v>
      </c>
      <c r="M32" s="1589"/>
      <c r="N32" s="1771">
        <f>IF(P$6=0,0,(P$6*$E32+$G32+Z16))</f>
        <v>60</v>
      </c>
      <c r="O32" s="1754">
        <f>N32*$D32</f>
        <v>61.2</v>
      </c>
      <c r="P32" s="1718"/>
      <c r="Q32" s="38"/>
    </row>
    <row r="33" spans="1:17" s="42" customFormat="1" ht="15" customHeight="1">
      <c r="A33" s="1306"/>
      <c r="B33" s="239"/>
      <c r="C33" s="1331" t="s">
        <v>240</v>
      </c>
      <c r="D33" s="1706">
        <f>'SDK1'!O55</f>
        <v>0.68666666666666676</v>
      </c>
      <c r="E33" s="1770">
        <f>VLOOKUP(K2,'SD8'!B9:L42,6,FALSE)</f>
        <v>0.2</v>
      </c>
      <c r="F33" s="1770">
        <f>VLOOKUP(K2,'SD8'!B9:L42,10,FALSE)</f>
        <v>0.39999999999999997</v>
      </c>
      <c r="G33" s="1769"/>
      <c r="H33" s="1767">
        <f>IF(J$6=0,0,(J$6*$E33+$G33+X17))</f>
        <v>16</v>
      </c>
      <c r="I33" s="1750">
        <f>H33*$D33</f>
        <v>10.986666666666668</v>
      </c>
      <c r="J33" s="45"/>
      <c r="K33" s="1768">
        <f>IF(M$6=0,0,(M$6*$E33+$G33+Y17))</f>
        <v>20</v>
      </c>
      <c r="L33" s="1590">
        <f>K33*$D33</f>
        <v>13.733333333333334</v>
      </c>
      <c r="M33" s="1589"/>
      <c r="N33" s="1767">
        <f>IF(P$6=0,0,(P$6*$E33+$G33+Z17))</f>
        <v>24</v>
      </c>
      <c r="O33" s="1750">
        <f>N33*$D33</f>
        <v>16.480000000000004</v>
      </c>
      <c r="P33" s="1749"/>
      <c r="Q33" s="38"/>
    </row>
    <row r="34" spans="1:17" s="708" customFormat="1" ht="18.75" customHeight="1">
      <c r="A34" s="1270"/>
      <c r="B34" s="1276" t="s">
        <v>1234</v>
      </c>
      <c r="C34" s="1270"/>
      <c r="D34" s="37"/>
      <c r="E34" s="37"/>
      <c r="F34" s="4831" t="s">
        <v>1233</v>
      </c>
      <c r="G34" s="4832"/>
      <c r="H34" s="1764"/>
      <c r="I34" s="1763"/>
      <c r="J34" s="1614">
        <f>SUM(I36:I42)</f>
        <v>67.199999999999989</v>
      </c>
      <c r="K34" s="1766"/>
      <c r="L34" s="1765"/>
      <c r="M34" s="1617">
        <f>SUM(L36:L42)</f>
        <v>67.199999999999989</v>
      </c>
      <c r="N34" s="1764"/>
      <c r="O34" s="1763"/>
      <c r="P34" s="1614">
        <f>SUM(O36:O42)</f>
        <v>67.199999999999989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680</v>
      </c>
      <c r="D36" s="4857"/>
      <c r="E36" s="4858"/>
      <c r="F36" s="1756">
        <f>IF(C36="",0,VLOOKUP(C36,'SDK5'!C3:AF83,2,FALSE))</f>
        <v>44.8</v>
      </c>
      <c r="G36" s="1756">
        <f t="shared" ref="G36:G42" si="0">F36*(100+$D$35)/100</f>
        <v>44.8</v>
      </c>
      <c r="H36" s="1755">
        <v>1.5</v>
      </c>
      <c r="I36" s="1754">
        <f t="shared" ref="I36:I42" si="1">$G36*H36</f>
        <v>67.199999999999989</v>
      </c>
      <c r="J36" s="45"/>
      <c r="K36" s="1755">
        <v>1.5</v>
      </c>
      <c r="L36" s="1596">
        <f t="shared" ref="L36:L42" si="2">$G36*K36</f>
        <v>67.199999999999989</v>
      </c>
      <c r="M36" s="1589"/>
      <c r="N36" s="1755">
        <v>1.5</v>
      </c>
      <c r="O36" s="1754">
        <f t="shared" ref="O36:O42" si="3">$G36*N36</f>
        <v>67.199999999999989</v>
      </c>
      <c r="P36" s="1758"/>
      <c r="Q36" s="38"/>
    </row>
    <row r="37" spans="1:17" s="42" customFormat="1" ht="15" customHeight="1">
      <c r="A37" s="1306"/>
      <c r="B37" s="1594"/>
      <c r="C37" s="4855" t="s">
        <v>368</v>
      </c>
      <c r="D37" s="4855"/>
      <c r="E37" s="4856"/>
      <c r="F37" s="1756">
        <f>IF(C37="",0,VLOOKUP(C37,'SDK5'!C4:AF84,2,FALSE))</f>
        <v>0</v>
      </c>
      <c r="G37" s="1756">
        <f t="shared" si="0"/>
        <v>0</v>
      </c>
      <c r="H37" s="1755"/>
      <c r="I37" s="1754">
        <f t="shared" si="1"/>
        <v>0</v>
      </c>
      <c r="J37" s="45"/>
      <c r="K37" s="1755"/>
      <c r="L37" s="1596">
        <f t="shared" si="2"/>
        <v>0</v>
      </c>
      <c r="M37" s="1589"/>
      <c r="N37" s="1755"/>
      <c r="O37" s="1754">
        <f t="shared" si="3"/>
        <v>0</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122.54663390196079</v>
      </c>
      <c r="K43" s="1748"/>
      <c r="L43" s="1747"/>
      <c r="M43" s="1617">
        <f>SUM(M46:M57)</f>
        <v>124.84189379215687</v>
      </c>
      <c r="N43" s="1746"/>
      <c r="O43" s="1745"/>
      <c r="P43" s="1614">
        <f>SUM(P46:P57)</f>
        <v>127.13715368235295</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30</v>
      </c>
    </row>
    <row r="47" spans="1:17" s="42" customFormat="1" ht="15" customHeight="1">
      <c r="A47" s="1306"/>
      <c r="B47" s="1726"/>
      <c r="C47" s="4835" t="s">
        <v>500</v>
      </c>
      <c r="D47" s="4836"/>
      <c r="E47" s="1725">
        <f>IF($C47=0,0,VLOOKUP($C47,'SDK3'!$C$24:$O$92,4,FALSE))</f>
        <v>102</v>
      </c>
      <c r="F47" s="1724">
        <f>IF($C47=0,0,VLOOKUP($C47,'SDK3'!$C$24:$O$92,12,FALSE))</f>
        <v>1.01</v>
      </c>
      <c r="G47" s="1723">
        <f>IF($C47=0,0,VLOOKUP($C47,'SDK3'!$C$24:$O$92,13,FALSE))</f>
        <v>27.345318800000005</v>
      </c>
      <c r="H47" s="1720">
        <v>1</v>
      </c>
      <c r="I47" s="1719">
        <f t="shared" si="4"/>
        <v>1.01</v>
      </c>
      <c r="J47" s="1718">
        <f t="shared" si="5"/>
        <v>27.345318800000005</v>
      </c>
      <c r="K47" s="1720">
        <v>1</v>
      </c>
      <c r="L47" s="1722">
        <f t="shared" si="6"/>
        <v>1.01</v>
      </c>
      <c r="M47" s="1721">
        <f t="shared" si="7"/>
        <v>27.345318800000005</v>
      </c>
      <c r="N47" s="1720">
        <v>1</v>
      </c>
      <c r="O47" s="1719">
        <f t="shared" si="8"/>
        <v>1.01</v>
      </c>
      <c r="P47" s="1718">
        <f t="shared" si="9"/>
        <v>27.345318800000005</v>
      </c>
      <c r="Q47" s="38"/>
    </row>
    <row r="48" spans="1:17" s="42" customFormat="1" ht="15" customHeight="1">
      <c r="A48" s="1306"/>
      <c r="B48" s="1726"/>
      <c r="C48" s="4835" t="s">
        <v>474</v>
      </c>
      <c r="D48" s="4836"/>
      <c r="E48" s="1725">
        <f>IF($C48=0,0,VLOOKUP($C48,'SDK3'!$C$24:$O$92,4,FALSE))</f>
        <v>83</v>
      </c>
      <c r="F48" s="1724">
        <f>IF($C48=0,0,VLOOKUP($C48,'SDK3'!$C$24:$O$92,12,FALSE))</f>
        <v>0.53</v>
      </c>
      <c r="G48" s="1723">
        <f>IF($C48=0,0,VLOOKUP($C48,'SDK3'!$C$24:$O$92,13,FALSE))</f>
        <v>16.06365806352941</v>
      </c>
      <c r="H48" s="1720">
        <v>1</v>
      </c>
      <c r="I48" s="1719">
        <f t="shared" si="4"/>
        <v>0.53</v>
      </c>
      <c r="J48" s="1718">
        <f t="shared" si="5"/>
        <v>16.06365806352941</v>
      </c>
      <c r="K48" s="1720">
        <v>1</v>
      </c>
      <c r="L48" s="1722">
        <f t="shared" si="6"/>
        <v>0.53</v>
      </c>
      <c r="M48" s="1721">
        <f t="shared" si="7"/>
        <v>16.06365806352941</v>
      </c>
      <c r="N48" s="1720">
        <v>1</v>
      </c>
      <c r="O48" s="1719">
        <f t="shared" si="8"/>
        <v>0.53</v>
      </c>
      <c r="P48" s="1718">
        <f t="shared" si="9"/>
        <v>16.06365806352941</v>
      </c>
      <c r="Q48" s="38"/>
    </row>
    <row r="49" spans="1:17" s="42" customFormat="1" ht="15" customHeight="1">
      <c r="A49" s="1306"/>
      <c r="B49" s="1726"/>
      <c r="C49" s="4835" t="s">
        <v>467</v>
      </c>
      <c r="D49" s="4836"/>
      <c r="E49" s="1725">
        <f>IF($C49=0,0,VLOOKUP($C49,'SDK3'!$C$24:$O$92,4,FALSE))</f>
        <v>54</v>
      </c>
      <c r="F49" s="1724">
        <f>IF($C49=0,0,VLOOKUP($C49,'SDK3'!$C$24:$O$92,12,FALSE))</f>
        <v>0.32</v>
      </c>
      <c r="G49" s="1723">
        <f>IF($C49=0,0,VLOOKUP($C49,'SDK3'!$C$24:$O$92,13,FALSE))</f>
        <v>3.6014154164705885</v>
      </c>
      <c r="H49" s="1720">
        <v>2</v>
      </c>
      <c r="I49" s="1719">
        <f t="shared" si="4"/>
        <v>0.64</v>
      </c>
      <c r="J49" s="1718">
        <f t="shared" si="5"/>
        <v>7.202830832941177</v>
      </c>
      <c r="K49" s="1720">
        <v>2</v>
      </c>
      <c r="L49" s="1722">
        <f t="shared" si="6"/>
        <v>0.64</v>
      </c>
      <c r="M49" s="1721">
        <f t="shared" si="7"/>
        <v>7.202830832941177</v>
      </c>
      <c r="N49" s="1720">
        <v>2</v>
      </c>
      <c r="O49" s="1719">
        <f t="shared" si="8"/>
        <v>0.64</v>
      </c>
      <c r="P49" s="1718">
        <f t="shared" si="9"/>
        <v>7.202830832941177</v>
      </c>
      <c r="Q49" s="38"/>
    </row>
    <row r="50" spans="1:17" s="42" customFormat="1" ht="15" customHeight="1">
      <c r="A50" s="1306"/>
      <c r="B50" s="1726"/>
      <c r="C50" s="4835" t="s">
        <v>456</v>
      </c>
      <c r="D50" s="4836"/>
      <c r="E50" s="1725">
        <f>IF($C50=0,0,VLOOKUP($C50,'SDK3'!$C$24:$O$92,4,FALSE))</f>
        <v>83</v>
      </c>
      <c r="F50" s="1724">
        <f>IF($C50=0,0,VLOOKUP($C50,'SDK3'!$C$24:$O$92,12,FALSE))</f>
        <v>0.36</v>
      </c>
      <c r="G50" s="1723">
        <f>IF($C50=0,0,VLOOKUP($C50,'SDK3'!$C$24:$O$92,13,FALSE))</f>
        <v>5.7672017035294116</v>
      </c>
      <c r="H50" s="1720">
        <v>1</v>
      </c>
      <c r="I50" s="1719">
        <f t="shared" si="4"/>
        <v>0.36</v>
      </c>
      <c r="J50" s="1718">
        <f t="shared" si="5"/>
        <v>5.7672017035294116</v>
      </c>
      <c r="K50" s="1720">
        <v>1</v>
      </c>
      <c r="L50" s="1722">
        <f t="shared" si="6"/>
        <v>0.36</v>
      </c>
      <c r="M50" s="1721">
        <f t="shared" si="7"/>
        <v>5.7672017035294116</v>
      </c>
      <c r="N50" s="1720">
        <v>1</v>
      </c>
      <c r="O50" s="1719">
        <f t="shared" si="8"/>
        <v>0.36</v>
      </c>
      <c r="P50" s="1718">
        <f t="shared" si="9"/>
        <v>5.7672017035294116</v>
      </c>
      <c r="Q50" s="38"/>
    </row>
    <row r="51" spans="1:17" s="42" customFormat="1" ht="15" customHeight="1">
      <c r="A51" s="1306"/>
      <c r="B51" s="1726"/>
      <c r="C51" s="4835" t="s">
        <v>435</v>
      </c>
      <c r="D51" s="4836"/>
      <c r="E51" s="1725">
        <f>IF($C51=0,0,VLOOKUP($C51,'SDK3'!$C$24:$O$92,4,FALSE))</f>
        <v>83</v>
      </c>
      <c r="F51" s="1724">
        <f>IF($C51=0,0,VLOOKUP($C51,'SDK3'!$C$24:$O$92,12,FALSE))</f>
        <v>0.4</v>
      </c>
      <c r="G51" s="1723">
        <f>IF($C51=0,0,VLOOKUP($C51,'SDK3'!$C$24:$O$92,13,FALSE))</f>
        <v>6.8857796705882359</v>
      </c>
      <c r="H51" s="1720">
        <f>$J$6/60</f>
        <v>1.3333333333333333</v>
      </c>
      <c r="I51" s="1719">
        <f t="shared" si="4"/>
        <v>0.53333333333333333</v>
      </c>
      <c r="J51" s="1718">
        <f t="shared" si="5"/>
        <v>9.1810395607843134</v>
      </c>
      <c r="K51" s="1720">
        <f>$M$6/60</f>
        <v>1.6666666666666667</v>
      </c>
      <c r="L51" s="1722">
        <f t="shared" si="6"/>
        <v>0.66666666666666674</v>
      </c>
      <c r="M51" s="1721">
        <f t="shared" si="7"/>
        <v>11.476299450980394</v>
      </c>
      <c r="N51" s="1720">
        <f>$P$6/60</f>
        <v>2</v>
      </c>
      <c r="O51" s="1719">
        <f t="shared" si="8"/>
        <v>0.8</v>
      </c>
      <c r="P51" s="1718">
        <f t="shared" si="9"/>
        <v>13.771559341176472</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v>0</v>
      </c>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4.5333333333333332</v>
      </c>
      <c r="J58" s="1701"/>
      <c r="K58" s="1700"/>
      <c r="L58" s="1699">
        <f>SUM($L$46:$L$57)</f>
        <v>4.666666666666667</v>
      </c>
      <c r="M58" s="1698"/>
      <c r="N58" s="1697"/>
      <c r="O58" s="1696">
        <f>SUM($O$46:$O$57)</f>
        <v>4.8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8.16</v>
      </c>
      <c r="J59" s="1686"/>
      <c r="K59" s="1691"/>
      <c r="L59" s="1690">
        <f>IF(L58+SUM($L$46:$L$57)*$E$59%&gt;L58+10,L58+10,L58+SUM($L$46:$L$57)*$E$59%)</f>
        <v>8.4</v>
      </c>
      <c r="M59" s="1689"/>
      <c r="N59" s="1688"/>
      <c r="O59" s="1687">
        <f>IF(O58+SUM($O$46:$O$57)*$E$59%&gt;O58+10,O58+10,O58+SUM($O$46:$O$57)*$E$59%)</f>
        <v>8.64</v>
      </c>
      <c r="P59" s="1686"/>
      <c r="Q59" s="38"/>
    </row>
    <row r="60" spans="1:17" s="42" customFormat="1" ht="18.75" customHeight="1">
      <c r="A60" s="1306"/>
      <c r="B60" s="1276" t="s">
        <v>1220</v>
      </c>
      <c r="C60" s="1373"/>
      <c r="D60" s="1373"/>
      <c r="E60" s="45"/>
      <c r="F60" s="45"/>
      <c r="G60" s="1685"/>
      <c r="H60" s="1677"/>
      <c r="I60" s="1676"/>
      <c r="J60" s="1684">
        <f>IF(J6=0,0,SUM(I62:I64))</f>
        <v>173.1</v>
      </c>
      <c r="K60" s="1680"/>
      <c r="L60" s="1679"/>
      <c r="M60" s="1617">
        <f>IF(M6=0,0,SUM(L62:L64))</f>
        <v>173.1</v>
      </c>
      <c r="N60" s="1677"/>
      <c r="O60" s="1676"/>
      <c r="P60" s="1684">
        <f>IF(P6=0,0,SUM(O62:O64))</f>
        <v>173.1</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342</v>
      </c>
      <c r="D62" s="4833"/>
      <c r="E62" s="4833"/>
      <c r="F62" s="1674">
        <f>IF($C62=0,0,VLOOKUP($C62,'SDK3'!$C$98:$D$119,2,FALSE))</f>
        <v>173.1</v>
      </c>
      <c r="G62" s="1673">
        <f>(100+$D$61)/100*F62</f>
        <v>173.1</v>
      </c>
      <c r="H62" s="227"/>
      <c r="I62" s="1669">
        <f>$G$62</f>
        <v>173.1</v>
      </c>
      <c r="J62" s="227"/>
      <c r="K62" s="1672"/>
      <c r="L62" s="1671">
        <f>$G$62</f>
        <v>173.1</v>
      </c>
      <c r="M62" s="1589"/>
      <c r="N62" s="1670"/>
      <c r="O62" s="1669">
        <f>$G$62</f>
        <v>173.1</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v>0</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2"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2"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c r="S66" s="1941"/>
      <c r="T66" s="1941"/>
      <c r="U66" s="1941"/>
      <c r="V66" s="1941"/>
    </row>
    <row r="67" spans="1:22" s="708" customFormat="1" ht="22.9" customHeight="1">
      <c r="A67" s="1270"/>
      <c r="B67" s="1276" t="s">
        <v>1218</v>
      </c>
      <c r="C67" s="1270"/>
      <c r="D67" s="1270"/>
      <c r="E67" s="229"/>
      <c r="F67" s="1642"/>
      <c r="G67" s="1620"/>
      <c r="H67" s="1639" t="s">
        <v>1217</v>
      </c>
      <c r="I67" s="1638" t="s">
        <v>1216</v>
      </c>
      <c r="J67" s="1614">
        <f>T68*(H9+H10)*I68%+F68</f>
        <v>440</v>
      </c>
      <c r="K67" s="1641" t="s">
        <v>1217</v>
      </c>
      <c r="L67" s="1640" t="s">
        <v>1216</v>
      </c>
      <c r="M67" s="1617">
        <f>U68*(K9+K10)*L68%+F68</f>
        <v>550</v>
      </c>
      <c r="N67" s="1639" t="s">
        <v>1217</v>
      </c>
      <c r="O67" s="1638" t="s">
        <v>1216</v>
      </c>
      <c r="P67" s="1614">
        <f>V68*(N9+N10)*O68%+F68</f>
        <v>660</v>
      </c>
      <c r="Q67" s="38"/>
      <c r="T67" s="1631"/>
      <c r="U67" s="1631"/>
      <c r="V67" s="1631"/>
    </row>
    <row r="68" spans="1:22" s="708" customFormat="1" ht="15" customHeight="1">
      <c r="A68" s="1270"/>
      <c r="B68" s="1637"/>
      <c r="C68" s="4839" t="s">
        <v>1215</v>
      </c>
      <c r="D68" s="4839"/>
      <c r="E68" s="4839"/>
      <c r="F68" s="1636"/>
      <c r="G68" s="1627" t="s">
        <v>171</v>
      </c>
      <c r="H68" s="1634">
        <v>25</v>
      </c>
      <c r="I68" s="1633">
        <v>100</v>
      </c>
      <c r="J68" s="1632"/>
      <c r="K68" s="1634">
        <v>25</v>
      </c>
      <c r="L68" s="1633">
        <v>100</v>
      </c>
      <c r="M68" s="1635"/>
      <c r="N68" s="1634">
        <v>25</v>
      </c>
      <c r="O68" s="1633">
        <v>100</v>
      </c>
      <c r="P68" s="1632"/>
      <c r="Q68" s="38"/>
      <c r="S68" s="1940"/>
      <c r="T68" s="1631">
        <f>IF($H$68=0,0,VLOOKUP($H$68,'SD6'!H8:I256,'SD6'!$I$1,FALSE))*(1+'SDK1'!O11/100)</f>
        <v>5.5</v>
      </c>
      <c r="U68" s="1631">
        <f>IF($K$68=0,0,VLOOKUP($K$68,'SD6'!H8:I256,'SD6'!$I$1,FALSE))*(1+'SDK1'!O11/100)</f>
        <v>5.5</v>
      </c>
      <c r="V68" s="1631">
        <f>IF($N$68=0,0,VLOOKUP($N$68,'SD6'!H8:I256,'SD6'!$I$1,FALSE))*(1+'SDK1'!O11/100)</f>
        <v>5.5</v>
      </c>
    </row>
    <row r="69" spans="1:22" s="708" customFormat="1" ht="18.75" customHeight="1">
      <c r="A69" s="1270"/>
      <c r="B69" s="1276" t="s">
        <v>1214</v>
      </c>
      <c r="C69" s="1270"/>
      <c r="D69" s="1270"/>
      <c r="E69" s="38"/>
      <c r="F69" s="38"/>
      <c r="G69" s="1620"/>
      <c r="H69" s="44"/>
      <c r="I69" s="73"/>
      <c r="J69" s="1614">
        <f>H70*$F70/1000</f>
        <v>28.940000000000008</v>
      </c>
      <c r="K69" s="1630"/>
      <c r="L69" s="1629"/>
      <c r="M69" s="1617">
        <f>K70*$F70/1000</f>
        <v>36.175000000000004</v>
      </c>
      <c r="N69" s="44"/>
      <c r="O69" s="73"/>
      <c r="P69" s="1614">
        <f>N70*$F70/1000</f>
        <v>43.410000000000011</v>
      </c>
      <c r="Q69" s="38"/>
      <c r="S69" s="1940"/>
      <c r="T69" s="15"/>
      <c r="U69" s="15"/>
      <c r="V69" s="15"/>
    </row>
    <row r="70" spans="1:22" s="708" customFormat="1" ht="15" customHeight="1">
      <c r="A70" s="1270"/>
      <c r="B70" s="1332"/>
      <c r="C70" s="1331" t="s">
        <v>896</v>
      </c>
      <c r="D70" s="353"/>
      <c r="E70" s="280"/>
      <c r="F70" s="1628">
        <f>'SDK7'!G104</f>
        <v>15</v>
      </c>
      <c r="G70" s="1627" t="s">
        <v>171</v>
      </c>
      <c r="H70" s="1623">
        <f>I9+I10</f>
        <v>1929.3333333333337</v>
      </c>
      <c r="I70" s="1622"/>
      <c r="J70" s="1621"/>
      <c r="K70" s="1626">
        <f>L9+L10</f>
        <v>2411.666666666667</v>
      </c>
      <c r="L70" s="1625"/>
      <c r="M70" s="1624"/>
      <c r="N70" s="1623">
        <f>O9+O10</f>
        <v>2894.0000000000005</v>
      </c>
      <c r="O70" s="1622"/>
      <c r="P70" s="1621"/>
      <c r="Q70" s="38"/>
      <c r="S70" s="4091" t="s">
        <v>2189</v>
      </c>
    </row>
    <row r="71" spans="1:22" ht="18.75" customHeight="1">
      <c r="A71" s="377"/>
      <c r="B71" s="311" t="s">
        <v>1213</v>
      </c>
      <c r="C71" s="377"/>
      <c r="D71" s="377"/>
      <c r="E71" s="229"/>
      <c r="G71" s="1620"/>
      <c r="H71" s="1616"/>
      <c r="I71" s="1615"/>
      <c r="J71" s="1614">
        <f>SUM(I73:I74)</f>
        <v>0</v>
      </c>
      <c r="K71" s="1619"/>
      <c r="L71" s="1618"/>
      <c r="M71" s="1617">
        <f>SUM(L73:L74)</f>
        <v>0</v>
      </c>
      <c r="N71" s="1616"/>
      <c r="O71" s="1615"/>
      <c r="P71" s="1614">
        <f>SUM(O73:O74)</f>
        <v>0</v>
      </c>
      <c r="S71" s="1939"/>
      <c r="T71" s="15"/>
      <c r="U71" s="15"/>
      <c r="V71" s="15"/>
    </row>
    <row r="72" spans="1:22"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2"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2"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2"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8.787799795220586</v>
      </c>
      <c r="K75" s="711"/>
      <c r="L75" s="1056"/>
      <c r="M75" s="1578">
        <f>(M23+M27+M34+M43+M60+M65+M67+M69+M71)*('SDK1'!$O$59%*$G$75/12)</f>
        <v>10.002355586200979</v>
      </c>
      <c r="N75" s="1580"/>
      <c r="O75" s="1579"/>
      <c r="P75" s="1578">
        <f>(P23+P27+P34+P43+P60+P65+P67+P69+P71)*('SDK1'!$O$59%*$G$75/12)</f>
        <v>11.216911377181372</v>
      </c>
      <c r="Q75" s="38"/>
    </row>
    <row r="78" spans="1:22">
      <c r="L78" s="15"/>
    </row>
    <row r="79" spans="1:22">
      <c r="L79" s="15"/>
    </row>
    <row r="80" spans="1:22">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D150" s="3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6">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Lohnmaschinen" error="Bitte aus Dropdownliste auswählen." sqref="C64:E64 C63">
      <formula1>$G$91:$G$113</formula1>
    </dataValidation>
    <dataValidation type="decimal" allowBlank="1" showInputMessage="1" showErrorMessage="1" errorTitle="Wassergehalt Körnermais" error="Zulässig sind nur Werte zwischen 15,1 und 28,9 % Wassergehalt." sqref="N68 H68">
      <formula1>15.1</formula1>
      <formula2>39.9</formula2>
    </dataValidation>
    <dataValidation type="decimal" allowBlank="1" showInputMessage="1" showErrorMessage="1" errorTitle="Wassergehalt Körnermais" error="Zulässig sind nur Werte zwischen 15,1 und 39,9 % Wassergehalt." sqref="K68">
      <formula1>15.1</formula1>
      <formula2>39.9</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2" orientation="portrait" r:id="rId1"/>
  <headerFooter alignWithMargins="0">
    <oddFooter>&amp;L&amp;11LEL Schwäbisch Gmünd&amp;C49&amp;R&amp;11&amp;F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'SDK5'!$R$214:$R$313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672.76773272352966</v>
      </c>
      <c r="K1" s="4859">
        <f>M1-J1</f>
        <v>351.71137105161779</v>
      </c>
      <c r="L1" s="4859"/>
      <c r="M1" s="1906">
        <f>(M7+M13+M18+M22+L11+L12)-(M23+M27+M34+M43+M60+M65+M67+M69+M71+M75)</f>
        <v>1024.4791037751475</v>
      </c>
      <c r="N1" s="4859">
        <f>P1-M1</f>
        <v>117.23712368387214</v>
      </c>
      <c r="O1" s="4859"/>
      <c r="P1" s="1906">
        <f>(P7+P13+P18+P22+O11+O12)-(P23+P27+P34+P43+P60+P65+P67+P69+P71+P75)</f>
        <v>1141.7162274590196</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73</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40</v>
      </c>
      <c r="K6" s="4849" t="s">
        <v>152</v>
      </c>
      <c r="L6" s="4850"/>
      <c r="M6" s="1887">
        <v>55</v>
      </c>
      <c r="N6" s="4864" t="s">
        <v>178</v>
      </c>
      <c r="O6" s="4865"/>
      <c r="P6" s="1886">
        <v>60</v>
      </c>
      <c r="Q6" s="70"/>
    </row>
    <row r="7" spans="1:41" s="252" customFormat="1" ht="18.75" customHeight="1">
      <c r="A7" s="47"/>
      <c r="B7" s="311" t="s">
        <v>1258</v>
      </c>
      <c r="C7" s="47"/>
      <c r="D7" s="47"/>
      <c r="E7" s="47"/>
      <c r="F7" s="47"/>
      <c r="G7" s="1884"/>
      <c r="H7" s="1881"/>
      <c r="I7" s="1880"/>
      <c r="J7" s="1614">
        <f>SUM(I9:I10)</f>
        <v>1246.666666666667</v>
      </c>
      <c r="K7" s="1883"/>
      <c r="L7" s="1882"/>
      <c r="M7" s="1617">
        <f>SUM(L9:L10)</f>
        <v>1714.166666666667</v>
      </c>
      <c r="N7" s="1881"/>
      <c r="O7" s="1880"/>
      <c r="P7" s="1614">
        <f>SUM(O9:O10)</f>
        <v>1870.0000000000002</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'SDK1'!O28</f>
        <v>31.166666666666671</v>
      </c>
      <c r="H9" s="1877">
        <f>J6-H10</f>
        <v>40</v>
      </c>
      <c r="I9" s="1873">
        <f>H9*G9</f>
        <v>1246.666666666667</v>
      </c>
      <c r="J9" s="43"/>
      <c r="K9" s="1876">
        <f>M6-K10</f>
        <v>55</v>
      </c>
      <c r="L9" s="1875">
        <f>K9*G9</f>
        <v>1714.166666666667</v>
      </c>
      <c r="M9" s="1854"/>
      <c r="N9" s="1874">
        <f>P6-N10</f>
        <v>60</v>
      </c>
      <c r="O9" s="1873">
        <f>N9*G9</f>
        <v>1870.0000000000002</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262</v>
      </c>
      <c r="K23" s="1619"/>
      <c r="L23" s="1618"/>
      <c r="M23" s="1800">
        <f>SUM(L25:L26)</f>
        <v>262</v>
      </c>
      <c r="N23" s="1616"/>
      <c r="O23" s="1615"/>
      <c r="P23" s="1599">
        <f>SUM(O25:O26)</f>
        <v>262</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'SDK7'!F58/100</f>
        <v>1.31</v>
      </c>
      <c r="G25" s="1794">
        <f>F25*(100+$D$24)/100</f>
        <v>1.31</v>
      </c>
      <c r="H25" s="1793">
        <v>200</v>
      </c>
      <c r="I25" s="1754">
        <f>H25*$G25</f>
        <v>262</v>
      </c>
      <c r="J25" s="45"/>
      <c r="K25" s="1793">
        <f>H25</f>
        <v>200</v>
      </c>
      <c r="L25" s="1596">
        <f>K25*$G25</f>
        <v>262</v>
      </c>
      <c r="M25" s="1589"/>
      <c r="N25" s="1793">
        <f>H25</f>
        <v>200</v>
      </c>
      <c r="O25" s="1754">
        <f>N25*$G25</f>
        <v>262</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242.18133333333327</v>
      </c>
      <c r="K27" s="1748"/>
      <c r="L27" s="1747"/>
      <c r="M27" s="1617">
        <f>SUM(L30:L33)</f>
        <v>320.97433333333328</v>
      </c>
      <c r="N27" s="1746"/>
      <c r="O27" s="1745"/>
      <c r="P27" s="1614">
        <f>SUM(O30:O33)</f>
        <v>347.23866666666663</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2.2599999999999998</v>
      </c>
      <c r="F30" s="1774">
        <f>VLOOKUP(K2,'SD8'!B9:L42,7,FALSE)</f>
        <v>0.40000000000000036</v>
      </c>
      <c r="G30" s="1773">
        <v>20</v>
      </c>
      <c r="H30" s="1771">
        <f>IF(J$6=0,0,(J$6*$E30+$G30+X14))</f>
        <v>110.39999999999999</v>
      </c>
      <c r="I30" s="1754">
        <f>H30*$D30</f>
        <v>177.00799999999995</v>
      </c>
      <c r="J30" s="45"/>
      <c r="K30" s="1772">
        <f>IF(M$6=0,0,(M$6*$E30+$G30+Y14))</f>
        <v>144.29999999999998</v>
      </c>
      <c r="L30" s="1596">
        <f>K30*$D30</f>
        <v>231.36099999999993</v>
      </c>
      <c r="M30" s="1589"/>
      <c r="N30" s="1771">
        <f>IF(P$6=0,0,(P$6*$E30+$G30+Z14))</f>
        <v>155.6</v>
      </c>
      <c r="O30" s="1754">
        <f>N30*$D30</f>
        <v>249.47866666666661</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32</v>
      </c>
      <c r="I31" s="1754">
        <f>H31*$D31</f>
        <v>35.199999999999996</v>
      </c>
      <c r="J31" s="45"/>
      <c r="K31" s="1772">
        <f>IF(M$6=0,0,(M$6*$E31+$G31+Y15))</f>
        <v>44</v>
      </c>
      <c r="L31" s="1596">
        <f>K31*$D31</f>
        <v>48.399999999999991</v>
      </c>
      <c r="M31" s="1589"/>
      <c r="N31" s="1771">
        <f>IF(P$6=0,0,(P$6*$E31+$G31+Z15))</f>
        <v>48</v>
      </c>
      <c r="O31" s="1754">
        <f>N31*$D31</f>
        <v>52.8</v>
      </c>
      <c r="P31" s="1718"/>
      <c r="Q31" s="38"/>
    </row>
    <row r="32" spans="1:26" s="42" customFormat="1" ht="15" customHeight="1">
      <c r="A32" s="1306"/>
      <c r="B32" s="274"/>
      <c r="C32" s="1306" t="s">
        <v>242</v>
      </c>
      <c r="D32" s="1723">
        <f>'SDK1'!O54</f>
        <v>1.02</v>
      </c>
      <c r="E32" s="1774">
        <f>VLOOKUP(K2,'SD8'!B9:L42,5,FALSE)</f>
        <v>0.6</v>
      </c>
      <c r="F32" s="1774">
        <f>VLOOKUP(K2,'SD8'!B9:L42,9,FALSE)</f>
        <v>1.3599999999999999</v>
      </c>
      <c r="G32" s="1773"/>
      <c r="H32" s="1771">
        <f>IF(J$6=0,0,(J$6*$E32+$G32+X16))</f>
        <v>24</v>
      </c>
      <c r="I32" s="1754">
        <f>H32*$D32</f>
        <v>24.48</v>
      </c>
      <c r="J32" s="45"/>
      <c r="K32" s="1772">
        <f>IF(M$6=0,0,(M$6*$E32+$G32+Y16))</f>
        <v>33</v>
      </c>
      <c r="L32" s="1596">
        <f>K32*$D32</f>
        <v>33.660000000000004</v>
      </c>
      <c r="M32" s="1589"/>
      <c r="N32" s="1771">
        <f>IF(P$6=0,0,(P$6*$E32+$G32+Z16))</f>
        <v>36</v>
      </c>
      <c r="O32" s="1754">
        <f>N32*$D32</f>
        <v>36.72</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8</v>
      </c>
      <c r="I33" s="1750">
        <f>H33*$D33</f>
        <v>5.4933333333333341</v>
      </c>
      <c r="J33" s="45"/>
      <c r="K33" s="1768">
        <f>IF(M$6=0,0,(M$6*$E33+$G33+Y17))</f>
        <v>11</v>
      </c>
      <c r="L33" s="1590">
        <f>K33*$D33</f>
        <v>7.5533333333333346</v>
      </c>
      <c r="M33" s="1589"/>
      <c r="N33" s="1767">
        <f>IF(P$6=0,0,(P$6*$E33+$G33+Z17))</f>
        <v>12</v>
      </c>
      <c r="O33" s="1750">
        <f>N33*$D33</f>
        <v>8.240000000000002</v>
      </c>
      <c r="P33" s="1749"/>
      <c r="Q33" s="38"/>
    </row>
    <row r="34" spans="1:17" s="708" customFormat="1" ht="18.75" customHeight="1">
      <c r="A34" s="1270"/>
      <c r="B34" s="1276" t="s">
        <v>1234</v>
      </c>
      <c r="C34" s="1270"/>
      <c r="D34" s="37"/>
      <c r="E34" s="37"/>
      <c r="F34" s="4831" t="s">
        <v>1233</v>
      </c>
      <c r="G34" s="4832"/>
      <c r="H34" s="1764"/>
      <c r="I34" s="1763"/>
      <c r="J34" s="1614">
        <f>SUM(I36:I42)</f>
        <v>121.776</v>
      </c>
      <c r="K34" s="1766"/>
      <c r="L34" s="1765"/>
      <c r="M34" s="1617">
        <f>SUM(L36:L42)</f>
        <v>121.776</v>
      </c>
      <c r="N34" s="1764"/>
      <c r="O34" s="1763"/>
      <c r="P34" s="1614">
        <f>SUM(O36:O42)</f>
        <v>121.776</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2059</v>
      </c>
      <c r="D36" s="4857"/>
      <c r="E36" s="4858"/>
      <c r="F36" s="1756">
        <f>IF(C36="",0,VLOOKUP(C36,'SDK5'!C3:AF83,2,FALSE))</f>
        <v>466.8</v>
      </c>
      <c r="G36" s="1756">
        <f t="shared" ref="G36:G42" si="0">F36*(100+$D$35)/100</f>
        <v>466.8</v>
      </c>
      <c r="H36" s="1755">
        <v>7.0000000000000007E-2</v>
      </c>
      <c r="I36" s="1754">
        <f t="shared" ref="I36:I42" si="1">$G36*H36</f>
        <v>32.676000000000002</v>
      </c>
      <c r="J36" s="45"/>
      <c r="K36" s="1755">
        <v>7.0000000000000007E-2</v>
      </c>
      <c r="L36" s="1596">
        <f t="shared" ref="L36:L42" si="2">$G36*K36</f>
        <v>32.676000000000002</v>
      </c>
      <c r="M36" s="1589"/>
      <c r="N36" s="1755">
        <v>7.0000000000000007E-2</v>
      </c>
      <c r="O36" s="1754">
        <f t="shared" ref="O36:O42" si="3">$G36*N36</f>
        <v>32.676000000000002</v>
      </c>
      <c r="P36" s="1758"/>
      <c r="Q36" s="38"/>
    </row>
    <row r="37" spans="1:17" s="42" customFormat="1" ht="15" customHeight="1">
      <c r="A37" s="1306"/>
      <c r="B37" s="1594"/>
      <c r="C37" s="4855" t="s">
        <v>2065</v>
      </c>
      <c r="D37" s="4855"/>
      <c r="E37" s="4856"/>
      <c r="F37" s="1756">
        <f>IF(C37="",0,VLOOKUP(C37,'SDK5'!C4:AF84,2,FALSE))</f>
        <v>59.4</v>
      </c>
      <c r="G37" s="1756">
        <f t="shared" si="0"/>
        <v>59.4</v>
      </c>
      <c r="H37" s="1755">
        <v>1.5</v>
      </c>
      <c r="I37" s="1754">
        <f t="shared" si="1"/>
        <v>89.1</v>
      </c>
      <c r="J37" s="45"/>
      <c r="K37" s="1755">
        <v>1.5</v>
      </c>
      <c r="L37" s="1596">
        <f t="shared" si="2"/>
        <v>89.1</v>
      </c>
      <c r="M37" s="1589"/>
      <c r="N37" s="1755">
        <v>1.5</v>
      </c>
      <c r="O37" s="1754">
        <f t="shared" si="3"/>
        <v>89.1</v>
      </c>
      <c r="P37" s="1718"/>
      <c r="Q37" s="38"/>
    </row>
    <row r="38" spans="1:17" s="42" customFormat="1" ht="15" customHeight="1">
      <c r="A38" s="1306"/>
      <c r="B38" s="1757"/>
      <c r="C38" s="4855"/>
      <c r="D38" s="4855"/>
      <c r="E38" s="4856"/>
      <c r="F38" s="1756">
        <f>IF(C38="",0,VLOOKUP(C38,'SDK5'!C5:AF85,2,FALSE))</f>
        <v>0</v>
      </c>
      <c r="G38" s="1756"/>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152.9017728627451</v>
      </c>
      <c r="K43" s="1748"/>
      <c r="L43" s="1747"/>
      <c r="M43" s="1617">
        <f>SUM(M46:M57)</f>
        <v>154.62321778039217</v>
      </c>
      <c r="N43" s="1746"/>
      <c r="O43" s="1745"/>
      <c r="P43" s="1614">
        <f>SUM(P46:P57)</f>
        <v>155.1970327529412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444</v>
      </c>
      <c r="D48" s="4836"/>
      <c r="E48" s="1725">
        <f>IF($C48=0,0,VLOOKUP($C48,'SDK3'!$C$24:$O$92,4,FALSE))</f>
        <v>83</v>
      </c>
      <c r="F48" s="1724">
        <f>IF($C48=0,0,VLOOKUP($C48,'SDK3'!$C$24:$O$92,12,FALSE))</f>
        <v>0.27</v>
      </c>
      <c r="G48" s="1723">
        <f>IF($C48=0,0,VLOOKUP($C48,'SDK3'!$C$24:$O$92,13,FALSE))</f>
        <v>5.8379012776470587</v>
      </c>
      <c r="H48" s="1720">
        <v>2</v>
      </c>
      <c r="I48" s="1719">
        <f t="shared" si="4"/>
        <v>0.54</v>
      </c>
      <c r="J48" s="1718">
        <f t="shared" si="5"/>
        <v>11.675802555294117</v>
      </c>
      <c r="K48" s="1720">
        <v>2</v>
      </c>
      <c r="L48" s="1722">
        <f t="shared" si="6"/>
        <v>0.54</v>
      </c>
      <c r="M48" s="1721">
        <f t="shared" si="7"/>
        <v>11.675802555294117</v>
      </c>
      <c r="N48" s="1720">
        <v>2</v>
      </c>
      <c r="O48" s="1719">
        <f t="shared" si="8"/>
        <v>0.54</v>
      </c>
      <c r="P48" s="1718">
        <f t="shared" si="9"/>
        <v>11.675802555294117</v>
      </c>
      <c r="Q48" s="38"/>
    </row>
    <row r="49" spans="1:28" s="42" customFormat="1" ht="15" customHeight="1">
      <c r="A49" s="1306"/>
      <c r="B49" s="1726"/>
      <c r="C49" s="4835" t="s">
        <v>467</v>
      </c>
      <c r="D49" s="4836"/>
      <c r="E49" s="1725">
        <f>IF($C49=0,0,VLOOKUP($C49,'SDK3'!$C$24:$O$92,4,FALSE))</f>
        <v>54</v>
      </c>
      <c r="F49" s="1724">
        <f>IF($C49=0,0,VLOOKUP($C49,'SDK3'!$C$24:$O$92,12,FALSE))</f>
        <v>0.32</v>
      </c>
      <c r="G49" s="1723">
        <f>IF($C49=0,0,VLOOKUP($C49,'SDK3'!$C$24:$O$92,13,FALSE))</f>
        <v>3.6014154164705885</v>
      </c>
      <c r="H49" s="1720">
        <v>3</v>
      </c>
      <c r="I49" s="1719">
        <f t="shared" si="4"/>
        <v>0.96</v>
      </c>
      <c r="J49" s="1718">
        <f t="shared" si="5"/>
        <v>10.804246249411765</v>
      </c>
      <c r="K49" s="1720">
        <v>3</v>
      </c>
      <c r="L49" s="1722">
        <f t="shared" si="6"/>
        <v>0.96</v>
      </c>
      <c r="M49" s="1721">
        <f t="shared" si="7"/>
        <v>10.804246249411765</v>
      </c>
      <c r="N49" s="1720">
        <v>3</v>
      </c>
      <c r="O49" s="1719">
        <f t="shared" si="8"/>
        <v>0.96</v>
      </c>
      <c r="P49" s="1718">
        <f t="shared" si="9"/>
        <v>10.804246249411765</v>
      </c>
      <c r="Q49" s="38"/>
      <c r="AB49" s="4084"/>
    </row>
    <row r="50" spans="1:28" s="42" customFormat="1" ht="15" customHeight="1">
      <c r="A50" s="1306"/>
      <c r="B50" s="1726"/>
      <c r="C50" s="4835" t="s">
        <v>456</v>
      </c>
      <c r="D50" s="4836"/>
      <c r="E50" s="1725">
        <f>IF($C50=0,0,VLOOKUP($C50,'SDK3'!$C$24:$O$92,4,FALSE))</f>
        <v>83</v>
      </c>
      <c r="F50" s="1724">
        <f>IF($C50=0,0,VLOOKUP($C50,'SDK3'!$C$24:$O$92,12,FALSE))</f>
        <v>0.36</v>
      </c>
      <c r="G50" s="1723">
        <f>IF($C50=0,0,VLOOKUP($C50,'SDK3'!$C$24:$O$92,13,FALSE))</f>
        <v>5.7672017035294116</v>
      </c>
      <c r="H50" s="1720">
        <v>2</v>
      </c>
      <c r="I50" s="1719">
        <f t="shared" si="4"/>
        <v>0.72</v>
      </c>
      <c r="J50" s="1718">
        <f t="shared" si="5"/>
        <v>11.534403407058823</v>
      </c>
      <c r="K50" s="1720">
        <v>2</v>
      </c>
      <c r="L50" s="1722">
        <f t="shared" si="6"/>
        <v>0.72</v>
      </c>
      <c r="M50" s="1721">
        <f t="shared" si="7"/>
        <v>11.534403407058823</v>
      </c>
      <c r="N50" s="1720">
        <v>2</v>
      </c>
      <c r="O50" s="1719">
        <f t="shared" si="8"/>
        <v>0.72</v>
      </c>
      <c r="P50" s="1718">
        <f t="shared" si="9"/>
        <v>11.534403407058823</v>
      </c>
      <c r="Q50" s="38"/>
    </row>
    <row r="51" spans="1:28" s="42" customFormat="1" ht="15" customHeight="1">
      <c r="A51" s="1306"/>
      <c r="B51" s="1726"/>
      <c r="C51" s="4835" t="s">
        <v>435</v>
      </c>
      <c r="D51" s="4836"/>
      <c r="E51" s="1725">
        <f>IF($C51=0,0,VLOOKUP($C51,'SDK3'!$C$24:$O$92,4,FALSE))</f>
        <v>83</v>
      </c>
      <c r="F51" s="1724">
        <f>IF($C51=0,0,VLOOKUP($C51,'SDK3'!$C$24:$O$92,12,FALSE))</f>
        <v>0.4</v>
      </c>
      <c r="G51" s="1723">
        <f>IF($C51=0,0,VLOOKUP($C51,'SDK3'!$C$24:$O$92,13,FALSE))</f>
        <v>6.8857796705882359</v>
      </c>
      <c r="H51" s="1720">
        <v>0.66666666666666663</v>
      </c>
      <c r="I51" s="1719">
        <f t="shared" si="4"/>
        <v>0.26666666666666666</v>
      </c>
      <c r="J51" s="1718">
        <f t="shared" si="5"/>
        <v>4.5905197803921567</v>
      </c>
      <c r="K51" s="1720">
        <v>0.91666666666666663</v>
      </c>
      <c r="L51" s="1722">
        <f t="shared" si="6"/>
        <v>0.3666666666666667</v>
      </c>
      <c r="M51" s="1721">
        <f t="shared" si="7"/>
        <v>6.3119646980392163</v>
      </c>
      <c r="N51" s="1720">
        <v>1</v>
      </c>
      <c r="O51" s="1719">
        <f t="shared" si="8"/>
        <v>0.4</v>
      </c>
      <c r="P51" s="1718">
        <f t="shared" si="9"/>
        <v>6.8857796705882359</v>
      </c>
      <c r="Q51" s="38"/>
    </row>
    <row r="52" spans="1:28" s="42" customFormat="1" ht="15" customHeight="1">
      <c r="A52" s="1306"/>
      <c r="B52" s="1726"/>
      <c r="C52" s="4835" t="s">
        <v>512</v>
      </c>
      <c r="D52" s="4836"/>
      <c r="E52" s="1725">
        <f>IF($C52=0,0,VLOOKUP($C52,'SDK3'!$C$24:$O$92,4,FALSE))</f>
        <v>102</v>
      </c>
      <c r="F52" s="1724">
        <f>IF($C52=0,0,VLOOKUP($C52,'SDK3'!$C$24:$O$92,12,FALSE))</f>
        <v>0.93</v>
      </c>
      <c r="G52" s="1723">
        <f>IF($C52=0,0,VLOOKUP($C52,'SDK3'!$C$24:$O$92,13,FALSE))</f>
        <v>23.733808400000004</v>
      </c>
      <c r="H52" s="1720">
        <v>1</v>
      </c>
      <c r="I52" s="1719">
        <f t="shared" si="4"/>
        <v>0.93</v>
      </c>
      <c r="J52" s="1718">
        <f t="shared" si="5"/>
        <v>23.733808400000004</v>
      </c>
      <c r="K52" s="1720">
        <v>1</v>
      </c>
      <c r="L52" s="1722">
        <f t="shared" si="6"/>
        <v>0.93</v>
      </c>
      <c r="M52" s="1721">
        <f t="shared" si="7"/>
        <v>23.733808400000004</v>
      </c>
      <c r="N52" s="1720">
        <v>1</v>
      </c>
      <c r="O52" s="1719">
        <f t="shared" si="8"/>
        <v>0.93</v>
      </c>
      <c r="P52" s="1718">
        <f t="shared" si="9"/>
        <v>23.733808400000004</v>
      </c>
      <c r="Q52" s="38"/>
    </row>
    <row r="53" spans="1:28"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28"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28"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28"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28"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28" s="65" customFormat="1" ht="18.75" customHeight="1">
      <c r="A58" s="1373"/>
      <c r="B58" s="1276" t="s">
        <v>1223</v>
      </c>
      <c r="C58" s="1373"/>
      <c r="D58" s="1373"/>
      <c r="E58" s="1373"/>
      <c r="F58" s="38"/>
      <c r="G58" s="1620"/>
      <c r="H58" s="1697"/>
      <c r="I58" s="1696">
        <f>SUM($I$46:$I$57)</f>
        <v>5.9066666666666663</v>
      </c>
      <c r="J58" s="1701"/>
      <c r="K58" s="1700"/>
      <c r="L58" s="1699">
        <f>SUM($L$46:$L$57)</f>
        <v>6.0066666666666659</v>
      </c>
      <c r="M58" s="1698"/>
      <c r="N58" s="1697"/>
      <c r="O58" s="1696">
        <f>SUM($O$46:$O$57)</f>
        <v>6.04</v>
      </c>
      <c r="P58" s="1695"/>
      <c r="Q58" s="38"/>
    </row>
    <row r="59" spans="1:28" s="65" customFormat="1" ht="15" customHeight="1">
      <c r="A59" s="1373"/>
      <c r="B59" s="1694"/>
      <c r="C59" s="353"/>
      <c r="D59" s="280" t="s">
        <v>1222</v>
      </c>
      <c r="E59" s="1693">
        <v>80</v>
      </c>
      <c r="F59" s="353" t="s">
        <v>1221</v>
      </c>
      <c r="G59" s="1692"/>
      <c r="H59" s="1688"/>
      <c r="I59" s="1687">
        <f>IF(I58+SUM($I$46:$I$57)*$E$59%&gt;I58+10,I58+10,I58+SUM($I$46:$I$57)*$E$59%)</f>
        <v>10.632</v>
      </c>
      <c r="J59" s="1686"/>
      <c r="K59" s="1691"/>
      <c r="L59" s="1690">
        <f>IF(L58+SUM($L$46:$L$57)*$E$59%&gt;L58+10,L58+10,L58+SUM($L$46:$L$57)*$E$59%)</f>
        <v>10.811999999999999</v>
      </c>
      <c r="M59" s="1689"/>
      <c r="N59" s="1688"/>
      <c r="O59" s="1687">
        <f>IF(O58+SUM($O$46:$O$57)*$E$59%&gt;O58+10,O58+10,O58+SUM($O$46:$O$57)*$E$59%)</f>
        <v>10.872</v>
      </c>
      <c r="P59" s="1686"/>
      <c r="Q59" s="38"/>
    </row>
    <row r="60" spans="1:28"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28"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28"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28"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28"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72.2</v>
      </c>
      <c r="K67" s="1641" t="s">
        <v>1217</v>
      </c>
      <c r="L67" s="1640" t="s">
        <v>1216</v>
      </c>
      <c r="M67" s="1617">
        <f>S68*(K9+K10)*L68%+F68</f>
        <v>99.275000000000006</v>
      </c>
      <c r="N67" s="1639" t="s">
        <v>1217</v>
      </c>
      <c r="O67" s="1638" t="s">
        <v>1216</v>
      </c>
      <c r="P67" s="1614">
        <f>T68*(N9+N10)*O68%+F68</f>
        <v>108.30000000000001</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19.946666666666673</v>
      </c>
      <c r="K69" s="1630"/>
      <c r="L69" s="1629"/>
      <c r="M69" s="1617">
        <f>K70*$F70/1000</f>
        <v>27.426666666666673</v>
      </c>
      <c r="N69" s="44"/>
      <c r="O69" s="73"/>
      <c r="P69" s="1614">
        <f>N70*$F70/1000</f>
        <v>29.920000000000005</v>
      </c>
      <c r="Q69" s="38"/>
    </row>
    <row r="70" spans="1:20" s="708" customFormat="1" ht="15" customHeight="1">
      <c r="A70" s="1270"/>
      <c r="B70" s="1332"/>
      <c r="C70" s="1331" t="s">
        <v>896</v>
      </c>
      <c r="D70" s="353"/>
      <c r="E70" s="280"/>
      <c r="F70" s="1628">
        <f>'SDK7'!G103</f>
        <v>16</v>
      </c>
      <c r="G70" s="1627" t="s">
        <v>171</v>
      </c>
      <c r="H70" s="1623">
        <f>I9+I10</f>
        <v>1246.666666666667</v>
      </c>
      <c r="I70" s="1622"/>
      <c r="J70" s="1621"/>
      <c r="K70" s="1626">
        <f>L9+L10</f>
        <v>1714.166666666667</v>
      </c>
      <c r="L70" s="1625"/>
      <c r="M70" s="1624"/>
      <c r="N70" s="1623">
        <f>O9+O10</f>
        <v>1870.0000000000002</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6.393161080392157</v>
      </c>
      <c r="K75" s="711"/>
      <c r="L75" s="1056"/>
      <c r="M75" s="1578">
        <f>(M23+M27+M34+M43+M60+M65+M67+M69+M71)*('SDK1'!$O$59%*$G$75/12)</f>
        <v>7.1123451111274498</v>
      </c>
      <c r="N75" s="1580"/>
      <c r="O75" s="1579"/>
      <c r="P75" s="1578">
        <f>(P23+P27+P34+P43+P60+P65+P67+P69+P71)*('SDK1'!$O$59%*$G$75/12)</f>
        <v>7.3520731213725492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0" orientation="portrait" r:id="rId1"/>
  <headerFooter alignWithMargins="0">
    <oddFooter>&amp;L&amp;11LEL Schwäbisch Gmünd&amp;C47&amp;R&amp;11&amp;F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'SDK5'!$O$214:$O$313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29" width="21.5" style="35" hidden="1" customWidth="1"/>
    <col min="30" max="32" width="0" style="35" hidden="1" customWidth="1"/>
    <col min="33" max="16384" width="10.5" style="35"/>
  </cols>
  <sheetData>
    <row r="1" spans="1:41" s="1891" customFormat="1" ht="30.4" customHeight="1">
      <c r="A1" s="1895"/>
      <c r="B1" s="326"/>
      <c r="C1" s="1908"/>
      <c r="D1" s="1827"/>
      <c r="E1" s="323"/>
      <c r="F1" s="323"/>
      <c r="G1" s="607"/>
      <c r="H1" s="1902"/>
      <c r="I1" s="1907" t="s">
        <v>1264</v>
      </c>
      <c r="J1" s="1906">
        <f>(J7+J13+J18+J22+I11+I12)-(J23+J27+J34+J43+J60+J65+J67+J69+J71+J75)</f>
        <v>259.03805564368849</v>
      </c>
      <c r="K1" s="4859">
        <f>M1-J1</f>
        <v>34.691520167882345</v>
      </c>
      <c r="L1" s="4859"/>
      <c r="M1" s="1906">
        <f>(M7+M13+M18+M22+L11+L12)-(M23+M27+M34+M43+M60+M65+M67+M69+M71+M75)</f>
        <v>293.72957581157084</v>
      </c>
      <c r="N1" s="4859">
        <f>P1-M1</f>
        <v>34.691520167882345</v>
      </c>
      <c r="O1" s="4859"/>
      <c r="P1" s="1906">
        <f>(P7+P13+P18+P22+O11+O12)-(P23+P27+P34+P43+P60+P65+P67+P69+P71+P75)</f>
        <v>328.42109597945318</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1272</v>
      </c>
      <c r="L2" s="4870"/>
      <c r="M2" s="4870"/>
      <c r="N2" s="4870"/>
      <c r="O2" s="4870"/>
      <c r="P2" s="4870"/>
      <c r="Q2" s="1920">
        <v>0</v>
      </c>
    </row>
    <row r="3" spans="1:41" s="1891" customFormat="1" ht="21.75" customHeight="1">
      <c r="A3" s="1895"/>
      <c r="B3" s="1919"/>
      <c r="H3" s="1902"/>
      <c r="J3" s="4866"/>
      <c r="K3" s="4867"/>
      <c r="L3" s="4867"/>
      <c r="M3" s="1943"/>
      <c r="N3" s="4871"/>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80</v>
      </c>
      <c r="K6" s="4849" t="s">
        <v>152</v>
      </c>
      <c r="L6" s="4850"/>
      <c r="M6" s="1887">
        <v>90</v>
      </c>
      <c r="N6" s="4864" t="s">
        <v>178</v>
      </c>
      <c r="O6" s="4865"/>
      <c r="P6" s="1886">
        <v>100</v>
      </c>
      <c r="Q6" s="70"/>
    </row>
    <row r="7" spans="1:41" s="252" customFormat="1" ht="18.75" customHeight="1">
      <c r="A7" s="47"/>
      <c r="B7" s="311" t="s">
        <v>1258</v>
      </c>
      <c r="C7" s="47"/>
      <c r="D7" s="47"/>
      <c r="E7" s="47"/>
      <c r="F7" s="47"/>
      <c r="G7" s="1884"/>
      <c r="H7" s="1881"/>
      <c r="I7" s="1880"/>
      <c r="J7" s="1614">
        <f>SUM(I9:I10)</f>
        <v>1364</v>
      </c>
      <c r="K7" s="1883"/>
      <c r="L7" s="1882"/>
      <c r="M7" s="1617">
        <f>SUM(L9:L10)</f>
        <v>1534.5</v>
      </c>
      <c r="N7" s="1881"/>
      <c r="O7" s="1880"/>
      <c r="P7" s="1614">
        <f>SUM(O9:O10)</f>
        <v>1705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'SDK1'!O30</f>
        <v>17.05</v>
      </c>
      <c r="H9" s="1877">
        <f>J6-H10</f>
        <v>80</v>
      </c>
      <c r="I9" s="1873">
        <f>H9*G9</f>
        <v>1364</v>
      </c>
      <c r="J9" s="43"/>
      <c r="K9" s="1876">
        <f>M6-K10</f>
        <v>90</v>
      </c>
      <c r="L9" s="1875">
        <f>K9*G9</f>
        <v>1534.5</v>
      </c>
      <c r="M9" s="1854"/>
      <c r="N9" s="1874">
        <f>P6-N10</f>
        <v>100</v>
      </c>
      <c r="O9" s="1873">
        <f>N9*G9</f>
        <v>1705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125</v>
      </c>
      <c r="K23" s="1619"/>
      <c r="L23" s="1618"/>
      <c r="M23" s="1800">
        <f>SUM(L25:L26)</f>
        <v>125</v>
      </c>
      <c r="N23" s="1616"/>
      <c r="O23" s="1615"/>
      <c r="P23" s="1599">
        <f>SUM(O25:O26)</f>
        <v>125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'SDK7'!F60</f>
        <v>125</v>
      </c>
      <c r="G25" s="1794">
        <f>F25*(100+$D$24)/100</f>
        <v>125</v>
      </c>
      <c r="H25" s="1946">
        <v>1</v>
      </c>
      <c r="I25" s="1754">
        <f>H25*$G25</f>
        <v>125</v>
      </c>
      <c r="J25" s="45"/>
      <c r="K25" s="1946">
        <f>H25</f>
        <v>1</v>
      </c>
      <c r="L25" s="1596">
        <f>K25*$G25</f>
        <v>125</v>
      </c>
      <c r="M25" s="1589"/>
      <c r="N25" s="1946">
        <f>H25</f>
        <v>1</v>
      </c>
      <c r="O25" s="1754">
        <f>N25*$G25</f>
        <v>125</v>
      </c>
      <c r="P25" s="1718"/>
      <c r="Q25" s="38"/>
    </row>
    <row r="26" spans="1:26" s="42" customFormat="1" ht="15" customHeight="1">
      <c r="A26" s="1306"/>
      <c r="B26" s="1332"/>
      <c r="C26" s="1792"/>
      <c r="D26" s="4853"/>
      <c r="E26" s="4854"/>
      <c r="F26" s="1791"/>
      <c r="G26" s="1790">
        <f>F26*(100+$D$24)/100</f>
        <v>0</v>
      </c>
      <c r="H26" s="1945"/>
      <c r="I26" s="1750">
        <f>H26*$G26</f>
        <v>0</v>
      </c>
      <c r="J26" s="45"/>
      <c r="K26" s="1945">
        <f>H26</f>
        <v>0</v>
      </c>
      <c r="L26" s="1590">
        <f>K26*$G26</f>
        <v>0</v>
      </c>
      <c r="M26" s="1589"/>
      <c r="N26" s="1945">
        <f>H26</f>
        <v>0</v>
      </c>
      <c r="O26" s="1750">
        <f>N26*$G26</f>
        <v>0</v>
      </c>
      <c r="P26" s="1749"/>
      <c r="Q26" s="38"/>
    </row>
    <row r="27" spans="1:26" s="708" customFormat="1" ht="18.75" customHeight="1">
      <c r="A27" s="1270"/>
      <c r="B27" s="1788" t="s">
        <v>1240</v>
      </c>
      <c r="C27" s="1270"/>
      <c r="D27" s="73"/>
      <c r="E27" s="38"/>
      <c r="F27" s="38"/>
      <c r="G27" s="1787"/>
      <c r="H27" s="1746"/>
      <c r="I27" s="1745"/>
      <c r="J27" s="1614">
        <f>SUM(I30:I33)</f>
        <v>417.02933333333328</v>
      </c>
      <c r="K27" s="1748"/>
      <c r="L27" s="1747"/>
      <c r="M27" s="1617">
        <f>SUM(L30:L33)</f>
        <v>465.14966666666658</v>
      </c>
      <c r="N27" s="1746"/>
      <c r="O27" s="1745"/>
      <c r="P27" s="1614">
        <f>SUM(O30:O33)</f>
        <v>513.26999999999987</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2.0699999999999998</v>
      </c>
      <c r="F30" s="1774">
        <f>VLOOKUP(K2,'SD8'!B9:L42,7,FALSE)</f>
        <v>0.11000000000000032</v>
      </c>
      <c r="G30" s="1773">
        <v>20</v>
      </c>
      <c r="H30" s="1771">
        <f>IF(J$6=0,0,(J$6*$E30+$G30+X14))</f>
        <v>185.6</v>
      </c>
      <c r="I30" s="1754">
        <f>H30*$D30</f>
        <v>297.57866666666661</v>
      </c>
      <c r="J30" s="45"/>
      <c r="K30" s="1772">
        <f>IF(M$6=0,0,(M$6*$E30+$G30+Y14))</f>
        <v>206.29999999999998</v>
      </c>
      <c r="L30" s="1596">
        <f>K30*$D30</f>
        <v>330.76766666666657</v>
      </c>
      <c r="M30" s="1589"/>
      <c r="N30" s="1771">
        <f>IF(P$6=0,0,(P$6*$E30+$G30+Z14))</f>
        <v>226.99999999999997</v>
      </c>
      <c r="O30" s="1754">
        <f>N30*$D30</f>
        <v>363.95666666666654</v>
      </c>
      <c r="P30" s="1718"/>
      <c r="Q30" s="38"/>
      <c r="R30" s="42" t="s">
        <v>1271</v>
      </c>
    </row>
    <row r="31" spans="1:26" s="42" customFormat="1" ht="15" customHeight="1">
      <c r="A31" s="1306"/>
      <c r="B31" s="274"/>
      <c r="C31" s="1306" t="s">
        <v>244</v>
      </c>
      <c r="D31" s="1723">
        <f>'SDK1'!O53</f>
        <v>1.0999999999999999</v>
      </c>
      <c r="E31" s="1774">
        <f>VLOOKUP(K2,'SD8'!B9:L42,4,FALSE)</f>
        <v>0.75</v>
      </c>
      <c r="F31" s="1774">
        <f>VLOOKUP(K2,'SD8'!B9:L42,8,FALSE)</f>
        <v>0.29000000000000004</v>
      </c>
      <c r="G31" s="1773"/>
      <c r="H31" s="1771">
        <f>IF(J$6=0,0,(J$6*$E31+$G31+X15))</f>
        <v>60</v>
      </c>
      <c r="I31" s="1754">
        <f>H31*$D31</f>
        <v>65.999999999999986</v>
      </c>
      <c r="J31" s="45"/>
      <c r="K31" s="1772">
        <f>IF(M$6=0,0,(M$6*$E31+$G31+Y15))</f>
        <v>67.5</v>
      </c>
      <c r="L31" s="1596">
        <f>K31*$D31</f>
        <v>74.249999999999986</v>
      </c>
      <c r="M31" s="1589"/>
      <c r="N31" s="1771">
        <f>IF(P$6=0,0,(P$6*$E31+$G31+Z15))</f>
        <v>75</v>
      </c>
      <c r="O31" s="1754">
        <f>N31*$D31</f>
        <v>82.499999999999986</v>
      </c>
      <c r="P31" s="1718"/>
      <c r="Q31" s="38"/>
    </row>
    <row r="32" spans="1:26" s="42" customFormat="1" ht="15" customHeight="1">
      <c r="A32" s="1306"/>
      <c r="B32" s="274"/>
      <c r="C32" s="1306" t="s">
        <v>242</v>
      </c>
      <c r="D32" s="1723">
        <f>'SDK1'!O54</f>
        <v>1.02</v>
      </c>
      <c r="E32" s="1774">
        <f>VLOOKUP(K2,'SD8'!B9:L42,5,FALSE)</f>
        <v>0.48</v>
      </c>
      <c r="F32" s="1774">
        <f>VLOOKUP(K2,'SD8'!B9:L42,9,FALSE)</f>
        <v>2.09</v>
      </c>
      <c r="G32" s="1773"/>
      <c r="H32" s="1771">
        <f>IF(J$6=0,0,(J$6*$E32+$G32+X16))</f>
        <v>38.4</v>
      </c>
      <c r="I32" s="1754">
        <f>H32*$D32</f>
        <v>39.167999999999999</v>
      </c>
      <c r="J32" s="45"/>
      <c r="K32" s="1772">
        <f>IF(M$6=0,0,(M$6*$E32+$G32+Y16))</f>
        <v>43.199999999999996</v>
      </c>
      <c r="L32" s="1596">
        <f>K32*$D32</f>
        <v>44.063999999999993</v>
      </c>
      <c r="M32" s="1589"/>
      <c r="N32" s="1771">
        <f>IF(P$6=0,0,(P$6*$E32+$G32+Z16))</f>
        <v>48</v>
      </c>
      <c r="O32" s="1754">
        <f>N32*$D32</f>
        <v>48.96</v>
      </c>
      <c r="P32" s="1718"/>
      <c r="Q32" s="38"/>
    </row>
    <row r="33" spans="1:34" s="42" customFormat="1" ht="15" customHeight="1">
      <c r="A33" s="1306"/>
      <c r="B33" s="239"/>
      <c r="C33" s="1331" t="s">
        <v>240</v>
      </c>
      <c r="D33" s="1706">
        <f>'SDK1'!O55</f>
        <v>0.68666666666666676</v>
      </c>
      <c r="E33" s="1770">
        <f>VLOOKUP(K2,'SD8'!B9:L42,6,FALSE)</f>
        <v>0.26</v>
      </c>
      <c r="F33" s="1770">
        <f>VLOOKUP(K2,'SD8'!B9:L42,10,FALSE)</f>
        <v>0.29000000000000004</v>
      </c>
      <c r="G33" s="1769"/>
      <c r="H33" s="1767">
        <f>IF(J$6=0,0,(J$6*$E33+$G33+X17))</f>
        <v>20.8</v>
      </c>
      <c r="I33" s="1750">
        <f>H33*$D33</f>
        <v>14.282666666666669</v>
      </c>
      <c r="J33" s="45"/>
      <c r="K33" s="1768">
        <f>IF(M$6=0,0,(M$6*$E33+$G33+Y17))</f>
        <v>23.400000000000002</v>
      </c>
      <c r="L33" s="1590">
        <f>K33*$D33</f>
        <v>16.068000000000005</v>
      </c>
      <c r="M33" s="1589"/>
      <c r="N33" s="1767">
        <f>IF(P$6=0,0,(P$6*$E33+$G33+Z17))</f>
        <v>26</v>
      </c>
      <c r="O33" s="1750">
        <f>N33*$D33</f>
        <v>17.853333333333335</v>
      </c>
      <c r="P33" s="1749"/>
      <c r="Q33" s="38"/>
    </row>
    <row r="34" spans="1:34" s="708" customFormat="1" ht="18.75" customHeight="1">
      <c r="A34" s="1270"/>
      <c r="B34" s="1276" t="s">
        <v>1234</v>
      </c>
      <c r="C34" s="1270"/>
      <c r="D34" s="37"/>
      <c r="E34" s="37"/>
      <c r="F34" s="4831" t="s">
        <v>1233</v>
      </c>
      <c r="G34" s="4832"/>
      <c r="H34" s="1764"/>
      <c r="I34" s="1763"/>
      <c r="J34" s="1614">
        <f>SUM(I36:I42)</f>
        <v>33.549999999999997</v>
      </c>
      <c r="K34" s="1766"/>
      <c r="L34" s="1765"/>
      <c r="M34" s="1617">
        <f>SUM(L36:L42)</f>
        <v>33.549999999999997</v>
      </c>
      <c r="N34" s="1764"/>
      <c r="O34" s="1763"/>
      <c r="P34" s="1614">
        <f>SUM(O36:O42)</f>
        <v>33.549999999999997</v>
      </c>
      <c r="Q34" s="38"/>
    </row>
    <row r="35" spans="1:34"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34" s="42" customFormat="1" ht="15" customHeight="1">
      <c r="A36" s="1306"/>
      <c r="B36" s="1594"/>
      <c r="C36" s="4857" t="s">
        <v>368</v>
      </c>
      <c r="D36" s="4857"/>
      <c r="E36" s="4858"/>
      <c r="F36" s="1756">
        <f>IF(C36="",0,VLOOKUP(C36,'SDK5'!C3:AF83,2,FALSE))</f>
        <v>0</v>
      </c>
      <c r="G36" s="1756">
        <f t="shared" ref="G36:G42" si="0">F36*(100+$D$35)/100</f>
        <v>0</v>
      </c>
      <c r="H36" s="1755"/>
      <c r="I36" s="1754">
        <f t="shared" ref="I36:I42" si="1">$G36*H36</f>
        <v>0</v>
      </c>
      <c r="J36" s="45"/>
      <c r="K36" s="1755"/>
      <c r="L36" s="1596">
        <f t="shared" ref="L36:L42" si="2">$G36*K36</f>
        <v>0</v>
      </c>
      <c r="M36" s="1589"/>
      <c r="N36" s="1755"/>
      <c r="O36" s="1754">
        <f t="shared" ref="O36:O42" si="3">$G36*N36</f>
        <v>0</v>
      </c>
      <c r="P36" s="1758"/>
      <c r="Q36" s="38"/>
    </row>
    <row r="37" spans="1:34" s="42" customFormat="1" ht="15" customHeight="1">
      <c r="A37" s="1306"/>
      <c r="B37" s="1594"/>
      <c r="C37" s="4855" t="s">
        <v>681</v>
      </c>
      <c r="D37" s="4855"/>
      <c r="E37" s="4856"/>
      <c r="F37" s="1756">
        <f>IF(C37="",0,VLOOKUP(C37,'SDK5'!C4:AF84,2,FALSE))</f>
        <v>67.099999999999994</v>
      </c>
      <c r="G37" s="1756">
        <f t="shared" si="0"/>
        <v>67.099999999999994</v>
      </c>
      <c r="H37" s="1755">
        <v>0.5</v>
      </c>
      <c r="I37" s="1754">
        <f t="shared" si="1"/>
        <v>33.549999999999997</v>
      </c>
      <c r="J37" s="45"/>
      <c r="K37" s="1755">
        <v>0.5</v>
      </c>
      <c r="L37" s="1596">
        <f t="shared" si="2"/>
        <v>33.549999999999997</v>
      </c>
      <c r="M37" s="1589"/>
      <c r="N37" s="1755">
        <v>0.5</v>
      </c>
      <c r="O37" s="1754">
        <f t="shared" si="3"/>
        <v>33.549999999999997</v>
      </c>
      <c r="P37" s="1718"/>
      <c r="Q37" s="38"/>
    </row>
    <row r="38" spans="1:34"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34"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34"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34"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34"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34" s="708" customFormat="1" ht="18.75" customHeight="1">
      <c r="A43" s="1270"/>
      <c r="B43" s="1276" t="s">
        <v>1231</v>
      </c>
      <c r="C43" s="1270"/>
      <c r="D43" s="1270"/>
      <c r="E43" s="1270"/>
      <c r="F43" s="1270"/>
      <c r="G43" s="1620"/>
      <c r="H43" s="1746"/>
      <c r="I43" s="1745"/>
      <c r="J43" s="1614">
        <f>SUM(J46:J57)</f>
        <v>136.44787296784315</v>
      </c>
      <c r="K43" s="1748"/>
      <c r="L43" s="1747"/>
      <c r="M43" s="1617">
        <f>SUM(M46:M57)</f>
        <v>137.59550291294119</v>
      </c>
      <c r="N43" s="1746"/>
      <c r="O43" s="1745"/>
      <c r="P43" s="1614">
        <f>SUM(P46:P57)</f>
        <v>138.74313285803922</v>
      </c>
      <c r="Q43" s="38"/>
    </row>
    <row r="44" spans="1:34"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34"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34"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34"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34"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2</v>
      </c>
      <c r="O48" s="1719">
        <f t="shared" si="8"/>
        <v>0.64</v>
      </c>
      <c r="P48" s="1718">
        <f t="shared" si="9"/>
        <v>7.202830832941177</v>
      </c>
      <c r="Q48" s="38"/>
      <c r="AH48" s="4084"/>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1</v>
      </c>
      <c r="O49" s="1719">
        <f t="shared" si="8"/>
        <v>0.36</v>
      </c>
      <c r="P49" s="1718">
        <f t="shared" si="9"/>
        <v>5.7672017035294116</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1.3333333333333333</v>
      </c>
      <c r="I50" s="1719">
        <f t="shared" si="4"/>
        <v>0.53333333333333333</v>
      </c>
      <c r="J50" s="1718">
        <f t="shared" si="5"/>
        <v>9.1810395607843134</v>
      </c>
      <c r="K50" s="1720">
        <f>$M$6/60</f>
        <v>1.5</v>
      </c>
      <c r="L50" s="1722">
        <f t="shared" si="6"/>
        <v>0.60000000000000009</v>
      </c>
      <c r="M50" s="1721">
        <f t="shared" si="7"/>
        <v>10.328669505882354</v>
      </c>
      <c r="N50" s="1720">
        <f>$P$6/60</f>
        <v>1.6666666666666667</v>
      </c>
      <c r="O50" s="1719">
        <f t="shared" si="8"/>
        <v>0.66666666666666674</v>
      </c>
      <c r="P50" s="1718">
        <f t="shared" si="9"/>
        <v>11.476299450980394</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v>0</v>
      </c>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4.9533333333333331</v>
      </c>
      <c r="J58" s="1701"/>
      <c r="K58" s="1700"/>
      <c r="L58" s="1699">
        <f>SUM($L$46:$L$57)</f>
        <v>5.0199999999999996</v>
      </c>
      <c r="M58" s="1698"/>
      <c r="N58" s="1697"/>
      <c r="O58" s="1696">
        <f>SUM($O$46:$O$57)</f>
        <v>5.0866666666666669</v>
      </c>
      <c r="P58" s="1695"/>
      <c r="Q58" s="38"/>
    </row>
    <row r="59" spans="1:17" s="65" customFormat="1" ht="15" customHeight="1">
      <c r="A59" s="1373"/>
      <c r="B59" s="1694"/>
      <c r="C59" s="353"/>
      <c r="D59" s="280" t="s">
        <v>1222</v>
      </c>
      <c r="E59" s="1693">
        <v>80</v>
      </c>
      <c r="F59" s="353" t="s">
        <v>1221</v>
      </c>
      <c r="G59" s="1692"/>
      <c r="H59" s="1688"/>
      <c r="I59" s="1687">
        <f>IF(I58+SUM($I$46:$I$57)*$E$59%&gt;I58+10,I58+10,I58+SUM($I$46:$I$57)*$E$59%)</f>
        <v>8.9160000000000004</v>
      </c>
      <c r="J59" s="1686"/>
      <c r="K59" s="1691"/>
      <c r="L59" s="1690">
        <f>IF(L58+SUM($L$46:$L$57)*$E$59%&gt;L58+10,L58+10,L58+SUM($L$46:$L$57)*$E$59%)</f>
        <v>9.0359999999999996</v>
      </c>
      <c r="M59" s="1689"/>
      <c r="N59" s="1688"/>
      <c r="O59" s="1687">
        <f>IF(O58+SUM($O$46:$O$57)*$E$59%&gt;O58+10,O58+10,O58+SUM($O$46:$O$57)*$E$59%)</f>
        <v>9.1560000000000006</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v>0</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648.79999999999995</v>
      </c>
      <c r="K67" s="1641" t="s">
        <v>1217</v>
      </c>
      <c r="L67" s="1640" t="s">
        <v>1216</v>
      </c>
      <c r="M67" s="1617">
        <f>S68*(K9+K10)*L68%+F68</f>
        <v>729.9</v>
      </c>
      <c r="N67" s="1639" t="s">
        <v>1217</v>
      </c>
      <c r="O67" s="1638" t="s">
        <v>1216</v>
      </c>
      <c r="P67" s="1614">
        <f>T68*(N9+N10)*O68%+F68</f>
        <v>811</v>
      </c>
      <c r="Q67" s="38"/>
    </row>
    <row r="68" spans="1:20" s="708" customFormat="1" ht="15" customHeight="1">
      <c r="A68" s="1270"/>
      <c r="B68" s="1637"/>
      <c r="C68" s="4839" t="s">
        <v>1215</v>
      </c>
      <c r="D68" s="4839"/>
      <c r="E68" s="4839"/>
      <c r="F68" s="1636"/>
      <c r="G68" s="1627" t="s">
        <v>171</v>
      </c>
      <c r="H68" s="1634">
        <v>21</v>
      </c>
      <c r="I68" s="1633">
        <v>100</v>
      </c>
      <c r="J68" s="1632"/>
      <c r="K68" s="1634">
        <v>21</v>
      </c>
      <c r="L68" s="1633">
        <v>100</v>
      </c>
      <c r="M68" s="1635"/>
      <c r="N68" s="1634">
        <v>21</v>
      </c>
      <c r="O68" s="1633">
        <v>100</v>
      </c>
      <c r="P68" s="1632"/>
      <c r="Q68" s="38"/>
      <c r="R68" s="1944">
        <f>IF($H$68=0,0,VLOOKUP($H$68,'SD6'!B8:C101,2,FALSE))*(1+'SDK1'!O11/100)</f>
        <v>8.11</v>
      </c>
      <c r="S68" s="1944">
        <f>IF($H$68=0,0,VLOOKUP($K$68,'SD6'!B8:C101,2,FALSE))*(1+'SDK1'!P11/100)</f>
        <v>8.11</v>
      </c>
      <c r="T68" s="1944">
        <f>IF($H$68=0,0,VLOOKUP($N$68,'SD6'!B8:C101,2,FALSE))*(1+'SDK1'!Q11/100)</f>
        <v>8.11</v>
      </c>
    </row>
    <row r="69" spans="1:20" s="708" customFormat="1" ht="18.75" customHeight="1">
      <c r="A69" s="1270"/>
      <c r="B69" s="1276" t="s">
        <v>1214</v>
      </c>
      <c r="C69" s="1270"/>
      <c r="D69" s="1270"/>
      <c r="E69" s="38"/>
      <c r="F69" s="38"/>
      <c r="G69" s="1620"/>
      <c r="H69" s="44"/>
      <c r="I69" s="73"/>
      <c r="J69" s="1614">
        <f>H70*$F70/1000</f>
        <v>34.1</v>
      </c>
      <c r="K69" s="1630"/>
      <c r="L69" s="1629"/>
      <c r="M69" s="1617">
        <f>K70*$F70/1000</f>
        <v>38.362499999999997</v>
      </c>
      <c r="N69" s="44"/>
      <c r="O69" s="73"/>
      <c r="P69" s="1614">
        <f>N70*$F70/1000</f>
        <v>42.625</v>
      </c>
      <c r="Q69" s="38"/>
      <c r="R69" s="708" t="s">
        <v>1270</v>
      </c>
    </row>
    <row r="70" spans="1:20" s="708" customFormat="1" ht="15" customHeight="1">
      <c r="A70" s="1270"/>
      <c r="B70" s="1332"/>
      <c r="C70" s="1331" t="s">
        <v>896</v>
      </c>
      <c r="D70" s="353"/>
      <c r="E70" s="280"/>
      <c r="F70" s="1628">
        <f>'SDK7'!G112</f>
        <v>25</v>
      </c>
      <c r="G70" s="1627" t="s">
        <v>171</v>
      </c>
      <c r="H70" s="1623">
        <f>I9+I10</f>
        <v>1364</v>
      </c>
      <c r="I70" s="1622"/>
      <c r="J70" s="1621"/>
      <c r="K70" s="1626">
        <f>L9+L10</f>
        <v>1534.5</v>
      </c>
      <c r="L70" s="1625"/>
      <c r="M70" s="1624"/>
      <c r="N70" s="1623">
        <f>O9+O10</f>
        <v>1705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13.534738055135293</v>
      </c>
      <c r="K75" s="711"/>
      <c r="L75" s="1056"/>
      <c r="M75" s="1578">
        <f>(M23+M27+M34+M43+M60+M65+M67+M69+M71)*('SDK1'!$O$59%*$G$75/12)</f>
        <v>14.712754608821566</v>
      </c>
      <c r="N75" s="1580"/>
      <c r="O75" s="1579"/>
      <c r="P75" s="1578">
        <f>(P23+P27+P34+P43+P60+P65+P67+P69+P71)*('SDK1'!$O$59%*$G$75/12)</f>
        <v>15.890771162507839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3">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8" orientation="portrait" r:id="rId1"/>
  <headerFooter alignWithMargins="0">
    <oddFooter>&amp;L&amp;11LEL Schwäbisch Gmünd&amp;C55&amp;R&amp;11&amp;F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'SDK5'!$Q$214:$Q$313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25.62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878.71758319104129</v>
      </c>
      <c r="K1" s="4859">
        <f>M1-J1</f>
        <v>336.43271732444691</v>
      </c>
      <c r="L1" s="4859"/>
      <c r="M1" s="1906">
        <f>(M7+M13+M18+M22+L11+L12)-(M23+M27+M34+M43+M60+M65+M67+M69+M71+M75)</f>
        <v>1215.1503005154882</v>
      </c>
      <c r="N1" s="4859">
        <f>P1-M1</f>
        <v>361.23505704288232</v>
      </c>
      <c r="O1" s="4859"/>
      <c r="P1" s="1906">
        <f>(P7+P13+P18+P22+O11+O12)-(P23+P27+P34+P43+P60+P65+P67+P69+P71+P75)</f>
        <v>1576.3853575583705</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64</v>
      </c>
      <c r="L2" s="4870"/>
      <c r="M2" s="4870"/>
      <c r="N2" s="4870"/>
      <c r="O2" s="4870"/>
      <c r="P2" s="4870"/>
      <c r="Q2" s="1920">
        <v>20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30</v>
      </c>
      <c r="K6" s="4849" t="s">
        <v>152</v>
      </c>
      <c r="L6" s="4850"/>
      <c r="M6" s="1887">
        <v>40</v>
      </c>
      <c r="N6" s="4864" t="s">
        <v>178</v>
      </c>
      <c r="O6" s="4865"/>
      <c r="P6" s="1886">
        <v>50</v>
      </c>
      <c r="Q6" s="70"/>
    </row>
    <row r="7" spans="1:41" s="252" customFormat="1" ht="18.75" customHeight="1">
      <c r="A7" s="47"/>
      <c r="B7" s="311" t="s">
        <v>1258</v>
      </c>
      <c r="C7" s="47"/>
      <c r="D7" s="47"/>
      <c r="E7" s="47"/>
      <c r="F7" s="47"/>
      <c r="G7" s="1884"/>
      <c r="H7" s="1881"/>
      <c r="I7" s="1880"/>
      <c r="J7" s="1614">
        <f>SUM(I9:I10)</f>
        <v>1494</v>
      </c>
      <c r="K7" s="1883"/>
      <c r="L7" s="1882"/>
      <c r="M7" s="1617">
        <f>SUM(L9:L10)</f>
        <v>1992</v>
      </c>
      <c r="N7" s="1881"/>
      <c r="O7" s="1880"/>
      <c r="P7" s="1614">
        <f>SUM(O9:O10)</f>
        <v>2490</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'SDK1'!O31</f>
        <v>49.8</v>
      </c>
      <c r="H9" s="1877">
        <f>J6-H10</f>
        <v>30</v>
      </c>
      <c r="I9" s="1873">
        <f>H9*G9</f>
        <v>1494</v>
      </c>
      <c r="J9" s="43"/>
      <c r="K9" s="1876">
        <f>M6-K10</f>
        <v>40</v>
      </c>
      <c r="L9" s="1875">
        <f>K9*G9</f>
        <v>1992</v>
      </c>
      <c r="M9" s="1854"/>
      <c r="N9" s="1874">
        <f>P6-N10</f>
        <v>50</v>
      </c>
      <c r="O9" s="1873">
        <f>N9*G9</f>
        <v>2490</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1.7</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105</v>
      </c>
      <c r="K23" s="1619"/>
      <c r="L23" s="1618"/>
      <c r="M23" s="1800">
        <f>SUM(L25:L26)</f>
        <v>105</v>
      </c>
      <c r="N23" s="1616"/>
      <c r="O23" s="1615"/>
      <c r="P23" s="1599">
        <f>SUM(O25:O26)</f>
        <v>105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t="s">
        <v>1273</v>
      </c>
      <c r="E25" s="4852"/>
      <c r="F25" s="1795">
        <f>'SDK7'!F62</f>
        <v>182</v>
      </c>
      <c r="G25" s="1794">
        <f>F25*(100+$D$24)/100</f>
        <v>182</v>
      </c>
      <c r="H25" s="1946"/>
      <c r="I25" s="1754">
        <f>H25*$G25</f>
        <v>0</v>
      </c>
      <c r="J25" s="45"/>
      <c r="K25" s="1946">
        <f>H25</f>
        <v>0</v>
      </c>
      <c r="L25" s="1596">
        <f>K25*$G25</f>
        <v>0</v>
      </c>
      <c r="M25" s="1589"/>
      <c r="N25" s="1946">
        <f>H25</f>
        <v>0</v>
      </c>
      <c r="O25" s="1754">
        <f>N25*$G25</f>
        <v>0</v>
      </c>
      <c r="P25" s="1718"/>
      <c r="Q25" s="38"/>
    </row>
    <row r="26" spans="1:26" s="42" customFormat="1" ht="15" customHeight="1">
      <c r="A26" s="1306"/>
      <c r="B26" s="1332"/>
      <c r="C26" s="1792"/>
      <c r="D26" s="4853" t="s">
        <v>951</v>
      </c>
      <c r="E26" s="4854"/>
      <c r="F26" s="1791">
        <f>'SDK7'!F61</f>
        <v>300</v>
      </c>
      <c r="G26" s="1790">
        <f>F26*(100+$D$24)/100</f>
        <v>300</v>
      </c>
      <c r="H26" s="1945">
        <v>0.35</v>
      </c>
      <c r="I26" s="1750">
        <f>H26*$G26</f>
        <v>105</v>
      </c>
      <c r="J26" s="45"/>
      <c r="K26" s="1945">
        <f>H26</f>
        <v>0.35</v>
      </c>
      <c r="L26" s="1590">
        <f>K26*$G26</f>
        <v>105</v>
      </c>
      <c r="M26" s="1589"/>
      <c r="N26" s="1945">
        <f>H26</f>
        <v>0.35</v>
      </c>
      <c r="O26" s="1750">
        <f>N26*$G26</f>
        <v>105</v>
      </c>
      <c r="P26" s="1749"/>
      <c r="Q26" s="38"/>
    </row>
    <row r="27" spans="1:26" s="708" customFormat="1" ht="18.75" customHeight="1">
      <c r="A27" s="1270"/>
      <c r="B27" s="1788" t="s">
        <v>1240</v>
      </c>
      <c r="C27" s="1270"/>
      <c r="D27" s="73"/>
      <c r="E27" s="38"/>
      <c r="F27" s="38"/>
      <c r="G27" s="1787"/>
      <c r="H27" s="1746"/>
      <c r="I27" s="1745"/>
      <c r="J27" s="1614">
        <f>SUM(I30:I33)</f>
        <v>341.60166666666663</v>
      </c>
      <c r="K27" s="1748"/>
      <c r="L27" s="1747"/>
      <c r="M27" s="1617">
        <f>SUM(L30:L33)</f>
        <v>428.74666666666661</v>
      </c>
      <c r="N27" s="1746"/>
      <c r="O27" s="1745"/>
      <c r="P27" s="1614">
        <f>SUM(O30:O33)</f>
        <v>515.89166666666665</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3.35</v>
      </c>
      <c r="F30" s="1774">
        <f>VLOOKUP(K2,'SD8'!B9:L42,7,FALSE)</f>
        <v>1.19</v>
      </c>
      <c r="G30" s="1773">
        <v>50</v>
      </c>
      <c r="H30" s="1771">
        <f>IF(J$6=0,0,(J$6*$E30+$G30+X14))</f>
        <v>150.5</v>
      </c>
      <c r="I30" s="1754">
        <f>H30*$D30</f>
        <v>241.30166666666662</v>
      </c>
      <c r="J30" s="45"/>
      <c r="K30" s="1772">
        <f>IF(M$6=0,0,(M$6*$E30+$G30+Y14))</f>
        <v>184</v>
      </c>
      <c r="L30" s="1596">
        <f>K30*$D30</f>
        <v>295.01333333333326</v>
      </c>
      <c r="M30" s="1589"/>
      <c r="N30" s="1771">
        <f>IF(P$6=0,0,(P$6*$E30+$G30+Z14))</f>
        <v>217.5</v>
      </c>
      <c r="O30" s="1754">
        <f>N30*$D30</f>
        <v>348.72499999999997</v>
      </c>
      <c r="P30" s="1718"/>
      <c r="Q30" s="38"/>
    </row>
    <row r="31" spans="1:26" s="42" customFormat="1" ht="15" customHeight="1">
      <c r="A31" s="1306"/>
      <c r="B31" s="274"/>
      <c r="C31" s="1306" t="s">
        <v>244</v>
      </c>
      <c r="D31" s="1723">
        <f>'SDK1'!O53</f>
        <v>1.0999999999999999</v>
      </c>
      <c r="E31" s="1774">
        <f>VLOOKUP(K2,'SD8'!B9:L42,4,FALSE)</f>
        <v>1.8</v>
      </c>
      <c r="F31" s="1774">
        <f>VLOOKUP(K2,'SD8'!B9:L42,8,FALSE)</f>
        <v>0.67999999999999994</v>
      </c>
      <c r="G31" s="1773"/>
      <c r="H31" s="1771">
        <f>IF(J$6=0,0,(J$6*$E31+$G31+X15))</f>
        <v>54</v>
      </c>
      <c r="I31" s="1754">
        <f>H31*$D31</f>
        <v>59.399999999999991</v>
      </c>
      <c r="J31" s="45"/>
      <c r="K31" s="1772">
        <f>IF(M$6=0,0,(M$6*$E31+$G31+Y15))</f>
        <v>72</v>
      </c>
      <c r="L31" s="1596">
        <f>K31*$D31</f>
        <v>79.199999999999989</v>
      </c>
      <c r="M31" s="1589"/>
      <c r="N31" s="1771">
        <f>IF(P$6=0,0,(P$6*$E31+$G31+Z15))</f>
        <v>90</v>
      </c>
      <c r="O31" s="1754">
        <f>N31*$D31</f>
        <v>98.999999999999986</v>
      </c>
      <c r="P31" s="1718"/>
      <c r="Q31" s="38"/>
    </row>
    <row r="32" spans="1:26" s="42" customFormat="1" ht="15" customHeight="1">
      <c r="A32" s="1306"/>
      <c r="B32" s="274"/>
      <c r="C32" s="1306" t="s">
        <v>242</v>
      </c>
      <c r="D32" s="1723">
        <f>'SDK1'!O54</f>
        <v>1.02</v>
      </c>
      <c r="E32" s="1774">
        <f>VLOOKUP(K2,'SD8'!B9:L42,5,FALSE)</f>
        <v>1</v>
      </c>
      <c r="F32" s="1774">
        <f>VLOOKUP(K2,'SD8'!B9:L42,9,FALSE)</f>
        <v>4.25</v>
      </c>
      <c r="G32" s="1773"/>
      <c r="H32" s="1771">
        <f>IF(J$6=0,0,(J$6*$E32+$G32+X16))</f>
        <v>30</v>
      </c>
      <c r="I32" s="1754">
        <f>H32*$D32</f>
        <v>30.6</v>
      </c>
      <c r="J32" s="45"/>
      <c r="K32" s="1772">
        <f>IF(M$6=0,0,(M$6*$E32+$G32+Y16))</f>
        <v>40</v>
      </c>
      <c r="L32" s="1596">
        <f>K32*$D32</f>
        <v>40.799999999999997</v>
      </c>
      <c r="M32" s="1589"/>
      <c r="N32" s="1771">
        <f>IF(P$6=0,0,(P$6*$E32+$G32+Z16))</f>
        <v>50</v>
      </c>
      <c r="O32" s="1754">
        <f>N32*$D32</f>
        <v>51</v>
      </c>
      <c r="P32" s="1718"/>
      <c r="Q32" s="38"/>
    </row>
    <row r="33" spans="1:17" s="42" customFormat="1" ht="15" customHeight="1">
      <c r="A33" s="1306"/>
      <c r="B33" s="239"/>
      <c r="C33" s="1331" t="s">
        <v>240</v>
      </c>
      <c r="D33" s="1706">
        <f>'SDK1'!O55</f>
        <v>0.68666666666666676</v>
      </c>
      <c r="E33" s="1770">
        <f>VLOOKUP(K2,'SD8'!B9:L42,6,FALSE)</f>
        <v>0.5</v>
      </c>
      <c r="F33" s="1770">
        <f>VLOOKUP(K2,'SD8'!B9:L42,10,FALSE)</f>
        <v>0.7</v>
      </c>
      <c r="G33" s="1769"/>
      <c r="H33" s="1767">
        <f>IF(J$6=0,0,(J$6*$E33+$G33+X17))</f>
        <v>15</v>
      </c>
      <c r="I33" s="1750">
        <f>H33*$D33</f>
        <v>10.3</v>
      </c>
      <c r="J33" s="45"/>
      <c r="K33" s="1768">
        <f>IF(M$6=0,0,(M$6*$E33+$G33+Y17))</f>
        <v>20</v>
      </c>
      <c r="L33" s="1590">
        <f>K33*$D33</f>
        <v>13.733333333333334</v>
      </c>
      <c r="M33" s="1589"/>
      <c r="N33" s="1767">
        <f>IF(P$6=0,0,(P$6*$E33+$G33+Z17))</f>
        <v>25</v>
      </c>
      <c r="O33" s="1750">
        <f>N33*$D33</f>
        <v>17.166666666666668</v>
      </c>
      <c r="P33" s="1749"/>
      <c r="Q33" s="38"/>
    </row>
    <row r="34" spans="1:17" s="708" customFormat="1" ht="18.75" customHeight="1">
      <c r="A34" s="1270"/>
      <c r="B34" s="1276" t="s">
        <v>1234</v>
      </c>
      <c r="C34" s="1270"/>
      <c r="D34" s="37"/>
      <c r="E34" s="37"/>
      <c r="F34" s="4831" t="s">
        <v>1233</v>
      </c>
      <c r="G34" s="4832"/>
      <c r="H34" s="1764"/>
      <c r="I34" s="1763"/>
      <c r="J34" s="1614">
        <f>SUM(I36:I42)</f>
        <v>159.29000000000002</v>
      </c>
      <c r="K34" s="1766"/>
      <c r="L34" s="1765"/>
      <c r="M34" s="1617">
        <f>SUM(L36:L42)</f>
        <v>178.11</v>
      </c>
      <c r="N34" s="1764"/>
      <c r="O34" s="1763"/>
      <c r="P34" s="1614">
        <f>SUM(O36:O42)</f>
        <v>178.11</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2191</v>
      </c>
      <c r="D36" s="4857"/>
      <c r="E36" s="4858"/>
      <c r="F36" s="1756">
        <f>IF(C36="",0,VLOOKUP(C36,'SDK5'!C3:AF83,2,FALSE))</f>
        <v>39.299999999999997</v>
      </c>
      <c r="G36" s="1756">
        <f t="shared" ref="G36:G42" si="0">F36*(100+$D$35)/100</f>
        <v>39.299999999999997</v>
      </c>
      <c r="H36" s="1755">
        <v>1.3</v>
      </c>
      <c r="I36" s="1754">
        <f>$G36*H36</f>
        <v>51.089999999999996</v>
      </c>
      <c r="J36" s="45"/>
      <c r="K36" s="1755">
        <v>1.3</v>
      </c>
      <c r="L36" s="1596">
        <f t="shared" ref="L36:L42" si="1">$G36*K36</f>
        <v>51.089999999999996</v>
      </c>
      <c r="M36" s="1589"/>
      <c r="N36" s="1755">
        <v>1.3</v>
      </c>
      <c r="O36" s="1754">
        <f t="shared" ref="O36:O42" si="2">$G36*N36</f>
        <v>51.089999999999996</v>
      </c>
      <c r="P36" s="1758"/>
      <c r="Q36" s="38"/>
    </row>
    <row r="37" spans="1:17" s="42" customFormat="1" ht="15" customHeight="1">
      <c r="A37" s="1306"/>
      <c r="B37" s="1594"/>
      <c r="C37" s="4855" t="s">
        <v>655</v>
      </c>
      <c r="D37" s="4855"/>
      <c r="E37" s="4856"/>
      <c r="F37" s="1756">
        <f>IF(C37="",0,VLOOKUP(C37,'SDK5'!C4:AF84,2,FALSE))</f>
        <v>34.5</v>
      </c>
      <c r="G37" s="1756">
        <f t="shared" si="0"/>
        <v>34.5</v>
      </c>
      <c r="H37" s="1755">
        <v>1</v>
      </c>
      <c r="I37" s="1754">
        <f t="shared" ref="I37:I42" si="3">$G37*H37</f>
        <v>34.5</v>
      </c>
      <c r="J37" s="45"/>
      <c r="K37" s="1755">
        <v>1</v>
      </c>
      <c r="L37" s="1596">
        <f t="shared" si="1"/>
        <v>34.5</v>
      </c>
      <c r="M37" s="1589"/>
      <c r="N37" s="1755">
        <v>1</v>
      </c>
      <c r="O37" s="1754">
        <f t="shared" si="2"/>
        <v>34.5</v>
      </c>
      <c r="P37" s="1718"/>
      <c r="Q37" s="38"/>
    </row>
    <row r="38" spans="1:17" s="42" customFormat="1" ht="15" customHeight="1">
      <c r="A38" s="1306"/>
      <c r="B38" s="1757"/>
      <c r="C38" s="4855" t="s">
        <v>651</v>
      </c>
      <c r="D38" s="4855"/>
      <c r="E38" s="4856"/>
      <c r="F38" s="1756">
        <f>IF(C38="",0,VLOOKUP(C38,'SDK5'!C5:AF85,2,FALSE))</f>
        <v>73.7</v>
      </c>
      <c r="G38" s="1756">
        <f t="shared" si="0"/>
        <v>73.7</v>
      </c>
      <c r="H38" s="1755">
        <v>1</v>
      </c>
      <c r="I38" s="1754">
        <f t="shared" si="3"/>
        <v>73.7</v>
      </c>
      <c r="J38" s="45"/>
      <c r="K38" s="1755">
        <v>1</v>
      </c>
      <c r="L38" s="1596">
        <f t="shared" si="1"/>
        <v>73.7</v>
      </c>
      <c r="M38" s="1589"/>
      <c r="N38" s="1755">
        <v>1</v>
      </c>
      <c r="O38" s="1754">
        <f t="shared" si="2"/>
        <v>73.7</v>
      </c>
      <c r="P38" s="1718"/>
      <c r="Q38" s="38"/>
    </row>
    <row r="39" spans="1:17" s="42" customFormat="1" ht="15" customHeight="1">
      <c r="A39" s="1306"/>
      <c r="B39" s="1594"/>
      <c r="C39" s="4855" t="s">
        <v>368</v>
      </c>
      <c r="D39" s="4855"/>
      <c r="E39" s="4856"/>
      <c r="F39" s="1756">
        <f>IF(C39="",0,VLOOKUP(C39,'SDK5'!C6:AF86,2,FALSE))</f>
        <v>0</v>
      </c>
      <c r="G39" s="1756">
        <f t="shared" si="0"/>
        <v>0</v>
      </c>
      <c r="H39" s="1755"/>
      <c r="I39" s="1754">
        <f t="shared" si="3"/>
        <v>0</v>
      </c>
      <c r="J39" s="45"/>
      <c r="K39" s="1755"/>
      <c r="L39" s="1596">
        <f t="shared" si="1"/>
        <v>0</v>
      </c>
      <c r="M39" s="1589"/>
      <c r="N39" s="1755"/>
      <c r="O39" s="1754">
        <f t="shared" si="2"/>
        <v>0</v>
      </c>
      <c r="P39" s="1718"/>
      <c r="Q39" s="38"/>
    </row>
    <row r="40" spans="1:17" s="42" customFormat="1" ht="15" customHeight="1">
      <c r="A40" s="1306"/>
      <c r="B40" s="1594"/>
      <c r="C40" s="4855" t="s">
        <v>2087</v>
      </c>
      <c r="D40" s="4855"/>
      <c r="E40" s="4856"/>
      <c r="F40" s="1756">
        <f>IF(C40="",0,VLOOKUP(C40,'SDK5'!C7:AF87,2,FALSE))</f>
        <v>94.1</v>
      </c>
      <c r="G40" s="1756">
        <f t="shared" si="0"/>
        <v>94.1</v>
      </c>
      <c r="H40" s="1755"/>
      <c r="I40" s="1754">
        <f t="shared" si="3"/>
        <v>0</v>
      </c>
      <c r="J40" s="45"/>
      <c r="K40" s="1755">
        <v>0.2</v>
      </c>
      <c r="L40" s="1596">
        <f t="shared" si="1"/>
        <v>18.82</v>
      </c>
      <c r="M40" s="1589"/>
      <c r="N40" s="1755">
        <v>0.2</v>
      </c>
      <c r="O40" s="1754">
        <f t="shared" si="2"/>
        <v>18.82</v>
      </c>
      <c r="P40" s="1718"/>
      <c r="Q40" s="38"/>
    </row>
    <row r="41" spans="1:17" s="42" customFormat="1" ht="15" customHeight="1">
      <c r="A41" s="1306"/>
      <c r="B41" s="1594"/>
      <c r="C41" s="4855" t="s">
        <v>368</v>
      </c>
      <c r="D41" s="4855"/>
      <c r="E41" s="4856"/>
      <c r="F41" s="1756">
        <f>IF(C41="",0,VLOOKUP(C41,'SDK5'!C8:AF88,2,FALSE))</f>
        <v>0</v>
      </c>
      <c r="G41" s="1756">
        <f t="shared" si="0"/>
        <v>0</v>
      </c>
      <c r="H41" s="1755"/>
      <c r="I41" s="1754">
        <f t="shared" si="3"/>
        <v>0</v>
      </c>
      <c r="J41" s="45"/>
      <c r="K41" s="1755"/>
      <c r="L41" s="1596">
        <f t="shared" si="1"/>
        <v>0</v>
      </c>
      <c r="M41" s="1589"/>
      <c r="N41" s="1755"/>
      <c r="O41" s="1754">
        <f t="shared" si="2"/>
        <v>0</v>
      </c>
      <c r="P41" s="1718"/>
      <c r="Q41" s="38"/>
    </row>
    <row r="42" spans="1:17" s="42" customFormat="1" ht="15" customHeight="1">
      <c r="A42" s="1306"/>
      <c r="B42" s="1753"/>
      <c r="C42" s="4860"/>
      <c r="D42" s="4860"/>
      <c r="E42" s="4861"/>
      <c r="F42" s="1756">
        <f>IF(C42="",0,VLOOKUP(C42,'SDK5'!C9:AF89,2,FALSE))</f>
        <v>0</v>
      </c>
      <c r="G42" s="1752">
        <f t="shared" si="0"/>
        <v>0</v>
      </c>
      <c r="H42" s="1751"/>
      <c r="I42" s="1750">
        <f t="shared" si="3"/>
        <v>0</v>
      </c>
      <c r="J42" s="45"/>
      <c r="K42" s="1751"/>
      <c r="L42" s="1590">
        <f t="shared" si="1"/>
        <v>0</v>
      </c>
      <c r="M42" s="1589"/>
      <c r="N42" s="1751"/>
      <c r="O42" s="1750">
        <f t="shared" si="2"/>
        <v>0</v>
      </c>
      <c r="P42" s="1749"/>
      <c r="Q42" s="38"/>
    </row>
    <row r="43" spans="1:17" s="708" customFormat="1" ht="18.75" customHeight="1">
      <c r="A43" s="1270"/>
      <c r="B43" s="1276" t="s">
        <v>1231</v>
      </c>
      <c r="C43" s="1270"/>
      <c r="D43" s="1270"/>
      <c r="E43" s="1270"/>
      <c r="F43" s="1270"/>
      <c r="G43" s="1620"/>
      <c r="H43" s="1746"/>
      <c r="I43" s="1745"/>
      <c r="J43" s="1614">
        <f>SUM(J46:J57)</f>
        <v>145.84554206588237</v>
      </c>
      <c r="K43" s="1748"/>
      <c r="L43" s="1747"/>
      <c r="M43" s="1617">
        <f>SUM(M46:M57)</f>
        <v>152.76037371450983</v>
      </c>
      <c r="N43" s="1746"/>
      <c r="O43" s="1745"/>
      <c r="P43" s="1614">
        <f>SUM(P46:P57)</f>
        <v>153.90800365960786</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20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3</v>
      </c>
      <c r="I48" s="1719">
        <f t="shared" si="4"/>
        <v>0.96</v>
      </c>
      <c r="J48" s="1718">
        <f t="shared" si="5"/>
        <v>10.804246249411765</v>
      </c>
      <c r="K48" s="1720">
        <v>3</v>
      </c>
      <c r="L48" s="1722">
        <f t="shared" si="6"/>
        <v>0.96</v>
      </c>
      <c r="M48" s="1721">
        <f t="shared" si="7"/>
        <v>10.804246249411765</v>
      </c>
      <c r="N48" s="1720">
        <v>3</v>
      </c>
      <c r="O48" s="1719">
        <f t="shared" si="8"/>
        <v>0.96</v>
      </c>
      <c r="P48" s="1718">
        <f t="shared" si="9"/>
        <v>10.804246249411765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4</v>
      </c>
      <c r="L49" s="1722">
        <f t="shared" si="6"/>
        <v>1.44</v>
      </c>
      <c r="M49" s="1721">
        <f t="shared" si="7"/>
        <v>23.068806814117647</v>
      </c>
      <c r="N49" s="1720">
        <v>4</v>
      </c>
      <c r="O49" s="1719">
        <f t="shared" si="8"/>
        <v>1.44</v>
      </c>
      <c r="P49" s="1718">
        <f t="shared" si="9"/>
        <v>23.068806814117647</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0.5</v>
      </c>
      <c r="I50" s="1719">
        <f t="shared" si="4"/>
        <v>0.2</v>
      </c>
      <c r="J50" s="1718">
        <f t="shared" si="5"/>
        <v>3.442889835294118</v>
      </c>
      <c r="K50" s="1720">
        <f>$M$6/60</f>
        <v>0.66666666666666663</v>
      </c>
      <c r="L50" s="1722">
        <f t="shared" si="6"/>
        <v>0.26666666666666666</v>
      </c>
      <c r="M50" s="1721">
        <f t="shared" si="7"/>
        <v>4.5905197803921567</v>
      </c>
      <c r="N50" s="1720">
        <f>$P$6/60</f>
        <v>0.83333333333333337</v>
      </c>
      <c r="O50" s="1719">
        <f t="shared" si="8"/>
        <v>0.33333333333333337</v>
      </c>
      <c r="P50" s="1718">
        <f t="shared" si="9"/>
        <v>5.7381497254901968</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v>0</v>
      </c>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5.66</v>
      </c>
      <c r="J58" s="1701"/>
      <c r="K58" s="1700"/>
      <c r="L58" s="1699">
        <f>SUM($L$46:$L$57)</f>
        <v>6.0866666666666669</v>
      </c>
      <c r="M58" s="1698"/>
      <c r="N58" s="1697"/>
      <c r="O58" s="1696">
        <f>SUM($O$46:$O$57)</f>
        <v>6.1533333333333333</v>
      </c>
      <c r="P58" s="1695"/>
      <c r="Q58" s="38"/>
    </row>
    <row r="59" spans="1:17" s="65" customFormat="1" ht="15" customHeight="1">
      <c r="A59" s="1373"/>
      <c r="B59" s="1694"/>
      <c r="C59" s="353"/>
      <c r="D59" s="280" t="s">
        <v>1222</v>
      </c>
      <c r="E59" s="1693">
        <v>80</v>
      </c>
      <c r="F59" s="353" t="s">
        <v>1221</v>
      </c>
      <c r="G59" s="1692"/>
      <c r="H59" s="1688"/>
      <c r="I59" s="1687">
        <f>IF(I58+SUM($I$46:$I$57)*$E$59%&gt;I58+10,I58+10,I58+SUM($I$46:$I$57)*$E$59%)</f>
        <v>10.188000000000001</v>
      </c>
      <c r="J59" s="1686"/>
      <c r="K59" s="1691"/>
      <c r="L59" s="1690">
        <f>IF(L58+SUM($L$46:$L$57)*$E$59%&gt;L58+10,L58+10,L58+SUM($L$46:$L$57)*$E$59%)</f>
        <v>10.956</v>
      </c>
      <c r="M59" s="1689"/>
      <c r="N59" s="1688"/>
      <c r="O59" s="1687">
        <f>IF(O58+SUM($O$46:$O$57)*$E$59%&gt;O58+10,O58+10,O58+SUM($O$46:$O$57)*$E$59%)</f>
        <v>11.076000000000001</v>
      </c>
      <c r="P59" s="1686"/>
      <c r="Q59" s="38"/>
    </row>
    <row r="60" spans="1:17" s="42" customFormat="1" ht="18.75" customHeight="1">
      <c r="A60" s="1306"/>
      <c r="B60" s="1276" t="s">
        <v>1220</v>
      </c>
      <c r="C60" s="1373"/>
      <c r="D60" s="1373"/>
      <c r="E60" s="45"/>
      <c r="F60" s="45"/>
      <c r="G60" s="1685"/>
      <c r="H60" s="1677"/>
      <c r="I60" s="1676"/>
      <c r="J60" s="1684">
        <f>IF(J6=0,0,SUM(I62:I64))</f>
        <v>167.8</v>
      </c>
      <c r="K60" s="1680"/>
      <c r="L60" s="1679"/>
      <c r="M60" s="1617">
        <f>IF(M6=0,0,SUM(L62:L64))</f>
        <v>167.8</v>
      </c>
      <c r="N60" s="1677"/>
      <c r="O60" s="1676"/>
      <c r="P60" s="1684">
        <f>IF(P6=0,0,SUM(O62:O64))</f>
        <v>167.8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346</v>
      </c>
      <c r="D62" s="4833"/>
      <c r="E62" s="4833"/>
      <c r="F62" s="1674">
        <f>IF($C62=0,0,VLOOKUP($C62,'SDK3'!$C$98:$D$119,2,FALSE))</f>
        <v>167.8</v>
      </c>
      <c r="G62" s="1673">
        <f>(100+$D$61)/100*F62</f>
        <v>167.8</v>
      </c>
      <c r="H62" s="227"/>
      <c r="I62" s="1669">
        <f>$G$62</f>
        <v>167.8</v>
      </c>
      <c r="J62" s="227"/>
      <c r="K62" s="1672"/>
      <c r="L62" s="1671">
        <f>$G$62</f>
        <v>167.8</v>
      </c>
      <c r="M62" s="1589"/>
      <c r="N62" s="1670"/>
      <c r="O62" s="1669">
        <f>$G$62</f>
        <v>167.8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v>0</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77.616000000000014</v>
      </c>
      <c r="K67" s="1641" t="s">
        <v>1217</v>
      </c>
      <c r="L67" s="1640" t="s">
        <v>1216</v>
      </c>
      <c r="M67" s="1617">
        <f>S68*(K9+K10)*L68%+F68</f>
        <v>103.48800000000001</v>
      </c>
      <c r="N67" s="1639" t="s">
        <v>1217</v>
      </c>
      <c r="O67" s="1638" t="s">
        <v>1216</v>
      </c>
      <c r="P67" s="1614">
        <f>T68*(N9+N10)*O68%+F68</f>
        <v>129.36000000000001</v>
      </c>
      <c r="Q67" s="38"/>
    </row>
    <row r="68" spans="1:20" s="708" customFormat="1" ht="15" customHeight="1">
      <c r="A68" s="1270"/>
      <c r="B68" s="1637"/>
      <c r="C68" s="4839" t="s">
        <v>1215</v>
      </c>
      <c r="D68" s="4839"/>
      <c r="E68" s="4839"/>
      <c r="F68" s="1636"/>
      <c r="G68" s="1627" t="s">
        <v>171</v>
      </c>
      <c r="H68" s="1634">
        <v>11</v>
      </c>
      <c r="I68" s="1633">
        <v>66</v>
      </c>
      <c r="J68" s="1632"/>
      <c r="K68" s="1634">
        <v>11</v>
      </c>
      <c r="L68" s="1633">
        <v>66</v>
      </c>
      <c r="M68" s="1635"/>
      <c r="N68" s="1634">
        <v>11</v>
      </c>
      <c r="O68" s="1633">
        <v>66</v>
      </c>
      <c r="P68" s="1632"/>
      <c r="Q68" s="38"/>
      <c r="R68" s="1631">
        <f>IF($H$68=0,0,VLOOKUP($H$68,'SD6'!J8:K156,'SD6'!$I$1,FALSE))*(1+'SDK1'!O11/100)</f>
        <v>3.9200000000000004</v>
      </c>
      <c r="S68" s="1631">
        <f>IF($K$68=0,0,VLOOKUP($K$68,'SD6'!J8:K156,'SD6'!I1,FALSE))*(1+'SDK1'!O11/100)</f>
        <v>3.9200000000000004</v>
      </c>
      <c r="T68" s="1631">
        <f>IF($N$68=0,0,VLOOKUP($N$68,'SD6'!J8:K156,'SD6'!I1,FALSE))*(1+'SDK1'!O11/100)</f>
        <v>3.9200000000000004</v>
      </c>
    </row>
    <row r="69" spans="1:20" s="708" customFormat="1" ht="18.75" customHeight="1">
      <c r="A69" s="1270"/>
      <c r="B69" s="1276" t="s">
        <v>1214</v>
      </c>
      <c r="C69" s="1270"/>
      <c r="D69" s="1270"/>
      <c r="E69" s="38"/>
      <c r="F69" s="38"/>
      <c r="G69" s="1620"/>
      <c r="H69" s="44"/>
      <c r="I69" s="73"/>
      <c r="J69" s="1614">
        <f>H70*$F70/1000</f>
        <v>64.242000000000004</v>
      </c>
      <c r="K69" s="1630"/>
      <c r="L69" s="1629"/>
      <c r="M69" s="1617">
        <f>K70*$F70/1000</f>
        <v>85.656000000000006</v>
      </c>
      <c r="N69" s="44"/>
      <c r="O69" s="73"/>
      <c r="P69" s="1614">
        <f>N70*$F70/1000</f>
        <v>107.07</v>
      </c>
      <c r="Q69" s="38"/>
    </row>
    <row r="70" spans="1:20" s="708" customFormat="1" ht="15" customHeight="1">
      <c r="A70" s="1270"/>
      <c r="B70" s="1332"/>
      <c r="C70" s="1331" t="s">
        <v>896</v>
      </c>
      <c r="D70" s="353"/>
      <c r="E70" s="280"/>
      <c r="F70" s="1628">
        <f>'SDK7'!G106</f>
        <v>43</v>
      </c>
      <c r="G70" s="1627" t="s">
        <v>171</v>
      </c>
      <c r="H70" s="1623">
        <f>I9+I10</f>
        <v>1494</v>
      </c>
      <c r="I70" s="1622"/>
      <c r="J70" s="1621"/>
      <c r="K70" s="1626">
        <f>L9+L10</f>
        <v>1992</v>
      </c>
      <c r="L70" s="1625"/>
      <c r="M70" s="1624"/>
      <c r="N70" s="1623">
        <f>O9+O10</f>
        <v>2490</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9.2872080764098026</v>
      </c>
      <c r="K75" s="711"/>
      <c r="L75" s="1056"/>
      <c r="M75" s="1578">
        <f>(M23+M27+M34+M43+M60+M65+M67+M69+M71)*('SDK1'!$O$59%*$G$75/12)</f>
        <v>10.688659103335294</v>
      </c>
      <c r="N75" s="1580"/>
      <c r="O75" s="1579"/>
      <c r="P75" s="1578">
        <f>(P23+P27+P34+P43+P60+P65+P67+P69+P71)*('SDK1'!$O$59%*$G$75/12)</f>
        <v>11.874972115354902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D150" s="35"/>
      <c r="M150" s="35"/>
      <c r="N150" s="35"/>
      <c r="O150" s="35"/>
      <c r="P150" s="35"/>
      <c r="Q150" s="35"/>
    </row>
    <row r="151" spans="1:17">
      <c r="A151" s="35"/>
      <c r="B151" s="623"/>
      <c r="C151" s="15"/>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D160" s="15"/>
      <c r="F160" s="15"/>
      <c r="G160" s="15"/>
      <c r="H160" s="15"/>
      <c r="I160" s="15"/>
      <c r="J160" s="15"/>
      <c r="M160" s="35"/>
      <c r="N160" s="35"/>
      <c r="O160" s="35"/>
      <c r="P160" s="35"/>
      <c r="Q160" s="35"/>
    </row>
    <row r="161" spans="1:17">
      <c r="A161" s="35"/>
      <c r="B161" s="623"/>
      <c r="C161" s="15"/>
      <c r="D161" s="15"/>
      <c r="F161" s="15"/>
      <c r="G161" s="15"/>
      <c r="H161" s="15"/>
      <c r="I161" s="15"/>
      <c r="J161" s="15"/>
      <c r="K161" s="35"/>
      <c r="L161" s="35"/>
      <c r="M161" s="35"/>
      <c r="N161" s="35"/>
      <c r="O161" s="35"/>
      <c r="P161" s="35"/>
      <c r="Q161" s="35"/>
    </row>
    <row r="162" spans="1:17">
      <c r="A162" s="35"/>
      <c r="B162" s="623"/>
      <c r="C162" s="15"/>
      <c r="D162" s="15"/>
      <c r="F162" s="15"/>
      <c r="G162" s="15"/>
      <c r="H162" s="15"/>
      <c r="I162" s="15"/>
      <c r="J162" s="15"/>
      <c r="K162" s="35"/>
      <c r="L162" s="35"/>
      <c r="M162" s="35"/>
      <c r="N162" s="35"/>
      <c r="O162" s="35"/>
      <c r="P162" s="35"/>
      <c r="Q162" s="35"/>
    </row>
    <row r="163" spans="1:17">
      <c r="A163" s="35"/>
      <c r="B163" s="623"/>
      <c r="C163" s="15"/>
      <c r="D163" s="15"/>
      <c r="F163" s="15"/>
      <c r="G163" s="15"/>
      <c r="H163" s="15"/>
      <c r="I163" s="15"/>
      <c r="J163" s="15"/>
      <c r="K163" s="35"/>
      <c r="L163" s="35"/>
      <c r="M163" s="35"/>
      <c r="N163" s="35"/>
      <c r="O163" s="35"/>
      <c r="P163" s="35"/>
      <c r="Q163" s="35"/>
    </row>
    <row r="164" spans="1:17">
      <c r="A164" s="35"/>
      <c r="B164" s="623"/>
      <c r="C164" s="15"/>
      <c r="K164" s="35"/>
      <c r="L164" s="35"/>
      <c r="M164" s="35"/>
      <c r="N164" s="35"/>
      <c r="O164" s="35"/>
      <c r="P164" s="35"/>
      <c r="Q164" s="35"/>
    </row>
    <row r="165" spans="1:17">
      <c r="A165" s="35"/>
      <c r="B165" s="623"/>
      <c r="C165" s="15"/>
      <c r="K165" s="35"/>
      <c r="L165" s="35"/>
      <c r="M165" s="35"/>
      <c r="N165" s="35"/>
      <c r="O165" s="35"/>
      <c r="P165" s="35"/>
      <c r="Q165" s="35"/>
    </row>
    <row r="166" spans="1:17">
      <c r="A166" s="35"/>
      <c r="B166" s="623"/>
      <c r="C166" s="15"/>
      <c r="K166" s="35"/>
      <c r="L166" s="35"/>
      <c r="M166" s="35"/>
      <c r="N166" s="35"/>
      <c r="O166" s="35"/>
      <c r="P166" s="35"/>
      <c r="Q166" s="35"/>
    </row>
    <row r="167" spans="1:17">
      <c r="A167" s="35"/>
      <c r="B167" s="623"/>
      <c r="C167" s="15"/>
      <c r="K167" s="35"/>
      <c r="L167" s="35"/>
      <c r="M167" s="35"/>
      <c r="N167" s="35"/>
      <c r="O167" s="35"/>
      <c r="P167" s="35"/>
      <c r="Q167" s="35"/>
    </row>
    <row r="168" spans="1:17">
      <c r="A168" s="35"/>
      <c r="B168" s="623"/>
      <c r="C168" s="15"/>
      <c r="K168" s="35"/>
      <c r="L168" s="35"/>
      <c r="M168" s="35"/>
      <c r="N168" s="35"/>
      <c r="O168" s="35"/>
      <c r="P168" s="35"/>
      <c r="Q168" s="35"/>
    </row>
    <row r="169" spans="1:17">
      <c r="A169" s="35"/>
      <c r="B169" s="623"/>
      <c r="C169" s="15"/>
      <c r="K169" s="35"/>
      <c r="L169" s="35"/>
      <c r="M169" s="35"/>
      <c r="N169" s="35"/>
      <c r="O169" s="35"/>
      <c r="P169" s="35"/>
      <c r="Q169" s="35"/>
    </row>
    <row r="170" spans="1:17">
      <c r="A170" s="35"/>
      <c r="B170" s="623"/>
      <c r="C170" s="15"/>
      <c r="K170" s="35"/>
      <c r="L170" s="35"/>
      <c r="M170" s="35"/>
      <c r="N170" s="35"/>
      <c r="O170" s="35"/>
      <c r="P170" s="35"/>
      <c r="Q170" s="35"/>
    </row>
    <row r="171" spans="1:17">
      <c r="A171" s="35"/>
      <c r="B171" s="623"/>
      <c r="C171" s="15"/>
      <c r="K171" s="35"/>
      <c r="L171" s="35"/>
      <c r="M171" s="35"/>
      <c r="N171" s="35"/>
      <c r="O171" s="35"/>
      <c r="P171" s="35"/>
      <c r="Q171" s="35"/>
    </row>
    <row r="172" spans="1:17">
      <c r="A172" s="35"/>
      <c r="B172" s="623"/>
      <c r="C172" s="15"/>
      <c r="K172" s="35"/>
      <c r="L172" s="35"/>
      <c r="M172" s="35"/>
      <c r="N172" s="35"/>
      <c r="O172" s="35"/>
      <c r="P172" s="35"/>
      <c r="Q172" s="35"/>
    </row>
    <row r="173" spans="1:17">
      <c r="A173" s="35"/>
      <c r="B173" s="623"/>
      <c r="C173" s="15"/>
      <c r="K173" s="35"/>
      <c r="L173" s="35"/>
      <c r="M173" s="35"/>
      <c r="N173" s="35"/>
      <c r="O173" s="35"/>
      <c r="P173" s="35"/>
      <c r="Q173" s="35"/>
    </row>
    <row r="174" spans="1:17">
      <c r="A174" s="35"/>
      <c r="B174" s="623"/>
      <c r="C174" s="15"/>
      <c r="K174" s="35"/>
      <c r="L174" s="35"/>
      <c r="M174" s="35"/>
      <c r="N174" s="35"/>
      <c r="O174" s="35"/>
      <c r="P174" s="35"/>
      <c r="Q174" s="35"/>
    </row>
    <row r="175" spans="1:17">
      <c r="A175" s="35"/>
      <c r="B175" s="623"/>
      <c r="C175" s="15"/>
      <c r="K175" s="35"/>
      <c r="L175" s="35"/>
      <c r="M175" s="35"/>
      <c r="N175" s="35"/>
      <c r="O175" s="35"/>
      <c r="P175" s="35"/>
      <c r="Q175" s="35"/>
    </row>
    <row r="176" spans="1:17">
      <c r="A176" s="35"/>
      <c r="B176" s="623"/>
      <c r="C176" s="1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B193" s="623"/>
      <c r="C193" s="15"/>
      <c r="F193" s="35"/>
      <c r="G193" s="35"/>
      <c r="H193" s="35"/>
      <c r="I193" s="35"/>
      <c r="J193" s="35"/>
      <c r="K193" s="35"/>
      <c r="L193" s="35"/>
      <c r="M193" s="35"/>
      <c r="N193" s="35"/>
      <c r="O193" s="35"/>
      <c r="P193" s="35"/>
      <c r="Q193" s="35"/>
    </row>
    <row r="194" spans="1:17">
      <c r="B194" s="623"/>
      <c r="C194" s="15"/>
      <c r="F194" s="35"/>
      <c r="G194" s="35"/>
      <c r="H194" s="35"/>
      <c r="I194" s="35"/>
      <c r="J194" s="35"/>
      <c r="K194" s="35"/>
      <c r="L194" s="35"/>
      <c r="M194" s="35"/>
      <c r="N194" s="35"/>
      <c r="O194" s="35"/>
      <c r="P194" s="35"/>
      <c r="Q194" s="35"/>
    </row>
    <row r="195" spans="1:17">
      <c r="B195" s="623"/>
      <c r="C195" s="15"/>
      <c r="F195" s="35"/>
      <c r="G195" s="35"/>
      <c r="H195" s="35"/>
      <c r="I195" s="35"/>
      <c r="J195" s="35"/>
      <c r="K195" s="35"/>
      <c r="L195" s="35"/>
      <c r="M195" s="35"/>
      <c r="N195" s="35"/>
      <c r="O195" s="35"/>
      <c r="P195" s="35"/>
      <c r="Q195" s="35"/>
    </row>
    <row r="196" spans="1:17">
      <c r="B196" s="623"/>
      <c r="C196" s="15"/>
      <c r="F196" s="35"/>
      <c r="G196" s="35"/>
      <c r="H196" s="35"/>
      <c r="I196" s="35"/>
      <c r="J196" s="35"/>
      <c r="K196" s="35"/>
      <c r="L196" s="35"/>
      <c r="M196" s="35"/>
      <c r="N196" s="35"/>
      <c r="O196" s="35"/>
      <c r="P196" s="35"/>
      <c r="Q196" s="35"/>
    </row>
    <row r="197" spans="1:17">
      <c r="B197" s="623"/>
      <c r="C197" s="15"/>
      <c r="F197" s="35"/>
      <c r="G197" s="35"/>
      <c r="H197" s="35"/>
      <c r="I197" s="35"/>
      <c r="J197" s="35"/>
      <c r="K197" s="35"/>
      <c r="L197" s="35"/>
      <c r="M197" s="35"/>
      <c r="N197" s="35"/>
      <c r="O197" s="35"/>
      <c r="P197" s="35"/>
      <c r="Q197" s="35"/>
    </row>
    <row r="198" spans="1:17">
      <c r="B198" s="623"/>
      <c r="C198" s="15"/>
      <c r="F198" s="35"/>
      <c r="G198" s="35"/>
      <c r="H198" s="35"/>
      <c r="I198" s="35"/>
      <c r="J198" s="35"/>
      <c r="K198" s="35"/>
      <c r="L198" s="35"/>
      <c r="M198" s="35"/>
      <c r="N198" s="35"/>
      <c r="O198" s="35"/>
      <c r="P198" s="35"/>
      <c r="Q198" s="35"/>
    </row>
    <row r="199" spans="1:17">
      <c r="B199" s="623"/>
      <c r="C199" s="15"/>
      <c r="F199" s="35"/>
      <c r="G199" s="35"/>
      <c r="H199" s="35"/>
      <c r="I199" s="35"/>
      <c r="J199" s="35"/>
      <c r="K199" s="35"/>
      <c r="L199" s="35"/>
      <c r="M199" s="35"/>
      <c r="N199" s="35"/>
      <c r="O199" s="35"/>
      <c r="P199" s="35"/>
      <c r="Q199" s="35"/>
    </row>
    <row r="200" spans="1:17">
      <c r="B200" s="623"/>
      <c r="C200" s="15"/>
      <c r="F200" s="35"/>
      <c r="G200" s="35"/>
      <c r="H200" s="35"/>
      <c r="I200" s="35"/>
      <c r="J200" s="35"/>
      <c r="K200" s="35"/>
      <c r="L200" s="35"/>
      <c r="M200" s="35"/>
      <c r="N200" s="35"/>
      <c r="O200" s="35"/>
      <c r="P200" s="35"/>
      <c r="Q200" s="35"/>
    </row>
    <row r="201" spans="1:17">
      <c r="B201" s="623"/>
      <c r="C201" s="15"/>
      <c r="F201" s="35"/>
      <c r="G201" s="35"/>
      <c r="H201" s="35"/>
      <c r="I201" s="35"/>
      <c r="J201" s="35"/>
      <c r="K201" s="35"/>
      <c r="L201" s="35"/>
      <c r="M201" s="35"/>
      <c r="N201" s="35"/>
      <c r="O201" s="35"/>
      <c r="P201" s="35"/>
      <c r="Q201" s="35"/>
    </row>
    <row r="202" spans="1:17">
      <c r="A202" s="15"/>
      <c r="B202" s="623"/>
      <c r="C202" s="15"/>
      <c r="D202" s="15"/>
      <c r="F202" s="35"/>
      <c r="G202" s="35"/>
      <c r="H202" s="35"/>
      <c r="I202" s="35"/>
      <c r="J202" s="35"/>
      <c r="K202" s="35"/>
      <c r="L202" s="35"/>
      <c r="M202" s="35"/>
      <c r="N202" s="35"/>
      <c r="O202" s="35"/>
      <c r="P202" s="35"/>
      <c r="Q202" s="35"/>
    </row>
    <row r="203" spans="1:17">
      <c r="A203" s="15"/>
      <c r="B203" s="623"/>
      <c r="C203" s="15"/>
      <c r="D203" s="15"/>
      <c r="F203" s="35"/>
      <c r="G203" s="35"/>
      <c r="H203" s="35"/>
      <c r="I203" s="35"/>
      <c r="J203" s="35"/>
      <c r="K203" s="35"/>
      <c r="L203" s="35"/>
      <c r="M203" s="35"/>
      <c r="N203" s="35"/>
      <c r="O203" s="35"/>
      <c r="P203" s="35"/>
      <c r="Q203" s="35"/>
    </row>
    <row r="204" spans="1:17">
      <c r="A204" s="15"/>
      <c r="B204" s="623"/>
      <c r="C204" s="15"/>
      <c r="D204" s="15"/>
      <c r="F204" s="35"/>
      <c r="G204" s="35"/>
      <c r="H204" s="35"/>
      <c r="I204" s="35"/>
      <c r="J204" s="35"/>
      <c r="K204" s="35"/>
      <c r="L204" s="35"/>
      <c r="M204" s="35"/>
      <c r="N204" s="35"/>
      <c r="O204" s="35"/>
      <c r="P204" s="35"/>
      <c r="Q204" s="35"/>
    </row>
    <row r="205" spans="1:17">
      <c r="A205" s="15"/>
      <c r="B205" s="623"/>
      <c r="C205" s="15"/>
      <c r="D205" s="15"/>
      <c r="F205" s="35"/>
      <c r="G205" s="35"/>
      <c r="H205" s="35"/>
      <c r="I205" s="35"/>
      <c r="J205" s="35"/>
      <c r="K205" s="35"/>
      <c r="L205" s="35"/>
      <c r="M205" s="35"/>
      <c r="N205" s="35"/>
      <c r="O205" s="35"/>
      <c r="P205" s="35"/>
      <c r="Q205" s="35"/>
    </row>
    <row r="206" spans="1:17">
      <c r="A206" s="15"/>
      <c r="B206" s="623"/>
      <c r="C206" s="15"/>
      <c r="D206" s="15"/>
      <c r="F206" s="35"/>
      <c r="G206" s="35"/>
      <c r="H206" s="35"/>
      <c r="I206" s="35"/>
      <c r="J206" s="35"/>
      <c r="K206" s="35"/>
      <c r="L206" s="35"/>
      <c r="M206" s="35"/>
      <c r="N206" s="35"/>
      <c r="O206" s="35"/>
      <c r="P206" s="35"/>
      <c r="Q206" s="35"/>
    </row>
    <row r="207" spans="1:17">
      <c r="A207" s="15"/>
      <c r="B207" s="623"/>
      <c r="C207" s="15"/>
      <c r="D207" s="15"/>
      <c r="F207" s="35"/>
      <c r="G207" s="35"/>
      <c r="H207" s="35"/>
      <c r="I207" s="35"/>
      <c r="J207" s="35"/>
      <c r="K207" s="35"/>
      <c r="L207" s="35"/>
      <c r="M207" s="35"/>
      <c r="N207" s="35"/>
      <c r="O207" s="35"/>
      <c r="P207" s="35"/>
      <c r="Q207" s="35"/>
    </row>
    <row r="208" spans="1:17">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53:D53"/>
    <mergeCell ref="C54:D54"/>
    <mergeCell ref="C56:D56"/>
    <mergeCell ref="C57:D57"/>
    <mergeCell ref="D25:E25"/>
    <mergeCell ref="D26:E26"/>
    <mergeCell ref="C14:F14"/>
    <mergeCell ref="C15:F15"/>
    <mergeCell ref="N6:O6"/>
    <mergeCell ref="F34:G34"/>
    <mergeCell ref="C47:D47"/>
    <mergeCell ref="C40:E40"/>
    <mergeCell ref="B75:C75"/>
    <mergeCell ref="K1:L1"/>
    <mergeCell ref="E10:F10"/>
    <mergeCell ref="C16:F16"/>
    <mergeCell ref="K6:L6"/>
    <mergeCell ref="E22:G22"/>
    <mergeCell ref="F23:G23"/>
    <mergeCell ref="H6:I6"/>
    <mergeCell ref="C41:E41"/>
    <mergeCell ref="C62:E62"/>
    <mergeCell ref="C74:E74"/>
    <mergeCell ref="C17:F17"/>
    <mergeCell ref="C19:F19"/>
    <mergeCell ref="N1:O1"/>
    <mergeCell ref="E4:I4"/>
    <mergeCell ref="N3:O4"/>
    <mergeCell ref="J3:L3"/>
    <mergeCell ref="J4:L4"/>
    <mergeCell ref="K2:P2"/>
    <mergeCell ref="C36:E36"/>
    <mergeCell ref="C37:E37"/>
    <mergeCell ref="C73:E73"/>
    <mergeCell ref="C39:E39"/>
    <mergeCell ref="C46:D46"/>
    <mergeCell ref="C68:E68"/>
    <mergeCell ref="C38:E38"/>
    <mergeCell ref="C55:D55"/>
    <mergeCell ref="C51:D51"/>
    <mergeCell ref="C49:D49"/>
    <mergeCell ref="C50:D50"/>
    <mergeCell ref="C42:E42"/>
    <mergeCell ref="C64:E64"/>
    <mergeCell ref="C63:E63"/>
    <mergeCell ref="C48:D48"/>
    <mergeCell ref="C52:D5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4" orientation="portrait" r:id="rId1"/>
  <headerFooter alignWithMargins="0">
    <oddFooter>&amp;L&amp;11LEL Schwäbisch Gmünd&amp;C57&amp;R&amp;11&amp;F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'SDK5'!$S$214:$S$313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7030A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414.36716488440197</v>
      </c>
      <c r="K1" s="4859">
        <f>M1-J1</f>
        <v>149.22499983147054</v>
      </c>
      <c r="L1" s="4859"/>
      <c r="M1" s="1906">
        <f>(M7+M13+M18+M22+L11+L12)-(M23+M27+M34+M43+M60+M65+M67+M69+M71+M75)</f>
        <v>563.59216471587251</v>
      </c>
      <c r="N1" s="4859">
        <f>P1-M1</f>
        <v>173.96587154564736</v>
      </c>
      <c r="O1" s="4859"/>
      <c r="P1" s="1906">
        <f>(P7+P13+P18+P22+O11+O12)-(P23+P27+P34+P43+P60+P65+P67+P69+P71+P75)</f>
        <v>737.55803626151987</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203</v>
      </c>
      <c r="L2" s="4870"/>
      <c r="M2" s="4870"/>
      <c r="N2" s="4870"/>
      <c r="O2" s="4870"/>
      <c r="P2" s="4870"/>
      <c r="Q2" s="1920">
        <v>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20</v>
      </c>
      <c r="K6" s="4849" t="s">
        <v>152</v>
      </c>
      <c r="L6" s="4850"/>
      <c r="M6" s="1887">
        <v>25</v>
      </c>
      <c r="N6" s="4864" t="s">
        <v>178</v>
      </c>
      <c r="O6" s="4865"/>
      <c r="P6" s="1886">
        <v>30</v>
      </c>
      <c r="Q6" s="70"/>
    </row>
    <row r="7" spans="1:41" s="252" customFormat="1" ht="18.75" customHeight="1">
      <c r="A7" s="47"/>
      <c r="B7" s="311" t="s">
        <v>1258</v>
      </c>
      <c r="C7" s="47"/>
      <c r="D7" s="47"/>
      <c r="E7" s="47"/>
      <c r="F7" s="47"/>
      <c r="G7" s="1884"/>
      <c r="H7" s="1881"/>
      <c r="I7" s="1880"/>
      <c r="J7" s="1614">
        <f>SUM(I9:I10)</f>
        <v>996</v>
      </c>
      <c r="K7" s="1883"/>
      <c r="L7" s="1882"/>
      <c r="M7" s="1617">
        <f>SUM(L9:L10)</f>
        <v>1245</v>
      </c>
      <c r="N7" s="1881"/>
      <c r="O7" s="1880"/>
      <c r="P7" s="1614">
        <f>SUM(O9:O10)</f>
        <v>1494</v>
      </c>
      <c r="Q7" s="38"/>
    </row>
    <row r="8" spans="1:41" s="252" customFormat="1" ht="13.15" customHeight="1">
      <c r="A8" s="47"/>
      <c r="B8" s="1799"/>
      <c r="C8" s="1879"/>
      <c r="D8" s="1879"/>
      <c r="E8" s="1879"/>
      <c r="F8" s="3882"/>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'SDK1'!O31</f>
        <v>49.8</v>
      </c>
      <c r="H9" s="1877">
        <f>J6-H10</f>
        <v>20</v>
      </c>
      <c r="I9" s="1873">
        <f>H9*G9</f>
        <v>996</v>
      </c>
      <c r="J9" s="43"/>
      <c r="K9" s="1876">
        <f>M6-K10</f>
        <v>25</v>
      </c>
      <c r="L9" s="1875">
        <f>K9*G9</f>
        <v>1245</v>
      </c>
      <c r="M9" s="1854"/>
      <c r="N9" s="1874">
        <f>P6-N10</f>
        <v>30</v>
      </c>
      <c r="O9" s="1873">
        <f>N9*G9</f>
        <v>1494</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1.7</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168</v>
      </c>
      <c r="K23" s="1619"/>
      <c r="L23" s="1618"/>
      <c r="M23" s="1800">
        <f>SUM(L25:L26)</f>
        <v>168</v>
      </c>
      <c r="N23" s="1616"/>
      <c r="O23" s="1615"/>
      <c r="P23" s="1599">
        <f>SUM(O25:O26)</f>
        <v>168</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t="s">
        <v>1274</v>
      </c>
      <c r="E25" s="4852"/>
      <c r="F25" s="1795">
        <v>280</v>
      </c>
      <c r="G25" s="1794">
        <f>F25*(100+$D$24)/100</f>
        <v>280</v>
      </c>
      <c r="H25" s="1793">
        <v>0.6</v>
      </c>
      <c r="I25" s="1754">
        <f>H25*$G25</f>
        <v>168</v>
      </c>
      <c r="J25" s="45"/>
      <c r="K25" s="1793">
        <f>H25</f>
        <v>0.6</v>
      </c>
      <c r="L25" s="1596">
        <f>K25*$G25</f>
        <v>168</v>
      </c>
      <c r="M25" s="1589"/>
      <c r="N25" s="1793">
        <f>H25</f>
        <v>0.6</v>
      </c>
      <c r="O25" s="1754">
        <f>N25*$G25</f>
        <v>168</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254.45666666666665</v>
      </c>
      <c r="K27" s="1748"/>
      <c r="L27" s="1747"/>
      <c r="M27" s="1617">
        <f>SUM(L30:L33)</f>
        <v>298.02916666666658</v>
      </c>
      <c r="N27" s="1746"/>
      <c r="O27" s="1745"/>
      <c r="P27" s="1614">
        <f>SUM(O30:O33)</f>
        <v>341.60166666666663</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3.35</v>
      </c>
      <c r="F30" s="1774">
        <f>VLOOKUP(K2,'SD8'!B9:L42,7,FALSE)</f>
        <v>1.19</v>
      </c>
      <c r="G30" s="1773">
        <v>50</v>
      </c>
      <c r="H30" s="1771">
        <f>IF(J$6=0,0,(J$6*$E30+$G30+X14))</f>
        <v>117</v>
      </c>
      <c r="I30" s="1754">
        <f>H30*$D30</f>
        <v>187.58999999999997</v>
      </c>
      <c r="J30" s="45"/>
      <c r="K30" s="1772">
        <f>IF(M$6=0,0,(M$6*$E30+$G30+Y14))</f>
        <v>133.75</v>
      </c>
      <c r="L30" s="1596">
        <f>K30*$D30</f>
        <v>214.4458333333333</v>
      </c>
      <c r="M30" s="1589"/>
      <c r="N30" s="1771">
        <f>IF(P$6=0,0,(P$6*$E30+$G30+Z14))</f>
        <v>150.5</v>
      </c>
      <c r="O30" s="1754">
        <f>N30*$D30</f>
        <v>241.30166666666662</v>
      </c>
      <c r="P30" s="1718"/>
      <c r="Q30" s="38"/>
    </row>
    <row r="31" spans="1:26" s="42" customFormat="1" ht="15" customHeight="1">
      <c r="A31" s="1306"/>
      <c r="B31" s="274"/>
      <c r="C31" s="1306" t="s">
        <v>244</v>
      </c>
      <c r="D31" s="1723">
        <f>'SDK1'!O53</f>
        <v>1.0999999999999999</v>
      </c>
      <c r="E31" s="1774">
        <f>VLOOKUP(K2,'SD8'!B9:L42,4,FALSE)</f>
        <v>1.8</v>
      </c>
      <c r="F31" s="1774">
        <f>VLOOKUP(K2,'SD8'!B9:L42,8,FALSE)</f>
        <v>0.67999999999999994</v>
      </c>
      <c r="G31" s="1773"/>
      <c r="H31" s="1771">
        <f>IF(J$6=0,0,(J$6*$E31+$G31+X15))</f>
        <v>36</v>
      </c>
      <c r="I31" s="1754">
        <f>H31*$D31</f>
        <v>39.599999999999994</v>
      </c>
      <c r="J31" s="45"/>
      <c r="K31" s="1772">
        <f>IF(M$6=0,0,(M$6*$E31+$G31+Y15))</f>
        <v>45</v>
      </c>
      <c r="L31" s="1596">
        <f>K31*$D31</f>
        <v>49.499999999999993</v>
      </c>
      <c r="M31" s="1589"/>
      <c r="N31" s="1771">
        <f>IF(P$6=0,0,(P$6*$E31+$G31+Z15))</f>
        <v>54</v>
      </c>
      <c r="O31" s="1754">
        <f>N31*$D31</f>
        <v>59.399999999999991</v>
      </c>
      <c r="P31" s="1718"/>
      <c r="Q31" s="38"/>
    </row>
    <row r="32" spans="1:26" s="42" customFormat="1" ht="15" customHeight="1">
      <c r="A32" s="1306"/>
      <c r="B32" s="274"/>
      <c r="C32" s="1306" t="s">
        <v>242</v>
      </c>
      <c r="D32" s="1723">
        <f>'SDK1'!O54</f>
        <v>1.02</v>
      </c>
      <c r="E32" s="1774">
        <f>VLOOKUP(K2,'SD8'!B9:L42,5,FALSE)</f>
        <v>1</v>
      </c>
      <c r="F32" s="1774">
        <f>VLOOKUP(K2,'SD8'!B9:L42,9,FALSE)</f>
        <v>4.25</v>
      </c>
      <c r="G32" s="1773"/>
      <c r="H32" s="1771">
        <f>IF(J$6=0,0,(J$6*$E32+$G32+X16))</f>
        <v>20</v>
      </c>
      <c r="I32" s="1754">
        <f>H32*$D32</f>
        <v>20.399999999999999</v>
      </c>
      <c r="J32" s="45"/>
      <c r="K32" s="1772">
        <f>IF(M$6=0,0,(M$6*$E32+$G32+Y16))</f>
        <v>25</v>
      </c>
      <c r="L32" s="1596">
        <f>K32*$D32</f>
        <v>25.5</v>
      </c>
      <c r="M32" s="1589"/>
      <c r="N32" s="1771">
        <f>IF(P$6=0,0,(P$6*$E32+$G32+Z16))</f>
        <v>30</v>
      </c>
      <c r="O32" s="1754">
        <f>N32*$D32</f>
        <v>30.6</v>
      </c>
      <c r="P32" s="1718"/>
      <c r="Q32" s="38"/>
    </row>
    <row r="33" spans="1:17" s="42" customFormat="1" ht="15" customHeight="1">
      <c r="A33" s="1306"/>
      <c r="B33" s="239"/>
      <c r="C33" s="1331" t="s">
        <v>240</v>
      </c>
      <c r="D33" s="1706">
        <f>'SDK1'!O55</f>
        <v>0.68666666666666676</v>
      </c>
      <c r="E33" s="1770">
        <f>VLOOKUP(K2,'SD8'!B9:L42,6,FALSE)</f>
        <v>0.5</v>
      </c>
      <c r="F33" s="1770">
        <f>VLOOKUP(K2,'SD8'!B9:L42,10,FALSE)</f>
        <v>0.7</v>
      </c>
      <c r="G33" s="1769"/>
      <c r="H33" s="1767">
        <f>IF(J$6=0,0,(J$6*$E33+$G33+X17))</f>
        <v>10</v>
      </c>
      <c r="I33" s="1750">
        <f>H33*$D33</f>
        <v>6.8666666666666671</v>
      </c>
      <c r="J33" s="45"/>
      <c r="K33" s="1768">
        <f>IF(M$6=0,0,(M$6*$E33+$G33+Y17))</f>
        <v>12.5</v>
      </c>
      <c r="L33" s="1590">
        <f>K33*$D33</f>
        <v>8.5833333333333339</v>
      </c>
      <c r="M33" s="1589"/>
      <c r="N33" s="1767">
        <f>IF(P$6=0,0,(P$6*$E33+$G33+Z17))</f>
        <v>15</v>
      </c>
      <c r="O33" s="1750">
        <f>N33*$D33</f>
        <v>10.3</v>
      </c>
      <c r="P33" s="1749"/>
      <c r="Q33" s="38"/>
    </row>
    <row r="34" spans="1:17" s="708" customFormat="1" ht="18.75" customHeight="1">
      <c r="A34" s="1270"/>
      <c r="B34" s="1276" t="s">
        <v>1234</v>
      </c>
      <c r="C34" s="1270"/>
      <c r="D34" s="37"/>
      <c r="E34" s="37"/>
      <c r="F34" s="4831" t="s">
        <v>1233</v>
      </c>
      <c r="G34" s="4832"/>
      <c r="H34" s="1764"/>
      <c r="I34" s="1763"/>
      <c r="J34" s="1614">
        <f>SUM(I36:I42)</f>
        <v>178.24</v>
      </c>
      <c r="K34" s="1766"/>
      <c r="L34" s="1765"/>
      <c r="M34" s="1617">
        <f>SUM(L36:L42)</f>
        <v>197.06</v>
      </c>
      <c r="N34" s="1764"/>
      <c r="O34" s="1763"/>
      <c r="P34" s="1614">
        <f>SUM(O36:O42)</f>
        <v>197.06</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2192</v>
      </c>
      <c r="D36" s="4857"/>
      <c r="E36" s="4858"/>
      <c r="F36" s="1756">
        <f>IF(C36="",0,VLOOKUP(C36,'SDK5'!C1:AF83,2,FALSE))</f>
        <v>44.5</v>
      </c>
      <c r="G36" s="1756">
        <f>F36*(100+$D$35)/100</f>
        <v>44.5</v>
      </c>
      <c r="H36" s="1755">
        <v>2</v>
      </c>
      <c r="I36" s="1754">
        <f>$G36*H36</f>
        <v>89</v>
      </c>
      <c r="J36" s="45"/>
      <c r="K36" s="1755">
        <v>2</v>
      </c>
      <c r="L36" s="1596">
        <f t="shared" ref="L36:L42" si="0">$G36*K36</f>
        <v>89</v>
      </c>
      <c r="M36" s="1589"/>
      <c r="N36" s="1755">
        <v>2</v>
      </c>
      <c r="O36" s="1754">
        <f t="shared" ref="O36:O42" si="1">$G36*N36</f>
        <v>89</v>
      </c>
      <c r="P36" s="1758"/>
      <c r="Q36" s="38"/>
    </row>
    <row r="37" spans="1:17" s="42" customFormat="1" ht="15" customHeight="1">
      <c r="A37" s="1306"/>
      <c r="B37" s="1594"/>
      <c r="C37" s="4855" t="s">
        <v>692</v>
      </c>
      <c r="D37" s="4855"/>
      <c r="E37" s="4856"/>
      <c r="F37" s="1756">
        <f>IF(C37="",0,VLOOKUP(C37,'SDK5'!C4:AF84,2,FALSE))</f>
        <v>25.9</v>
      </c>
      <c r="G37" s="1756">
        <f t="shared" ref="G37:G42" si="2">F37*(100+$D$35)/100</f>
        <v>25.9</v>
      </c>
      <c r="H37" s="1755">
        <v>0.6</v>
      </c>
      <c r="I37" s="1754">
        <f t="shared" ref="I37:I42" si="3">$G37*H37</f>
        <v>15.54</v>
      </c>
      <c r="J37" s="45"/>
      <c r="K37" s="1755">
        <v>0.6</v>
      </c>
      <c r="L37" s="1596">
        <f t="shared" si="0"/>
        <v>15.54</v>
      </c>
      <c r="M37" s="1589"/>
      <c r="N37" s="1755">
        <v>0.6</v>
      </c>
      <c r="O37" s="1754">
        <f t="shared" si="1"/>
        <v>15.54</v>
      </c>
      <c r="P37" s="1718"/>
      <c r="Q37" s="38"/>
    </row>
    <row r="38" spans="1:17" s="42" customFormat="1" ht="15" customHeight="1">
      <c r="A38" s="1306"/>
      <c r="B38" s="1757"/>
      <c r="C38" s="4855" t="s">
        <v>651</v>
      </c>
      <c r="D38" s="4855"/>
      <c r="E38" s="4856"/>
      <c r="F38" s="1756">
        <f>IF(C38="",0,VLOOKUP(C38,'SDK5'!C5:AF85,2,FALSE))</f>
        <v>73.7</v>
      </c>
      <c r="G38" s="1756">
        <f t="shared" si="2"/>
        <v>73.7</v>
      </c>
      <c r="H38" s="1755">
        <v>1</v>
      </c>
      <c r="I38" s="1754">
        <f t="shared" si="3"/>
        <v>73.7</v>
      </c>
      <c r="J38" s="45"/>
      <c r="K38" s="1755">
        <v>1</v>
      </c>
      <c r="L38" s="1596">
        <f t="shared" si="0"/>
        <v>73.7</v>
      </c>
      <c r="M38" s="1589"/>
      <c r="N38" s="1755">
        <v>1</v>
      </c>
      <c r="O38" s="1754">
        <f t="shared" si="1"/>
        <v>73.7</v>
      </c>
      <c r="P38" s="1718"/>
      <c r="Q38" s="38"/>
    </row>
    <row r="39" spans="1:17" s="42" customFormat="1" ht="15" customHeight="1">
      <c r="A39" s="1306"/>
      <c r="B39" s="1594"/>
      <c r="C39" s="4855" t="s">
        <v>2087</v>
      </c>
      <c r="D39" s="4855"/>
      <c r="E39" s="4856"/>
      <c r="F39" s="1756">
        <f>IF(C39="",0,VLOOKUP(C39,'SDK5'!C6:AF86,2,FALSE))</f>
        <v>94.1</v>
      </c>
      <c r="G39" s="1756">
        <f t="shared" si="2"/>
        <v>94.1</v>
      </c>
      <c r="H39" s="1755"/>
      <c r="I39" s="1754">
        <f t="shared" si="3"/>
        <v>0</v>
      </c>
      <c r="J39" s="45"/>
      <c r="K39" s="1755">
        <v>0.2</v>
      </c>
      <c r="L39" s="1596">
        <f t="shared" si="0"/>
        <v>18.82</v>
      </c>
      <c r="M39" s="1589"/>
      <c r="N39" s="1755">
        <v>0.2</v>
      </c>
      <c r="O39" s="1754">
        <f t="shared" si="1"/>
        <v>18.82</v>
      </c>
      <c r="P39" s="1718"/>
      <c r="Q39" s="38"/>
    </row>
    <row r="40" spans="1:17" s="42" customFormat="1" ht="15" customHeight="1">
      <c r="A40" s="1306"/>
      <c r="B40" s="1594"/>
      <c r="C40" s="4855"/>
      <c r="D40" s="4855"/>
      <c r="E40" s="4856"/>
      <c r="F40" s="1756">
        <f>IF(C40="",0,VLOOKUP(C40,'SDK5'!C7:AF87,2,FALSE))</f>
        <v>0</v>
      </c>
      <c r="G40" s="1756">
        <f t="shared" si="2"/>
        <v>0</v>
      </c>
      <c r="H40" s="1755"/>
      <c r="I40" s="1754">
        <f t="shared" si="3"/>
        <v>0</v>
      </c>
      <c r="J40" s="45"/>
      <c r="K40" s="1755"/>
      <c r="L40" s="1596">
        <f t="shared" si="0"/>
        <v>0</v>
      </c>
      <c r="M40" s="1589"/>
      <c r="N40" s="1755"/>
      <c r="O40" s="1754">
        <f t="shared" si="1"/>
        <v>0</v>
      </c>
      <c r="P40" s="1718"/>
      <c r="Q40" s="38"/>
    </row>
    <row r="41" spans="1:17" s="42" customFormat="1" ht="15" customHeight="1">
      <c r="A41" s="1306"/>
      <c r="B41" s="1594"/>
      <c r="C41" s="4855"/>
      <c r="D41" s="4855"/>
      <c r="E41" s="4856"/>
      <c r="F41" s="1756">
        <f>IF(C41="",0,VLOOKUP(C41,'SDK5'!C8:AF88,2,FALSE))</f>
        <v>0</v>
      </c>
      <c r="G41" s="1756">
        <f t="shared" si="2"/>
        <v>0</v>
      </c>
      <c r="H41" s="1755"/>
      <c r="I41" s="1754">
        <f t="shared" si="3"/>
        <v>0</v>
      </c>
      <c r="J41" s="45"/>
      <c r="K41" s="1755"/>
      <c r="L41" s="1596">
        <f t="shared" si="0"/>
        <v>0</v>
      </c>
      <c r="M41" s="1589"/>
      <c r="N41" s="1755"/>
      <c r="O41" s="1754">
        <f t="shared" si="1"/>
        <v>0</v>
      </c>
      <c r="P41" s="1718"/>
      <c r="Q41" s="38"/>
    </row>
    <row r="42" spans="1:17" s="42" customFormat="1" ht="15" customHeight="1">
      <c r="A42" s="1306"/>
      <c r="B42" s="1753"/>
      <c r="C42" s="4860"/>
      <c r="D42" s="4860"/>
      <c r="E42" s="4861"/>
      <c r="F42" s="1756">
        <f>IF(C42="",0,VLOOKUP(C42,'SDK5'!C9:AF89,2,FALSE))</f>
        <v>0</v>
      </c>
      <c r="G42" s="1752">
        <f t="shared" si="2"/>
        <v>0</v>
      </c>
      <c r="H42" s="1751"/>
      <c r="I42" s="1750">
        <f t="shared" si="3"/>
        <v>0</v>
      </c>
      <c r="J42" s="45"/>
      <c r="K42" s="1751"/>
      <c r="L42" s="1590">
        <f t="shared" si="0"/>
        <v>0</v>
      </c>
      <c r="M42" s="1589"/>
      <c r="N42" s="1751"/>
      <c r="O42" s="1750">
        <f t="shared" si="1"/>
        <v>0</v>
      </c>
      <c r="P42" s="1749"/>
      <c r="Q42" s="38"/>
    </row>
    <row r="43" spans="1:17" s="708" customFormat="1" ht="18.75" customHeight="1">
      <c r="A43" s="1270"/>
      <c r="B43" s="1276" t="s">
        <v>1231</v>
      </c>
      <c r="C43" s="1270"/>
      <c r="D43" s="1270"/>
      <c r="E43" s="1270"/>
      <c r="F43" s="1270"/>
      <c r="G43" s="1620"/>
      <c r="H43" s="1746"/>
      <c r="I43" s="1745"/>
      <c r="J43" s="1614">
        <f>SUM(J46:J57)</f>
        <v>140.86697071529412</v>
      </c>
      <c r="K43" s="1748"/>
      <c r="L43" s="1747"/>
      <c r="M43" s="1617">
        <f>SUM(M46:M57)</f>
        <v>147.32275038588236</v>
      </c>
      <c r="N43" s="1746"/>
      <c r="O43" s="1745"/>
      <c r="P43" s="1614">
        <f>SUM(P46:P57)</f>
        <v>148.01132835294121</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35" t="s">
        <v>515</v>
      </c>
      <c r="D46" s="4836"/>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2</v>
      </c>
      <c r="L48" s="1722">
        <f t="shared" si="6"/>
        <v>0.64</v>
      </c>
      <c r="M48" s="1721">
        <f t="shared" si="7"/>
        <v>7.202830832941177</v>
      </c>
      <c r="N48" s="1720">
        <v>2</v>
      </c>
      <c r="O48" s="1719">
        <f t="shared" si="8"/>
        <v>0.64</v>
      </c>
      <c r="P48" s="1718">
        <f t="shared" si="9"/>
        <v>7.202830832941177</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4</v>
      </c>
      <c r="L49" s="1722">
        <f t="shared" si="6"/>
        <v>1.44</v>
      </c>
      <c r="M49" s="1721">
        <f t="shared" si="7"/>
        <v>23.068806814117647</v>
      </c>
      <c r="N49" s="1720">
        <v>4</v>
      </c>
      <c r="O49" s="1719">
        <f t="shared" si="8"/>
        <v>1.44</v>
      </c>
      <c r="P49" s="1718">
        <f t="shared" si="9"/>
        <v>23.068806814117647</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0.3</v>
      </c>
      <c r="I50" s="1719">
        <f t="shared" si="4"/>
        <v>0.12</v>
      </c>
      <c r="J50" s="1718">
        <f t="shared" si="5"/>
        <v>2.0657339011764706</v>
      </c>
      <c r="K50" s="1720">
        <v>0.4</v>
      </c>
      <c r="L50" s="1722">
        <f t="shared" si="6"/>
        <v>0.16000000000000003</v>
      </c>
      <c r="M50" s="1721">
        <f t="shared" si="7"/>
        <v>2.7543118682352947</v>
      </c>
      <c r="N50" s="1720">
        <v>0.5</v>
      </c>
      <c r="O50" s="1719">
        <f t="shared" si="8"/>
        <v>0.2</v>
      </c>
      <c r="P50" s="1718">
        <f t="shared" si="9"/>
        <v>3.442889835294118</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5.2600000000000007</v>
      </c>
      <c r="J58" s="1701"/>
      <c r="K58" s="1700"/>
      <c r="L58" s="1699">
        <f>SUM($L$46:$L$57)</f>
        <v>5.66</v>
      </c>
      <c r="M58" s="1698"/>
      <c r="N58" s="1697"/>
      <c r="O58" s="1696">
        <f>SUM($O$46:$O$57)</f>
        <v>5.7</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9.4680000000000017</v>
      </c>
      <c r="J59" s="1686"/>
      <c r="K59" s="1691"/>
      <c r="L59" s="1690">
        <f>IF(L58+SUM($L$46:$L$57)*$E$59%&gt;L58+10,L58+10,L58+SUM($L$46:$L$57)*$E$59%)</f>
        <v>10.188000000000001</v>
      </c>
      <c r="M59" s="1689"/>
      <c r="N59" s="1688"/>
      <c r="O59" s="1687">
        <f>IF(O58+SUM($O$46:$O$57)*$E$59%&gt;O58+10,O58+10,O58+SUM($O$46:$O$57)*$E$59%)</f>
        <v>10.260000000000002</v>
      </c>
      <c r="P59" s="1686"/>
      <c r="Q59" s="38"/>
    </row>
    <row r="60" spans="1:17" s="42" customFormat="1" ht="18.75" customHeight="1">
      <c r="A60" s="1306"/>
      <c r="B60" s="1276" t="s">
        <v>1220</v>
      </c>
      <c r="C60" s="1373"/>
      <c r="D60" s="1373"/>
      <c r="E60" s="45"/>
      <c r="F60" s="45"/>
      <c r="G60" s="1685"/>
      <c r="H60" s="1677"/>
      <c r="I60" s="1676"/>
      <c r="J60" s="1684">
        <f>IF(J6=0,0,SUM(I62:I64))</f>
        <v>167.8</v>
      </c>
      <c r="K60" s="1680"/>
      <c r="L60" s="1679"/>
      <c r="M60" s="1617">
        <f>IF(M6=0,0,SUM(L62:L64))</f>
        <v>167.8</v>
      </c>
      <c r="N60" s="1677"/>
      <c r="O60" s="1676"/>
      <c r="P60" s="1684">
        <f>IF(P6=0,0,SUM(O62:O64))</f>
        <v>167.8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346</v>
      </c>
      <c r="D62" s="4833"/>
      <c r="E62" s="4833"/>
      <c r="F62" s="1674">
        <f>IF($C62=0,0,VLOOKUP($C62,'SDK3'!$C$98:$D$119,2,FALSE))</f>
        <v>167.8</v>
      </c>
      <c r="G62" s="1673">
        <f>(100+$D$61)/100*F62</f>
        <v>167.8</v>
      </c>
      <c r="H62" s="227"/>
      <c r="I62" s="1669">
        <f>$G$62</f>
        <v>167.8</v>
      </c>
      <c r="J62" s="227"/>
      <c r="K62" s="1672"/>
      <c r="L62" s="1671">
        <f>$G$62</f>
        <v>167.8</v>
      </c>
      <c r="M62" s="1589"/>
      <c r="N62" s="1670"/>
      <c r="O62" s="1669">
        <f>$G$62</f>
        <v>167.8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78.400000000000006</v>
      </c>
      <c r="K67" s="1641" t="s">
        <v>1217</v>
      </c>
      <c r="L67" s="1640" t="s">
        <v>1216</v>
      </c>
      <c r="M67" s="1617">
        <f>S68*(K9+K10)*L68%+F68</f>
        <v>98.000000000000014</v>
      </c>
      <c r="N67" s="1639" t="s">
        <v>1217</v>
      </c>
      <c r="O67" s="1638" t="s">
        <v>1216</v>
      </c>
      <c r="P67" s="1614">
        <f>T68*(N9+N10)*O68%+F68</f>
        <v>117.60000000000001</v>
      </c>
      <c r="Q67" s="38"/>
    </row>
    <row r="68" spans="1:20" s="708" customFormat="1" ht="15" customHeight="1">
      <c r="A68" s="1270"/>
      <c r="B68" s="1637"/>
      <c r="C68" s="4839" t="s">
        <v>1215</v>
      </c>
      <c r="D68" s="4839"/>
      <c r="E68" s="4839"/>
      <c r="F68" s="1636"/>
      <c r="G68" s="1627" t="s">
        <v>171</v>
      </c>
      <c r="H68" s="1634">
        <v>11</v>
      </c>
      <c r="I68" s="1633">
        <v>100</v>
      </c>
      <c r="J68" s="1632"/>
      <c r="K68" s="1634">
        <v>11</v>
      </c>
      <c r="L68" s="1633">
        <v>100</v>
      </c>
      <c r="M68" s="1635"/>
      <c r="N68" s="1634">
        <v>11</v>
      </c>
      <c r="O68" s="1633">
        <v>100</v>
      </c>
      <c r="P68" s="1632"/>
      <c r="Q68" s="38"/>
      <c r="R68" s="1631">
        <f>IF($H$68=0,0,VLOOKUP($H$68,'SD6'!J8:K156,'SD6'!$I$1,FALSE))*(1+'SDK1'!O11/100)</f>
        <v>3.9200000000000004</v>
      </c>
      <c r="S68" s="1631">
        <f>IF($K$68=0,0,VLOOKUP($K$68,'SD6'!J8:K156,'SD6'!I1,FALSE))*(1+'SDK1'!O11/100)</f>
        <v>3.9200000000000004</v>
      </c>
      <c r="T68" s="1631">
        <f>IF($N$68=0,0,VLOOKUP($N$68,'SD6'!J8:K156,'SD6'!I1,FALSE))*(1+'SDK1'!O11/100)</f>
        <v>3.9200000000000004</v>
      </c>
    </row>
    <row r="69" spans="1:20" s="708" customFormat="1" ht="18.75" customHeight="1">
      <c r="A69" s="1270"/>
      <c r="B69" s="1276" t="s">
        <v>1214</v>
      </c>
      <c r="C69" s="1270"/>
      <c r="D69" s="1270"/>
      <c r="E69" s="38"/>
      <c r="F69" s="38"/>
      <c r="G69" s="1620"/>
      <c r="H69" s="44"/>
      <c r="I69" s="73"/>
      <c r="J69" s="1614">
        <f>H70*$F70/1000</f>
        <v>42.828000000000003</v>
      </c>
      <c r="K69" s="1630"/>
      <c r="L69" s="1629"/>
      <c r="M69" s="1617">
        <f>K70*$F70/1000</f>
        <v>53.534999999999997</v>
      </c>
      <c r="N69" s="44"/>
      <c r="O69" s="73"/>
      <c r="P69" s="1614">
        <f>N70*$F70/1000</f>
        <v>64.242000000000004</v>
      </c>
      <c r="Q69" s="38"/>
    </row>
    <row r="70" spans="1:20" s="708" customFormat="1" ht="15" customHeight="1">
      <c r="A70" s="1270"/>
      <c r="B70" s="1332"/>
      <c r="C70" s="1331" t="s">
        <v>896</v>
      </c>
      <c r="D70" s="353"/>
      <c r="E70" s="280"/>
      <c r="F70" s="1628">
        <f>'SDK7'!G106</f>
        <v>43</v>
      </c>
      <c r="G70" s="1627" t="s">
        <v>171</v>
      </c>
      <c r="H70" s="1623">
        <f>I9+I10</f>
        <v>996</v>
      </c>
      <c r="I70" s="1622"/>
      <c r="J70" s="1621"/>
      <c r="K70" s="1626">
        <f>L9+L10</f>
        <v>1245</v>
      </c>
      <c r="L70" s="1625"/>
      <c r="M70" s="1624"/>
      <c r="N70" s="1623">
        <f>O9+O10</f>
        <v>1494</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6.4411977336372557</v>
      </c>
      <c r="K75" s="711"/>
      <c r="L75" s="1056"/>
      <c r="M75" s="1578">
        <f>(M23+M27+M34+M43+M60+M65+M67+M69+M71)*('SDK1'!$O$59%*$G$75/12)</f>
        <v>7.060918231578432</v>
      </c>
      <c r="N75" s="1580"/>
      <c r="O75" s="1579"/>
      <c r="P75" s="1578">
        <f>(P23+P27+P34+P43+P60+P65+P67+P69+P71)*('SDK1'!$O$59%*$G$75/12)</f>
        <v>7.5269687188725474</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6" orientation="portrait" r:id="rId1"/>
  <headerFooter alignWithMargins="0">
    <oddFooter>&amp;L&amp;11LEL Schwäbisch Gmünd&amp;C59&amp;R&amp;11&amp;F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'SDK5'!$T$214:$T$313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4">
    <tabColor theme="8" tint="0.39997558519241921"/>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33" width="10.5" style="35" customWidth="1"/>
    <col min="34" max="16384" width="10.5" style="35"/>
  </cols>
  <sheetData>
    <row r="1" spans="1:41" s="1891" customFormat="1" ht="30.4" customHeight="1">
      <c r="A1" s="1895"/>
      <c r="B1" s="326"/>
      <c r="C1" s="1908"/>
      <c r="D1" s="1827"/>
      <c r="E1" s="323"/>
      <c r="F1" s="323"/>
      <c r="G1" s="607"/>
      <c r="H1" s="1902"/>
      <c r="I1" s="1907" t="s">
        <v>1264</v>
      </c>
      <c r="J1" s="1906">
        <f>(J7+J13+J18+J22+I11+I12)-(J23+J27+J34+J43+J60+J65+J67+J69+J71+J75)</f>
        <v>560.52730507557828</v>
      </c>
      <c r="K1" s="4859">
        <f>M1-J1</f>
        <v>299.40894929962735</v>
      </c>
      <c r="L1" s="4859"/>
      <c r="M1" s="1906">
        <f>(M7+M13+M18+M22+L11+L12)-(M23+M27+M34+M43+M60+M65+M67+M69+M71+M75)</f>
        <v>859.93625437520564</v>
      </c>
      <c r="N1" s="4859">
        <f>P1-M1</f>
        <v>299.40894929962724</v>
      </c>
      <c r="O1" s="4859"/>
      <c r="P1" s="1906">
        <f>(P7+P13+P18+P22+O11+O12)-(P23+P27+P34+P43+P60+P65+P67+P69+P71+P75)</f>
        <v>1159.3452036748329</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201</v>
      </c>
      <c r="L2" s="4870"/>
      <c r="M2" s="4870"/>
      <c r="N2" s="4870"/>
      <c r="O2" s="4870"/>
      <c r="P2" s="4870"/>
      <c r="Q2" s="1920">
        <v>0</v>
      </c>
    </row>
    <row r="3" spans="1:41" s="1891" customFormat="1" ht="21.75" customHeight="1">
      <c r="A3" s="1895"/>
      <c r="B3" s="1919"/>
      <c r="H3" s="1902"/>
      <c r="J3" s="4866"/>
      <c r="K3" s="4886"/>
      <c r="L3" s="4886"/>
      <c r="M3" s="1943"/>
      <c r="N3" s="4884"/>
      <c r="O3" s="4885"/>
      <c r="P3" s="1900"/>
      <c r="Q3" s="1895"/>
      <c r="T3" s="1918" t="b">
        <v>0</v>
      </c>
    </row>
    <row r="4" spans="1:41" s="1891" customFormat="1" ht="20.25" customHeight="1">
      <c r="A4" s="1895"/>
      <c r="B4" s="377" t="s">
        <v>1154</v>
      </c>
      <c r="C4" s="35"/>
      <c r="D4" s="35"/>
      <c r="E4" s="4830" t="s">
        <v>1268</v>
      </c>
      <c r="F4" s="4830"/>
      <c r="G4" s="4830"/>
      <c r="H4" s="4830"/>
      <c r="I4" s="4830"/>
      <c r="J4" s="4866"/>
      <c r="K4" s="4886"/>
      <c r="L4" s="4886"/>
      <c r="M4" s="1942"/>
      <c r="N4" s="4885"/>
      <c r="O4" s="4885"/>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20</v>
      </c>
      <c r="K6" s="4849" t="s">
        <v>152</v>
      </c>
      <c r="L6" s="4850"/>
      <c r="M6" s="1887">
        <v>27</v>
      </c>
      <c r="N6" s="4864" t="s">
        <v>178</v>
      </c>
      <c r="O6" s="4865"/>
      <c r="P6" s="1886">
        <v>34</v>
      </c>
      <c r="Q6" s="70"/>
    </row>
    <row r="7" spans="1:41" s="252" customFormat="1" ht="18.75" customHeight="1">
      <c r="A7" s="47"/>
      <c r="B7" s="311" t="s">
        <v>1258</v>
      </c>
      <c r="C7" s="47"/>
      <c r="D7" s="47"/>
      <c r="E7" s="47"/>
      <c r="F7" s="47"/>
      <c r="G7" s="1884"/>
      <c r="H7" s="1881"/>
      <c r="I7" s="1880"/>
      <c r="J7" s="1614">
        <f>SUM(I9:I10)</f>
        <v>1023.3333333333331</v>
      </c>
      <c r="K7" s="1883"/>
      <c r="L7" s="1882"/>
      <c r="M7" s="1617">
        <f>SUM(L9:L10)</f>
        <v>1381.4999999999998</v>
      </c>
      <c r="N7" s="1881"/>
      <c r="O7" s="1880"/>
      <c r="P7" s="1614">
        <f>SUM(O9:O10)</f>
        <v>1739.6666666666663</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'SDK1'!O33</f>
        <v>51.166666666666657</v>
      </c>
      <c r="H9" s="1877">
        <f>J6-H10</f>
        <v>20</v>
      </c>
      <c r="I9" s="1873">
        <f>H9*G9</f>
        <v>1023.3333333333331</v>
      </c>
      <c r="J9" s="43"/>
      <c r="K9" s="1876">
        <f>M6-K10</f>
        <v>27</v>
      </c>
      <c r="L9" s="1875">
        <f>K9*G9</f>
        <v>1381.4999999999998</v>
      </c>
      <c r="M9" s="1854"/>
      <c r="N9" s="1874">
        <f>P6-N10</f>
        <v>34</v>
      </c>
      <c r="O9" s="1873">
        <f>N9*G9</f>
        <v>1739.6666666666663</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3965">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340</v>
      </c>
      <c r="K23" s="1619"/>
      <c r="L23" s="1618"/>
      <c r="M23" s="1800">
        <f>SUM(L25:L26)</f>
        <v>340</v>
      </c>
      <c r="N23" s="1616"/>
      <c r="O23" s="1615"/>
      <c r="P23" s="1599">
        <f>SUM(O25:O26)</f>
        <v>340</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'SDK7'!F65</f>
        <v>85</v>
      </c>
      <c r="G25" s="1794">
        <f>F25*(100+$D$24)/100</f>
        <v>85</v>
      </c>
      <c r="H25" s="1793">
        <v>4</v>
      </c>
      <c r="I25" s="1754">
        <f>H25*$G25</f>
        <v>340</v>
      </c>
      <c r="J25" s="45"/>
      <c r="K25" s="1793">
        <v>4</v>
      </c>
      <c r="L25" s="1596">
        <f>K25*$G25</f>
        <v>340</v>
      </c>
      <c r="M25" s="1589"/>
      <c r="N25" s="1793">
        <v>4</v>
      </c>
      <c r="O25" s="1754">
        <f>N25*$G25</f>
        <v>340</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47.754400000000018</v>
      </c>
      <c r="K27" s="1748"/>
      <c r="L27" s="1747"/>
      <c r="M27" s="1617">
        <f>SUM(L30:L33)</f>
        <v>64.468440000000029</v>
      </c>
      <c r="N27" s="1746"/>
      <c r="O27" s="1745"/>
      <c r="P27" s="1614">
        <f>SUM(O30:O33)</f>
        <v>81.182480000000041</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-0.89999999999999947</v>
      </c>
      <c r="F30" s="1774">
        <f>VLOOKUP(K2,'SD8'!B9:L42,7,FALSE)</f>
        <v>1.5</v>
      </c>
      <c r="G30" s="1773"/>
      <c r="H30" s="1771">
        <f>IF(J$6=0,0,(J$6*$E30+$G30+X14))</f>
        <v>-17.999999999999989</v>
      </c>
      <c r="I30" s="1754">
        <f>H30*$D30</f>
        <v>-28.859999999999978</v>
      </c>
      <c r="J30" s="45"/>
      <c r="K30" s="1772">
        <f>IF(M$6=0,0,(M$6*$E30+$G30+Y14))</f>
        <v>-24.299999999999986</v>
      </c>
      <c r="L30" s="1596">
        <f>K30*$D30</f>
        <v>-38.96099999999997</v>
      </c>
      <c r="M30" s="1589"/>
      <c r="N30" s="1771">
        <f>IF(P$6=0,0,(P$6*$E30+$G30+Z14))</f>
        <v>-30.59999999999998</v>
      </c>
      <c r="O30" s="1754">
        <f>N30*$D30</f>
        <v>-49.061999999999962</v>
      </c>
      <c r="P30" s="1718"/>
      <c r="Q30" s="38"/>
    </row>
    <row r="31" spans="1:26" s="42" customFormat="1" ht="15" customHeight="1">
      <c r="A31" s="1306"/>
      <c r="B31" s="274"/>
      <c r="C31" s="1306" t="s">
        <v>244</v>
      </c>
      <c r="D31" s="1723">
        <f>'SDK1'!O53</f>
        <v>1.0999999999999999</v>
      </c>
      <c r="E31" s="1774">
        <f>VLOOKUP(K2,'SD8'!B9:L42,4,FALSE)</f>
        <v>1.5</v>
      </c>
      <c r="F31" s="1774">
        <f>VLOOKUP(K2,'SD8'!B9:L42,8,FALSE)</f>
        <v>0.30000000000000004</v>
      </c>
      <c r="G31" s="1773"/>
      <c r="H31" s="1771">
        <f>IF(J$6=0,0,(J$6*$E31+$G31+X15))</f>
        <v>30</v>
      </c>
      <c r="I31" s="1754">
        <f>H31*$D31</f>
        <v>32.999999999999993</v>
      </c>
      <c r="J31" s="45"/>
      <c r="K31" s="1772">
        <f>IF(M$6=0,0,(M$6*$E31+$G31+Y15))</f>
        <v>40.5</v>
      </c>
      <c r="L31" s="1596">
        <f>K31*$D31</f>
        <v>44.55</v>
      </c>
      <c r="M31" s="1589"/>
      <c r="N31" s="1771">
        <f>IF(P$6=0,0,(P$6*$E31+$G31+Z15))</f>
        <v>51</v>
      </c>
      <c r="O31" s="1754">
        <f>N31*$D31</f>
        <v>56.099999999999994</v>
      </c>
      <c r="P31" s="1718"/>
      <c r="Q31" s="38"/>
    </row>
    <row r="32" spans="1:26" s="42" customFormat="1" ht="15" customHeight="1">
      <c r="A32" s="1306"/>
      <c r="B32" s="274"/>
      <c r="C32" s="1306" t="s">
        <v>242</v>
      </c>
      <c r="D32" s="1723">
        <f>'SDK1'!O54</f>
        <v>1.02</v>
      </c>
      <c r="E32" s="1774">
        <f>VLOOKUP(K2,'SD8'!B9:L42,5,FALSE)</f>
        <v>1.9359999999999999</v>
      </c>
      <c r="F32" s="1774">
        <f>VLOOKUP(K2,'SD8'!B9:L42,9,FALSE)</f>
        <v>3.2839999999999998</v>
      </c>
      <c r="G32" s="1773"/>
      <c r="H32" s="1771">
        <f>IF(J$6=0,0,(J$6*$E32+$G32+X16))</f>
        <v>38.72</v>
      </c>
      <c r="I32" s="1754">
        <f>H32*$D32</f>
        <v>39.494399999999999</v>
      </c>
      <c r="J32" s="45"/>
      <c r="K32" s="1772">
        <f>IF(M$6=0,0,(M$6*$E32+$G32+Y16))</f>
        <v>52.271999999999998</v>
      </c>
      <c r="L32" s="1596">
        <f>K32*$D32</f>
        <v>53.317439999999998</v>
      </c>
      <c r="M32" s="1589"/>
      <c r="N32" s="1771">
        <f>IF(P$6=0,0,(P$6*$E32+$G32+Z16))</f>
        <v>65.823999999999998</v>
      </c>
      <c r="O32" s="1754">
        <f>N32*$D32</f>
        <v>67.140479999999997</v>
      </c>
      <c r="P32" s="1718"/>
      <c r="Q32" s="38"/>
    </row>
    <row r="33" spans="1:17" s="42" customFormat="1" ht="15" customHeight="1">
      <c r="A33" s="1306"/>
      <c r="B33" s="239"/>
      <c r="C33" s="1331" t="s">
        <v>240</v>
      </c>
      <c r="D33" s="1706">
        <f>'SDK1'!O55</f>
        <v>0.68666666666666676</v>
      </c>
      <c r="E33" s="1770">
        <f>VLOOKUP(K2,'SD8'!B9:L42,6,FALSE)</f>
        <v>0.3</v>
      </c>
      <c r="F33" s="1770">
        <f>VLOOKUP(K2,'SD8'!B9:L42,10,FALSE)</f>
        <v>0.66999999999999993</v>
      </c>
      <c r="G33" s="1769"/>
      <c r="H33" s="1767">
        <f>IF(J$6=0,0,(J$6*$E33+$G33+X17))</f>
        <v>6</v>
      </c>
      <c r="I33" s="1750">
        <f>H33*$D33</f>
        <v>4.120000000000001</v>
      </c>
      <c r="J33" s="45"/>
      <c r="K33" s="1768">
        <f>IF(M$6=0,0,(M$6*$E33+$G33+Y17))</f>
        <v>8.1</v>
      </c>
      <c r="L33" s="1590">
        <f>K33*$D33</f>
        <v>5.5620000000000003</v>
      </c>
      <c r="M33" s="1589"/>
      <c r="N33" s="1767">
        <f>IF(P$6=0,0,(P$6*$E33+$G33+Z17))</f>
        <v>10.199999999999999</v>
      </c>
      <c r="O33" s="1750">
        <f>N33*$D33</f>
        <v>7.0040000000000004</v>
      </c>
      <c r="P33" s="1749"/>
      <c r="Q33" s="38"/>
    </row>
    <row r="34" spans="1:17" s="708" customFormat="1" ht="18.75" customHeight="1">
      <c r="A34" s="1270"/>
      <c r="B34" s="1276" t="s">
        <v>1234</v>
      </c>
      <c r="C34" s="1270"/>
      <c r="D34" s="37"/>
      <c r="E34" s="37"/>
      <c r="F34" s="4831" t="s">
        <v>1233</v>
      </c>
      <c r="G34" s="4832"/>
      <c r="H34" s="1764"/>
      <c r="I34" s="1763"/>
      <c r="J34" s="1614">
        <f>SUM(I36:I42)</f>
        <v>77.069999999999993</v>
      </c>
      <c r="K34" s="1766"/>
      <c r="L34" s="1765"/>
      <c r="M34" s="1617">
        <f>SUM(L36:L42)</f>
        <v>77.069999999999993</v>
      </c>
      <c r="N34" s="1764"/>
      <c r="O34" s="1763"/>
      <c r="P34" s="1614">
        <f>SUM(O36:O42)</f>
        <v>77.069999999999993</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661</v>
      </c>
      <c r="D36" s="4857"/>
      <c r="E36" s="4858"/>
      <c r="F36" s="1756">
        <f>IF(C36="",0,VLOOKUP(C36,'SDK5'!C3:AF83,2,FALSE))</f>
        <v>52.5</v>
      </c>
      <c r="G36" s="1756">
        <f t="shared" ref="G36:G42" si="0">F36*(100+$D$35)/100</f>
        <v>52.5</v>
      </c>
      <c r="H36" s="1949">
        <v>0.3</v>
      </c>
      <c r="I36" s="1754">
        <f t="shared" ref="I36:I42" si="1">$G36*H36</f>
        <v>15.75</v>
      </c>
      <c r="J36" s="45"/>
      <c r="K36" s="1949">
        <v>0.3</v>
      </c>
      <c r="L36" s="1596">
        <f t="shared" ref="L36:L42" si="2">$G36*K36</f>
        <v>15.75</v>
      </c>
      <c r="M36" s="1589"/>
      <c r="N36" s="1949">
        <v>0.3</v>
      </c>
      <c r="O36" s="1754">
        <f t="shared" ref="O36:O42" si="3">$G36*N36</f>
        <v>15.75</v>
      </c>
      <c r="P36" s="1758"/>
      <c r="Q36" s="38"/>
    </row>
    <row r="37" spans="1:17" s="42" customFormat="1" ht="15" customHeight="1">
      <c r="A37" s="1306"/>
      <c r="B37" s="1594"/>
      <c r="C37" s="4855" t="s">
        <v>1983</v>
      </c>
      <c r="D37" s="4855"/>
      <c r="E37" s="4856"/>
      <c r="F37" s="1756">
        <f>IF(C37="",0,VLOOKUP(C37,'SDK5'!C4:AF84,2,FALSE))</f>
        <v>29.9</v>
      </c>
      <c r="G37" s="1756">
        <f t="shared" si="0"/>
        <v>29.9</v>
      </c>
      <c r="H37" s="1949">
        <v>0.8</v>
      </c>
      <c r="I37" s="1754">
        <f t="shared" si="1"/>
        <v>23.92</v>
      </c>
      <c r="J37" s="45"/>
      <c r="K37" s="1949">
        <v>0.8</v>
      </c>
      <c r="L37" s="1596">
        <f t="shared" si="2"/>
        <v>23.92</v>
      </c>
      <c r="M37" s="1589"/>
      <c r="N37" s="1949">
        <v>0.8</v>
      </c>
      <c r="O37" s="1754">
        <f t="shared" si="3"/>
        <v>23.92</v>
      </c>
      <c r="P37" s="1718"/>
      <c r="Q37" s="38"/>
    </row>
    <row r="38" spans="1:17" s="42" customFormat="1" ht="15" customHeight="1">
      <c r="A38" s="1306"/>
      <c r="B38" s="1757"/>
      <c r="C38" s="4855" t="s">
        <v>699</v>
      </c>
      <c r="D38" s="4855"/>
      <c r="E38" s="4856"/>
      <c r="F38" s="1756">
        <f>IF(C38="",0,VLOOKUP(C38,'SDK5'!C5:AF85,2,FALSE))</f>
        <v>149.6</v>
      </c>
      <c r="G38" s="1756">
        <f t="shared" si="0"/>
        <v>149.6</v>
      </c>
      <c r="H38" s="1949">
        <v>0.25</v>
      </c>
      <c r="I38" s="1754">
        <f t="shared" si="1"/>
        <v>37.4</v>
      </c>
      <c r="J38" s="45"/>
      <c r="K38" s="1949">
        <v>0.25</v>
      </c>
      <c r="L38" s="1596">
        <f t="shared" si="2"/>
        <v>37.4</v>
      </c>
      <c r="M38" s="1589"/>
      <c r="N38" s="1949">
        <v>0.25</v>
      </c>
      <c r="O38" s="1754">
        <f t="shared" si="3"/>
        <v>37.4</v>
      </c>
      <c r="P38" s="1718"/>
      <c r="Q38" s="38"/>
    </row>
    <row r="39" spans="1:17" s="42" customFormat="1" ht="15" customHeight="1">
      <c r="A39" s="1306"/>
      <c r="B39" s="1594"/>
      <c r="C39" s="4855"/>
      <c r="D39" s="4855"/>
      <c r="E39" s="4856"/>
      <c r="F39" s="1756">
        <f>IF(C39="",0,VLOOKUP(C39,'SDK5'!C6:AF86,2,FALSE))</f>
        <v>0</v>
      </c>
      <c r="G39" s="1756">
        <f t="shared" si="0"/>
        <v>0</v>
      </c>
      <c r="H39" s="1949"/>
      <c r="I39" s="1754">
        <f t="shared" si="1"/>
        <v>0</v>
      </c>
      <c r="J39" s="45"/>
      <c r="K39" s="1949"/>
      <c r="L39" s="1596">
        <f t="shared" si="2"/>
        <v>0</v>
      </c>
      <c r="M39" s="1589"/>
      <c r="N39" s="1949"/>
      <c r="O39" s="1754">
        <f t="shared" si="3"/>
        <v>0</v>
      </c>
      <c r="P39" s="1718"/>
      <c r="Q39" s="38"/>
    </row>
    <row r="40" spans="1:17" s="42" customFormat="1" ht="15" customHeight="1">
      <c r="A40" s="1306"/>
      <c r="B40" s="1594"/>
      <c r="C40" s="4855"/>
      <c r="D40" s="4855"/>
      <c r="E40" s="4856"/>
      <c r="F40" s="1756">
        <f>IF(C40="",0,VLOOKUP(C40,'SDK5'!C7:AF87,2,FALSE))</f>
        <v>0</v>
      </c>
      <c r="G40" s="1756">
        <f t="shared" si="0"/>
        <v>0</v>
      </c>
      <c r="H40" s="1949"/>
      <c r="I40" s="1754">
        <f t="shared" si="1"/>
        <v>0</v>
      </c>
      <c r="J40" s="45"/>
      <c r="K40" s="1949"/>
      <c r="L40" s="1596">
        <f t="shared" si="2"/>
        <v>0</v>
      </c>
      <c r="M40" s="1589"/>
      <c r="N40" s="1949"/>
      <c r="O40" s="1754">
        <f t="shared" si="3"/>
        <v>0</v>
      </c>
      <c r="P40" s="1718"/>
      <c r="Q40" s="38"/>
    </row>
    <row r="41" spans="1:17" s="42" customFormat="1" ht="15" customHeight="1">
      <c r="A41" s="1306"/>
      <c r="B41" s="1594"/>
      <c r="C41" s="4855"/>
      <c r="D41" s="4855"/>
      <c r="E41" s="4856"/>
      <c r="F41" s="1756">
        <f>IF(C41="",0,VLOOKUP(C41,'SDK5'!C8:AF88,2,FALSE))</f>
        <v>0</v>
      </c>
      <c r="G41" s="1756">
        <f t="shared" si="0"/>
        <v>0</v>
      </c>
      <c r="H41" s="1949"/>
      <c r="I41" s="1754">
        <f t="shared" si="1"/>
        <v>0</v>
      </c>
      <c r="J41" s="45"/>
      <c r="K41" s="1949"/>
      <c r="L41" s="1596">
        <f t="shared" si="2"/>
        <v>0</v>
      </c>
      <c r="M41" s="1589"/>
      <c r="N41" s="1949"/>
      <c r="O41" s="1754">
        <f t="shared" si="3"/>
        <v>0</v>
      </c>
      <c r="P41" s="1718"/>
      <c r="Q41" s="38"/>
    </row>
    <row r="42" spans="1:17" s="42" customFormat="1" ht="15" customHeight="1">
      <c r="A42" s="1306"/>
      <c r="B42" s="1753"/>
      <c r="C42" s="4860"/>
      <c r="D42" s="4860"/>
      <c r="E42" s="4861"/>
      <c r="F42" s="1752">
        <f>IF(C42="",0,VLOOKUP(C42,'SDK5'!C9:AF89,2,FALSE))</f>
        <v>0</v>
      </c>
      <c r="G42" s="1752">
        <f t="shared" si="0"/>
        <v>0</v>
      </c>
      <c r="H42" s="1950"/>
      <c r="I42" s="1750">
        <f t="shared" si="1"/>
        <v>0</v>
      </c>
      <c r="J42" s="45"/>
      <c r="K42" s="1950"/>
      <c r="L42" s="1590">
        <f t="shared" si="2"/>
        <v>0</v>
      </c>
      <c r="M42" s="1589"/>
      <c r="N42" s="1950"/>
      <c r="O42" s="1750">
        <f t="shared" si="3"/>
        <v>0</v>
      </c>
      <c r="P42" s="1749"/>
      <c r="Q42" s="38"/>
    </row>
    <row r="43" spans="1:17" s="708" customFormat="1" ht="18.75" customHeight="1">
      <c r="A43" s="1270"/>
      <c r="B43" s="1276" t="s">
        <v>1231</v>
      </c>
      <c r="C43" s="1270"/>
      <c r="D43" s="1270"/>
      <c r="E43" s="1270"/>
      <c r="F43" s="1270"/>
      <c r="G43" s="1620"/>
      <c r="H43" s="1746"/>
      <c r="I43" s="1745"/>
      <c r="J43" s="1614">
        <f>SUM(J46:J57)</f>
        <v>125.73115189176471</v>
      </c>
      <c r="K43" s="1949"/>
      <c r="L43" s="1747"/>
      <c r="M43" s="1617">
        <f>SUM(M46:M57)</f>
        <v>127.10830782588236</v>
      </c>
      <c r="N43" s="1746"/>
      <c r="O43" s="1745"/>
      <c r="P43" s="1614">
        <f>SUM(P46:P57)</f>
        <v>128.48546376000002</v>
      </c>
      <c r="Q43" s="38"/>
    </row>
    <row r="44" spans="1:17" s="42" customFormat="1" ht="15" customHeight="1">
      <c r="A44" s="1306"/>
      <c r="B44" s="1334"/>
      <c r="C44" s="1306" t="s">
        <v>1230</v>
      </c>
      <c r="D44" s="1306"/>
      <c r="E44" s="1744" t="s">
        <v>519</v>
      </c>
      <c r="F44" s="1743" t="s">
        <v>1229</v>
      </c>
      <c r="G44" s="1742"/>
      <c r="H44" s="374" t="s">
        <v>1228</v>
      </c>
      <c r="I44" s="1738" t="s">
        <v>1227</v>
      </c>
      <c r="J44" s="1737"/>
      <c r="K44" s="1949"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949" t="s">
        <v>1224</v>
      </c>
      <c r="L45" s="1734" t="s">
        <v>114</v>
      </c>
      <c r="M45" s="1733" t="s">
        <v>171</v>
      </c>
      <c r="N45" s="1732" t="s">
        <v>1224</v>
      </c>
      <c r="O45" s="1606" t="s">
        <v>114</v>
      </c>
      <c r="P45" s="1731" t="s">
        <v>171</v>
      </c>
      <c r="Q45" s="38"/>
    </row>
    <row r="46" spans="1:17" s="42" customFormat="1" ht="15" customHeight="1">
      <c r="A46" s="1306"/>
      <c r="B46" s="1730"/>
      <c r="C46" s="3810" t="s">
        <v>515</v>
      </c>
      <c r="D46" s="3811"/>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3810" t="s">
        <v>493</v>
      </c>
      <c r="D47" s="3811"/>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3810" t="s">
        <v>467</v>
      </c>
      <c r="D48" s="3811"/>
      <c r="E48" s="1725">
        <f>IF($C48=0,0,VLOOKUP($C48,'SDK3'!$C$24:$O$92,4,FALSE))</f>
        <v>54</v>
      </c>
      <c r="F48" s="1724">
        <f>IF($C48=0,0,VLOOKUP($C48,'SDK3'!$C$24:$O$92,12,FALSE))</f>
        <v>0.32</v>
      </c>
      <c r="G48" s="1723">
        <f>IF($C48=0,0,VLOOKUP($C48,'SDK3'!$C$24:$O$92,13,FALSE))</f>
        <v>3.6014154164705885</v>
      </c>
      <c r="H48" s="1720">
        <v>1</v>
      </c>
      <c r="I48" s="1719">
        <f t="shared" si="4"/>
        <v>0.32</v>
      </c>
      <c r="J48" s="1718">
        <f t="shared" si="5"/>
        <v>3.6014154164705885</v>
      </c>
      <c r="K48" s="1720">
        <v>1</v>
      </c>
      <c r="L48" s="1722">
        <f t="shared" si="6"/>
        <v>0.32</v>
      </c>
      <c r="M48" s="1721">
        <f t="shared" si="7"/>
        <v>3.6014154164705885</v>
      </c>
      <c r="N48" s="1720">
        <v>1</v>
      </c>
      <c r="O48" s="1719">
        <f t="shared" si="8"/>
        <v>0.32</v>
      </c>
      <c r="P48" s="1718">
        <f t="shared" si="9"/>
        <v>3.6014154164705885</v>
      </c>
      <c r="Q48" s="38"/>
    </row>
    <row r="49" spans="1:17" s="42" customFormat="1" ht="15" customHeight="1">
      <c r="A49" s="1306"/>
      <c r="B49" s="1726"/>
      <c r="C49" s="3810" t="s">
        <v>456</v>
      </c>
      <c r="D49" s="3811"/>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1</v>
      </c>
      <c r="O49" s="1719">
        <f t="shared" si="8"/>
        <v>0.36</v>
      </c>
      <c r="P49" s="1718">
        <f t="shared" si="9"/>
        <v>5.7672017035294116</v>
      </c>
      <c r="Q49" s="38"/>
    </row>
    <row r="50" spans="1:17" s="42" customFormat="1" ht="15" customHeight="1">
      <c r="A50" s="1306"/>
      <c r="B50" s="1726"/>
      <c r="C50" s="3810" t="s">
        <v>435</v>
      </c>
      <c r="D50" s="3811"/>
      <c r="E50" s="1725">
        <f>IF($C50=0,0,VLOOKUP($C50,'SDK3'!$C$24:$O$92,4,FALSE))</f>
        <v>83</v>
      </c>
      <c r="F50" s="1724">
        <f>IF($C50=0,0,VLOOKUP($C50,'SDK3'!$C$24:$O$92,12,FALSE))</f>
        <v>0.4</v>
      </c>
      <c r="G50" s="1723">
        <f>IF($C50=0,0,VLOOKUP($C50,'SDK3'!$C$24:$O$92,13,FALSE))</f>
        <v>6.8857796705882359</v>
      </c>
      <c r="H50" s="1720">
        <v>0.3</v>
      </c>
      <c r="I50" s="1719">
        <f t="shared" si="4"/>
        <v>0.12</v>
      </c>
      <c r="J50" s="1718">
        <f t="shared" si="5"/>
        <v>2.0657339011764706</v>
      </c>
      <c r="K50" s="1720">
        <v>0.5</v>
      </c>
      <c r="L50" s="1722">
        <f t="shared" si="6"/>
        <v>0.2</v>
      </c>
      <c r="M50" s="1721">
        <f t="shared" si="7"/>
        <v>3.442889835294118</v>
      </c>
      <c r="N50" s="1720">
        <v>0.7</v>
      </c>
      <c r="O50" s="1719">
        <f t="shared" si="8"/>
        <v>0.27999999999999997</v>
      </c>
      <c r="P50" s="1718">
        <f t="shared" si="9"/>
        <v>4.8200457694117649</v>
      </c>
      <c r="Q50" s="38"/>
    </row>
    <row r="51" spans="1:17" s="42" customFormat="1" ht="15" customHeight="1">
      <c r="A51" s="1306"/>
      <c r="B51" s="1726"/>
      <c r="C51" s="3810" t="s">
        <v>512</v>
      </c>
      <c r="D51" s="3811"/>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4.22</v>
      </c>
      <c r="J58" s="1701"/>
      <c r="K58" s="1700"/>
      <c r="L58" s="1699">
        <f>SUM($L$46:$L$57)</f>
        <v>4.3</v>
      </c>
      <c r="M58" s="1698"/>
      <c r="N58" s="1697"/>
      <c r="O58" s="1696">
        <f>SUM($O$46:$O$57)</f>
        <v>4.38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7.5960000000000001</v>
      </c>
      <c r="J59" s="1686"/>
      <c r="K59" s="1691"/>
      <c r="L59" s="1690">
        <f>IF(L58+SUM($L$46:$L$57)*$E$59%&gt;L58+10,L58+10,L58+SUM($L$46:$L$57)*$E$59%)</f>
        <v>7.74</v>
      </c>
      <c r="M59" s="1689"/>
      <c r="N59" s="1688"/>
      <c r="O59" s="1687">
        <f>IF(O58+SUM($O$46:$O$57)*$E$59%&gt;O58+10,O58+10,O58+SUM($O$46:$O$57)*$E$59%)</f>
        <v>7.8840000000000003</v>
      </c>
      <c r="P59" s="1686"/>
      <c r="Q59" s="38"/>
    </row>
    <row r="60" spans="1:17" s="42" customFormat="1" ht="18.75" customHeight="1">
      <c r="A60" s="1306"/>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83.424000000000007</v>
      </c>
      <c r="K67" s="1641" t="s">
        <v>1217</v>
      </c>
      <c r="L67" s="1640" t="s">
        <v>1216</v>
      </c>
      <c r="M67" s="1617">
        <f>S68*(K9+K10)*L68%+F68</f>
        <v>112.62240000000001</v>
      </c>
      <c r="N67" s="1639" t="s">
        <v>1217</v>
      </c>
      <c r="O67" s="1638" t="s">
        <v>1216</v>
      </c>
      <c r="P67" s="1614">
        <f>T68*(N9+N10)*O68%+F68</f>
        <v>141.82079999999999</v>
      </c>
      <c r="Q67" s="38"/>
    </row>
    <row r="68" spans="1:20" s="708" customFormat="1" ht="15" customHeight="1">
      <c r="A68" s="1270"/>
      <c r="B68" s="1637"/>
      <c r="C68" s="4839" t="s">
        <v>1215</v>
      </c>
      <c r="D68" s="4839"/>
      <c r="E68" s="4839"/>
      <c r="F68" s="1636"/>
      <c r="G68" s="1627" t="s">
        <v>171</v>
      </c>
      <c r="H68" s="1634">
        <v>18</v>
      </c>
      <c r="I68" s="1633">
        <v>66</v>
      </c>
      <c r="J68" s="1632"/>
      <c r="K68" s="1634">
        <v>18</v>
      </c>
      <c r="L68" s="1633">
        <v>66</v>
      </c>
      <c r="M68" s="1635"/>
      <c r="N68" s="1634">
        <v>18</v>
      </c>
      <c r="O68" s="1633">
        <v>66</v>
      </c>
      <c r="P68" s="1632"/>
      <c r="Q68" s="38"/>
      <c r="R68" s="1631">
        <f>IF($H$68=0,0,VLOOKUP($H$68,'SD6'!F8:G146,'SD6'!G1,FALSE))*(1+'SDK1'!O11/100)</f>
        <v>6.32</v>
      </c>
      <c r="S68" s="1631">
        <f>IF($K$68=0,0,VLOOKUP($K$68,'SD6'!F8:G146,'SD6'!G1,FALSE))*(1+'SDK1'!O11/100)</f>
        <v>6.32</v>
      </c>
      <c r="T68" s="1631">
        <f>IF($N$68=0,0,VLOOKUP($N$68,'SD6'!F8:G146,'SD6'!G1,FALSE))*(1+'SDK1'!O11/100)</f>
        <v>6.32</v>
      </c>
    </row>
    <row r="69" spans="1:20" s="708" customFormat="1" ht="18.75" customHeight="1">
      <c r="A69" s="1270"/>
      <c r="B69" s="1276" t="s">
        <v>1214</v>
      </c>
      <c r="C69" s="1270"/>
      <c r="D69" s="1270"/>
      <c r="E69" s="38"/>
      <c r="F69" s="38"/>
      <c r="G69" s="1620"/>
      <c r="H69" s="44"/>
      <c r="I69" s="73"/>
      <c r="J69" s="1614">
        <f>H70*$F70/1000</f>
        <v>31.723333333333329</v>
      </c>
      <c r="K69" s="1630"/>
      <c r="L69" s="1629"/>
      <c r="M69" s="1617">
        <f>K70*$F70/1000</f>
        <v>42.826499999999996</v>
      </c>
      <c r="N69" s="44"/>
      <c r="O69" s="73"/>
      <c r="P69" s="1614">
        <f>N70*$F70/1000</f>
        <v>53.929666666666655</v>
      </c>
      <c r="Q69" s="38"/>
    </row>
    <row r="70" spans="1:20" s="708" customFormat="1" ht="15" customHeight="1">
      <c r="A70" s="1270"/>
      <c r="B70" s="1332"/>
      <c r="C70" s="1331" t="s">
        <v>896</v>
      </c>
      <c r="D70" s="353"/>
      <c r="E70" s="280"/>
      <c r="F70" s="1628">
        <f>'SDK7'!G111</f>
        <v>31</v>
      </c>
      <c r="G70" s="1627" t="s">
        <v>171</v>
      </c>
      <c r="H70" s="1623">
        <f>I9+I10</f>
        <v>1023.3333333333331</v>
      </c>
      <c r="I70" s="1622"/>
      <c r="J70" s="1621"/>
      <c r="K70" s="1626">
        <f>L9+L10</f>
        <v>1381.4999999999998</v>
      </c>
      <c r="L70" s="1625"/>
      <c r="M70" s="1624"/>
      <c r="N70" s="1623">
        <f>O9+O10</f>
        <v>1739.6666666666663</v>
      </c>
      <c r="O70" s="1622"/>
      <c r="P70" s="1621"/>
      <c r="Q70" s="38"/>
    </row>
    <row r="71" spans="1:20" ht="18.75" customHeight="1">
      <c r="A71" s="377"/>
      <c r="B71" s="311" t="s">
        <v>1213</v>
      </c>
      <c r="C71" s="377"/>
      <c r="D71" s="377"/>
      <c r="E71" s="229"/>
      <c r="G71" s="1620"/>
      <c r="H71" s="1616"/>
      <c r="I71" s="1615"/>
      <c r="J71" s="1614">
        <f>SUM(I73:I74)</f>
        <v>30</v>
      </c>
      <c r="K71" s="1619"/>
      <c r="L71" s="1618"/>
      <c r="M71" s="1617">
        <f>SUM(L73:L74)</f>
        <v>30</v>
      </c>
      <c r="N71" s="1616"/>
      <c r="O71" s="1615"/>
      <c r="P71" s="1614">
        <f>SUM(O73:O74)</f>
        <v>30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t="s">
        <v>1275</v>
      </c>
      <c r="D73" s="4846"/>
      <c r="E73" s="4846"/>
      <c r="F73" s="1598"/>
      <c r="G73" s="1597"/>
      <c r="H73" s="1591">
        <v>30</v>
      </c>
      <c r="I73" s="1595">
        <f>(100+$D$72)/100*H73</f>
        <v>30</v>
      </c>
      <c r="J73" s="45"/>
      <c r="K73" s="1591">
        <v>30</v>
      </c>
      <c r="L73" s="1596">
        <f>(100+$D$72)/100*K73</f>
        <v>30</v>
      </c>
      <c r="M73" s="1589"/>
      <c r="N73" s="1591">
        <v>30</v>
      </c>
      <c r="O73" s="1595">
        <f>(100+$D$72)/100*N73</f>
        <v>30</v>
      </c>
      <c r="P73" s="1586"/>
      <c r="Q73" s="38"/>
    </row>
    <row r="74" spans="1:20" s="42" customFormat="1" ht="15" customHeight="1">
      <c r="A74" s="1306"/>
      <c r="B74" s="1594"/>
      <c r="C74" s="4845" t="s">
        <v>748</v>
      </c>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5.703143032656862</v>
      </c>
      <c r="K75" s="711"/>
      <c r="L75" s="1056"/>
      <c r="M75" s="1578">
        <f>(M23+M27+M34+M43+M60+M65+M67+M69+M71)*('SDK1'!$O$59%*$G$75/12)</f>
        <v>6.0680977989117642</v>
      </c>
      <c r="N75" s="1580"/>
      <c r="O75" s="1579"/>
      <c r="P75" s="1578">
        <f>(P23+P27+P34+P43+P60+P65+P67+P69+P71)*('SDK1'!$O$59%*$G$75/12)</f>
        <v>6.4330525651666655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D159" s="15"/>
      <c r="F159" s="15"/>
      <c r="G159" s="15"/>
      <c r="H159" s="15"/>
      <c r="I159" s="15"/>
      <c r="J159" s="15"/>
      <c r="K159" s="15"/>
      <c r="M159" s="35"/>
      <c r="N159" s="35"/>
      <c r="O159" s="35"/>
      <c r="P159" s="35"/>
      <c r="Q159" s="35"/>
    </row>
    <row r="160" spans="1:17">
      <c r="A160" s="35"/>
      <c r="B160" s="623"/>
      <c r="C160" s="15"/>
      <c r="D160" s="15"/>
      <c r="F160" s="15"/>
      <c r="G160" s="15"/>
      <c r="H160" s="15"/>
      <c r="I160" s="15"/>
      <c r="J160" s="15"/>
      <c r="K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1">
    <mergeCell ref="J4:L4"/>
    <mergeCell ref="H6:I6"/>
    <mergeCell ref="C37:E37"/>
    <mergeCell ref="N1:O1"/>
    <mergeCell ref="C16:F16"/>
    <mergeCell ref="C64:E64"/>
    <mergeCell ref="C55:D55"/>
    <mergeCell ref="C73:E73"/>
    <mergeCell ref="F23:G23"/>
    <mergeCell ref="C38:E38"/>
    <mergeCell ref="C68:E68"/>
    <mergeCell ref="C62:E62"/>
    <mergeCell ref="C17:F17"/>
    <mergeCell ref="C19:F19"/>
    <mergeCell ref="C36:E36"/>
    <mergeCell ref="C42:E42"/>
    <mergeCell ref="C40:E40"/>
    <mergeCell ref="C41:E41"/>
    <mergeCell ref="E22:G22"/>
    <mergeCell ref="F34:G34"/>
    <mergeCell ref="B75:C75"/>
    <mergeCell ref="K1:L1"/>
    <mergeCell ref="K2:P2"/>
    <mergeCell ref="D25:E25"/>
    <mergeCell ref="D26:E26"/>
    <mergeCell ref="C14:F14"/>
    <mergeCell ref="C15:F15"/>
    <mergeCell ref="N6:O6"/>
    <mergeCell ref="E10:F10"/>
    <mergeCell ref="K6:L6"/>
    <mergeCell ref="E4:I4"/>
    <mergeCell ref="N3:O4"/>
    <mergeCell ref="J3:L3"/>
    <mergeCell ref="C52:D52"/>
    <mergeCell ref="C57:D57"/>
    <mergeCell ref="C74:E74"/>
    <mergeCell ref="C39:E39"/>
    <mergeCell ref="C53:D53"/>
    <mergeCell ref="C54:D54"/>
    <mergeCell ref="C56:D56"/>
    <mergeCell ref="C63:E6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N68 H68 K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0" orientation="portrait" r:id="rId1"/>
  <headerFooter alignWithMargins="0">
    <oddFooter>&amp;L&amp;11LEL Schwäbisch Gmünd&amp;C63&amp;R&amp;11&amp;F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'SDK5'!$V$214:$V$313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91" customFormat="1" ht="30.4" customHeight="1">
      <c r="A1" s="1895"/>
      <c r="B1" s="326"/>
      <c r="C1" s="1908"/>
      <c r="D1" s="1827"/>
      <c r="E1" s="323"/>
      <c r="F1" s="323"/>
      <c r="G1" s="607"/>
      <c r="H1" s="1902"/>
      <c r="I1" s="1907" t="s">
        <v>1264</v>
      </c>
      <c r="J1" s="1906">
        <f>(J7+J13+J18+J22+I11+I12)-(J23+J27+J34+J43+J60+J65+J67+J69+J71+J75)</f>
        <v>39.584796327823597</v>
      </c>
      <c r="K1" s="4859">
        <f>M1-J1</f>
        <v>79.014651808872713</v>
      </c>
      <c r="L1" s="4859"/>
      <c r="M1" s="1906">
        <f>(M7+M13+M18+M22+L11+L12)-(M23+M27+M34+M43+M60+M65+M67+M69+M71+M75)</f>
        <v>118.59944813669631</v>
      </c>
      <c r="N1" s="4859">
        <f>P1-M1</f>
        <v>79.014651808872259</v>
      </c>
      <c r="O1" s="4859"/>
      <c r="P1" s="1906">
        <f>(P7+P13+P18+P22+O11+O12)-(P23+P27+P34+P43+P60+P65+P67+P69+P71+P75)</f>
        <v>197.61409994556857</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200</v>
      </c>
      <c r="L2" s="4870"/>
      <c r="M2" s="4870"/>
      <c r="N2" s="4870"/>
      <c r="O2" s="4870"/>
      <c r="P2" s="4870"/>
      <c r="Q2" s="1920">
        <v>0</v>
      </c>
    </row>
    <row r="3" spans="1:41" s="1891" customFormat="1" ht="21.75" customHeight="1">
      <c r="A3" s="1895"/>
      <c r="B3" s="1919"/>
      <c r="H3" s="1902"/>
      <c r="J3" s="4866"/>
      <c r="K3" s="4886"/>
      <c r="L3" s="4886"/>
      <c r="M3" s="1943"/>
      <c r="N3" s="4884"/>
      <c r="O3" s="4885"/>
      <c r="P3" s="1900"/>
      <c r="Q3" s="1895"/>
      <c r="T3" s="1918" t="b">
        <v>0</v>
      </c>
    </row>
    <row r="4" spans="1:41" s="1891" customFormat="1" ht="20.25" customHeight="1">
      <c r="A4" s="1895"/>
      <c r="B4" s="377" t="s">
        <v>1154</v>
      </c>
      <c r="C4" s="35"/>
      <c r="D4" s="35"/>
      <c r="E4" s="4830" t="s">
        <v>1268</v>
      </c>
      <c r="F4" s="4830"/>
      <c r="G4" s="4830"/>
      <c r="H4" s="4830"/>
      <c r="I4" s="4830"/>
      <c r="J4" s="4866"/>
      <c r="K4" s="4886"/>
      <c r="L4" s="4886"/>
      <c r="M4" s="1942"/>
      <c r="N4" s="4885"/>
      <c r="O4" s="4885"/>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15</v>
      </c>
      <c r="K6" s="4849" t="s">
        <v>152</v>
      </c>
      <c r="L6" s="4850"/>
      <c r="M6" s="1887">
        <v>20</v>
      </c>
      <c r="N6" s="4864" t="s">
        <v>178</v>
      </c>
      <c r="O6" s="4865"/>
      <c r="P6" s="1886">
        <v>25</v>
      </c>
      <c r="Q6" s="70"/>
    </row>
    <row r="7" spans="1:41" s="252" customFormat="1" ht="18.75" customHeight="1">
      <c r="A7" s="47"/>
      <c r="B7" s="311" t="s">
        <v>1258</v>
      </c>
      <c r="C7" s="47"/>
      <c r="D7" s="47"/>
      <c r="E7" s="47"/>
      <c r="F7" s="47"/>
      <c r="G7" s="1884"/>
      <c r="H7" s="1881"/>
      <c r="I7" s="1880"/>
      <c r="J7" s="1614">
        <f>SUM(I9:I10)</f>
        <v>444.75</v>
      </c>
      <c r="K7" s="1883"/>
      <c r="L7" s="1882"/>
      <c r="M7" s="1617">
        <f>SUM(L9:L10)</f>
        <v>593</v>
      </c>
      <c r="N7" s="1881"/>
      <c r="O7" s="1880"/>
      <c r="P7" s="1614">
        <f>SUM(O9:O10)</f>
        <v>741.25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'SDK1'!O34</f>
        <v>29.65</v>
      </c>
      <c r="H9" s="1877">
        <f>J6-H10</f>
        <v>15</v>
      </c>
      <c r="I9" s="1873">
        <f>H9*G9</f>
        <v>444.75</v>
      </c>
      <c r="J9" s="43"/>
      <c r="K9" s="1876">
        <f>M6-K10</f>
        <v>20</v>
      </c>
      <c r="L9" s="1875">
        <f>K9*G9</f>
        <v>593</v>
      </c>
      <c r="M9" s="1854"/>
      <c r="N9" s="1874">
        <f>P6-N10</f>
        <v>25</v>
      </c>
      <c r="O9" s="1873">
        <f>N9*G9</f>
        <v>741.25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t="s">
        <v>2121</v>
      </c>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100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310</v>
      </c>
      <c r="K23" s="1619"/>
      <c r="L23" s="1618"/>
      <c r="M23" s="1800">
        <f>SUM(L25:L26)</f>
        <v>310</v>
      </c>
      <c r="N23" s="1616"/>
      <c r="O23" s="1615"/>
      <c r="P23" s="1599">
        <f>SUM(O25:O26)</f>
        <v>310</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'SDK7'!F66</f>
        <v>310</v>
      </c>
      <c r="G25" s="1794">
        <f>F25*(100+$D$24)/100</f>
        <v>310</v>
      </c>
      <c r="H25" s="1793">
        <v>1</v>
      </c>
      <c r="I25" s="1754">
        <f>H25*$G25</f>
        <v>310</v>
      </c>
      <c r="J25" s="45"/>
      <c r="K25" s="1793">
        <v>1</v>
      </c>
      <c r="L25" s="1596">
        <f>K25*$G25</f>
        <v>310</v>
      </c>
      <c r="M25" s="1589"/>
      <c r="N25" s="1793">
        <v>1</v>
      </c>
      <c r="O25" s="1754">
        <f>N25*$G25</f>
        <v>310</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127.51499999999999</v>
      </c>
      <c r="K27" s="1748"/>
      <c r="L27" s="1747"/>
      <c r="M27" s="1617">
        <f>SUM(L30:L33)</f>
        <v>170.02</v>
      </c>
      <c r="N27" s="1746"/>
      <c r="O27" s="1745"/>
      <c r="P27" s="1614">
        <f>SUM(O30:O33)</f>
        <v>212.52499999999998</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3.5</v>
      </c>
      <c r="F30" s="1774">
        <f>VLOOKUP(K2,'SD8'!B9:L42,7,FALSE)</f>
        <v>0.79999999999999982</v>
      </c>
      <c r="G30" s="1773"/>
      <c r="H30" s="1771">
        <f>IF(J$6=0,0,(J$6*$E30+$G30+X14))</f>
        <v>52.5</v>
      </c>
      <c r="I30" s="1754">
        <f>H30*$D30</f>
        <v>84.174999999999983</v>
      </c>
      <c r="J30" s="45"/>
      <c r="K30" s="1772">
        <f>IF(M$6=0,0,(M$6*$E30+$G30+Y14))</f>
        <v>70</v>
      </c>
      <c r="L30" s="1596">
        <f>K30*$D30</f>
        <v>112.23333333333332</v>
      </c>
      <c r="M30" s="1589"/>
      <c r="N30" s="1771">
        <f>IF(P$6=0,0,(P$6*$E30+$G30+Z14))</f>
        <v>87.5</v>
      </c>
      <c r="O30" s="1754">
        <f>N30*$D30</f>
        <v>140.29166666666663</v>
      </c>
      <c r="P30" s="1718"/>
      <c r="Q30" s="38"/>
    </row>
    <row r="31" spans="1:26" s="42" customFormat="1" ht="15" customHeight="1">
      <c r="A31" s="1306"/>
      <c r="B31" s="274"/>
      <c r="C31" s="1306" t="s">
        <v>244</v>
      </c>
      <c r="D31" s="1723">
        <f>'SDK1'!O53</f>
        <v>1.0999999999999999</v>
      </c>
      <c r="E31" s="1774">
        <f>VLOOKUP(K2,'SD8'!B9:L42,4,FALSE)</f>
        <v>1.2</v>
      </c>
      <c r="F31" s="1774">
        <f>VLOOKUP(K2,'SD8'!B9:L42,8,FALSE)</f>
        <v>0.30000000000000004</v>
      </c>
      <c r="G31" s="1773"/>
      <c r="H31" s="1771">
        <f>IF(J$6=0,0,(J$6*$E31+$G31+X15))</f>
        <v>18</v>
      </c>
      <c r="I31" s="1754">
        <f>H31*$D31</f>
        <v>19.799999999999997</v>
      </c>
      <c r="J31" s="45"/>
      <c r="K31" s="1772">
        <f>IF(M$6=0,0,(M$6*$E31+$G31+Y15))</f>
        <v>24</v>
      </c>
      <c r="L31" s="1596">
        <f>K31*$D31</f>
        <v>26.4</v>
      </c>
      <c r="M31" s="1589"/>
      <c r="N31" s="1771">
        <f>IF(P$6=0,0,(P$6*$E31+$G31+Z15))</f>
        <v>30</v>
      </c>
      <c r="O31" s="1754">
        <f>N31*$D31</f>
        <v>32.999999999999993</v>
      </c>
      <c r="P31" s="1718"/>
      <c r="Q31" s="38"/>
    </row>
    <row r="32" spans="1:26" s="42" customFormat="1" ht="15" customHeight="1">
      <c r="A32" s="1306"/>
      <c r="B32" s="274"/>
      <c r="C32" s="1306" t="s">
        <v>242</v>
      </c>
      <c r="D32" s="1723">
        <f>'SDK1'!O54</f>
        <v>1.02</v>
      </c>
      <c r="E32" s="1774">
        <f>VLOOKUP(K2,'SD8'!B9:L42,5,FALSE)</f>
        <v>1</v>
      </c>
      <c r="F32" s="1774">
        <f>VLOOKUP(K2,'SD8'!B9:L42,9,FALSE)</f>
        <v>2.1</v>
      </c>
      <c r="G32" s="1773"/>
      <c r="H32" s="1771">
        <f>IF(J$6=0,0,(J$6*$E32+$G32+X16))</f>
        <v>15</v>
      </c>
      <c r="I32" s="1754">
        <f>H32*$D32</f>
        <v>15.3</v>
      </c>
      <c r="J32" s="45"/>
      <c r="K32" s="1772">
        <f>IF(M$6=0,0,(M$6*$E32+$G32+Y16))</f>
        <v>20</v>
      </c>
      <c r="L32" s="1596">
        <f>K32*$D32</f>
        <v>20.399999999999999</v>
      </c>
      <c r="M32" s="1589"/>
      <c r="N32" s="1771">
        <f>IF(P$6=0,0,(P$6*$E32+$G32+Z16))</f>
        <v>25</v>
      </c>
      <c r="O32" s="1754">
        <f>N32*$D32</f>
        <v>25.5</v>
      </c>
      <c r="P32" s="1718"/>
      <c r="Q32" s="38"/>
    </row>
    <row r="33" spans="1:17" s="42" customFormat="1" ht="15" customHeight="1">
      <c r="A33" s="1306"/>
      <c r="B33" s="239"/>
      <c r="C33" s="1331" t="s">
        <v>240</v>
      </c>
      <c r="D33" s="1706">
        <f>'SDK1'!O55</f>
        <v>0.68666666666666676</v>
      </c>
      <c r="E33" s="1770">
        <f>VLOOKUP(K2,'SD8'!B9:L42,6,FALSE)</f>
        <v>0.8</v>
      </c>
      <c r="F33" s="1770">
        <f>VLOOKUP(K2,'SD8'!B9:L42,10,FALSE)</f>
        <v>0.14999999999999991</v>
      </c>
      <c r="G33" s="1769"/>
      <c r="H33" s="1767">
        <f>IF(J$6=0,0,(J$6*$E33+$G33+X17))</f>
        <v>12</v>
      </c>
      <c r="I33" s="1750">
        <f>H33*$D33</f>
        <v>8.240000000000002</v>
      </c>
      <c r="J33" s="45"/>
      <c r="K33" s="1768">
        <f>IF(M$6=0,0,(M$6*$E33+$G33+Y17))</f>
        <v>16</v>
      </c>
      <c r="L33" s="1590">
        <f>K33*$D33</f>
        <v>10.986666666666668</v>
      </c>
      <c r="M33" s="1589"/>
      <c r="N33" s="1767">
        <f>IF(P$6=0,0,(P$6*$E33+$G33+Z17))</f>
        <v>20</v>
      </c>
      <c r="O33" s="1750">
        <f>N33*$D33</f>
        <v>13.733333333333334</v>
      </c>
      <c r="P33" s="1749"/>
      <c r="Q33" s="38"/>
    </row>
    <row r="34" spans="1:17" s="708" customFormat="1" ht="18.75" customHeight="1">
      <c r="A34" s="1270"/>
      <c r="B34" s="1276" t="s">
        <v>1234</v>
      </c>
      <c r="C34" s="1270"/>
      <c r="D34" s="37"/>
      <c r="E34" s="37"/>
      <c r="F34" s="4831" t="s">
        <v>1233</v>
      </c>
      <c r="G34" s="4832"/>
      <c r="H34" s="1764"/>
      <c r="I34" s="1763"/>
      <c r="J34" s="1614">
        <f>SUM(I36:I42)</f>
        <v>31.330000000000002</v>
      </c>
      <c r="K34" s="1766"/>
      <c r="L34" s="1765"/>
      <c r="M34" s="1617">
        <f>SUM(L36:L42)</f>
        <v>31.330000000000002</v>
      </c>
      <c r="N34" s="1764"/>
      <c r="O34" s="1763"/>
      <c r="P34" s="1614">
        <f>SUM(O36:O42)</f>
        <v>31.330000000000002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704</v>
      </c>
      <c r="D36" s="4857"/>
      <c r="E36" s="4858"/>
      <c r="F36" s="1756">
        <f>IF(C36="",0,VLOOKUP(C36,'SDK5'!C3:AF83,2,FALSE))</f>
        <v>24.1</v>
      </c>
      <c r="G36" s="1756">
        <f t="shared" ref="G36:G42" si="0">F36*(100+$D$35)/100</f>
        <v>24.1</v>
      </c>
      <c r="H36" s="1755">
        <v>1.3</v>
      </c>
      <c r="I36" s="1754">
        <f t="shared" ref="I36:I42" si="1">$G36*H36</f>
        <v>31.330000000000002</v>
      </c>
      <c r="J36" s="45"/>
      <c r="K36" s="1755">
        <v>1.3</v>
      </c>
      <c r="L36" s="1596">
        <f t="shared" ref="L36:L42" si="2">$G36*K36</f>
        <v>31.330000000000002</v>
      </c>
      <c r="M36" s="1589"/>
      <c r="N36" s="1755">
        <v>1.3</v>
      </c>
      <c r="O36" s="1754">
        <f t="shared" ref="O36:O42" si="3">$G36*N36</f>
        <v>31.330000000000002</v>
      </c>
      <c r="P36" s="1758"/>
      <c r="Q36" s="38"/>
    </row>
    <row r="37" spans="1:17" s="42" customFormat="1" ht="15" customHeight="1">
      <c r="A37" s="1306"/>
      <c r="B37" s="1594"/>
      <c r="C37" s="4855"/>
      <c r="D37" s="4855"/>
      <c r="E37" s="4856"/>
      <c r="F37" s="1756">
        <f>IF(C37="",0,VLOOKUP(C37,'SDK5'!C4:AF84,2,FALSE))</f>
        <v>0</v>
      </c>
      <c r="G37" s="1756">
        <f t="shared" si="0"/>
        <v>0</v>
      </c>
      <c r="H37" s="1755"/>
      <c r="I37" s="1754">
        <f t="shared" si="1"/>
        <v>0</v>
      </c>
      <c r="J37" s="45"/>
      <c r="K37" s="1755"/>
      <c r="L37" s="1596">
        <f t="shared" si="2"/>
        <v>0</v>
      </c>
      <c r="M37" s="1589"/>
      <c r="N37" s="1755"/>
      <c r="O37" s="1754">
        <f t="shared" si="3"/>
        <v>0</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141.39557818352944</v>
      </c>
      <c r="K43" s="1748"/>
      <c r="L43" s="1747"/>
      <c r="M43" s="1617">
        <f>SUM(M46:M57)</f>
        <v>141.96939315607844</v>
      </c>
      <c r="N43" s="1746"/>
      <c r="O43" s="1745"/>
      <c r="P43" s="1614">
        <f>SUM(P46:P57)</f>
        <v>142.54320812862747</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c r="D47" s="4836"/>
      <c r="E47" s="1725">
        <f>IF($C47=0,0,VLOOKUP($C47,'SDK3'!$C$24:$O$92,4,FALSE))</f>
        <v>0</v>
      </c>
      <c r="F47" s="1724">
        <f>IF($C47=0,0,VLOOKUP($C47,'SDK3'!$C$24:$O$92,12,FALSE))</f>
        <v>0</v>
      </c>
      <c r="G47" s="1723">
        <f>IF($C47=0,0,VLOOKUP($C47,'SDK3'!$C$24:$O$92,13,FALSE))</f>
        <v>0</v>
      </c>
      <c r="H47" s="1720"/>
      <c r="I47" s="1719">
        <f t="shared" si="4"/>
        <v>0</v>
      </c>
      <c r="J47" s="1718">
        <f t="shared" si="5"/>
        <v>0</v>
      </c>
      <c r="K47" s="1720"/>
      <c r="L47" s="1722">
        <f t="shared" si="6"/>
        <v>0</v>
      </c>
      <c r="M47" s="1721">
        <f t="shared" si="7"/>
        <v>0</v>
      </c>
      <c r="N47" s="1720"/>
      <c r="O47" s="1719">
        <f t="shared" si="8"/>
        <v>0</v>
      </c>
      <c r="P47" s="1718">
        <f t="shared" si="9"/>
        <v>0</v>
      </c>
      <c r="Q47" s="38"/>
    </row>
    <row r="48" spans="1:17" s="42" customFormat="1" ht="15" customHeight="1">
      <c r="A48" s="1306"/>
      <c r="B48" s="1726"/>
      <c r="C48" s="4835" t="s">
        <v>493</v>
      </c>
      <c r="D48" s="4836"/>
      <c r="E48" s="1725">
        <f>IF($C48=0,0,VLOOKUP($C48,'SDK3'!$C$24:$O$92,4,FALSE))</f>
        <v>120</v>
      </c>
      <c r="F48" s="1724">
        <f>IF($C48=0,0,VLOOKUP($C48,'SDK3'!$C$24:$O$92,12,FALSE))</f>
        <v>1.03</v>
      </c>
      <c r="G48" s="1723">
        <f>IF($C48=0,0,VLOOKUP($C48,'SDK3'!$C$24:$O$92,13,FALSE))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8"/>
    </row>
    <row r="49" spans="1:17" s="42" customFormat="1" ht="15" customHeight="1">
      <c r="A49" s="1306"/>
      <c r="B49" s="1726"/>
      <c r="C49" s="4835" t="s">
        <v>497</v>
      </c>
      <c r="D49" s="4836"/>
      <c r="E49" s="1725">
        <f>IF($C49=0,0,VLOOKUP($C49,'SDK3'!$C$24:$O$92,4,FALSE))</f>
        <v>83</v>
      </c>
      <c r="F49" s="1724">
        <f>IF($C49=0,0,VLOOKUP($C49,'SDK3'!$C$24:$O$92,12,FALSE))</f>
        <v>0.61</v>
      </c>
      <c r="G49" s="1723">
        <f>IF($C49=0,0,VLOOKUP($C49,'SDK3'!$C$24:$O$92,13,FALSE))</f>
        <v>10.170813997647059</v>
      </c>
      <c r="H49" s="1720">
        <v>1</v>
      </c>
      <c r="I49" s="1719">
        <f t="shared" si="4"/>
        <v>0.61</v>
      </c>
      <c r="J49" s="1718">
        <f t="shared" si="5"/>
        <v>10.170813997647059</v>
      </c>
      <c r="K49" s="1720">
        <v>1</v>
      </c>
      <c r="L49" s="1722">
        <f t="shared" si="6"/>
        <v>0.61</v>
      </c>
      <c r="M49" s="1721">
        <f t="shared" si="7"/>
        <v>10.170813997647059</v>
      </c>
      <c r="N49" s="1720">
        <v>1</v>
      </c>
      <c r="O49" s="1719">
        <f t="shared" si="8"/>
        <v>0.61</v>
      </c>
      <c r="P49" s="1718">
        <f t="shared" si="9"/>
        <v>10.170813997647059</v>
      </c>
      <c r="Q49" s="38"/>
    </row>
    <row r="50" spans="1:17" s="42" customFormat="1" ht="15" customHeight="1">
      <c r="A50" s="1306"/>
      <c r="B50" s="1726"/>
      <c r="C50" s="4835" t="s">
        <v>444</v>
      </c>
      <c r="D50" s="4836"/>
      <c r="E50" s="1725">
        <f>IF($C50=0,0,VLOOKUP($C50,'SDK3'!$C$24:$O$92,4,FALSE))</f>
        <v>83</v>
      </c>
      <c r="F50" s="1724">
        <f>IF($C50=0,0,VLOOKUP($C50,'SDK3'!$C$24:$O$92,12,FALSE))</f>
        <v>0.27</v>
      </c>
      <c r="G50" s="1723">
        <f>IF($C50=0,0,VLOOKUP($C50,'SDK3'!$C$24:$O$92,13,FALSE))</f>
        <v>5.8379012776470587</v>
      </c>
      <c r="H50" s="1720">
        <v>1</v>
      </c>
      <c r="I50" s="1719">
        <f t="shared" si="4"/>
        <v>0.27</v>
      </c>
      <c r="J50" s="1718">
        <f t="shared" si="5"/>
        <v>5.8379012776470587</v>
      </c>
      <c r="K50" s="1720">
        <v>1</v>
      </c>
      <c r="L50" s="1722">
        <f t="shared" si="6"/>
        <v>0.27</v>
      </c>
      <c r="M50" s="1721">
        <f t="shared" si="7"/>
        <v>5.8379012776470587</v>
      </c>
      <c r="N50" s="1720">
        <v>1</v>
      </c>
      <c r="O50" s="1719">
        <f t="shared" si="8"/>
        <v>0.27</v>
      </c>
      <c r="P50" s="1718">
        <f t="shared" si="9"/>
        <v>5.8379012776470587</v>
      </c>
      <c r="Q50" s="38"/>
    </row>
    <row r="51" spans="1:17" s="42" customFormat="1" ht="15" customHeight="1">
      <c r="A51" s="1306"/>
      <c r="B51" s="1726"/>
      <c r="C51" s="4835" t="s">
        <v>456</v>
      </c>
      <c r="D51" s="4836"/>
      <c r="E51" s="1725">
        <f>IF($C51=0,0,VLOOKUP($C51,'SDK3'!$C$24:$O$92,4,FALSE))</f>
        <v>83</v>
      </c>
      <c r="F51" s="1724">
        <f>IF($C51=0,0,VLOOKUP($C51,'SDK3'!$C$24:$O$92,12,FALSE))</f>
        <v>0.36</v>
      </c>
      <c r="G51" s="1723">
        <f>IF($C51=0,0,VLOOKUP($C51,'SDK3'!$C$24:$O$92,13,FALSE))</f>
        <v>5.7672017035294116</v>
      </c>
      <c r="H51" s="1720">
        <v>1</v>
      </c>
      <c r="I51" s="1719">
        <f t="shared" si="4"/>
        <v>0.36</v>
      </c>
      <c r="J51" s="1718">
        <f t="shared" si="5"/>
        <v>5.7672017035294116</v>
      </c>
      <c r="K51" s="1720">
        <v>1</v>
      </c>
      <c r="L51" s="1722">
        <f t="shared" si="6"/>
        <v>0.36</v>
      </c>
      <c r="M51" s="1721">
        <f t="shared" si="7"/>
        <v>5.7672017035294116</v>
      </c>
      <c r="N51" s="1720">
        <v>1</v>
      </c>
      <c r="O51" s="1719">
        <f t="shared" si="8"/>
        <v>0.36</v>
      </c>
      <c r="P51" s="1718">
        <f t="shared" si="9"/>
        <v>5.7672017035294116</v>
      </c>
      <c r="Q51" s="38"/>
    </row>
    <row r="52" spans="1:17" s="42" customFormat="1" ht="15" customHeight="1">
      <c r="A52" s="1306"/>
      <c r="B52" s="1726"/>
      <c r="C52" s="4835" t="s">
        <v>467</v>
      </c>
      <c r="D52" s="4836"/>
      <c r="E52" s="1725">
        <f>IF($C52=0,0,VLOOKUP($C52,'SDK3'!$C$24:$O$92,4,FALSE))</f>
        <v>54</v>
      </c>
      <c r="F52" s="1724">
        <f>IF($C52=0,0,VLOOKUP($C52,'SDK3'!$C$24:$O$92,12,FALSE))</f>
        <v>0.32</v>
      </c>
      <c r="G52" s="1723">
        <f>IF($C52=0,0,VLOOKUP($C52,'SDK3'!$C$24:$O$92,13,FALSE))</f>
        <v>3.6014154164705885</v>
      </c>
      <c r="H52" s="1720">
        <v>1</v>
      </c>
      <c r="I52" s="1719">
        <f t="shared" si="4"/>
        <v>0.32</v>
      </c>
      <c r="J52" s="1718">
        <f t="shared" si="5"/>
        <v>3.6014154164705885</v>
      </c>
      <c r="K52" s="1720">
        <v>1</v>
      </c>
      <c r="L52" s="1722">
        <f t="shared" si="6"/>
        <v>0.32</v>
      </c>
      <c r="M52" s="1721">
        <f t="shared" si="7"/>
        <v>3.6014154164705885</v>
      </c>
      <c r="N52" s="1720">
        <v>1</v>
      </c>
      <c r="O52" s="1719">
        <f t="shared" si="8"/>
        <v>0.32</v>
      </c>
      <c r="P52" s="1718">
        <f t="shared" si="9"/>
        <v>3.6014154164705885</v>
      </c>
      <c r="Q52" s="38"/>
    </row>
    <row r="53" spans="1:17" s="42" customFormat="1" ht="15" customHeight="1">
      <c r="A53" s="1306"/>
      <c r="B53" s="1726"/>
      <c r="C53" s="4835" t="s">
        <v>435</v>
      </c>
      <c r="D53" s="4836"/>
      <c r="E53" s="1725">
        <f>IF($C53=0,0,VLOOKUP($C53,'SDK3'!$C$24:$O$92,4,FALSE))</f>
        <v>83</v>
      </c>
      <c r="F53" s="1724">
        <f>IF($C53=0,0,VLOOKUP($C53,'SDK3'!$C$24:$O$92,12,FALSE))</f>
        <v>0.4</v>
      </c>
      <c r="G53" s="1723">
        <f>IF($C53=0,0,VLOOKUP($C53,'SDK3'!$C$24:$O$92,13,FALSE))</f>
        <v>6.8857796705882359</v>
      </c>
      <c r="H53" s="1720">
        <f>$J$6/60</f>
        <v>0.25</v>
      </c>
      <c r="I53" s="1719">
        <f t="shared" si="4"/>
        <v>0.1</v>
      </c>
      <c r="J53" s="1718">
        <f t="shared" si="5"/>
        <v>1.721444917647059</v>
      </c>
      <c r="K53" s="1720">
        <f>$M$6/60</f>
        <v>0.33333333333333331</v>
      </c>
      <c r="L53" s="1722">
        <f t="shared" si="6"/>
        <v>0.13333333333333333</v>
      </c>
      <c r="M53" s="1721">
        <f t="shared" si="7"/>
        <v>2.2952598901960783</v>
      </c>
      <c r="N53" s="1720">
        <f>$P$6/60</f>
        <v>0.41666666666666669</v>
      </c>
      <c r="O53" s="1719">
        <f t="shared" si="8"/>
        <v>0.16666666666666669</v>
      </c>
      <c r="P53" s="1718">
        <f t="shared" si="9"/>
        <v>2.8690748627450984</v>
      </c>
      <c r="Q53" s="38"/>
    </row>
    <row r="54" spans="1:17" s="42" customFormat="1" ht="15" customHeight="1">
      <c r="A54" s="1306"/>
      <c r="B54" s="1726"/>
      <c r="C54" s="4835" t="s">
        <v>512</v>
      </c>
      <c r="D54" s="4836"/>
      <c r="E54" s="1725">
        <f>IF($C54=0,0,VLOOKUP($C54,'SDK3'!$C$24:$O$92,4,FALSE))</f>
        <v>102</v>
      </c>
      <c r="F54" s="1724">
        <f>IF($C54=0,0,VLOOKUP($C54,'SDK3'!$C$24:$O$92,12,FALSE))</f>
        <v>0.93</v>
      </c>
      <c r="G54" s="1723">
        <f>IF($C54=0,0,VLOOKUP($C54,'SDK3'!$C$24:$O$92,13,FALSE))</f>
        <v>23.733808400000004</v>
      </c>
      <c r="H54" s="1720">
        <v>1</v>
      </c>
      <c r="I54" s="1719">
        <f t="shared" si="4"/>
        <v>0.93</v>
      </c>
      <c r="J54" s="1718">
        <f t="shared" si="5"/>
        <v>23.733808400000004</v>
      </c>
      <c r="K54" s="1720">
        <v>1</v>
      </c>
      <c r="L54" s="1722">
        <f t="shared" si="6"/>
        <v>0.93</v>
      </c>
      <c r="M54" s="1721">
        <f t="shared" si="7"/>
        <v>23.733808400000004</v>
      </c>
      <c r="N54" s="1720">
        <v>1</v>
      </c>
      <c r="O54" s="1719">
        <f t="shared" si="8"/>
        <v>0.93</v>
      </c>
      <c r="P54" s="1718">
        <f t="shared" si="9"/>
        <v>23.733808400000004</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5.0799999999999992</v>
      </c>
      <c r="J58" s="1701"/>
      <c r="K58" s="1700"/>
      <c r="L58" s="1699">
        <f>SUM($L$46:$L$57)</f>
        <v>5.1133333333333333</v>
      </c>
      <c r="M58" s="1698"/>
      <c r="N58" s="1697"/>
      <c r="O58" s="1696">
        <f>SUM($O$46:$O$57)</f>
        <v>5.1466666666666665</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9.1439999999999984</v>
      </c>
      <c r="J59" s="1686"/>
      <c r="K59" s="1691"/>
      <c r="L59" s="1690">
        <f>IF(L58+SUM($L$46:$L$57)*$E$59%&gt;L58+10,L58+10,L58+SUM($L$46:$L$57)*$E$59%)</f>
        <v>9.2040000000000006</v>
      </c>
      <c r="M59" s="1689"/>
      <c r="N59" s="1688"/>
      <c r="O59" s="1687">
        <f>IF(O58+SUM($O$46:$O$57)*$E$59%&gt;O58+10,O58+10,O58+SUM($O$46:$O$57)*$E$59%)</f>
        <v>9.2639999999999993</v>
      </c>
      <c r="P59" s="1686"/>
      <c r="Q59" s="38"/>
    </row>
    <row r="60" spans="1:17" s="42" customFormat="1" ht="18.75" customHeight="1">
      <c r="A60" s="1306"/>
      <c r="B60" s="1276" t="s">
        <v>1220</v>
      </c>
      <c r="C60" s="1373"/>
      <c r="D60" s="1373"/>
      <c r="E60" s="45"/>
      <c r="F60" s="45"/>
      <c r="G60" s="1685"/>
      <c r="H60" s="1677"/>
      <c r="I60" s="1676"/>
      <c r="J60" s="1684">
        <f>IF(J6=0,0,SUM(I62:I64))</f>
        <v>167.8</v>
      </c>
      <c r="K60" s="1680"/>
      <c r="L60" s="1679"/>
      <c r="M60" s="1617">
        <f>IF(M6=0,0,SUM(L62:L64))</f>
        <v>167.8</v>
      </c>
      <c r="N60" s="1677"/>
      <c r="O60" s="1676"/>
      <c r="P60" s="1684">
        <f>IF(P6=0,0,SUM(O62:O64))</f>
        <v>167.8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346</v>
      </c>
      <c r="D62" s="4833"/>
      <c r="E62" s="4833"/>
      <c r="F62" s="1674">
        <f>IF($C62=0,0,VLOOKUP($C62,'SDK3'!$C$98:$D$119,2,FALSE))</f>
        <v>167.8</v>
      </c>
      <c r="G62" s="1673">
        <f>(100+$D$61)/100*F62</f>
        <v>167.8</v>
      </c>
      <c r="H62" s="227"/>
      <c r="I62" s="1669">
        <f>$G$62</f>
        <v>167.8</v>
      </c>
      <c r="J62" s="227"/>
      <c r="K62" s="1672"/>
      <c r="L62" s="1671">
        <f>$G$62</f>
        <v>167.8</v>
      </c>
      <c r="M62" s="1589"/>
      <c r="N62" s="1670"/>
      <c r="O62" s="1669">
        <f>$G$62</f>
        <v>167.8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58.5</v>
      </c>
      <c r="K67" s="1641" t="s">
        <v>1217</v>
      </c>
      <c r="L67" s="1640" t="s">
        <v>1216</v>
      </c>
      <c r="M67" s="1617">
        <f>S68*(K9+K10)*L68%+F68</f>
        <v>78</v>
      </c>
      <c r="N67" s="1639" t="s">
        <v>1217</v>
      </c>
      <c r="O67" s="1638" t="s">
        <v>1216</v>
      </c>
      <c r="P67" s="1614">
        <f>T68*(N9+N10)*O68%+F68</f>
        <v>97.5</v>
      </c>
      <c r="Q67" s="38"/>
    </row>
    <row r="68" spans="1:20" s="708" customFormat="1" ht="15" customHeight="1">
      <c r="A68" s="1270"/>
      <c r="B68" s="1637"/>
      <c r="C68" s="4839" t="s">
        <v>1215</v>
      </c>
      <c r="D68" s="4839"/>
      <c r="E68" s="4839"/>
      <c r="F68" s="1636"/>
      <c r="G68" s="1627" t="s">
        <v>171</v>
      </c>
      <c r="H68" s="1634">
        <v>10</v>
      </c>
      <c r="I68" s="1633">
        <v>100</v>
      </c>
      <c r="J68" s="1632"/>
      <c r="K68" s="1634">
        <v>10</v>
      </c>
      <c r="L68" s="1633">
        <v>100</v>
      </c>
      <c r="M68" s="1635"/>
      <c r="N68" s="1634">
        <v>10</v>
      </c>
      <c r="O68" s="1633">
        <v>100</v>
      </c>
      <c r="P68" s="1632"/>
      <c r="Q68" s="38"/>
      <c r="R68" s="1631">
        <f>IF($H$68=0,0,VLOOKUP($H$68,'SD6'!P8:Q156,'SD6'!Q1,FALSE))*(1+'SDK1'!O11/100)</f>
        <v>3.9</v>
      </c>
      <c r="S68" s="1631">
        <f>IF($K$68=0,0,VLOOKUP($K$68,'SD6'!P8:Q156,'SD6'!Q1,FALSE))*(1+'SDK1'!O11/100)</f>
        <v>3.9</v>
      </c>
      <c r="T68" s="1631">
        <f>IF($N$68=0,0,VLOOKUP($N$68,'SD6'!P8:Q156,'SD6'!Q1,FALSE))*(1+'SDK1'!O11/100)</f>
        <v>3.9</v>
      </c>
    </row>
    <row r="69" spans="1:20" s="708" customFormat="1" ht="18.75" customHeight="1">
      <c r="A69" s="1270"/>
      <c r="B69" s="1276" t="s">
        <v>1214</v>
      </c>
      <c r="C69" s="1270"/>
      <c r="D69" s="1270"/>
      <c r="E69" s="38"/>
      <c r="F69" s="38"/>
      <c r="G69" s="1620"/>
      <c r="H69" s="44"/>
      <c r="I69" s="73"/>
      <c r="J69" s="1614">
        <f>H70*$F70/1000</f>
        <v>18.679500000000001</v>
      </c>
      <c r="K69" s="1630"/>
      <c r="L69" s="1629"/>
      <c r="M69" s="1617">
        <f>K70*$F70/1000</f>
        <v>24.905999999999999</v>
      </c>
      <c r="N69" s="44"/>
      <c r="O69" s="73"/>
      <c r="P69" s="1614">
        <f>N70*$F70/1000</f>
        <v>31.1325</v>
      </c>
      <c r="Q69" s="38"/>
    </row>
    <row r="70" spans="1:20" s="708" customFormat="1" ht="15" customHeight="1">
      <c r="A70" s="1270"/>
      <c r="B70" s="1332"/>
      <c r="C70" s="1331" t="s">
        <v>896</v>
      </c>
      <c r="D70" s="353"/>
      <c r="E70" s="280"/>
      <c r="F70" s="1628">
        <f>'SDK7'!G108</f>
        <v>42</v>
      </c>
      <c r="G70" s="1627" t="s">
        <v>171</v>
      </c>
      <c r="H70" s="1623">
        <f>I9+I10</f>
        <v>444.75</v>
      </c>
      <c r="I70" s="1622"/>
      <c r="J70" s="1621"/>
      <c r="K70" s="1626">
        <f>L9+L10</f>
        <v>593</v>
      </c>
      <c r="L70" s="1625"/>
      <c r="M70" s="1624"/>
      <c r="N70" s="1623">
        <f>O9+O10</f>
        <v>741.25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5.3451254886470574</v>
      </c>
      <c r="K75" s="711"/>
      <c r="L75" s="1056"/>
      <c r="M75" s="1578">
        <f>(M23+M27+M34+M43+M60+M65+M67+M69+M71)*('SDK1'!$O$59%*$G$75/12)</f>
        <v>5.7751587072254891</v>
      </c>
      <c r="N75" s="1580"/>
      <c r="O75" s="1579"/>
      <c r="P75" s="1578">
        <f>(P23+P27+P34+P43+P60+P65+P67+P69+P71)*('SDK1'!$O$59%*$G$75/12)</f>
        <v>6.2051919258039225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D159" s="15"/>
      <c r="F159" s="15"/>
      <c r="G159" s="15"/>
      <c r="H159" s="15"/>
      <c r="I159" s="15"/>
      <c r="J159" s="15"/>
      <c r="K159" s="15"/>
      <c r="M159" s="35"/>
      <c r="N159" s="35"/>
      <c r="O159" s="35"/>
      <c r="P159" s="35"/>
      <c r="Q159" s="35"/>
    </row>
    <row r="160" spans="1:17">
      <c r="A160" s="35"/>
      <c r="B160" s="623"/>
      <c r="C160" s="15"/>
      <c r="D160" s="15"/>
      <c r="F160" s="15"/>
      <c r="G160" s="15"/>
      <c r="H160" s="15"/>
      <c r="I160" s="15"/>
      <c r="J160" s="15"/>
      <c r="K160" s="15"/>
      <c r="M160" s="35"/>
      <c r="N160" s="35"/>
      <c r="O160" s="35"/>
      <c r="P160" s="35"/>
      <c r="Q160" s="35"/>
    </row>
    <row r="161" spans="1:17">
      <c r="A161" s="35"/>
      <c r="B161" s="623"/>
      <c r="C161" s="15"/>
      <c r="D161" s="15"/>
      <c r="F161" s="15"/>
      <c r="G161" s="15"/>
      <c r="H161" s="15"/>
      <c r="I161" s="15"/>
      <c r="J161" s="15"/>
      <c r="K161" s="15"/>
      <c r="L161" s="35"/>
      <c r="M161" s="35"/>
      <c r="N161" s="35"/>
      <c r="O161" s="35"/>
      <c r="P161" s="35"/>
      <c r="Q161" s="35"/>
    </row>
    <row r="162" spans="1:17">
      <c r="A162" s="35"/>
      <c r="B162" s="623"/>
      <c r="C162" s="15"/>
      <c r="D162" s="15"/>
      <c r="F162" s="15"/>
      <c r="G162" s="15"/>
      <c r="H162" s="15"/>
      <c r="I162" s="15"/>
      <c r="J162" s="15"/>
      <c r="K162" s="15"/>
      <c r="L162" s="35"/>
      <c r="M162" s="35"/>
      <c r="N162" s="35"/>
      <c r="O162" s="35"/>
      <c r="P162" s="35"/>
      <c r="Q162" s="35"/>
    </row>
    <row r="163" spans="1:17">
      <c r="A163" s="35"/>
      <c r="B163" s="623"/>
      <c r="C163" s="15"/>
      <c r="D163" s="15"/>
      <c r="F163" s="15"/>
      <c r="G163" s="15"/>
      <c r="H163" s="15"/>
      <c r="I163" s="15"/>
      <c r="J163" s="15"/>
      <c r="K163" s="15"/>
      <c r="L163" s="35"/>
      <c r="M163" s="35"/>
      <c r="N163" s="35"/>
      <c r="O163" s="35"/>
      <c r="P163" s="35"/>
      <c r="Q163" s="35"/>
    </row>
    <row r="164" spans="1:17">
      <c r="A164" s="35"/>
      <c r="B164" s="623"/>
      <c r="C164" s="15"/>
      <c r="L164" s="35"/>
      <c r="M164" s="35"/>
      <c r="N164" s="35"/>
      <c r="O164" s="35"/>
      <c r="P164" s="35"/>
      <c r="Q164" s="35"/>
    </row>
    <row r="165" spans="1:17">
      <c r="A165" s="35"/>
      <c r="B165" s="623"/>
      <c r="C165" s="15"/>
      <c r="L165" s="35"/>
      <c r="M165" s="35"/>
      <c r="N165" s="35"/>
      <c r="O165" s="35"/>
      <c r="P165" s="35"/>
      <c r="Q165" s="35"/>
    </row>
    <row r="166" spans="1:17">
      <c r="A166" s="35"/>
      <c r="B166" s="623"/>
      <c r="C166" s="15"/>
      <c r="L166" s="35"/>
      <c r="M166" s="35"/>
      <c r="N166" s="35"/>
      <c r="O166" s="35"/>
      <c r="P166" s="35"/>
      <c r="Q166" s="35"/>
    </row>
    <row r="167" spans="1:17">
      <c r="A167" s="35"/>
      <c r="B167" s="623"/>
      <c r="C167" s="15"/>
      <c r="L167" s="35"/>
      <c r="M167" s="35"/>
      <c r="N167" s="35"/>
      <c r="O167" s="35"/>
      <c r="P167" s="35"/>
      <c r="Q167" s="35"/>
    </row>
    <row r="168" spans="1:17">
      <c r="A168" s="35"/>
      <c r="B168" s="623"/>
      <c r="C168" s="15"/>
      <c r="L168" s="35"/>
      <c r="M168" s="35"/>
      <c r="N168" s="35"/>
      <c r="O168" s="35"/>
      <c r="P168" s="35"/>
      <c r="Q168" s="35"/>
    </row>
    <row r="169" spans="1:17">
      <c r="A169" s="35"/>
      <c r="B169" s="623"/>
      <c r="C169" s="15"/>
      <c r="L169" s="35"/>
      <c r="M169" s="35"/>
      <c r="N169" s="35"/>
      <c r="O169" s="35"/>
      <c r="P169" s="35"/>
      <c r="Q169" s="35"/>
    </row>
    <row r="170" spans="1:17">
      <c r="A170" s="35"/>
      <c r="B170" s="623"/>
      <c r="C170" s="15"/>
      <c r="L170" s="35"/>
      <c r="M170" s="35"/>
      <c r="N170" s="35"/>
      <c r="O170" s="35"/>
      <c r="P170" s="35"/>
      <c r="Q170" s="35"/>
    </row>
    <row r="171" spans="1:17">
      <c r="A171" s="35"/>
      <c r="B171" s="623"/>
      <c r="C171" s="15"/>
      <c r="L171" s="35"/>
      <c r="M171" s="35"/>
      <c r="N171" s="35"/>
      <c r="O171" s="35"/>
      <c r="P171" s="35"/>
      <c r="Q171" s="35"/>
    </row>
    <row r="172" spans="1:17">
      <c r="A172" s="35"/>
      <c r="B172" s="623"/>
      <c r="C172" s="15"/>
      <c r="L172" s="35"/>
      <c r="M172" s="35"/>
      <c r="N172" s="35"/>
      <c r="O172" s="35"/>
      <c r="P172" s="35"/>
      <c r="Q172" s="35"/>
    </row>
    <row r="173" spans="1:17">
      <c r="A173" s="35"/>
      <c r="B173" s="623"/>
      <c r="C173" s="15"/>
      <c r="L173" s="35"/>
      <c r="M173" s="35"/>
      <c r="N173" s="35"/>
      <c r="O173" s="35"/>
      <c r="P173" s="35"/>
      <c r="Q173" s="35"/>
    </row>
    <row r="174" spans="1:17">
      <c r="A174" s="35"/>
      <c r="B174" s="623"/>
      <c r="C174" s="15"/>
      <c r="L174" s="35"/>
      <c r="M174" s="35"/>
      <c r="N174" s="35"/>
      <c r="O174" s="35"/>
      <c r="P174" s="35"/>
      <c r="Q174" s="35"/>
    </row>
    <row r="175" spans="1:17">
      <c r="A175" s="35"/>
      <c r="B175" s="623"/>
      <c r="C175" s="15"/>
      <c r="L175" s="35"/>
      <c r="M175" s="35"/>
      <c r="N175" s="35"/>
      <c r="O175" s="35"/>
      <c r="P175" s="35"/>
      <c r="Q175" s="35"/>
    </row>
    <row r="176" spans="1:17">
      <c r="A176" s="35"/>
      <c r="B176" s="623"/>
      <c r="C176" s="1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2" orientation="portrait" r:id="rId1"/>
  <headerFooter alignWithMargins="0">
    <oddFooter>&amp;L&amp;11LEL Schwäbisch Gmünd&amp;C65&amp;R&amp;11&amp;F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'SDK5'!$W$214:$W$313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412.52314200418596</v>
      </c>
      <c r="K1" s="4859">
        <f>M1-J1</f>
        <v>283.23985000000062</v>
      </c>
      <c r="L1" s="4859"/>
      <c r="M1" s="1906">
        <f>(M7+M13+M18+M22+L11+L12)-(M23+M27+M34+M43+M60+M65+M67+M69+M71+M75)</f>
        <v>695.76299200418657</v>
      </c>
      <c r="N1" s="4859">
        <f>P1-M1</f>
        <v>281.85408684129368</v>
      </c>
      <c r="O1" s="4859"/>
      <c r="P1" s="1906">
        <f>(P7+P13+P18+P22+O11+O12)-(P23+P27+P34+P43+P60+P65+P67+P69+P71+P75)</f>
        <v>977.61707884548025</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199</v>
      </c>
      <c r="L2" s="4870"/>
      <c r="M2" s="4870"/>
      <c r="N2" s="4870"/>
      <c r="O2" s="4870"/>
      <c r="P2" s="4870"/>
      <c r="Q2" s="1920">
        <v>10</v>
      </c>
    </row>
    <row r="3" spans="1:41" s="1891" customFormat="1" ht="21.75" customHeight="1">
      <c r="A3" s="1895"/>
      <c r="B3" s="1919"/>
      <c r="H3" s="1902"/>
      <c r="J3" s="4866"/>
      <c r="K3" s="4886"/>
      <c r="L3" s="4886"/>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86"/>
      <c r="L4" s="4886"/>
      <c r="M4" s="1942"/>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20</v>
      </c>
      <c r="K6" s="4849" t="s">
        <v>152</v>
      </c>
      <c r="L6" s="4850"/>
      <c r="M6" s="1887">
        <v>35</v>
      </c>
      <c r="N6" s="4864" t="s">
        <v>178</v>
      </c>
      <c r="O6" s="4865"/>
      <c r="P6" s="1886">
        <v>50</v>
      </c>
      <c r="Q6" s="70"/>
    </row>
    <row r="7" spans="1:41" s="252" customFormat="1" ht="18.75" customHeight="1">
      <c r="A7" s="47"/>
      <c r="B7" s="311" t="s">
        <v>1258</v>
      </c>
      <c r="C7" s="47"/>
      <c r="D7" s="47"/>
      <c r="E7" s="47"/>
      <c r="F7" s="47"/>
      <c r="G7" s="1884"/>
      <c r="H7" s="1881"/>
      <c r="I7" s="1880"/>
      <c r="J7" s="1614">
        <f>SUM(I9:I10)</f>
        <v>501.33333333333331</v>
      </c>
      <c r="K7" s="1883"/>
      <c r="L7" s="1882"/>
      <c r="M7" s="1617">
        <f>SUM(L9:L10)</f>
        <v>877.33333333333337</v>
      </c>
      <c r="N7" s="1881"/>
      <c r="O7" s="1880"/>
      <c r="P7" s="1614">
        <f>SUM(O9:O10)</f>
        <v>1253.3333333333333</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'SDK1'!O35</f>
        <v>25.066666666666666</v>
      </c>
      <c r="H9" s="1877">
        <f>J6-H10</f>
        <v>20</v>
      </c>
      <c r="I9" s="1873">
        <f>H9*G9</f>
        <v>501.33333333333331</v>
      </c>
      <c r="J9" s="43"/>
      <c r="K9" s="1876">
        <f>M6-K10</f>
        <v>35</v>
      </c>
      <c r="L9" s="1875">
        <f>K9*G9</f>
        <v>877.33333333333337</v>
      </c>
      <c r="M9" s="1854"/>
      <c r="N9" s="1874">
        <f>P6-N10</f>
        <v>50</v>
      </c>
      <c r="O9" s="1873">
        <f>N9*G9</f>
        <v>1253.3333333333333</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200</v>
      </c>
      <c r="K13" s="1927"/>
      <c r="L13" s="1825"/>
      <c r="M13" s="1617">
        <f>SUM(L14:L17)</f>
        <v>200</v>
      </c>
      <c r="N13" s="1926"/>
      <c r="O13" s="1823"/>
      <c r="P13" s="1614">
        <f>SUM(O14:O17)</f>
        <v>200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t="s">
        <v>2121</v>
      </c>
      <c r="D15" s="4833"/>
      <c r="E15" s="4833"/>
      <c r="F15" s="4833"/>
      <c r="G15" s="1837"/>
      <c r="H15" s="1836" t="s">
        <v>1299</v>
      </c>
      <c r="I15" s="1817">
        <f>IF(H15="ja",Q15,0)</f>
        <v>100</v>
      </c>
      <c r="J15" s="45"/>
      <c r="K15" s="1836" t="s">
        <v>1299</v>
      </c>
      <c r="L15" s="1671">
        <f>IF(K15="ja",Q15,0)</f>
        <v>100</v>
      </c>
      <c r="M15" s="1589"/>
      <c r="N15" s="1836" t="s">
        <v>1299</v>
      </c>
      <c r="O15" s="1817">
        <f>IF(N15="ja",Q15,0)</f>
        <v>100</v>
      </c>
      <c r="P15" s="1586"/>
      <c r="Q15" s="1835">
        <f>IF(C15=0,0,VLOOKUP(C15,'SD2'!$C$11:$N$49,'SD2'!$N$1,FALSE))</f>
        <v>100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555.4</v>
      </c>
      <c r="S19" s="1815">
        <f>M13+M18</f>
        <v>555.4</v>
      </c>
      <c r="T19" s="1814">
        <f>P13+P18</f>
        <v>555.4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153.6</v>
      </c>
      <c r="K23" s="1619"/>
      <c r="L23" s="1618"/>
      <c r="M23" s="1800">
        <f>SUM(L25:L26)</f>
        <v>168</v>
      </c>
      <c r="N23" s="1616"/>
      <c r="O23" s="1615"/>
      <c r="P23" s="1599">
        <f>SUM(O25:O26)</f>
        <v>182.4</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'SDK7'!F67/100</f>
        <v>0.96</v>
      </c>
      <c r="G25" s="1794">
        <f>F25*(100+$D$24)/100</f>
        <v>0.96</v>
      </c>
      <c r="H25" s="1793">
        <v>160</v>
      </c>
      <c r="I25" s="1754">
        <f>H25*$G25</f>
        <v>153.6</v>
      </c>
      <c r="J25" s="45"/>
      <c r="K25" s="1793">
        <v>175</v>
      </c>
      <c r="L25" s="1596">
        <f>K25*$G25</f>
        <v>168</v>
      </c>
      <c r="M25" s="1589"/>
      <c r="N25" s="1793">
        <v>190</v>
      </c>
      <c r="O25" s="1754">
        <f>N25*$G25</f>
        <v>182.4</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29.853333333333325</v>
      </c>
      <c r="K27" s="1748"/>
      <c r="L27" s="1747"/>
      <c r="M27" s="1617">
        <f>SUM(L30:L33)</f>
        <v>52.243333333333318</v>
      </c>
      <c r="N27" s="1746"/>
      <c r="O27" s="1745"/>
      <c r="P27" s="1614">
        <f>SUM(O30:O33)</f>
        <v>74.633333333333326</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-0.80000000000000027</v>
      </c>
      <c r="F30" s="1774">
        <f>VLOOKUP(K2,'SD8'!B9:L42,7,FALSE)</f>
        <v>1.4999999999999996</v>
      </c>
      <c r="G30" s="1773"/>
      <c r="H30" s="1771">
        <f>IF(J$6=0,0,(J$6*$E30+$G30+X14))</f>
        <v>-16.000000000000007</v>
      </c>
      <c r="I30" s="1754">
        <f>H30*$D30</f>
        <v>-25.65333333333334</v>
      </c>
      <c r="J30" s="45"/>
      <c r="K30" s="1772">
        <f>IF(M$6=0,0,(M$6*$E30+$G30+Y14))</f>
        <v>-28.000000000000011</v>
      </c>
      <c r="L30" s="1596">
        <f>K30*$D30</f>
        <v>-44.893333333333345</v>
      </c>
      <c r="M30" s="1589"/>
      <c r="N30" s="1771">
        <f>IF(P$6=0,0,(P$6*$E30+$G30+Z14))</f>
        <v>-40.000000000000014</v>
      </c>
      <c r="O30" s="1754">
        <f>N30*$D30</f>
        <v>-64.13333333333334</v>
      </c>
      <c r="P30" s="1718"/>
      <c r="Q30" s="38"/>
    </row>
    <row r="31" spans="1:26" s="42" customFormat="1" ht="15" customHeight="1">
      <c r="A31" s="1306"/>
      <c r="B31" s="274"/>
      <c r="C31" s="1306" t="s">
        <v>244</v>
      </c>
      <c r="D31" s="1723">
        <f>'SDK1'!O53</f>
        <v>1.0999999999999999</v>
      </c>
      <c r="E31" s="1774">
        <f>VLOOKUP(K2,'SD8'!B9:L42,4,FALSE)</f>
        <v>1.1000000000000001</v>
      </c>
      <c r="F31" s="1774">
        <f>VLOOKUP(K2,'SD8'!B9:L42,8,FALSE)</f>
        <v>0.29999999999999982</v>
      </c>
      <c r="G31" s="1773"/>
      <c r="H31" s="1771">
        <f>IF(J$6=0,0,(J$6*$E31+$G31+X15))</f>
        <v>22</v>
      </c>
      <c r="I31" s="1754">
        <f>H31*$D31</f>
        <v>24.199999999999996</v>
      </c>
      <c r="J31" s="45"/>
      <c r="K31" s="1772">
        <f>IF(M$6=0,0,(M$6*$E31+$G31+Y15))</f>
        <v>38.5</v>
      </c>
      <c r="L31" s="1596">
        <f>K31*$D31</f>
        <v>42.349999999999994</v>
      </c>
      <c r="M31" s="1589"/>
      <c r="N31" s="1771">
        <f>IF(P$6=0,0,(P$6*$E31+$G31+Z15))</f>
        <v>55.000000000000007</v>
      </c>
      <c r="O31" s="1754">
        <f>N31*$D31</f>
        <v>60.5</v>
      </c>
      <c r="P31" s="1718"/>
      <c r="Q31" s="38"/>
    </row>
    <row r="32" spans="1:26" s="42" customFormat="1" ht="15" customHeight="1">
      <c r="A32" s="1306"/>
      <c r="B32" s="274"/>
      <c r="C32" s="1306" t="s">
        <v>242</v>
      </c>
      <c r="D32" s="1723">
        <f>'SDK1'!O54</f>
        <v>1.02</v>
      </c>
      <c r="E32" s="1774">
        <f>VLOOKUP(K2,'SD8'!B9:L42,5,FALSE)</f>
        <v>1.4</v>
      </c>
      <c r="F32" s="1774">
        <f>VLOOKUP(K2,'SD8'!B9:L42,9,FALSE)</f>
        <v>2.6</v>
      </c>
      <c r="G32" s="1773"/>
      <c r="H32" s="1771">
        <f>IF(J$6=0,0,(J$6*$E32+$G32+X16))</f>
        <v>28</v>
      </c>
      <c r="I32" s="1754">
        <f>H32*$D32</f>
        <v>28.560000000000002</v>
      </c>
      <c r="J32" s="45"/>
      <c r="K32" s="1772">
        <f>IF(M$6=0,0,(M$6*$E32+$G32+Y16))</f>
        <v>49</v>
      </c>
      <c r="L32" s="1596">
        <f>K32*$D32</f>
        <v>49.980000000000004</v>
      </c>
      <c r="M32" s="1589"/>
      <c r="N32" s="1771">
        <f>IF(P$6=0,0,(P$6*$E32+$G32+Z16))</f>
        <v>70</v>
      </c>
      <c r="O32" s="1754">
        <f>N32*$D32</f>
        <v>71.400000000000006</v>
      </c>
      <c r="P32" s="1718"/>
      <c r="Q32" s="38"/>
    </row>
    <row r="33" spans="1:17" s="42" customFormat="1" ht="15" customHeight="1">
      <c r="A33" s="1306"/>
      <c r="B33" s="239"/>
      <c r="C33" s="1331" t="s">
        <v>240</v>
      </c>
      <c r="D33" s="1706">
        <f>'SDK1'!O55</f>
        <v>0.68666666666666676</v>
      </c>
      <c r="E33" s="1770">
        <f>VLOOKUP(K2,'SD8'!B9:L42,6,FALSE)</f>
        <v>0.2</v>
      </c>
      <c r="F33" s="1770">
        <f>VLOOKUP(K2,'SD8'!B9:L42,10,FALSE)</f>
        <v>0.3</v>
      </c>
      <c r="G33" s="1769"/>
      <c r="H33" s="1767">
        <f>IF(J$6=0,0,(J$6*$E33+$G33+X17))</f>
        <v>4</v>
      </c>
      <c r="I33" s="1750">
        <f>H33*$D33</f>
        <v>2.746666666666667</v>
      </c>
      <c r="J33" s="45"/>
      <c r="K33" s="1768">
        <f>IF(M$6=0,0,(M$6*$E33+$G33+Y17))</f>
        <v>7</v>
      </c>
      <c r="L33" s="1590">
        <f>K33*$D33</f>
        <v>4.8066666666666675</v>
      </c>
      <c r="M33" s="1589"/>
      <c r="N33" s="1767">
        <f>IF(P$6=0,0,(P$6*$E33+$G33+Z17))</f>
        <v>10</v>
      </c>
      <c r="O33" s="1750">
        <f>N33*$D33</f>
        <v>6.8666666666666671</v>
      </c>
      <c r="P33" s="1749"/>
      <c r="Q33" s="38"/>
    </row>
    <row r="34" spans="1:17" s="708" customFormat="1" ht="18.75" customHeight="1">
      <c r="A34" s="1270"/>
      <c r="B34" s="1276" t="s">
        <v>1234</v>
      </c>
      <c r="C34" s="1270"/>
      <c r="D34" s="37"/>
      <c r="E34" s="37"/>
      <c r="F34" s="4831" t="s">
        <v>1233</v>
      </c>
      <c r="G34" s="4832"/>
      <c r="H34" s="1764"/>
      <c r="I34" s="1763"/>
      <c r="J34" s="1614">
        <f>SUM(I36:I42)</f>
        <v>78.300000000000011</v>
      </c>
      <c r="K34" s="1766"/>
      <c r="L34" s="1765"/>
      <c r="M34" s="1617">
        <f>SUM(L36:L42)</f>
        <v>78.300000000000011</v>
      </c>
      <c r="N34" s="1764"/>
      <c r="O34" s="1763"/>
      <c r="P34" s="1614">
        <f>SUM(O36:O42)</f>
        <v>78.300000000000011</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707</v>
      </c>
      <c r="D36" s="4857"/>
      <c r="E36" s="4858"/>
      <c r="F36" s="1756">
        <f>IF(C36="",0,VLOOKUP(C36,'SDK5'!C3:AF83,2,FALSE))</f>
        <v>14.3</v>
      </c>
      <c r="G36" s="1756">
        <f t="shared" ref="G36:G42" si="0">F36*(100+$D$35)/100</f>
        <v>14.3</v>
      </c>
      <c r="H36" s="1755">
        <v>3</v>
      </c>
      <c r="I36" s="1754">
        <f t="shared" ref="I36:I42" si="1">$G36*H36</f>
        <v>42.900000000000006</v>
      </c>
      <c r="J36" s="45"/>
      <c r="K36" s="1755">
        <v>3</v>
      </c>
      <c r="L36" s="1596">
        <f t="shared" ref="L36:L42" si="2">$G36*K36</f>
        <v>42.900000000000006</v>
      </c>
      <c r="M36" s="1589"/>
      <c r="N36" s="1755">
        <v>3</v>
      </c>
      <c r="O36" s="1754">
        <f t="shared" ref="O36:O42" si="3">$G36*N36</f>
        <v>42.900000000000006</v>
      </c>
      <c r="P36" s="1758"/>
      <c r="Q36" s="38"/>
    </row>
    <row r="37" spans="1:17" s="42" customFormat="1" ht="15" customHeight="1">
      <c r="A37" s="1306"/>
      <c r="B37" s="1594"/>
      <c r="C37" s="4855" t="s">
        <v>657</v>
      </c>
      <c r="D37" s="4855"/>
      <c r="E37" s="4856"/>
      <c r="F37" s="1756">
        <f>IF(C37="",0,VLOOKUP(C37,'SDK5'!C4:AF84,2,FALSE))</f>
        <v>17.7</v>
      </c>
      <c r="G37" s="1756">
        <f t="shared" si="0"/>
        <v>17.7</v>
      </c>
      <c r="H37" s="1755">
        <v>2</v>
      </c>
      <c r="I37" s="1754">
        <f t="shared" si="1"/>
        <v>35.4</v>
      </c>
      <c r="J37" s="45"/>
      <c r="K37" s="1755">
        <v>2</v>
      </c>
      <c r="L37" s="1596">
        <f t="shared" si="2"/>
        <v>35.4</v>
      </c>
      <c r="M37" s="1589"/>
      <c r="N37" s="1755">
        <v>2</v>
      </c>
      <c r="O37" s="1754">
        <f t="shared" si="3"/>
        <v>35.4</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127.79688579294118</v>
      </c>
      <c r="K43" s="1748"/>
      <c r="L43" s="1747"/>
      <c r="M43" s="1617">
        <f>SUM(M46:M57)</f>
        <v>127.79688579294118</v>
      </c>
      <c r="N43" s="1746"/>
      <c r="O43" s="1745"/>
      <c r="P43" s="1614">
        <f>SUM(P46:P57)</f>
        <v>129.17404172705884</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10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1</v>
      </c>
      <c r="I48" s="1719">
        <f t="shared" si="4"/>
        <v>0.32</v>
      </c>
      <c r="J48" s="1718">
        <f t="shared" si="5"/>
        <v>3.6014154164705885</v>
      </c>
      <c r="K48" s="1720">
        <v>1</v>
      </c>
      <c r="L48" s="1722">
        <f t="shared" si="6"/>
        <v>0.32</v>
      </c>
      <c r="M48" s="1721">
        <f t="shared" si="7"/>
        <v>3.6014154164705885</v>
      </c>
      <c r="N48" s="1720">
        <v>1</v>
      </c>
      <c r="O48" s="1719">
        <f t="shared" si="8"/>
        <v>0.32</v>
      </c>
      <c r="P48" s="1718">
        <f t="shared" si="9"/>
        <v>3.6014154164705885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1</v>
      </c>
      <c r="O49" s="1719">
        <f t="shared" si="8"/>
        <v>0.36</v>
      </c>
      <c r="P49" s="1718">
        <f t="shared" si="9"/>
        <v>5.7672017035294116</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0.6</v>
      </c>
      <c r="I50" s="1719">
        <f t="shared" si="4"/>
        <v>0.24</v>
      </c>
      <c r="J50" s="1718">
        <f t="shared" si="5"/>
        <v>4.1314678023529412</v>
      </c>
      <c r="K50" s="1720">
        <v>0.6</v>
      </c>
      <c r="L50" s="1722">
        <f t="shared" si="6"/>
        <v>0.24</v>
      </c>
      <c r="M50" s="1721">
        <f t="shared" si="7"/>
        <v>4.1314678023529412</v>
      </c>
      <c r="N50" s="1720">
        <v>0.8</v>
      </c>
      <c r="O50" s="1719">
        <f t="shared" si="8"/>
        <v>0.32000000000000006</v>
      </c>
      <c r="P50" s="1718">
        <f t="shared" si="9"/>
        <v>5.5086237364705894</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4.34</v>
      </c>
      <c r="J58" s="1701"/>
      <c r="K58" s="1700"/>
      <c r="L58" s="1699">
        <f>SUM($L$46:$L$57)</f>
        <v>4.34</v>
      </c>
      <c r="M58" s="1698"/>
      <c r="N58" s="1697"/>
      <c r="O58" s="1696">
        <f>SUM($O$46:$O$57)</f>
        <v>4.42</v>
      </c>
      <c r="P58" s="1695"/>
      <c r="Q58" s="38"/>
    </row>
    <row r="59" spans="1:17" s="65" customFormat="1" ht="15" customHeight="1">
      <c r="A59" s="1373"/>
      <c r="B59" s="1694"/>
      <c r="C59" s="353"/>
      <c r="D59" s="280" t="s">
        <v>1222</v>
      </c>
      <c r="E59" s="1693">
        <v>80</v>
      </c>
      <c r="F59" s="353" t="s">
        <v>1221</v>
      </c>
      <c r="G59" s="1692"/>
      <c r="H59" s="1688"/>
      <c r="I59" s="1687">
        <f>IF(I58+SUM($I$46:$I$57)*$E$59%&gt;I58+10,I58+10,I58+SUM($I$46:$I$57)*$E$59%)</f>
        <v>7.8119999999999994</v>
      </c>
      <c r="J59" s="1686"/>
      <c r="K59" s="1691"/>
      <c r="L59" s="1690">
        <f>IF(L58+SUM($L$46:$L$57)*$E$59%&gt;L58+10,L58+10,L58+SUM($L$46:$L$57)*$E$59%)</f>
        <v>7.8119999999999994</v>
      </c>
      <c r="M59" s="1689"/>
      <c r="N59" s="1688"/>
      <c r="O59" s="1687">
        <f>IF(O58+SUM($O$46:$O$57)*$E$59%&gt;O58+10,O58+10,O58+SUM($O$46:$O$57)*$E$59%)</f>
        <v>7.9559999999999995</v>
      </c>
      <c r="P59" s="1686"/>
      <c r="Q59" s="38"/>
    </row>
    <row r="60" spans="1:17" s="42" customFormat="1" ht="18.75" customHeight="1">
      <c r="A60" s="1306"/>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57.816000000000003</v>
      </c>
      <c r="K67" s="1641" t="s">
        <v>1217</v>
      </c>
      <c r="L67" s="1640" t="s">
        <v>1216</v>
      </c>
      <c r="M67" s="1617">
        <f>S68*(K9+K10)*L68%+F68</f>
        <v>101.178</v>
      </c>
      <c r="N67" s="1639" t="s">
        <v>1217</v>
      </c>
      <c r="O67" s="1638" t="s">
        <v>1216</v>
      </c>
      <c r="P67" s="1614">
        <f>T68*(N9+N10)*O68%+F68</f>
        <v>144.54000000000002</v>
      </c>
      <c r="Q67" s="38"/>
    </row>
    <row r="68" spans="1:20" s="708" customFormat="1" ht="15" customHeight="1">
      <c r="A68" s="1270"/>
      <c r="B68" s="1637"/>
      <c r="C68" s="4839" t="s">
        <v>1215</v>
      </c>
      <c r="D68" s="4839"/>
      <c r="E68" s="4839"/>
      <c r="F68" s="1636"/>
      <c r="G68" s="1627" t="s">
        <v>171</v>
      </c>
      <c r="H68" s="1634">
        <v>16</v>
      </c>
      <c r="I68" s="1633">
        <v>66</v>
      </c>
      <c r="J68" s="1632"/>
      <c r="K68" s="1634">
        <v>16</v>
      </c>
      <c r="L68" s="1633">
        <v>66</v>
      </c>
      <c r="M68" s="1635"/>
      <c r="N68" s="1634">
        <v>16</v>
      </c>
      <c r="O68" s="1633">
        <v>66</v>
      </c>
      <c r="P68" s="1632"/>
      <c r="Q68" s="38"/>
      <c r="R68" s="1944">
        <f>IF($H$68=0,0,VLOOKUP($H$68,'SD6'!D8:E156,'SD6'!$E$1,FALSE))*(1+'SDK1'!O11/100)</f>
        <v>4.38</v>
      </c>
      <c r="S68" s="1631">
        <f>IF($H$68=0,0,VLOOKUP($H$68,'SD6'!D8:E156,'SD6'!$E$1,FALSE))*(1+'SDK1'!O11/100)</f>
        <v>4.38</v>
      </c>
      <c r="T68" s="1944">
        <f>IF($H$68=0,0,VLOOKUP($H$68,'SD6'!D8:E156,'SD6'!$E$1,FALSE))*(1+'SDK1'!O11/100)</f>
        <v>4.38</v>
      </c>
    </row>
    <row r="69" spans="1:20" s="708" customFormat="1" ht="18.75" customHeight="1">
      <c r="A69" s="1270"/>
      <c r="B69" s="1276" t="s">
        <v>1214</v>
      </c>
      <c r="C69" s="1270"/>
      <c r="D69" s="1270"/>
      <c r="E69" s="38"/>
      <c r="F69" s="38"/>
      <c r="G69" s="1620"/>
      <c r="H69" s="44"/>
      <c r="I69" s="73"/>
      <c r="J69" s="1614">
        <f>H70*$F70/1000</f>
        <v>16.042666666666666</v>
      </c>
      <c r="K69" s="1630"/>
      <c r="L69" s="1629"/>
      <c r="M69" s="1617">
        <f>K70*$F70/1000</f>
        <v>28.074666666666669</v>
      </c>
      <c r="N69" s="44"/>
      <c r="O69" s="73"/>
      <c r="P69" s="1614">
        <f>N70*$F70/1000</f>
        <v>40.106666666666662</v>
      </c>
      <c r="Q69" s="38"/>
    </row>
    <row r="70" spans="1:20" s="708" customFormat="1" ht="15" customHeight="1">
      <c r="A70" s="1270"/>
      <c r="B70" s="1332"/>
      <c r="C70" s="1331" t="s">
        <v>896</v>
      </c>
      <c r="D70" s="353"/>
      <c r="E70" s="280"/>
      <c r="F70" s="1628">
        <f>'SDK7'!G110</f>
        <v>32</v>
      </c>
      <c r="G70" s="1627" t="s">
        <v>171</v>
      </c>
      <c r="H70" s="1623">
        <f>I9+I10</f>
        <v>501.33333333333331</v>
      </c>
      <c r="I70" s="1622"/>
      <c r="J70" s="1621"/>
      <c r="K70" s="1626">
        <f>L9+L10</f>
        <v>877.33333333333337</v>
      </c>
      <c r="L70" s="1625"/>
      <c r="M70" s="1624"/>
      <c r="N70" s="1623">
        <f>O9+O10</f>
        <v>1253.3333333333333</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4.0013055362058827</v>
      </c>
      <c r="K75" s="711"/>
      <c r="L75" s="1056"/>
      <c r="M75" s="1578">
        <f>(M23+M27+M34+M43+M60+M65+M67+M69+M71)*('SDK1'!$O$59%*$G$75/12)</f>
        <v>4.577455536205882</v>
      </c>
      <c r="N75" s="1580"/>
      <c r="O75" s="1579"/>
      <c r="P75" s="1578">
        <f>(P23+P27+P34+P43+P60+P65+P67+P69+P71)*('SDK1'!$O$59%*$G$75/12)</f>
        <v>5.1622127607941168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H159" s="1929"/>
      <c r="J159" s="1928"/>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D209" s="35"/>
      <c r="E209" s="35"/>
      <c r="F209" s="35"/>
      <c r="G209" s="35"/>
      <c r="H209" s="35"/>
      <c r="I209" s="35"/>
      <c r="J209" s="35"/>
      <c r="K209" s="35"/>
      <c r="L209" s="35"/>
      <c r="M209" s="35"/>
      <c r="N209" s="35"/>
      <c r="O209" s="35"/>
      <c r="P209" s="35"/>
      <c r="Q209" s="35"/>
    </row>
    <row r="210" spans="1:17">
      <c r="A210" s="35"/>
      <c r="B210" s="623"/>
      <c r="C210" s="15"/>
      <c r="D210" s="35"/>
      <c r="E210" s="35"/>
      <c r="F210" s="35"/>
      <c r="G210" s="35"/>
      <c r="H210" s="35"/>
      <c r="I210" s="35"/>
      <c r="J210" s="35"/>
      <c r="K210" s="35"/>
      <c r="L210" s="35"/>
      <c r="M210" s="35"/>
      <c r="N210" s="35"/>
      <c r="O210" s="35"/>
      <c r="P210" s="35"/>
      <c r="Q210" s="35"/>
    </row>
    <row r="211" spans="1:17">
      <c r="A211" s="35"/>
      <c r="B211" s="623"/>
      <c r="C211" s="15"/>
      <c r="D211" s="35"/>
      <c r="E211" s="35"/>
      <c r="F211" s="35"/>
      <c r="G211" s="35"/>
      <c r="H211" s="35"/>
      <c r="I211" s="35"/>
      <c r="J211" s="35"/>
      <c r="K211" s="35"/>
      <c r="L211" s="35"/>
      <c r="M211" s="35"/>
      <c r="N211" s="35"/>
      <c r="O211" s="35"/>
      <c r="P211" s="35"/>
      <c r="Q211" s="35"/>
    </row>
    <row r="212" spans="1:17">
      <c r="A212" s="35"/>
      <c r="B212" s="623"/>
      <c r="C212" s="15"/>
      <c r="D212" s="35"/>
      <c r="E212" s="35"/>
      <c r="F212" s="35"/>
      <c r="G212" s="35"/>
      <c r="H212" s="35"/>
      <c r="I212" s="35"/>
      <c r="J212" s="35"/>
      <c r="K212" s="35"/>
      <c r="L212" s="35"/>
      <c r="M212" s="35"/>
      <c r="N212" s="35"/>
      <c r="O212" s="35"/>
      <c r="P212" s="35"/>
      <c r="Q212" s="35"/>
    </row>
    <row r="213" spans="1:17">
      <c r="A213" s="35"/>
      <c r="B213" s="623"/>
      <c r="C213" s="15"/>
      <c r="D213" s="35"/>
      <c r="E213" s="35"/>
      <c r="F213" s="35"/>
      <c r="G213" s="35"/>
      <c r="H213" s="35"/>
      <c r="I213" s="35"/>
      <c r="J213" s="35"/>
      <c r="K213" s="35"/>
      <c r="L213" s="35"/>
      <c r="M213" s="35"/>
      <c r="N213" s="35"/>
      <c r="O213" s="35"/>
      <c r="P213" s="35"/>
      <c r="Q213" s="35"/>
    </row>
    <row r="214" spans="1:17">
      <c r="A214" s="35"/>
      <c r="B214" s="623"/>
      <c r="C214" s="15"/>
      <c r="D214" s="35"/>
      <c r="E214" s="35"/>
      <c r="F214" s="35"/>
      <c r="G214" s="35"/>
      <c r="H214" s="35"/>
      <c r="I214" s="35"/>
      <c r="J214" s="35"/>
      <c r="K214" s="35"/>
      <c r="L214" s="35"/>
      <c r="M214" s="35"/>
      <c r="N214" s="35"/>
      <c r="O214" s="35"/>
      <c r="P214" s="35"/>
      <c r="Q214" s="35"/>
    </row>
    <row r="215" spans="1:17">
      <c r="A215" s="35"/>
      <c r="B215" s="623"/>
      <c r="C215" s="15"/>
      <c r="D215" s="35"/>
      <c r="E215" s="35"/>
      <c r="F215" s="35"/>
      <c r="G215" s="35"/>
      <c r="H215" s="35"/>
      <c r="I215" s="35"/>
      <c r="J215" s="35"/>
      <c r="K215" s="35"/>
      <c r="L215" s="35"/>
      <c r="M215" s="35"/>
      <c r="N215" s="35"/>
      <c r="O215" s="35"/>
      <c r="P215" s="35"/>
      <c r="Q215" s="35"/>
    </row>
    <row r="216" spans="1:17">
      <c r="A216" s="35"/>
      <c r="B216" s="623"/>
      <c r="C216" s="15"/>
      <c r="D216" s="35"/>
      <c r="E216" s="35"/>
      <c r="F216" s="35"/>
      <c r="G216" s="35"/>
      <c r="H216" s="35"/>
      <c r="I216" s="35"/>
      <c r="J216" s="35"/>
      <c r="K216" s="35"/>
      <c r="L216" s="35"/>
      <c r="M216" s="35"/>
      <c r="N216" s="35"/>
      <c r="O216" s="35"/>
      <c r="P216" s="35"/>
      <c r="Q216" s="35"/>
    </row>
    <row r="217" spans="1:17">
      <c r="A217" s="35"/>
      <c r="B217" s="623"/>
      <c r="C217" s="15"/>
      <c r="D217" s="35"/>
      <c r="E217" s="35"/>
      <c r="F217" s="35"/>
      <c r="G217" s="35"/>
      <c r="H217" s="35"/>
      <c r="I217" s="35"/>
      <c r="J217" s="35"/>
      <c r="K217" s="35"/>
      <c r="L217" s="35"/>
      <c r="M217" s="35"/>
      <c r="N217" s="35"/>
      <c r="O217" s="35"/>
      <c r="P217" s="35"/>
      <c r="Q217" s="35"/>
    </row>
    <row r="218" spans="1:17">
      <c r="A218" s="35"/>
      <c r="B218" s="623"/>
      <c r="C218" s="15"/>
      <c r="D218" s="35"/>
      <c r="E218" s="35"/>
      <c r="F218" s="35"/>
      <c r="G218" s="35"/>
      <c r="H218" s="35"/>
      <c r="I218" s="35"/>
      <c r="J218" s="35"/>
      <c r="K218" s="35"/>
      <c r="L218" s="35"/>
      <c r="M218" s="35"/>
      <c r="N218" s="35"/>
      <c r="O218" s="35"/>
      <c r="P218" s="35"/>
      <c r="Q218" s="35"/>
    </row>
  </sheetData>
  <sheetProtection sheet="1" objects="1" scenarios="1"/>
  <mergeCells count="47">
    <mergeCell ref="C52:D52"/>
    <mergeCell ref="C53:D53"/>
    <mergeCell ref="C64:E64"/>
    <mergeCell ref="C73:E73"/>
    <mergeCell ref="C63:E63"/>
    <mergeCell ref="C57:D57"/>
    <mergeCell ref="C56:D56"/>
    <mergeCell ref="C15:F15"/>
    <mergeCell ref="N6:O6"/>
    <mergeCell ref="C46:D46"/>
    <mergeCell ref="C41:E41"/>
    <mergeCell ref="C37:E37"/>
    <mergeCell ref="C36:E36"/>
    <mergeCell ref="C40:E40"/>
    <mergeCell ref="E22:G22"/>
    <mergeCell ref="C48:D48"/>
    <mergeCell ref="F23:G23"/>
    <mergeCell ref="F34:G34"/>
    <mergeCell ref="C47:D47"/>
    <mergeCell ref="B75:C75"/>
    <mergeCell ref="C38:E38"/>
    <mergeCell ref="C54:D54"/>
    <mergeCell ref="C50:D50"/>
    <mergeCell ref="C51:D51"/>
    <mergeCell ref="D25:E25"/>
    <mergeCell ref="D26:E26"/>
    <mergeCell ref="C49:D49"/>
    <mergeCell ref="C74:E74"/>
    <mergeCell ref="C55:D55"/>
    <mergeCell ref="C68:E68"/>
    <mergeCell ref="C62:E62"/>
    <mergeCell ref="K1:L1"/>
    <mergeCell ref="N1:O1"/>
    <mergeCell ref="C42:E42"/>
    <mergeCell ref="H6:I6"/>
    <mergeCell ref="C19:F19"/>
    <mergeCell ref="C39:E39"/>
    <mergeCell ref="E4:I4"/>
    <mergeCell ref="N3:O4"/>
    <mergeCell ref="J3:L3"/>
    <mergeCell ref="J4:L4"/>
    <mergeCell ref="K6:L6"/>
    <mergeCell ref="E10:F10"/>
    <mergeCell ref="C16:F16"/>
    <mergeCell ref="C17:F17"/>
    <mergeCell ref="K2:P2"/>
    <mergeCell ref="C14:F14"/>
  </mergeCells>
  <dataValidations count="4">
    <dataValidation type="list" showInputMessage="1" showErrorMessage="1" sqref="N14 K14 H14">
      <formula1>"ja,nein"</formula1>
    </dataValidation>
    <dataValidation type="list" allowBlank="1" showInputMessage="1" showErrorMessage="1" sqref="N15:N17 K15:K17 H15:H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4" orientation="portrait" r:id="rId1"/>
  <headerFooter alignWithMargins="0">
    <oddFooter>&amp;L&amp;11LEL Schwäbisch Gmünd&amp;C67&amp;R&amp;11&amp;F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'SDK5'!$X$214:$X$313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1953"/>
      <c r="H1" s="1902"/>
      <c r="I1" s="1907" t="s">
        <v>1264</v>
      </c>
      <c r="J1" s="1906">
        <f>(J7+J13+J18+J22+I11+I12)-(J23+J27+J34+J43+J60+J65+J67+J69+J71+J75)</f>
        <v>326.70449858353902</v>
      </c>
      <c r="K1" s="4859">
        <f>M1-J1</f>
        <v>279.98457467064713</v>
      </c>
      <c r="L1" s="4859"/>
      <c r="M1" s="1906">
        <f>(M7+M13+M18+M22+L11+L12)-(M23+M27+M34+M43+M60+M65+M67+M69+M71+M75)</f>
        <v>606.68907325418616</v>
      </c>
      <c r="N1" s="4859">
        <f>P1-M1</f>
        <v>279.29169309129418</v>
      </c>
      <c r="O1" s="4859"/>
      <c r="P1" s="1906">
        <f>(P7+P13+P18+P22+O11+O12)-(P23+P27+P34+P43+P60+P65+P67+P69+P71+P75)</f>
        <v>885.98076634548033</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198</v>
      </c>
      <c r="L2" s="4870"/>
      <c r="M2" s="4870"/>
      <c r="N2" s="4870"/>
      <c r="O2" s="4870"/>
      <c r="P2" s="4870"/>
      <c r="Q2" s="1920">
        <v>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20</v>
      </c>
      <c r="K6" s="4849" t="s">
        <v>152</v>
      </c>
      <c r="L6" s="4850"/>
      <c r="M6" s="1887">
        <v>35</v>
      </c>
      <c r="N6" s="4864" t="s">
        <v>178</v>
      </c>
      <c r="O6" s="4865"/>
      <c r="P6" s="1886">
        <v>50</v>
      </c>
      <c r="Q6" s="70"/>
    </row>
    <row r="7" spans="1:41" s="252" customFormat="1" ht="18.75" customHeight="1">
      <c r="A7" s="47"/>
      <c r="B7" s="311" t="s">
        <v>1258</v>
      </c>
      <c r="C7" s="47"/>
      <c r="D7" s="47"/>
      <c r="E7" s="47"/>
      <c r="F7" s="47"/>
      <c r="G7" s="1884"/>
      <c r="H7" s="1881"/>
      <c r="I7" s="1880"/>
      <c r="J7" s="1614">
        <f>SUM(I9:I10)</f>
        <v>510.66666666666663</v>
      </c>
      <c r="K7" s="1883"/>
      <c r="L7" s="1882"/>
      <c r="M7" s="1617">
        <f>SUM(L9:L10)</f>
        <v>893.66666666666663</v>
      </c>
      <c r="N7" s="1881"/>
      <c r="O7" s="1880"/>
      <c r="P7" s="1614">
        <f>SUM(O9:O10)</f>
        <v>1276.6666666666665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'SDK1'!O36</f>
        <v>25.533333333333331</v>
      </c>
      <c r="H9" s="1877">
        <f>J6-H10</f>
        <v>20</v>
      </c>
      <c r="I9" s="1873">
        <f>H9*G9</f>
        <v>510.66666666666663</v>
      </c>
      <c r="J9" s="43"/>
      <c r="K9" s="1876">
        <f>M6-K10</f>
        <v>35</v>
      </c>
      <c r="L9" s="1875">
        <f>K9*G9</f>
        <v>893.66666666666663</v>
      </c>
      <c r="M9" s="1854"/>
      <c r="N9" s="1874">
        <f>P6-N10</f>
        <v>50</v>
      </c>
      <c r="O9" s="1873">
        <f>N9*G9</f>
        <v>1276.6666666666665</v>
      </c>
      <c r="P9" s="43"/>
      <c r="Q9" s="38"/>
      <c r="R9" s="935"/>
      <c r="S9" s="265" t="s">
        <v>1265</v>
      </c>
      <c r="T9" s="1872"/>
    </row>
    <row r="10" spans="1:41" s="1842" customFormat="1" ht="15">
      <c r="A10" s="377"/>
      <c r="B10" s="239"/>
      <c r="C10" s="281" t="str">
        <f>IF('SDK1'!O9&gt;0,"Nebenprodukt (incl. MwSt.)","Nebenprodukt (ohne MwSt)")</f>
        <v>Nebenprodukt (ohne MwSt)</v>
      </c>
      <c r="D10" s="1851"/>
      <c r="E10" s="4873"/>
      <c r="F10" s="4874"/>
      <c r="G10" s="1871"/>
      <c r="H10" s="1951"/>
      <c r="I10" s="1865">
        <f>H10*G10</f>
        <v>0</v>
      </c>
      <c r="J10" s="1870"/>
      <c r="K10" s="1952"/>
      <c r="L10" s="1868">
        <f>K10*G10</f>
        <v>0</v>
      </c>
      <c r="M10" s="1867"/>
      <c r="N10" s="1951"/>
      <c r="O10" s="1865">
        <f>N10*G10</f>
        <v>0</v>
      </c>
      <c r="P10" s="1864"/>
      <c r="Q10" s="38"/>
      <c r="R10" s="1863">
        <f>I10+I11+I12</f>
        <v>0</v>
      </c>
      <c r="S10" s="1862">
        <f>L10+L11+L12</f>
        <v>0</v>
      </c>
      <c r="T10" s="1861">
        <f>O10+O11+O12</f>
        <v>0</v>
      </c>
      <c r="W10" s="252" t="s">
        <v>1254</v>
      </c>
    </row>
    <row r="11" spans="1:41" s="1842" customFormat="1" ht="15">
      <c r="A11" s="377"/>
      <c r="B11" s="274"/>
      <c r="C11" s="45" t="s">
        <v>1253</v>
      </c>
      <c r="D11" s="377"/>
      <c r="E11" s="1860">
        <v>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5.75">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151.19999999999999</v>
      </c>
      <c r="K23" s="1619"/>
      <c r="L23" s="1618"/>
      <c r="M23" s="1800">
        <f>SUM(L25:L26)</f>
        <v>176.4</v>
      </c>
      <c r="N23" s="1616"/>
      <c r="O23" s="1615"/>
      <c r="P23" s="1599">
        <f>SUM(O25:O26)</f>
        <v>201.6</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'SDK7'!F68/100</f>
        <v>0.84</v>
      </c>
      <c r="G25" s="1794">
        <f>F25*(100+$D$24)/100</f>
        <v>0.84</v>
      </c>
      <c r="H25" s="1793">
        <v>180</v>
      </c>
      <c r="I25" s="1754">
        <f>H25*$G25</f>
        <v>151.19999999999999</v>
      </c>
      <c r="J25" s="45"/>
      <c r="K25" s="1793">
        <v>210</v>
      </c>
      <c r="L25" s="1596">
        <f>K25*$G25</f>
        <v>176.4</v>
      </c>
      <c r="M25" s="1589"/>
      <c r="N25" s="1793">
        <v>240</v>
      </c>
      <c r="O25" s="1754">
        <f>N25*$G25</f>
        <v>201.6</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28.84666666666666</v>
      </c>
      <c r="K27" s="1748"/>
      <c r="L27" s="1747"/>
      <c r="M27" s="1617">
        <f>SUM(L30:L33)</f>
        <v>50.481666666666648</v>
      </c>
      <c r="N27" s="1746"/>
      <c r="O27" s="1745"/>
      <c r="P27" s="1614">
        <f>SUM(O30:O33)</f>
        <v>72.116666666666646</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-0.90000000000000036</v>
      </c>
      <c r="F30" s="1774">
        <f>VLOOKUP(K2,'SD8'!B9:L42,7,FALSE)</f>
        <v>1.5</v>
      </c>
      <c r="G30" s="1773"/>
      <c r="H30" s="1771">
        <f>IF(J$6=0,0,(J$6*$E30+$G30+X14))</f>
        <v>-18.000000000000007</v>
      </c>
      <c r="I30" s="1754">
        <f>H30*$D30</f>
        <v>-28.860000000000007</v>
      </c>
      <c r="J30" s="45"/>
      <c r="K30" s="1772">
        <f>IF(M$6=0,0,(M$6*$E30+$G30+Y14))</f>
        <v>-31.500000000000014</v>
      </c>
      <c r="L30" s="1596">
        <f>K30*$D30</f>
        <v>-50.505000000000017</v>
      </c>
      <c r="M30" s="1589"/>
      <c r="N30" s="1771">
        <f>IF(P$6=0,0,(P$6*$E30+$G30+Z14))</f>
        <v>-45.000000000000014</v>
      </c>
      <c r="O30" s="1754">
        <f>N30*$D30</f>
        <v>-72.150000000000006</v>
      </c>
      <c r="P30" s="1718"/>
      <c r="Q30" s="38"/>
    </row>
    <row r="31" spans="1:26" s="42" customFormat="1" ht="15" customHeight="1">
      <c r="A31" s="1306"/>
      <c r="B31" s="274"/>
      <c r="C31" s="1306" t="s">
        <v>244</v>
      </c>
      <c r="D31" s="1723">
        <f>'SDK1'!O53</f>
        <v>1.0999999999999999</v>
      </c>
      <c r="E31" s="1774">
        <f>VLOOKUP(K2,'SD8'!B9:L42,4,FALSE)</f>
        <v>1.2</v>
      </c>
      <c r="F31" s="1774">
        <f>VLOOKUP(K2,'SD8'!B9:L42,8,FALSE)</f>
        <v>0.3</v>
      </c>
      <c r="G31" s="1773"/>
      <c r="H31" s="1771">
        <f>IF(J$6=0,0,(J$6*$E31+$G31+X15))</f>
        <v>24</v>
      </c>
      <c r="I31" s="1754">
        <f>H31*$D31</f>
        <v>26.4</v>
      </c>
      <c r="J31" s="45"/>
      <c r="K31" s="1772">
        <f>IF(M$6=0,0,(M$6*$E31+$G31+Y15))</f>
        <v>42</v>
      </c>
      <c r="L31" s="1596">
        <f>K31*$D31</f>
        <v>46.199999999999996</v>
      </c>
      <c r="M31" s="1589"/>
      <c r="N31" s="1771">
        <f>IF(P$6=0,0,(P$6*$E31+$G31+Z15))</f>
        <v>60</v>
      </c>
      <c r="O31" s="1754">
        <f>N31*$D31</f>
        <v>65.999999999999986</v>
      </c>
      <c r="P31" s="1718"/>
      <c r="Q31" s="38"/>
    </row>
    <row r="32" spans="1:26" s="42" customFormat="1" ht="15" customHeight="1">
      <c r="A32" s="1306"/>
      <c r="B32" s="274"/>
      <c r="C32" s="1306" t="s">
        <v>242</v>
      </c>
      <c r="D32" s="1723">
        <f>'SDK1'!O54</f>
        <v>1.02</v>
      </c>
      <c r="E32" s="1774">
        <f>VLOOKUP(K2,'SD8'!B9:L42,5,FALSE)</f>
        <v>1.4</v>
      </c>
      <c r="F32" s="1774">
        <f>VLOOKUP(K2,'SD8'!B9:L42,9,FALSE)</f>
        <v>1.7</v>
      </c>
      <c r="G32" s="1773"/>
      <c r="H32" s="1771">
        <f>IF(J$6=0,0,(J$6*$E32+$G32+X16))</f>
        <v>28</v>
      </c>
      <c r="I32" s="1754">
        <f>H32*$D32</f>
        <v>28.560000000000002</v>
      </c>
      <c r="J32" s="45"/>
      <c r="K32" s="1772">
        <f>IF(M$6=0,0,(M$6*$E32+$G32+Y16))</f>
        <v>49</v>
      </c>
      <c r="L32" s="1596">
        <f>K32*$D32</f>
        <v>49.980000000000004</v>
      </c>
      <c r="M32" s="1589"/>
      <c r="N32" s="1771">
        <f>IF(P$6=0,0,(P$6*$E32+$G32+Z16))</f>
        <v>70</v>
      </c>
      <c r="O32" s="1754">
        <f>N32*$D32</f>
        <v>71.400000000000006</v>
      </c>
      <c r="P32" s="1718"/>
      <c r="Q32" s="38"/>
    </row>
    <row r="33" spans="1:17" s="42" customFormat="1" ht="15" customHeight="1">
      <c r="A33" s="1306"/>
      <c r="B33" s="239"/>
      <c r="C33" s="1331" t="s">
        <v>240</v>
      </c>
      <c r="D33" s="1706">
        <f>'SDK1'!O55</f>
        <v>0.68666666666666676</v>
      </c>
      <c r="E33" s="1770">
        <f>VLOOKUP(K2,'SD8'!B9:L42,6,FALSE)</f>
        <v>0.2</v>
      </c>
      <c r="F33" s="1770">
        <f>VLOOKUP(K2,'SD8'!B9:L42,10,FALSE)</f>
        <v>0.15</v>
      </c>
      <c r="G33" s="1769"/>
      <c r="H33" s="1767">
        <f>IF(J$6=0,0,(J$6*$E33+$G33+X17))</f>
        <v>4</v>
      </c>
      <c r="I33" s="1750">
        <f>H33*$D33</f>
        <v>2.746666666666667</v>
      </c>
      <c r="J33" s="45"/>
      <c r="K33" s="1768">
        <f>IF(M$6=0,0,(M$6*$E33+$G33+Y17))</f>
        <v>7</v>
      </c>
      <c r="L33" s="1590">
        <f>K33*$D33</f>
        <v>4.8066666666666675</v>
      </c>
      <c r="M33" s="1589"/>
      <c r="N33" s="1767">
        <f>IF(P$6=0,0,(P$6*$E33+$G33+Z17))</f>
        <v>10</v>
      </c>
      <c r="O33" s="1750">
        <f>N33*$D33</f>
        <v>6.8666666666666671</v>
      </c>
      <c r="P33" s="1749"/>
      <c r="Q33" s="38"/>
    </row>
    <row r="34" spans="1:17" s="708" customFormat="1" ht="18.75" customHeight="1">
      <c r="A34" s="1270"/>
      <c r="B34" s="1276" t="s">
        <v>1234</v>
      </c>
      <c r="C34" s="1270"/>
      <c r="D34" s="37"/>
      <c r="E34" s="37"/>
      <c r="F34" s="4831" t="s">
        <v>1233</v>
      </c>
      <c r="G34" s="4832"/>
      <c r="H34" s="1764"/>
      <c r="I34" s="1763"/>
      <c r="J34" s="1614">
        <f>SUM(I36:I42)</f>
        <v>78.300000000000011</v>
      </c>
      <c r="K34" s="1766"/>
      <c r="L34" s="1765"/>
      <c r="M34" s="1617">
        <f>SUM(L36:L42)</f>
        <v>78.300000000000011</v>
      </c>
      <c r="N34" s="1764"/>
      <c r="O34" s="1763"/>
      <c r="P34" s="1614">
        <f>SUM(O36:O42)</f>
        <v>78.300000000000011</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707</v>
      </c>
      <c r="D36" s="4857"/>
      <c r="E36" s="4858"/>
      <c r="F36" s="1756">
        <f>IF(C36="",0,VLOOKUP(C36,'SDK5'!C3:AF83,2,FALSE))</f>
        <v>14.3</v>
      </c>
      <c r="G36" s="1756">
        <f t="shared" ref="G36:G42" si="0">F36*(100+$D$35)/100</f>
        <v>14.3</v>
      </c>
      <c r="H36" s="1755">
        <v>3</v>
      </c>
      <c r="I36" s="1754">
        <f t="shared" ref="I36:I42" si="1">$G36*H36</f>
        <v>42.900000000000006</v>
      </c>
      <c r="J36" s="45"/>
      <c r="K36" s="1755">
        <v>3</v>
      </c>
      <c r="L36" s="1596">
        <f t="shared" ref="L36:L42" si="2">$G36*K36</f>
        <v>42.900000000000006</v>
      </c>
      <c r="M36" s="1589"/>
      <c r="N36" s="1755">
        <v>3</v>
      </c>
      <c r="O36" s="1754">
        <f t="shared" ref="O36:O42" si="3">$G36*N36</f>
        <v>42.900000000000006</v>
      </c>
      <c r="P36" s="1758"/>
      <c r="Q36" s="38"/>
    </row>
    <row r="37" spans="1:17" s="42" customFormat="1" ht="15" customHeight="1">
      <c r="A37" s="1306"/>
      <c r="B37" s="1594"/>
      <c r="C37" s="4855" t="s">
        <v>657</v>
      </c>
      <c r="D37" s="4855"/>
      <c r="E37" s="4856"/>
      <c r="F37" s="1756">
        <f>IF(C37="",0,VLOOKUP(C37,'SDK5'!C4:AF84,2,FALSE))</f>
        <v>17.7</v>
      </c>
      <c r="G37" s="1756">
        <f t="shared" si="0"/>
        <v>17.7</v>
      </c>
      <c r="H37" s="1755">
        <v>2</v>
      </c>
      <c r="I37" s="1754">
        <f t="shared" si="1"/>
        <v>35.4</v>
      </c>
      <c r="J37" s="45"/>
      <c r="K37" s="1755">
        <v>2</v>
      </c>
      <c r="L37" s="1596">
        <f t="shared" si="2"/>
        <v>35.4</v>
      </c>
      <c r="M37" s="1589"/>
      <c r="N37" s="1755">
        <v>2</v>
      </c>
      <c r="O37" s="1754">
        <f t="shared" si="3"/>
        <v>35.4</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127.10830782588236</v>
      </c>
      <c r="K43" s="1748"/>
      <c r="L43" s="1747"/>
      <c r="M43" s="1617">
        <f>SUM(M46:M57)</f>
        <v>127.79688579294118</v>
      </c>
      <c r="N43" s="1746"/>
      <c r="O43" s="1745"/>
      <c r="P43" s="1614">
        <f>SUM(P46:P57)</f>
        <v>129.17404172705884</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1</v>
      </c>
      <c r="I48" s="1719">
        <f t="shared" si="4"/>
        <v>0.32</v>
      </c>
      <c r="J48" s="1718">
        <f t="shared" si="5"/>
        <v>3.6014154164705885</v>
      </c>
      <c r="K48" s="1720">
        <v>1</v>
      </c>
      <c r="L48" s="1722">
        <f t="shared" si="6"/>
        <v>0.32</v>
      </c>
      <c r="M48" s="1721">
        <f t="shared" si="7"/>
        <v>3.6014154164705885</v>
      </c>
      <c r="N48" s="1720">
        <v>1</v>
      </c>
      <c r="O48" s="1719">
        <f t="shared" si="8"/>
        <v>0.32</v>
      </c>
      <c r="P48" s="1718">
        <f t="shared" si="9"/>
        <v>3.6014154164705885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1</v>
      </c>
      <c r="O49" s="1719">
        <f t="shared" si="8"/>
        <v>0.36</v>
      </c>
      <c r="P49" s="1718">
        <f t="shared" si="9"/>
        <v>5.7672017035294116</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v>0.5</v>
      </c>
      <c r="I50" s="1719">
        <f t="shared" si="4"/>
        <v>0.2</v>
      </c>
      <c r="J50" s="1718">
        <f t="shared" si="5"/>
        <v>3.442889835294118</v>
      </c>
      <c r="K50" s="1720">
        <v>0.6</v>
      </c>
      <c r="L50" s="1722">
        <f t="shared" si="6"/>
        <v>0.24</v>
      </c>
      <c r="M50" s="1721">
        <f t="shared" si="7"/>
        <v>4.1314678023529412</v>
      </c>
      <c r="N50" s="1720">
        <v>0.8</v>
      </c>
      <c r="O50" s="1719">
        <f t="shared" si="8"/>
        <v>0.32000000000000006</v>
      </c>
      <c r="P50" s="1718">
        <f t="shared" si="9"/>
        <v>5.5086237364705894</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4.3</v>
      </c>
      <c r="J58" s="1701"/>
      <c r="K58" s="1700"/>
      <c r="L58" s="1699">
        <f>SUM($L$46:$L$57)</f>
        <v>4.34</v>
      </c>
      <c r="M58" s="1698"/>
      <c r="N58" s="1697"/>
      <c r="O58" s="1696">
        <f>SUM($O$46:$O$57)</f>
        <v>4.42</v>
      </c>
      <c r="P58" s="1695"/>
      <c r="Q58" s="38"/>
    </row>
    <row r="59" spans="1:17" s="65" customFormat="1" ht="15" customHeight="1">
      <c r="A59" s="1373"/>
      <c r="B59" s="1694"/>
      <c r="C59" s="353"/>
      <c r="D59" s="280" t="s">
        <v>1222</v>
      </c>
      <c r="E59" s="1693">
        <v>80</v>
      </c>
      <c r="F59" s="353" t="s">
        <v>1221</v>
      </c>
      <c r="G59" s="1692"/>
      <c r="H59" s="1688"/>
      <c r="I59" s="1687">
        <f>IF(I58+SUM($I$46:$I$57)*$E$59%&gt;I58+10,I58+10,I58+SUM($I$46:$I$57)*$E$59%)</f>
        <v>7.74</v>
      </c>
      <c r="J59" s="1686"/>
      <c r="K59" s="1691"/>
      <c r="L59" s="1690">
        <f>IF(L58+SUM($L$46:$L$57)*$E$59%&gt;L58+10,L58+10,L58+SUM($L$46:$L$57)*$E$59%)</f>
        <v>7.8119999999999994</v>
      </c>
      <c r="M59" s="1689"/>
      <c r="N59" s="1688"/>
      <c r="O59" s="1687">
        <f>IF(O58+SUM($O$46:$O$57)*$E$59%&gt;O58+10,O58+10,O58+SUM($O$46:$O$57)*$E$59%)</f>
        <v>7.9559999999999995</v>
      </c>
      <c r="P59" s="1686"/>
      <c r="Q59" s="38"/>
    </row>
    <row r="60" spans="1:17" s="42" customFormat="1" ht="18.75" customHeight="1">
      <c r="A60" s="1306"/>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57.816000000000003</v>
      </c>
      <c r="K67" s="1641" t="s">
        <v>1217</v>
      </c>
      <c r="L67" s="1640" t="s">
        <v>1216</v>
      </c>
      <c r="M67" s="1617">
        <f>S68*(K9+K10)*L68%+F68</f>
        <v>101.178</v>
      </c>
      <c r="N67" s="1639" t="s">
        <v>1217</v>
      </c>
      <c r="O67" s="1638" t="s">
        <v>1216</v>
      </c>
      <c r="P67" s="1614">
        <f>T68*(N9+N10)*O68%+F68</f>
        <v>144.54000000000002</v>
      </c>
      <c r="Q67" s="38"/>
    </row>
    <row r="68" spans="1:20" s="708" customFormat="1" ht="15" customHeight="1">
      <c r="A68" s="1270"/>
      <c r="B68" s="1637"/>
      <c r="C68" s="4839" t="s">
        <v>1215</v>
      </c>
      <c r="D68" s="4839"/>
      <c r="E68" s="4839"/>
      <c r="F68" s="1636"/>
      <c r="G68" s="1627" t="s">
        <v>171</v>
      </c>
      <c r="H68" s="1634">
        <v>16</v>
      </c>
      <c r="I68" s="1633">
        <v>66</v>
      </c>
      <c r="J68" s="1632"/>
      <c r="K68" s="1634">
        <v>16</v>
      </c>
      <c r="L68" s="1633">
        <v>66</v>
      </c>
      <c r="M68" s="1635"/>
      <c r="N68" s="1634">
        <v>16</v>
      </c>
      <c r="O68" s="1633">
        <v>66</v>
      </c>
      <c r="P68" s="1632"/>
      <c r="Q68" s="38"/>
      <c r="R68" s="1944">
        <f>IF($H$68=0,0,VLOOKUP($H$68,'SD6'!D8:E156,'SD6'!$E$1,FALSE))*(1+'SDK1'!O11/100)</f>
        <v>4.38</v>
      </c>
      <c r="S68" s="1631">
        <f>IF($H$68=0,0,VLOOKUP($H$68,'SD6'!D8:E156,'SD6'!$E$1,FALSE))*(1+'SDK1'!O11/100)</f>
        <v>4.38</v>
      </c>
      <c r="T68" s="1944">
        <f>IF($H$68=0,0,VLOOKUP($H$68,'SD6'!D8:E156,'SD6'!$E$1,FALSE))*(1+'SDK1'!O11/100)</f>
        <v>4.38</v>
      </c>
    </row>
    <row r="69" spans="1:20" s="708" customFormat="1" ht="18.75" customHeight="1">
      <c r="A69" s="1270"/>
      <c r="B69" s="1276" t="s">
        <v>1214</v>
      </c>
      <c r="C69" s="1270"/>
      <c r="D69" s="1270"/>
      <c r="E69" s="38"/>
      <c r="F69" s="38"/>
      <c r="G69" s="1620"/>
      <c r="H69" s="44"/>
      <c r="I69" s="73"/>
      <c r="J69" s="1614">
        <f>H70*$F70/1000</f>
        <v>15.319999999999999</v>
      </c>
      <c r="K69" s="1630"/>
      <c r="L69" s="1629"/>
      <c r="M69" s="1617">
        <f>K70*$F70/1000</f>
        <v>26.81</v>
      </c>
      <c r="N69" s="44"/>
      <c r="O69" s="73"/>
      <c r="P69" s="1614">
        <f>N70*$F70/1000</f>
        <v>38.29999999999999</v>
      </c>
      <c r="Q69" s="38"/>
    </row>
    <row r="70" spans="1:20" s="708" customFormat="1" ht="15" customHeight="1">
      <c r="A70" s="1270"/>
      <c r="B70" s="1332"/>
      <c r="C70" s="1331" t="s">
        <v>896</v>
      </c>
      <c r="D70" s="353"/>
      <c r="E70" s="280"/>
      <c r="F70" s="1628">
        <f>'SDK7'!G109</f>
        <v>30</v>
      </c>
      <c r="G70" s="1627" t="s">
        <v>171</v>
      </c>
      <c r="H70" s="1623">
        <f>I9+I10</f>
        <v>510.66666666666663</v>
      </c>
      <c r="I70" s="1622"/>
      <c r="J70" s="1621"/>
      <c r="K70" s="1626">
        <f>L9+L10</f>
        <v>893.66666666666663</v>
      </c>
      <c r="L70" s="1625"/>
      <c r="M70" s="1624"/>
      <c r="N70" s="1623">
        <f>O9+O10</f>
        <v>1276.6666666666665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3.9711935905784319</v>
      </c>
      <c r="K75" s="711"/>
      <c r="L75" s="1056"/>
      <c r="M75" s="1578">
        <f>(M23+M27+M34+M43+M60+M65+M67+M69+M71)*('SDK1'!$O$59%*$G$75/12)</f>
        <v>4.6110409528725489</v>
      </c>
      <c r="N75" s="1580"/>
      <c r="O75" s="1579"/>
      <c r="P75" s="1578">
        <f>(P23+P27+P34+P43+P60+P65+P67+P69+P71)*('SDK1'!$O$59%*$G$75/12)</f>
        <v>5.2551919274607837</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6" orientation="portrait" r:id="rId1"/>
  <headerFooter alignWithMargins="0">
    <oddFooter>&amp;L&amp;11LEL Schwäbisch Gmünd&amp;C69&amp;R&amp;11&amp;F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'SDK5'!$Y$214:$Y$313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pageSetUpPr fitToPage="1"/>
  </sheetPr>
  <dimension ref="A1:L58"/>
  <sheetViews>
    <sheetView showZeros="0" topLeftCell="A2" zoomScaleNormal="100" workbookViewId="0">
      <selection sqref="A1:B1"/>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0.625" style="136" customWidth="1"/>
    <col min="6" max="6" width="11.375" style="136" customWidth="1"/>
    <col min="7" max="7" width="13" style="136" customWidth="1"/>
    <col min="8" max="9" width="10.875" style="136" customWidth="1"/>
    <col min="10" max="10" width="10.75" style="136" customWidth="1"/>
    <col min="11" max="11" width="7.75" style="136" customWidth="1"/>
    <col min="12" max="12" width="0" style="136" hidden="1" customWidth="1"/>
    <col min="13" max="16384" width="10.5" style="136"/>
  </cols>
  <sheetData>
    <row r="1" spans="1:12" ht="13.5" hidden="1">
      <c r="A1" s="4136">
        <f>IF(J7=100,0,   "Flächenanteile ergeben nicht 100% !")</f>
        <v>0</v>
      </c>
      <c r="B1" s="4136"/>
      <c r="D1" s="206">
        <f t="shared" ref="D1:I1" si="0">VLOOKUP(D6,$D$27:$F$58,3,FALSE)</f>
        <v>17</v>
      </c>
      <c r="E1" s="206">
        <f t="shared" si="0"/>
        <v>3</v>
      </c>
      <c r="F1" s="206">
        <f t="shared" si="0"/>
        <v>12</v>
      </c>
      <c r="G1" s="206">
        <f t="shared" si="0"/>
        <v>2</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201" t="s">
        <v>184</v>
      </c>
      <c r="K2" s="201"/>
    </row>
    <row r="3" spans="1:12" ht="15.75" customHeight="1">
      <c r="B3" s="203"/>
      <c r="D3" s="140"/>
      <c r="E3" s="140"/>
      <c r="F3" s="140"/>
      <c r="G3" s="140"/>
      <c r="H3" s="140"/>
      <c r="I3" s="140"/>
    </row>
    <row r="4" spans="1:12" ht="21.4" customHeight="1">
      <c r="B4" s="4135" t="s">
        <v>213</v>
      </c>
      <c r="C4" s="4135"/>
      <c r="D4" s="202">
        <f>VLOOKUP(B4,G27:J30,4,FALSE)</f>
        <v>2</v>
      </c>
      <c r="E4" s="202"/>
      <c r="F4" s="202"/>
      <c r="G4" s="202"/>
      <c r="H4" s="140"/>
      <c r="I4" s="140"/>
      <c r="J4" s="201">
        <f>'SDK1'!O3</f>
        <v>0</v>
      </c>
      <c r="K4" s="201"/>
    </row>
    <row r="5" spans="1:12" ht="19.899999999999999" customHeight="1">
      <c r="B5" s="33"/>
      <c r="C5" s="33"/>
      <c r="D5" s="200">
        <f t="shared" ref="D5:I5" si="1">$D$4*100+D1</f>
        <v>217</v>
      </c>
      <c r="E5" s="200">
        <f t="shared" si="1"/>
        <v>203</v>
      </c>
      <c r="F5" s="200">
        <f t="shared" si="1"/>
        <v>212</v>
      </c>
      <c r="G5" s="200">
        <f t="shared" si="1"/>
        <v>202</v>
      </c>
      <c r="H5" s="200">
        <f t="shared" si="1"/>
        <v>215</v>
      </c>
      <c r="I5" s="200">
        <f t="shared" si="1"/>
        <v>232</v>
      </c>
      <c r="J5" s="33"/>
    </row>
    <row r="6" spans="1:12" ht="48.4" customHeight="1">
      <c r="B6" s="199"/>
      <c r="C6" s="198" t="s">
        <v>232</v>
      </c>
      <c r="D6" s="3399" t="s">
        <v>64</v>
      </c>
      <c r="E6" s="3399" t="s">
        <v>96</v>
      </c>
      <c r="F6" s="3399" t="s">
        <v>77</v>
      </c>
      <c r="G6" s="3399" t="s">
        <v>98</v>
      </c>
      <c r="H6" s="3400" t="s">
        <v>205</v>
      </c>
      <c r="I6" s="197" t="s">
        <v>191</v>
      </c>
      <c r="J6" s="196" t="s">
        <v>231</v>
      </c>
      <c r="K6" s="195"/>
      <c r="L6" s="3241" t="str">
        <f>J6</f>
        <v xml:space="preserve">Ø DB je ha AF </v>
      </c>
    </row>
    <row r="7" spans="1:12" ht="18.75" customHeight="1">
      <c r="B7" s="194" t="s">
        <v>230</v>
      </c>
      <c r="C7" s="193" t="s">
        <v>113</v>
      </c>
      <c r="D7" s="192">
        <v>10</v>
      </c>
      <c r="E7" s="192">
        <v>40</v>
      </c>
      <c r="F7" s="192">
        <v>10</v>
      </c>
      <c r="G7" s="192">
        <v>10</v>
      </c>
      <c r="H7" s="191">
        <v>30</v>
      </c>
      <c r="I7" s="190">
        <v>20</v>
      </c>
      <c r="J7" s="189">
        <f>SUM($D$7:$H$7)</f>
        <v>100</v>
      </c>
      <c r="L7" s="3248">
        <v>100</v>
      </c>
    </row>
    <row r="8" spans="1:12" ht="21.6" customHeight="1">
      <c r="B8" s="179" t="s">
        <v>229</v>
      </c>
      <c r="C8" s="165" t="s">
        <v>172</v>
      </c>
      <c r="D8" s="164">
        <f>IF(ISERROR(IF(D5&lt;200,0,HLOOKUP(D5,Daten!$D$1:$CT$6,6,FALSE))),"",IF(D5&lt;200,0,HLOOKUP(D5,Daten!$D$1:$CT$6,6,FALSE)))</f>
        <v>30</v>
      </c>
      <c r="E8" s="164">
        <f>IF(ISERROR(IF(E5&lt;200,0,HLOOKUP(E5,Daten!$D$1:$CT$6,6,FALSE))),"",IF(E5&lt;200,0,HLOOKUP(E5,Daten!$D$1:$CT$6,6,FALSE)))</f>
        <v>60</v>
      </c>
      <c r="F8" s="164">
        <f>IF(ISERROR(IF(F5&lt;200,0,HLOOKUP(F5,Daten!$D$1:$CT$6,6,FALSE))),"",IF(F5&lt;200,0,HLOOKUP(F5,Daten!$D$1:$CT$6,6,FALSE)))</f>
        <v>40</v>
      </c>
      <c r="G8" s="164">
        <f>IF(ISERROR(IF(G5&lt;200,0,HLOOKUP(G5,Daten!$D$1:$CT$6,6,FALSE))),"",IF(G5&lt;200,0,HLOOKUP(G5,Daten!$D$1:$CT$6,6,FALSE)))</f>
        <v>65</v>
      </c>
      <c r="H8" s="162">
        <f>IF(ISERROR(IF(H5&lt;200,0,HLOOKUP(H5,Daten!$D$1:$CT$6,6,FALSE))),"",IF(H5&lt;200,0,HLOOKUP(H5,Daten!$D$1:$CT$6,6,FALSE)))</f>
        <v>80</v>
      </c>
      <c r="I8" s="178"/>
      <c r="J8" s="177"/>
      <c r="K8" s="176"/>
      <c r="L8" s="3246"/>
    </row>
    <row r="9" spans="1:12" ht="19.899999999999999" customHeight="1">
      <c r="B9" s="179" t="str">
        <f>IF('SDK1'!O9&gt;0," Preis (inkl. MwSt.)","Preis (ohne. MwSt.)")</f>
        <v>Preis (ohne. MwSt.)</v>
      </c>
      <c r="C9" s="165" t="s">
        <v>228</v>
      </c>
      <c r="D9" s="188">
        <f>IF(ISERROR(IF(D5&lt;200,0,HLOOKUP(D5,Daten!$D$1:$CT$7,7,FALSE))),"",IF(D5&lt;200,0,HLOOKUP(D5,Daten!$D$1:$CT$7,7,FALSE)))</f>
        <v>49.8</v>
      </c>
      <c r="E9" s="188">
        <f>IF(ISERROR(IF(E5&lt;200,0,HLOOKUP(E5,Daten!$D$1:$CT$7,7,FALSE))),"",IF(E5&lt;200,0,HLOOKUP(E5,Daten!$D$1:$CT$7,7,FALSE)))</f>
        <v>21.666666666666671</v>
      </c>
      <c r="F9" s="188">
        <f>IF(ISERROR(IF(F5&lt;200,0,HLOOKUP(F5,Daten!$D$1:$CT$7,7,FALSE))),"",IF(F5&lt;200,0,HLOOKUP(F5,Daten!$D$1:$CT$7,7,FALSE)))</f>
        <v>25.066666666666666</v>
      </c>
      <c r="G9" s="188">
        <f>IF(ISERROR(IF(G5&lt;200,0,HLOOKUP(G5,Daten!$D$1:$CT$7,7,FALSE))),"",IF(G5&lt;200,0,HLOOKUP(G5,Daten!$D$1:$CT$7,7,FALSE)))</f>
        <v>21.133333333333336</v>
      </c>
      <c r="H9" s="187">
        <f>IF(ISERROR(IF(H5&lt;200,0,HLOOKUP(H5,Daten!$D$1:$CT$7,7,FALSE))),"",IF(H5&lt;200,0,HLOOKUP(H5,Daten!$D$1:$CT$7,7,FALSE)))</f>
        <v>24.116666666666671</v>
      </c>
      <c r="I9" s="186">
        <f>IF(I7=0,0,IF(ISERROR(IF(I5&lt;200,0,HLOOKUP(I5,Daten!$D$1:$CT$7,7,FALSE))),"",IF(I5&lt;200,0,HLOOKUP(I5,Daten!$D$1:$CT$7,7,FALSE))))</f>
        <v>0</v>
      </c>
      <c r="J9" s="185"/>
      <c r="K9" s="184"/>
      <c r="L9" s="3246"/>
    </row>
    <row r="10" spans="1:12" ht="19.899999999999999" customHeight="1">
      <c r="B10" s="179" t="s">
        <v>227</v>
      </c>
      <c r="C10" s="165" t="s">
        <v>171</v>
      </c>
      <c r="D10" s="164">
        <f>IF(ISERROR(IF(D$5&lt;200,0,HLOOKUP(D$5,Daten!$D$1:$CT$11,8,FALSE))),"",IF(D$5&lt;200,0,HLOOKUP(D$5,Daten!$D$1:$CT$11,8,FALSE)))</f>
        <v>1494</v>
      </c>
      <c r="E10" s="164">
        <f>IF(ISERROR(IF(E$5&lt;200,0,HLOOKUP(E$5,Daten!$D$1:$CT$11,8,FALSE))),"",IF(E$5&lt;200,0,HLOOKUP(E$5,Daten!$D$1:$CT$11,8,FALSE)))</f>
        <v>1300.0000000000002</v>
      </c>
      <c r="F10" s="164">
        <f>IF(ISERROR(IF(F$5&lt;200,0,HLOOKUP(F$5,Daten!$D$1:$CT$11,8,FALSE))),"",IF(F$5&lt;200,0,HLOOKUP(F$5,Daten!$D$1:$CT$11,8,FALSE)))</f>
        <v>1002.6666666666666</v>
      </c>
      <c r="G10" s="164">
        <f>IF(ISERROR(IF(G$5&lt;200,0,HLOOKUP(G$5,Daten!$D$1:$CT$11,8,FALSE))),"",IF(G$5&lt;200,0,HLOOKUP(G$5,Daten!$D$1:$CT$11,8,FALSE)))</f>
        <v>1373.666666666667</v>
      </c>
      <c r="H10" s="162">
        <f>IF(ISERROR(IF(H$5&lt;200,0,HLOOKUP(H$5,Daten!$D$1:$CT$11,8,FALSE))),"",IF(H$5&lt;200,0,HLOOKUP(H$5,Daten!$D$1:$CT$11,8,FALSE)))</f>
        <v>1929.3333333333337</v>
      </c>
      <c r="I10" s="178">
        <f>IF(I7=0,0,IF(ISERROR(IF(I$5&lt;200,0,HLOOKUP(I$5,Daten!$D$1:$CT$11,8,FALSE))),"",IF(I$5&lt;200,0,HLOOKUP(I$5,Daten!$D$1:$CT$11,8,FALSE))))</f>
        <v>0</v>
      </c>
      <c r="J10" s="185"/>
      <c r="K10" s="184"/>
      <c r="L10" s="3246"/>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93.333333333333343</v>
      </c>
      <c r="G11" s="164">
        <f>IF(ISERROR(IF(G$5&lt;200,0,HLOOKUP(G$5,Daten!$D$1:$CT$11,9,FALSE))),"",IF(G$5&lt;200,0,HLOOKUP(G$5,Daten!$D$1:$CT$11,9,FALSE)))</f>
        <v>431.59999999999997</v>
      </c>
      <c r="H11" s="162">
        <f>IF(ISERROR(IF(H$5&lt;200,0,HLOOKUP(H$5,Daten!$D$1:$CT$11,9,FALSE))),"",IF(H$5&lt;200,0,HLOOKUP(H$5,Daten!$D$1:$CT$11,9,FALSE)))</f>
        <v>0</v>
      </c>
      <c r="I11" s="178">
        <f>IF(I7=0,0,IF(ISERROR(IF(I$5&lt;200,0,HLOOKUP(I$5,Daten!$D$1:$CT$11,9,FALSE))),"",IF(I$5&lt;200,0,HLOOKUP(I$5,Daten!$D$1:$CT$11,9,FALSE))))</f>
        <v>0</v>
      </c>
      <c r="J11" s="185"/>
      <c r="K11" s="184"/>
      <c r="L11" s="3246"/>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47"/>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535.4</v>
      </c>
      <c r="F13" s="164">
        <f>IF(ISERROR(IF(F$5&lt;200,0,HLOOKUP(F$5,Daten!$D$1:$CT$23,23,FALSE))),"",IF(F$5&lt;200,0,HLOOKUP(F$5,Daten!$D$1:$CT$23,23,FALSE)))</f>
        <v>455.4</v>
      </c>
      <c r="G13" s="164">
        <f>IF(ISERROR(IF(G$5&lt;200,0,HLOOKUP(G$5,Daten!$D$1:$CT$23,23,FALSE))),"",IF(G$5&lt;200,0,HLOOKUP(G$5,Daten!$D$1:$CT$23,23,FALSE)))</f>
        <v>535.4</v>
      </c>
      <c r="H13" s="162">
        <f>IF(ISERROR(IF(H$5&lt;200,0,HLOOKUP(H$5,Daten!$D$1:$CT$23,23,FALSE))),"",IF(H$5&lt;200,0,HLOOKUP(H$5,Daten!$D$1:$CT$23,23,FALSE)))</f>
        <v>455.4</v>
      </c>
      <c r="I13" s="178">
        <f>IF(I7=0,0,IF(ISERROR(IF(I$5&lt;200,0,HLOOKUP(I$5,Daten!$D$1:$CT$23,23,FALSE))),"",IF(I$5&lt;200,0,HLOOKUP(I$5,Daten!$D$1:$CT$23,23,FALSE))))</f>
        <v>455.4</v>
      </c>
      <c r="J13" s="185"/>
      <c r="K13" s="184"/>
      <c r="L13" s="3242">
        <f t="shared" ref="L13:L22" si="2">IF(ISERROR((D13*$D$7+E13*$E$7+F13*$F$7+G13*$G$7+H13*$H$7+I13*$I$7)/$J$7),"",(D13*$D$7+E13*$E$7+F13*$F$7+G13*$G$7+H13*$H$7+I13*$I$7)/$J$7)</f>
        <v>586.48</v>
      </c>
    </row>
    <row r="14" spans="1:12" ht="19.899999999999999" customHeight="1">
      <c r="B14" s="175" t="s">
        <v>223</v>
      </c>
      <c r="C14" s="183" t="s">
        <v>171</v>
      </c>
      <c r="D14" s="170">
        <f>IF(ISERROR(IF(D5&lt;200,0,(HLOOKUP(D5,Daten!$D$1:$CT$63,11,FALSE))+(HLOOKUP(D5,Daten!$D$1:$CT$63,23,FALSE)))),"",IF(D5&lt;200,0,(HLOOKUP(D5,Daten!$D$1:$CT$63,11,FALSE))+(HLOOKUP(D5,Daten!$D$1:$CT$63,23,FALSE))))</f>
        <v>1949.4</v>
      </c>
      <c r="E14" s="170">
        <f>IF(ISERROR(IF(E5&lt;200,0,(HLOOKUP(E5,Daten!$D$1:$CT$63,11,FALSE))+(HLOOKUP(E5,Daten!$D$1:$CT$63,23,FALSE)))),"",IF(E5&lt;200,0,(HLOOKUP(E5,Daten!$D$1:$CT$63,11,FALSE))+(HLOOKUP(E5,Daten!$D$1:$CT$63,23,FALSE))))</f>
        <v>1835.4</v>
      </c>
      <c r="F14" s="170">
        <f>IF(ISERROR(IF(F5&lt;200,0,(HLOOKUP(F5,Daten!$D$1:$CT$63,11,FALSE))+(HLOOKUP(F5,Daten!$D$1:$CT$63,23,FALSE)))),"",IF(F5&lt;200,0,(HLOOKUP(F5,Daten!$D$1:$CT$63,11,FALSE))+(HLOOKUP(F5,Daten!$D$1:$CT$63,23,FALSE))))</f>
        <v>1551.4</v>
      </c>
      <c r="G14" s="170">
        <f>IF(ISERROR(IF(G5&lt;200,0,(HLOOKUP(G5,Daten!$D$1:$CT$63,11,FALSE))+(HLOOKUP(G5,Daten!$D$1:$CT$63,23,FALSE)))),"",IF(G5&lt;200,0,(HLOOKUP(G5,Daten!$D$1:$CT$63,11,FALSE))+(HLOOKUP(G5,Daten!$D$1:$CT$63,23,FALSE))))</f>
        <v>2340.666666666667</v>
      </c>
      <c r="H14" s="169">
        <f>IF(ISERROR(IF(H5&lt;200,0,(HLOOKUP(H5,Daten!$D$1:$CT$63,11,FALSE))+(HLOOKUP(H5,Daten!$D$1:$CT$63,23,FALSE)))),"",IF(H5&lt;200,0,(HLOOKUP(H5,Daten!$D$1:$CT$63,11,FALSE))+(HLOOKUP(H5,Daten!$D$1:$CT$63,23,FALSE))))</f>
        <v>2384.7333333333336</v>
      </c>
      <c r="I14" s="168">
        <f>IF(I7=0,0,IF(ISERROR(IF(I5&lt;200,0,(HLOOKUP(I5,Daten!$D$1:$CT$63,11,FALSE))+(HLOOKUP(I5,Daten!$D$1:$CT$63,23,FALSE)))),"",IF(I5&lt;200,0,(HLOOKUP(I5,Daten!$D$1:$CT$63,11,FALSE))+(HLOOKUP(I5,Daten!$D$1:$CT$63,23,FALSE)))))</f>
        <v>455.4</v>
      </c>
      <c r="J14" s="182"/>
      <c r="K14" s="181"/>
      <c r="L14" s="3250">
        <f t="shared" si="2"/>
        <v>2124.8066666666668</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152</v>
      </c>
      <c r="G15" s="164">
        <f>IF(ISERROR(IF(G5&lt;200,0,HLOOKUP(G5,Daten!$D$1:$CT$12,12,FALSE))),"",IF(G5&lt;200,0,HLOOKUP(G5,Daten!$D$1:$CT$12,12,FALSE)))</f>
        <v>158</v>
      </c>
      <c r="H15" s="162">
        <f>IF(ISERROR(IF(H5&lt;200,0,HLOOKUP(H5,Daten!$D$1:$CT$12,12,FALSE))),"",IF(H5&lt;200,0,HLOOKUP(H5,Daten!$D$1:$CT$12,12,FALSE)))</f>
        <v>243</v>
      </c>
      <c r="I15" s="178">
        <f>IF(I7=0,0,IF(ISERROR(IF(I5&lt;200,0,HLOOKUP(I5,Daten!$D$1:$CT$12,12,FALSE))),"",IF(I5&lt;200,0,HLOOKUP(I5,Daten!$D$1:$CT$12,12,FALSE))))</f>
        <v>62.5</v>
      </c>
      <c r="J15" s="180"/>
      <c r="K15" s="176"/>
      <c r="L15" s="3242">
        <f t="shared" si="2"/>
        <v>191.5</v>
      </c>
    </row>
    <row r="16" spans="1:12" ht="19.899999999999999" customHeight="1">
      <c r="B16" s="179" t="s">
        <v>1341</v>
      </c>
      <c r="C16" s="165" t="s">
        <v>171</v>
      </c>
      <c r="D16" s="164">
        <f>IF(ISERROR(IF(D5&lt;200,0,HLOOKUP(D5,Daten!$D$1:$CT$13,13,FALSE))),"",IF(D5&lt;200,0,HLOOKUP(D5,Daten!$D$1:$CT$13,13,FALSE)))</f>
        <v>341.60166666666663</v>
      </c>
      <c r="E16" s="164">
        <f>IF(ISERROR(IF(E5&lt;200,0,HLOOKUP(E5,Daten!$D$1:$CT$13,13,FALSE))),"",IF(E5&lt;200,0,HLOOKUP(E5,Daten!$D$1:$CT$13,13,FALSE)))</f>
        <v>332.80866666666657</v>
      </c>
      <c r="F16" s="164">
        <f>IF(ISERROR(IF(F5&lt;200,0,HLOOKUP(F5,Daten!$D$1:$CT$13,13,FALSE))),"",IF(F5&lt;200,0,HLOOKUP(F5,Daten!$D$1:$CT$13,13,FALSE)))</f>
        <v>204.95366666666663</v>
      </c>
      <c r="G16" s="164">
        <f>IF(ISERROR(IF(G5&lt;200,0,HLOOKUP(G5,Daten!$D$1:$CT$13,13,FALSE))),"",IF(G5&lt;200,0,HLOOKUP(G5,Daten!$D$1:$CT$13,13,FALSE)))</f>
        <v>438.80069999999989</v>
      </c>
      <c r="H16" s="162">
        <f>IF(ISERROR(IF(H5&lt;200,0,HLOOKUP(H5,Daten!$D$1:$CT$13,13,FALSE))),"",IF(H5&lt;200,0,HLOOKUP(H5,Daten!$D$1:$CT$13,13,FALSE)))</f>
        <v>331.26133333333325</v>
      </c>
      <c r="I16" s="178">
        <f>IF(I7=0,0,IF(ISERROR(IF(I5&lt;200,0,HLOOKUP(I5,Daten!$D$1:$CT$13,13,FALSE))),"",IF(I5&lt;200,0,HLOOKUP(I5,Daten!$D$1:$CT$13,13,FALSE))))</f>
        <v>0</v>
      </c>
      <c r="J16" s="177"/>
      <c r="K16" s="176"/>
      <c r="L16" s="3242">
        <f t="shared" si="2"/>
        <v>331.03746999999987</v>
      </c>
    </row>
    <row r="17" spans="2:12" ht="19.899999999999999" customHeight="1">
      <c r="B17" s="179" t="s">
        <v>220</v>
      </c>
      <c r="C17" s="165" t="s">
        <v>171</v>
      </c>
      <c r="D17" s="164">
        <f>IF(ISERROR(IF(D5&lt;200,0,HLOOKUP(D5,Daten!$D$1:$CT$14,14,FALSE))),"",IF(D5&lt;200,0,HLOOKUP(D5,Daten!$D$1:$CT$14,14,FALSE)))</f>
        <v>159.29000000000002</v>
      </c>
      <c r="E17" s="164">
        <f>IF(ISERROR(IF(E5&lt;200,0,HLOOKUP(E5,Daten!$D$1:$CT$14,14,FALSE))),"",IF(E5&lt;200,0,HLOOKUP(E5,Daten!$D$1:$CT$14,14,FALSE)))</f>
        <v>182.58799999999999</v>
      </c>
      <c r="F17" s="164">
        <f>IF(ISERROR(IF(F5&lt;200,0,HLOOKUP(F5,Daten!$D$1:$CT$14,14,FALSE))),"",IF(F5&lt;200,0,HLOOKUP(F5,Daten!$D$1:$CT$14,14,FALSE)))</f>
        <v>141.14999999999998</v>
      </c>
      <c r="G17" s="164">
        <f>IF(ISERROR(IF(G5&lt;200,0,HLOOKUP(G5,Daten!$D$1:$CT$14,14,FALSE))),"",IF(G5&lt;200,0,HLOOKUP(G5,Daten!$D$1:$CT$14,14,FALSE)))</f>
        <v>52.271999999999991</v>
      </c>
      <c r="H17" s="162">
        <f>IF(ISERROR(IF(H5&lt;200,0,HLOOKUP(H5,Daten!$D$1:$CT$14,14,FALSE))),"",IF(H5&lt;200,0,HLOOKUP(H5,Daten!$D$1:$CT$14,14,FALSE)))</f>
        <v>67.199999999999989</v>
      </c>
      <c r="I17" s="178">
        <f>IF(I7=0,0,IF(ISERROR(IF(I5&lt;200,0,HLOOKUP(I5,Daten!$D$1:$CT$14,14,FALSE))),"",IF(I5&lt;200,0,HLOOKUP(I5,Daten!$D$1:$CT$14,14,FALSE))))</f>
        <v>0</v>
      </c>
      <c r="J17" s="177"/>
      <c r="K17" s="176"/>
      <c r="L17" s="3242">
        <f t="shared" si="2"/>
        <v>128.46639999999999</v>
      </c>
    </row>
    <row r="18" spans="2:12" ht="19.899999999999999" customHeight="1">
      <c r="B18" s="179" t="s">
        <v>219</v>
      </c>
      <c r="C18" s="165" t="s">
        <v>171</v>
      </c>
      <c r="D18" s="164">
        <f>IF(ISERROR(IF(D5&lt;200,0,HLOOKUP(D5,Daten!$D$1:$CT$60,60,FALSE))),"",IF(D5&lt;200,0,HLOOKUP(D5,Daten!$D$1:$CT$60,60,FALSE)))</f>
        <v>313.64554206588241</v>
      </c>
      <c r="E18" s="164">
        <f>IF(ISERROR(IF(E5&lt;200,0,HLOOKUP(E5,Daten!$D$1:$CT$60,60,FALSE))),"",IF(E5&lt;200,0,HLOOKUP(E5,Daten!$D$1:$CT$60,60,FALSE)))</f>
        <v>297.58701648470588</v>
      </c>
      <c r="F18" s="164">
        <f>IF(ISERROR(IF(F5&lt;200,0,HLOOKUP(F5,Daten!$D$1:$CT$60,60,FALSE))),"",IF(F5&lt;200,0,HLOOKUP(F5,Daten!$D$1:$CT$60,60,FALSE)))</f>
        <v>290.09836986352946</v>
      </c>
      <c r="G18" s="164">
        <f>IF(ISERROR(IF(G5&lt;200,0,HLOOKUP(G5,Daten!$D$1:$CT$60,60,FALSE))),"",IF(G5&lt;200,0,HLOOKUP(G5,Daten!$D$1:$CT$60,60,FALSE)))</f>
        <v>437.44521197960785</v>
      </c>
      <c r="H18" s="162">
        <f>IF(ISERROR(IF(H5&lt;200,0,HLOOKUP(H5,Daten!$D$1:$CT$60,60,FALSE))),"",IF(H5&lt;200,0,HLOOKUP(H5,Daten!$D$1:$CT$60,60,FALSE)))</f>
        <v>295.6466339019608</v>
      </c>
      <c r="I18" s="178">
        <f>IF(I7=0,0,IF(ISERROR(IF(I5&lt;200,0,HLOOKUP(I5,Daten!$D$1:$CT$60,60,FALSE))),"",IF(I5&lt;200,0,HLOOKUP(I5,Daten!$D$1:$CT$60,60,FALSE))))</f>
        <v>124.22837006823531</v>
      </c>
      <c r="J18" s="177"/>
      <c r="K18" s="176"/>
      <c r="L18" s="3242">
        <f t="shared" si="2"/>
        <v>336.69338316901963</v>
      </c>
    </row>
    <row r="19" spans="2:12" ht="19.899999999999999" customHeight="1">
      <c r="B19" s="179" t="s">
        <v>218</v>
      </c>
      <c r="C19" s="165" t="s">
        <v>171</v>
      </c>
      <c r="D19" s="164">
        <f>IF(ISERROR(IF(D5&lt;200,0,HLOOKUP(D5,Daten!$D$1:$CT$59,59,FALSE))),"",IF(D5&lt;200,0,HLOOKUP(D5,Daten!$D$1:$CT$59,59,FALSE)))</f>
        <v>151.1452080764098</v>
      </c>
      <c r="E19" s="164">
        <f>IF(ISERROR(IF(E5&lt;200,0,HLOOKUP(E5,Daten!$D$1:$CT$59,59,FALSE))),"",IF(E5&lt;200,0,HLOOKUP(E5,Daten!$D$1:$CT$59,59,FALSE)))</f>
        <v>114.24373222757453</v>
      </c>
      <c r="F19" s="164">
        <f>IF(ISERROR(IF(F5&lt;200,0,HLOOKUP(F5,Daten!$D$1:$CT$59,59,FALSE))),"",IF(F5&lt;200,0,HLOOKUP(F5,Daten!$D$1:$CT$59,59,FALSE)))</f>
        <v>104.30451897831374</v>
      </c>
      <c r="G19" s="164">
        <f>IF(ISERROR(IF(G5&lt;200,0,HLOOKUP(G5,Daten!$D$1:$CT$59,59,FALSE))),"",IF(G5&lt;200,0,HLOOKUP(G5,Daten!$D$1:$CT$59,59,FALSE)))</f>
        <v>150.02960547982158</v>
      </c>
      <c r="H19" s="162">
        <f>IF(ISERROR(IF(H5&lt;200,0,HLOOKUP(H5,Daten!$D$1:$CT$59,59,FALSE))),"",IF(H5&lt;200,0,HLOOKUP(H5,Daten!$D$1:$CT$59,59,FALSE)))</f>
        <v>477.72779979522056</v>
      </c>
      <c r="I19" s="178">
        <f>IF(I7=0,0,IF(ISERROR(IF(I5&lt;200,0,HLOOKUP(I5,Daten!$D$1:$CT$59,59,FALSE))),"",IF(I5&lt;200,0,HLOOKUP(I5,Daten!$D$1:$CT$59,59,FALSE))))</f>
        <v>1.1670523129264705</v>
      </c>
      <c r="J19" s="177"/>
      <c r="K19" s="176"/>
      <c r="L19" s="3242">
        <f t="shared" si="2"/>
        <v>229.79717654563581</v>
      </c>
    </row>
    <row r="20" spans="2:12" ht="19.899999999999999" customHeight="1">
      <c r="B20" s="175" t="s">
        <v>217</v>
      </c>
      <c r="C20" s="171" t="s">
        <v>171</v>
      </c>
      <c r="D20" s="170">
        <f>IF(ISERROR(IF(D5&lt;200,0,(HLOOKUP(D5,Daten!$D$1:$CT$63,21,FALSE))+(HLOOKUP(D5,Daten!$D$1:$CT$63,24,FALSE)))),"",IF(D5&lt;200,0,(HLOOKUP(D5,Daten!$D$1:$CT$63,21,FALSE))+(HLOOKUP(D5,Daten!$D$1:$CT$63,24,FALSE))))</f>
        <v>1070.6824168089588</v>
      </c>
      <c r="E20" s="170">
        <f>IF(ISERROR(IF(E5&lt;200,0,(HLOOKUP(E5,Daten!$D$1:$CT$63,21,FALSE))+(HLOOKUP(E5,Daten!$D$1:$CT$63,24,FALSE)))),"",IF(E5&lt;200,0,(HLOOKUP(E5,Daten!$D$1:$CT$63,21,FALSE))+(HLOOKUP(E5,Daten!$D$1:$CT$63,24,FALSE))))</f>
        <v>1088.7274153789467</v>
      </c>
      <c r="F20" s="170">
        <f>IF(ISERROR(IF(F5&lt;200,0,(HLOOKUP(F5,Daten!$D$1:$CT$63,21,FALSE))+(HLOOKUP(F5,Daten!$D$1:$CT$63,24,FALSE)))),"",IF(F5&lt;200,0,(HLOOKUP(F5,Daten!$D$1:$CT$63,21,FALSE))+(HLOOKUP(F5,Daten!$D$1:$CT$63,24,FALSE))))</f>
        <v>892.5065555085099</v>
      </c>
      <c r="G20" s="170">
        <f>IF(ISERROR(IF(G5&lt;200,0,(HLOOKUP(G5,Daten!$D$1:$CT$63,21,FALSE))+(HLOOKUP(G5,Daten!$D$1:$CT$63,24,FALSE)))),"",IF(G5&lt;200,0,(HLOOKUP(G5,Daten!$D$1:$CT$63,21,FALSE))+(HLOOKUP(G5,Daten!$D$1:$CT$63,24,FALSE))))</f>
        <v>1236.5475174594294</v>
      </c>
      <c r="H20" s="169">
        <f>IF(ISERROR(IF(H5&lt;200,0,(HLOOKUP(H5,Daten!$D$1:$CT$63,21,FALSE))+(HLOOKUP(H5,Daten!$D$1:$CT$63,24,FALSE)))),"",IF(H5&lt;200,0,(HLOOKUP(H5,Daten!$D$1:$CT$63,21,FALSE))+(HLOOKUP(H5,Daten!$D$1:$CT$63,24,FALSE))))</f>
        <v>1414.8357670305145</v>
      </c>
      <c r="I20" s="168">
        <f>IF(I7=0,0,IF(ISERROR(IF(I5&lt;200,0,(HLOOKUP(I5,Daten!$D$1:$CT$63,21,FALSE))+(HLOOKUP(I5,Daten!$D$1:$CT$63,24,FALSE)))),"",IF(I5&lt;200,0,(HLOOKUP(I5,Daten!$D$1:$CT$63,21,FALSE))+(HLOOKUP(I5,Daten!$D$1:$CT$63,24,FALSE)))))</f>
        <v>187.89542238116178</v>
      </c>
      <c r="J20" s="174"/>
      <c r="K20" s="162"/>
      <c r="L20" s="3242">
        <f t="shared" si="2"/>
        <v>1217.4944297146551</v>
      </c>
    </row>
    <row r="21" spans="2:12" ht="33" customHeight="1">
      <c r="B21" s="3251" t="s">
        <v>216</v>
      </c>
      <c r="C21" s="171" t="s">
        <v>171</v>
      </c>
      <c r="D21" s="170">
        <f>IF(ISERROR(IF(D5&lt;200,0,HLOOKUP(D5,Daten!$D$1:$CT$25,22,FALSE))),"",IF(D5&lt;200,0,HLOOKUP(D5,Daten!$D$1:$CT$25,22,FALSE)))</f>
        <v>432.60479126745099</v>
      </c>
      <c r="E21" s="170">
        <f>IF(ISERROR(IF(E5&lt;200,0,HLOOKUP(E5,Daten!$D$1:$CT$25,22,FALSE))),"",IF(E5&lt;200,0,HLOOKUP(E5,Daten!$D$1:$CT$25,22,FALSE)))</f>
        <v>220.71631684862791</v>
      </c>
      <c r="F21" s="170">
        <f>IF(ISERROR(IF(F5&lt;200,0,HLOOKUP(F5,Daten!$D$1:$CT$25,22,FALSE))),"",IF(F5&lt;200,0,HLOOKUP(F5,Daten!$D$1:$CT$25,22,FALSE)))</f>
        <v>209.03696346980382</v>
      </c>
      <c r="G21" s="170">
        <f>IF(ISERROR(IF(G5&lt;200,0,HLOOKUP(G5,Daten!$D$1:$CT$25,22,FALSE))),"",IF(G5&lt;200,0,HLOOKUP(G5,Daten!$D$1:$CT$25,22,FALSE)))</f>
        <v>579.4450880203924</v>
      </c>
      <c r="H21" s="169">
        <f>IF(ISERROR(IF(H5&lt;200,0,HLOOKUP(H5,Daten!$D$1:$CT$25,22,FALSE))),"",IF(H5&lt;200,0,HLOOKUP(H5,Daten!$D$1:$CT$25,22,FALSE)))</f>
        <v>523.28536609803973</v>
      </c>
      <c r="I21" s="168">
        <f>IF(I7=0,0,IF(ISERROR(IF(I5&lt;200,0,HLOOKUP(I5,Daten!$D$1:$CT$25,22,FALSE))),"",IF(I5&lt;200,0,HLOOKUP(I5,Daten!$D$1:$CT$25,22,FALSE))))</f>
        <v>-186.72837006823531</v>
      </c>
      <c r="J21" s="167">
        <f>SUMPRODUCT(D7:H7,D21:H21)%+(I7*I21)%</f>
        <v>330.03514683098075</v>
      </c>
      <c r="K21" s="162"/>
      <c r="L21" s="3249">
        <f t="shared" si="2"/>
        <v>330.03514683098075</v>
      </c>
    </row>
    <row r="22" spans="2:12" ht="46.5" customHeight="1">
      <c r="B22" s="3253" t="s">
        <v>215</v>
      </c>
      <c r="C22" s="171" t="s">
        <v>171</v>
      </c>
      <c r="D22" s="170">
        <f>IF(ISERROR(IF(D5&lt;200,0,HLOOKUP(D5,Daten!$D$1:$CT$25,25,FALSE))),"",IF(D5&lt;200,0,HLOOKUP(D5,Daten!$D$1:$CT$25,25,FALSE)))</f>
        <v>878.71758319104117</v>
      </c>
      <c r="E22" s="170">
        <f>IF(ISERROR(IF(E5&lt;200,0,HLOOKUP(E5,Daten!$D$1:$CT$25,25,FALSE))),"",IF(E5&lt;200,0,HLOOKUP(E5,Daten!$D$1:$CT$25,25,FALSE)))</f>
        <v>746.67258462105337</v>
      </c>
      <c r="F22" s="170">
        <f>IF(ISERROR(IF(F5&lt;200,0,HLOOKUP(F5,Daten!$D$1:$CT$25,25,FALSE))),"",IF(F5&lt;200,0,HLOOKUP(F5,Daten!$D$1:$CT$25,25,FALSE)))</f>
        <v>658.89344449149007</v>
      </c>
      <c r="G22" s="170">
        <f>IF(ISERROR(IF(G5&lt;200,0,HLOOKUP(G5,Daten!$D$1:$CT$25,25,FALSE))),"",IF(G5&lt;200,0,HLOOKUP(G5,Daten!$D$1:$CT$25,25,FALSE)))</f>
        <v>1104.1191492072373</v>
      </c>
      <c r="H22" s="169">
        <f>IF(ISERROR(IF(H5&lt;200,0,HLOOKUP(H5,Daten!$D$1:$CT$25,25,FALSE))),"",IF(H5&lt;200,0,HLOOKUP(H5,Daten!$D$1:$CT$25,25,FALSE)))</f>
        <v>969.89756630281909</v>
      </c>
      <c r="I22" s="168">
        <f>IF(I7=0,0,IF(ISERROR(IF(I5&lt;200,0,HLOOKUP(I5,Daten!$D$1:$CT$25,25,FALSE))),"",IF(I5&lt;200,0,HLOOKUP(I5,Daten!$D$1:$CT$25,25,FALSE))))</f>
        <v>267.5045776188382</v>
      </c>
      <c r="J22" s="167">
        <f>SUMPRODUCT(D7:H7,D22:H22)%+(I7*I22)%</f>
        <v>907.31223695201163</v>
      </c>
      <c r="K22" s="150"/>
      <c r="L22" s="3243">
        <f t="shared" si="2"/>
        <v>907.31223695201163</v>
      </c>
    </row>
    <row r="23" spans="2:12" ht="19.899999999999999" hidden="1" customHeight="1">
      <c r="B23" s="166"/>
      <c r="C23" s="165"/>
      <c r="D23" s="164"/>
      <c r="E23" s="164"/>
      <c r="F23" s="164"/>
      <c r="G23" s="164"/>
      <c r="H23" s="164"/>
      <c r="I23" s="162"/>
      <c r="J23" s="163"/>
      <c r="K23" s="162"/>
    </row>
    <row r="24" spans="2:12" ht="25.15" hidden="1" customHeight="1" thickBot="1">
      <c r="B24" s="161"/>
      <c r="C24" s="160"/>
      <c r="D24" s="158"/>
      <c r="E24" s="159"/>
      <c r="F24" s="158"/>
      <c r="G24" s="158"/>
      <c r="H24" s="157"/>
      <c r="I24" s="156"/>
      <c r="J24" s="155"/>
      <c r="K24" s="154"/>
    </row>
    <row r="25" spans="2:12" ht="23.1" customHeight="1">
      <c r="B25" s="153" t="s">
        <v>214</v>
      </c>
      <c r="C25" s="152"/>
      <c r="D25" s="151"/>
      <c r="E25" s="151"/>
      <c r="F25" s="151"/>
      <c r="G25" s="151"/>
      <c r="H25" s="151"/>
      <c r="I25" s="151"/>
      <c r="J25" s="151"/>
    </row>
    <row r="26" spans="2:12">
      <c r="B26" s="3257" t="s">
        <v>1992</v>
      </c>
      <c r="D26" s="150"/>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6" hidden="1">
      <c r="C49" s="138">
        <v>23</v>
      </c>
      <c r="D49" s="139" t="s">
        <v>198</v>
      </c>
      <c r="E49" s="138"/>
      <c r="F49" s="138">
        <v>23</v>
      </c>
    </row>
    <row r="50" spans="3:6" hidden="1">
      <c r="C50" s="138">
        <v>24</v>
      </c>
      <c r="D50" s="139" t="s">
        <v>197</v>
      </c>
      <c r="E50" s="138"/>
      <c r="F50" s="138">
        <v>24</v>
      </c>
    </row>
    <row r="51" spans="3:6" hidden="1">
      <c r="C51" s="138">
        <v>25</v>
      </c>
      <c r="D51" s="139" t="s">
        <v>196</v>
      </c>
      <c r="E51" s="138"/>
      <c r="F51" s="138">
        <v>25</v>
      </c>
    </row>
    <row r="52" spans="3:6" hidden="1">
      <c r="C52" s="138">
        <v>26</v>
      </c>
      <c r="D52" s="139" t="s">
        <v>195</v>
      </c>
      <c r="E52" s="138"/>
      <c r="F52" s="138">
        <v>26</v>
      </c>
    </row>
    <row r="53" spans="3:6" hidden="1">
      <c r="C53" s="138">
        <v>27</v>
      </c>
      <c r="D53" s="139" t="s">
        <v>194</v>
      </c>
      <c r="E53" s="138"/>
      <c r="F53" s="138">
        <v>27</v>
      </c>
    </row>
    <row r="54" spans="3:6" hidden="1">
      <c r="C54" s="138">
        <v>28</v>
      </c>
      <c r="D54" s="139" t="s">
        <v>193</v>
      </c>
      <c r="E54" s="138"/>
      <c r="F54" s="138">
        <v>28</v>
      </c>
    </row>
    <row r="55" spans="3:6" hidden="1">
      <c r="C55" s="138">
        <v>29</v>
      </c>
      <c r="D55" s="139" t="s">
        <v>37</v>
      </c>
      <c r="E55" s="138"/>
      <c r="F55" s="138">
        <v>29</v>
      </c>
    </row>
    <row r="56" spans="3:6" hidden="1">
      <c r="C56" s="138">
        <v>30</v>
      </c>
      <c r="D56" s="139" t="s">
        <v>23</v>
      </c>
      <c r="E56" s="138"/>
      <c r="F56" s="138">
        <v>30</v>
      </c>
    </row>
    <row r="57" spans="3:6" hidden="1">
      <c r="C57" s="138">
        <v>31</v>
      </c>
      <c r="D57" s="139" t="s">
        <v>192</v>
      </c>
      <c r="E57" s="138"/>
      <c r="F57" s="138">
        <v>31</v>
      </c>
    </row>
    <row r="58" spans="3:6" hidden="1">
      <c r="C58" s="138">
        <v>32</v>
      </c>
      <c r="D58" s="139" t="s">
        <v>191</v>
      </c>
      <c r="E58" s="138"/>
      <c r="F58" s="138">
        <v>32</v>
      </c>
    </row>
  </sheetData>
  <mergeCells count="2">
    <mergeCell ref="B4:C4"/>
    <mergeCell ref="A1:B1"/>
  </mergeCells>
  <conditionalFormatting sqref="J7">
    <cfRule type="expression" dxfId="18" priority="2" stopIfTrue="1">
      <formula>$J$7&lt;&gt;100</formula>
    </cfRule>
  </conditionalFormatting>
  <conditionalFormatting sqref="L7">
    <cfRule type="expression" dxfId="17"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allowBlank="1" showInputMessage="1" showErrorMessage="1" errorTitle="Produktionsverfahren" error="Bitte Produktionsverfahren aus Dropdownliste auswählen." sqref="I6"/>
    <dataValidation type="list" allowBlank="1" showInputMessage="1" showErrorMessage="1" errorTitle="Leistungsniveau" error="Bitte Leistungsniveau aus Dropdownliste auswählen." sqref="B4:C4">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1"/>
  <headerFooter alignWithMargins="0">
    <oddFooter>&amp;L&amp;11LEL Schwäbisch Gmünd&amp;C&amp;P&amp;R&amp;11&amp;F</odd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54.436545514715704</v>
      </c>
      <c r="K1" s="4859">
        <f>M1-J1</f>
        <v>305.63699605161764</v>
      </c>
      <c r="L1" s="4859"/>
      <c r="M1" s="1906">
        <f>(M7+M13+M18+M22+L11+L12)-(M23+M27+M34+M43+M60+M65+M67+M69+M71+M75)</f>
        <v>360.07354156633335</v>
      </c>
      <c r="N1" s="4859">
        <f>P1-M1</f>
        <v>305.63699605161753</v>
      </c>
      <c r="O1" s="4859"/>
      <c r="P1" s="1906">
        <f>(P7+P13+P18+P22+O11+O12)-(P23+P27+P34+P43+P60+P65+P67+P69+P71+P75)</f>
        <v>665.71053761795088</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197</v>
      </c>
      <c r="L2" s="4870"/>
      <c r="M2" s="4870"/>
      <c r="N2" s="4870"/>
      <c r="O2" s="4870"/>
      <c r="P2" s="4870"/>
      <c r="Q2" s="1920">
        <v>0</v>
      </c>
    </row>
    <row r="3" spans="1:41" s="1891" customFormat="1" ht="21.75" customHeight="1">
      <c r="A3" s="1895"/>
      <c r="B3" s="1919"/>
      <c r="H3" s="1902"/>
      <c r="J3" s="4866"/>
      <c r="K3" s="4886"/>
      <c r="L3" s="4886"/>
      <c r="M3" s="1943"/>
      <c r="N3" s="4884"/>
      <c r="O3" s="4885"/>
      <c r="P3" s="1900"/>
      <c r="Q3" s="1895"/>
      <c r="T3" s="1918" t="b">
        <v>0</v>
      </c>
    </row>
    <row r="4" spans="1:41" s="1891" customFormat="1" ht="20.25" customHeight="1">
      <c r="A4" s="1895"/>
      <c r="B4" s="377" t="s">
        <v>1154</v>
      </c>
      <c r="C4" s="35"/>
      <c r="D4" s="35"/>
      <c r="E4" s="4830" t="s">
        <v>1268</v>
      </c>
      <c r="F4" s="4830"/>
      <c r="G4" s="4830"/>
      <c r="H4" s="4830"/>
      <c r="I4" s="4830"/>
      <c r="J4" s="4866"/>
      <c r="K4" s="4886"/>
      <c r="L4" s="4886"/>
      <c r="M4" s="1942"/>
      <c r="N4" s="4885"/>
      <c r="O4" s="4885"/>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10</v>
      </c>
      <c r="K6" s="4849" t="s">
        <v>152</v>
      </c>
      <c r="L6" s="4850"/>
      <c r="M6" s="1887">
        <v>25</v>
      </c>
      <c r="N6" s="4864" t="s">
        <v>178</v>
      </c>
      <c r="O6" s="4865"/>
      <c r="P6" s="1886">
        <v>40</v>
      </c>
      <c r="Q6" s="70"/>
    </row>
    <row r="7" spans="1:41" s="252" customFormat="1" ht="18.75" customHeight="1">
      <c r="A7" s="47"/>
      <c r="B7" s="311" t="s">
        <v>1258</v>
      </c>
      <c r="C7" s="47"/>
      <c r="D7" s="47"/>
      <c r="E7" s="47"/>
      <c r="F7" s="47"/>
      <c r="G7" s="1884"/>
      <c r="H7" s="1881"/>
      <c r="I7" s="1880"/>
      <c r="J7" s="1614">
        <f>SUM(I9:I10)</f>
        <v>246</v>
      </c>
      <c r="K7" s="1883"/>
      <c r="L7" s="1882"/>
      <c r="M7" s="1617">
        <f>SUM(L9:L10)</f>
        <v>615</v>
      </c>
      <c r="N7" s="1881"/>
      <c r="O7" s="1880"/>
      <c r="P7" s="1614">
        <f>SUM(O9:O10)</f>
        <v>984</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'SDK1'!O37</f>
        <v>24.6</v>
      </c>
      <c r="H9" s="1877">
        <f>J6-H10</f>
        <v>10</v>
      </c>
      <c r="I9" s="1873">
        <f>H9*G9</f>
        <v>246</v>
      </c>
      <c r="J9" s="43"/>
      <c r="K9" s="1876">
        <f>M6-K10</f>
        <v>25</v>
      </c>
      <c r="L9" s="1875">
        <f>K9*G9</f>
        <v>615</v>
      </c>
      <c r="M9" s="1854"/>
      <c r="N9" s="1874">
        <f>P6-N10</f>
        <v>40</v>
      </c>
      <c r="O9" s="1873">
        <f>N9*G9</f>
        <v>984</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1</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222.2</v>
      </c>
      <c r="K23" s="1619"/>
      <c r="L23" s="1618"/>
      <c r="M23" s="1800">
        <f>SUM(L25:L26)</f>
        <v>222.2</v>
      </c>
      <c r="N23" s="1616"/>
      <c r="O23" s="1615"/>
      <c r="P23" s="1599">
        <f>SUM(O25:O26)</f>
        <v>222.2</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'SDK7'!F69/100</f>
        <v>2.02</v>
      </c>
      <c r="G25" s="1794">
        <f>F25*(100+$D$24)/100</f>
        <v>2.02</v>
      </c>
      <c r="H25" s="1793">
        <v>110</v>
      </c>
      <c r="I25" s="1754">
        <f>H25*$G25</f>
        <v>222.2</v>
      </c>
      <c r="J25" s="45"/>
      <c r="K25" s="1793">
        <v>110</v>
      </c>
      <c r="L25" s="1596">
        <f>K25*$G25</f>
        <v>222.2</v>
      </c>
      <c r="M25" s="1589"/>
      <c r="N25" s="1793">
        <v>110</v>
      </c>
      <c r="O25" s="1754">
        <f>N25*$G25</f>
        <v>222.2</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21.188000000000006</v>
      </c>
      <c r="K27" s="1748"/>
      <c r="L27" s="1747"/>
      <c r="M27" s="1617">
        <f>SUM(L30:L33)</f>
        <v>52.970000000000013</v>
      </c>
      <c r="N27" s="1746"/>
      <c r="O27" s="1745"/>
      <c r="P27" s="1614">
        <f>SUM(O30:O33)</f>
        <v>84.752000000000024</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-0.51999999999999957</v>
      </c>
      <c r="F30" s="1774">
        <f>VLOOKUP(K2,'SD8'!B9:L42,7,FALSE)</f>
        <v>1.5</v>
      </c>
      <c r="G30" s="1773"/>
      <c r="H30" s="1771">
        <f>IF(J$6=0,0,(J$6*$E30+$G30+X14))</f>
        <v>-5.1999999999999957</v>
      </c>
      <c r="I30" s="1754">
        <f>H30*$D30</f>
        <v>-8.3373333333333246</v>
      </c>
      <c r="J30" s="45"/>
      <c r="K30" s="1772">
        <f>IF(M$6=0,0,(M$6*$E30+$G30+Y14))</f>
        <v>-12.999999999999989</v>
      </c>
      <c r="L30" s="1596">
        <f>K30*$D30</f>
        <v>-20.843333333333312</v>
      </c>
      <c r="M30" s="1589"/>
      <c r="N30" s="1771">
        <f>IF(P$6=0,0,(P$6*$E30+$G30+Z14))</f>
        <v>-20.799999999999983</v>
      </c>
      <c r="O30" s="1754">
        <f>N30*$D30</f>
        <v>-33.349333333333298</v>
      </c>
      <c r="P30" s="1718"/>
      <c r="Q30" s="38"/>
    </row>
    <row r="31" spans="1:26" s="42" customFormat="1" ht="15" customHeight="1">
      <c r="A31" s="1306"/>
      <c r="B31" s="274"/>
      <c r="C31" s="1306" t="s">
        <v>244</v>
      </c>
      <c r="D31" s="1723">
        <f>'SDK1'!O53</f>
        <v>1.0999999999999999</v>
      </c>
      <c r="E31" s="1774">
        <f>VLOOKUP(K2,'SD8'!B9:L42,4,FALSE)</f>
        <v>1.02</v>
      </c>
      <c r="F31" s="1774">
        <f>VLOOKUP(K2,'SD8'!B9:L42,8,FALSE)</f>
        <v>0.3</v>
      </c>
      <c r="G31" s="1773"/>
      <c r="H31" s="1771">
        <f>IF(J$6=0,0,(J$6*$E31+$G31+X15))</f>
        <v>10.199999999999999</v>
      </c>
      <c r="I31" s="1754">
        <f>H31*$D31</f>
        <v>11.219999999999997</v>
      </c>
      <c r="J31" s="45"/>
      <c r="K31" s="1772">
        <f>IF(M$6=0,0,(M$6*$E31+$G31+Y15))</f>
        <v>25.5</v>
      </c>
      <c r="L31" s="1596">
        <f>K31*$D31</f>
        <v>28.049999999999997</v>
      </c>
      <c r="M31" s="1589"/>
      <c r="N31" s="1771">
        <f>IF(P$6=0,0,(P$6*$E31+$G31+Z15))</f>
        <v>40.799999999999997</v>
      </c>
      <c r="O31" s="1754">
        <f>N31*$D31</f>
        <v>44.879999999999988</v>
      </c>
      <c r="P31" s="1718"/>
      <c r="Q31" s="38"/>
    </row>
    <row r="32" spans="1:26" s="42" customFormat="1" ht="15" customHeight="1">
      <c r="A32" s="1306"/>
      <c r="B32" s="274"/>
      <c r="C32" s="1306" t="s">
        <v>242</v>
      </c>
      <c r="D32" s="1723">
        <f>'SDK1'!O54</f>
        <v>1.02</v>
      </c>
      <c r="E32" s="1774">
        <f>VLOOKUP(K2,'SD8'!B9:L42,5,FALSE)</f>
        <v>1.66</v>
      </c>
      <c r="F32" s="1774">
        <f>VLOOKUP(K2,'SD8'!B9:L42,9,FALSE)</f>
        <v>1.7</v>
      </c>
      <c r="G32" s="1773"/>
      <c r="H32" s="1771">
        <f>IF(J$6=0,0,(J$6*$E32+$G32+X16))</f>
        <v>16.599999999999998</v>
      </c>
      <c r="I32" s="1754">
        <f>H32*$D32</f>
        <v>16.931999999999999</v>
      </c>
      <c r="J32" s="45"/>
      <c r="K32" s="1772">
        <f>IF(M$6=0,0,(M$6*$E32+$G32+Y16))</f>
        <v>41.5</v>
      </c>
      <c r="L32" s="1596">
        <f>K32*$D32</f>
        <v>42.33</v>
      </c>
      <c r="M32" s="1589"/>
      <c r="N32" s="1771">
        <f>IF(P$6=0,0,(P$6*$E32+$G32+Z16))</f>
        <v>66.399999999999991</v>
      </c>
      <c r="O32" s="1754">
        <f>N32*$D32</f>
        <v>67.727999999999994</v>
      </c>
      <c r="P32" s="1718"/>
      <c r="Q32" s="38"/>
    </row>
    <row r="33" spans="1:17" s="42" customFormat="1" ht="15" customHeight="1">
      <c r="A33" s="1306"/>
      <c r="B33" s="239"/>
      <c r="C33" s="1331" t="s">
        <v>240</v>
      </c>
      <c r="D33" s="1706">
        <f>'SDK1'!O55</f>
        <v>0.68666666666666676</v>
      </c>
      <c r="E33" s="1770">
        <f>VLOOKUP(K2,'SD8'!B9:L42,6,FALSE)</f>
        <v>0.2</v>
      </c>
      <c r="F33" s="1770">
        <f>VLOOKUP(K2,'SD8'!B9:L42,10,FALSE)</f>
        <v>0.15</v>
      </c>
      <c r="G33" s="1769"/>
      <c r="H33" s="1767">
        <f>IF(J$6=0,0,(J$6*$E33+$G33+X17))</f>
        <v>2</v>
      </c>
      <c r="I33" s="1750">
        <f>H33*$D33</f>
        <v>1.3733333333333335</v>
      </c>
      <c r="J33" s="45"/>
      <c r="K33" s="1768">
        <f>IF(M$6=0,0,(M$6*$E33+$G33+Y17))</f>
        <v>5</v>
      </c>
      <c r="L33" s="1590">
        <f>K33*$D33</f>
        <v>3.4333333333333336</v>
      </c>
      <c r="M33" s="1589"/>
      <c r="N33" s="1767">
        <f>IF(P$6=0,0,(P$6*$E33+$G33+Z17))</f>
        <v>8</v>
      </c>
      <c r="O33" s="1750">
        <f>N33*$D33</f>
        <v>5.4933333333333341</v>
      </c>
      <c r="P33" s="1749"/>
      <c r="Q33" s="38"/>
    </row>
    <row r="34" spans="1:17" s="708" customFormat="1" ht="18.75" customHeight="1">
      <c r="A34" s="1270"/>
      <c r="B34" s="1276" t="s">
        <v>1234</v>
      </c>
      <c r="C34" s="1270"/>
      <c r="D34" s="37"/>
      <c r="E34" s="37"/>
      <c r="F34" s="4831" t="s">
        <v>1233</v>
      </c>
      <c r="G34" s="4832"/>
      <c r="H34" s="1764"/>
      <c r="I34" s="1763"/>
      <c r="J34" s="1614">
        <f>SUM(I36:I42)</f>
        <v>78.300000000000011</v>
      </c>
      <c r="K34" s="1766"/>
      <c r="L34" s="1765"/>
      <c r="M34" s="1617">
        <f>SUM(L36:L42)</f>
        <v>78.300000000000011</v>
      </c>
      <c r="N34" s="1764"/>
      <c r="O34" s="1763"/>
      <c r="P34" s="1614">
        <f>SUM(O36:O42)</f>
        <v>78.300000000000011</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707</v>
      </c>
      <c r="D36" s="4857"/>
      <c r="E36" s="4858"/>
      <c r="F36" s="1756">
        <f>IF(C36="",0,VLOOKUP(C36,'SDK5'!C3:AF83,2,FALSE))</f>
        <v>14.3</v>
      </c>
      <c r="G36" s="1756">
        <f t="shared" ref="G36:G42" si="0">F36*(100+$D$35)/100</f>
        <v>14.3</v>
      </c>
      <c r="H36" s="1755">
        <v>3</v>
      </c>
      <c r="I36" s="1754">
        <f t="shared" ref="I36:I42" si="1">$G36*H36</f>
        <v>42.900000000000006</v>
      </c>
      <c r="J36" s="45"/>
      <c r="K36" s="1755">
        <v>3</v>
      </c>
      <c r="L36" s="1596">
        <f t="shared" ref="L36:L42" si="2">$G36*K36</f>
        <v>42.900000000000006</v>
      </c>
      <c r="M36" s="1589"/>
      <c r="N36" s="1755">
        <v>3</v>
      </c>
      <c r="O36" s="1754">
        <f t="shared" ref="O36:O42" si="3">$G36*N36</f>
        <v>42.900000000000006</v>
      </c>
      <c r="P36" s="1758"/>
      <c r="Q36" s="38"/>
    </row>
    <row r="37" spans="1:17" s="42" customFormat="1" ht="15" customHeight="1">
      <c r="A37" s="1306"/>
      <c r="B37" s="1594"/>
      <c r="C37" s="4855" t="s">
        <v>657</v>
      </c>
      <c r="D37" s="4855"/>
      <c r="E37" s="4856"/>
      <c r="F37" s="1756">
        <f>IF(C37="",0,VLOOKUP(C37,'SDK5'!C4:AF84,2,FALSE))</f>
        <v>17.7</v>
      </c>
      <c r="G37" s="1756">
        <f t="shared" si="0"/>
        <v>17.7</v>
      </c>
      <c r="H37" s="1755">
        <v>2</v>
      </c>
      <c r="I37" s="1754">
        <f t="shared" si="1"/>
        <v>35.4</v>
      </c>
      <c r="J37" s="45"/>
      <c r="K37" s="1755">
        <v>2</v>
      </c>
      <c r="L37" s="1596">
        <f t="shared" si="2"/>
        <v>35.4</v>
      </c>
      <c r="M37" s="1589"/>
      <c r="N37" s="1755">
        <v>2</v>
      </c>
      <c r="O37" s="1754">
        <f t="shared" si="3"/>
        <v>35.4</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124.81304793568627</v>
      </c>
      <c r="K43" s="1748"/>
      <c r="L43" s="1747"/>
      <c r="M43" s="1617">
        <f>SUM(M46:M57)</f>
        <v>126.53449285333333</v>
      </c>
      <c r="N43" s="1746"/>
      <c r="O43" s="1745"/>
      <c r="P43" s="1614">
        <f>SUM(P46:P57)</f>
        <v>128.25593777098041</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1</v>
      </c>
      <c r="I48" s="1719">
        <f t="shared" si="4"/>
        <v>0.32</v>
      </c>
      <c r="J48" s="1718">
        <f t="shared" si="5"/>
        <v>3.6014154164705885</v>
      </c>
      <c r="K48" s="1720">
        <v>1</v>
      </c>
      <c r="L48" s="1722">
        <f t="shared" si="6"/>
        <v>0.32</v>
      </c>
      <c r="M48" s="1721">
        <f t="shared" si="7"/>
        <v>3.6014154164705885</v>
      </c>
      <c r="N48" s="1720">
        <v>1</v>
      </c>
      <c r="O48" s="1719">
        <f t="shared" si="8"/>
        <v>0.32</v>
      </c>
      <c r="P48" s="1718">
        <f t="shared" si="9"/>
        <v>3.6014154164705885</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1</v>
      </c>
      <c r="I49" s="1719">
        <f t="shared" si="4"/>
        <v>0.36</v>
      </c>
      <c r="J49" s="1718">
        <f t="shared" si="5"/>
        <v>5.7672017035294116</v>
      </c>
      <c r="K49" s="1720">
        <v>1</v>
      </c>
      <c r="L49" s="1722">
        <f t="shared" si="6"/>
        <v>0.36</v>
      </c>
      <c r="M49" s="1721">
        <f t="shared" si="7"/>
        <v>5.7672017035294116</v>
      </c>
      <c r="N49" s="1720">
        <v>1</v>
      </c>
      <c r="O49" s="1719">
        <f t="shared" si="8"/>
        <v>0.36</v>
      </c>
      <c r="P49" s="1718">
        <f t="shared" si="9"/>
        <v>5.7672017035294116</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$J$6/60</f>
        <v>0.16666666666666666</v>
      </c>
      <c r="I50" s="1719">
        <f t="shared" si="4"/>
        <v>6.6666666666666666E-2</v>
      </c>
      <c r="J50" s="1718">
        <f t="shared" si="5"/>
        <v>1.1476299450980392</v>
      </c>
      <c r="K50" s="1720">
        <f>$M$6/60</f>
        <v>0.41666666666666669</v>
      </c>
      <c r="L50" s="1722">
        <f t="shared" si="6"/>
        <v>0.16666666666666669</v>
      </c>
      <c r="M50" s="1721">
        <f t="shared" si="7"/>
        <v>2.8690748627450984</v>
      </c>
      <c r="N50" s="1720">
        <f>$P$6/60</f>
        <v>0.66666666666666663</v>
      </c>
      <c r="O50" s="1719">
        <f t="shared" si="8"/>
        <v>0.26666666666666666</v>
      </c>
      <c r="P50" s="1718">
        <f t="shared" si="9"/>
        <v>4.5905197803921567</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717"/>
      <c r="C56" s="4889"/>
      <c r="D56" s="4890"/>
      <c r="E56" s="1716">
        <f>IF($C56=0,0,VLOOKUP($C56,'SDK3'!$C$24:$O$92,4,FALSE))</f>
        <v>0</v>
      </c>
      <c r="F56" s="1715">
        <f>IF($C56=0,0,VLOOKUP($C56,'SDK3'!$C$24:$O$92,12,FALSE))</f>
        <v>0</v>
      </c>
      <c r="G56" s="1714">
        <f>IF($C56=0,0,VLOOKUP($C56,'SDK3'!$C$24:$O$92,13,FALSE))</f>
        <v>0</v>
      </c>
      <c r="H56" s="1711"/>
      <c r="I56" s="1710">
        <f t="shared" si="4"/>
        <v>0</v>
      </c>
      <c r="J56" s="1709">
        <f t="shared" si="5"/>
        <v>0</v>
      </c>
      <c r="K56" s="1711"/>
      <c r="L56" s="1713">
        <f t="shared" si="6"/>
        <v>0</v>
      </c>
      <c r="M56" s="1712">
        <f t="shared" si="7"/>
        <v>0</v>
      </c>
      <c r="N56" s="1711"/>
      <c r="O56" s="1710">
        <f t="shared" si="8"/>
        <v>0</v>
      </c>
      <c r="P56" s="1709">
        <f t="shared" si="9"/>
        <v>0</v>
      </c>
      <c r="Q56" s="38"/>
    </row>
    <row r="57" spans="1:17" s="42" customFormat="1" ht="47.25" customHeight="1">
      <c r="A57" s="1306"/>
      <c r="B57" s="1657"/>
      <c r="C57" s="4887" t="s">
        <v>425</v>
      </c>
      <c r="D57" s="488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4.166666666666667</v>
      </c>
      <c r="J58" s="1701"/>
      <c r="K58" s="1700"/>
      <c r="L58" s="1699">
        <f>SUM($L$46:$L$57)</f>
        <v>4.2666666666666666</v>
      </c>
      <c r="M58" s="1698"/>
      <c r="N58" s="1697"/>
      <c r="O58" s="1696">
        <f>SUM($O$46:$O$57)</f>
        <v>4.3666666666666663</v>
      </c>
      <c r="P58" s="1695"/>
      <c r="Q58" s="38"/>
    </row>
    <row r="59" spans="1:17" s="65" customFormat="1" ht="15" customHeight="1">
      <c r="A59" s="1373"/>
      <c r="B59" s="1694"/>
      <c r="C59" s="353"/>
      <c r="D59" s="280" t="s">
        <v>1222</v>
      </c>
      <c r="E59" s="1693">
        <v>80</v>
      </c>
      <c r="F59" s="353" t="s">
        <v>1221</v>
      </c>
      <c r="G59" s="1692"/>
      <c r="H59" s="1688"/>
      <c r="I59" s="1687">
        <f>IF(I58+SUM($I$46:$I$57)*$E$59%&gt;I58+10,I58+10,I58+SUM($I$46:$I$57)*$E$59%)</f>
        <v>7.5000000000000009</v>
      </c>
      <c r="J59" s="1686"/>
      <c r="K59" s="1691"/>
      <c r="L59" s="1690">
        <f>IF(L58+SUM($L$46:$L$57)*$E$59%&gt;L58+10,L58+10,L58+SUM($L$46:$L$57)*$E$59%)</f>
        <v>7.68</v>
      </c>
      <c r="M59" s="1689"/>
      <c r="N59" s="1688"/>
      <c r="O59" s="1687">
        <f>IF(O58+SUM($O$46:$O$57)*$E$59%&gt;O58+10,O58+10,O58+SUM($O$46:$O$57)*$E$59%)</f>
        <v>7.8599999999999994</v>
      </c>
      <c r="P59" s="1686"/>
      <c r="Q59" s="38"/>
    </row>
    <row r="60" spans="1:17" s="42" customFormat="1" ht="18.75" customHeight="1">
      <c r="A60" s="1306"/>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34" t="s">
        <v>322</v>
      </c>
      <c r="D64" s="4834"/>
      <c r="E64" s="4891"/>
      <c r="F64" s="1656">
        <f>IF($T$3=FALSE,0,VLOOKUP($C64,'SDK3'!$C$98:$D$119,2,FALSE))</f>
        <v>0</v>
      </c>
      <c r="G64" s="1655">
        <f>(100+$D$61)/100*F64</f>
        <v>0</v>
      </c>
      <c r="H64" s="1651"/>
      <c r="I64" s="1650">
        <f>H11*$G$64</f>
        <v>0</v>
      </c>
      <c r="J64" s="238"/>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12.264000000000001</v>
      </c>
      <c r="K67" s="1641" t="s">
        <v>1217</v>
      </c>
      <c r="L67" s="1640" t="s">
        <v>1216</v>
      </c>
      <c r="M67" s="1617">
        <f>S68*(K9+K10)*L68%+F68</f>
        <v>30.660000000000004</v>
      </c>
      <c r="N67" s="1639" t="s">
        <v>1217</v>
      </c>
      <c r="O67" s="1638" t="s">
        <v>1216</v>
      </c>
      <c r="P67" s="1614">
        <f>T68*(N9+N10)*O68%+F68</f>
        <v>49.056000000000004</v>
      </c>
      <c r="Q67" s="38"/>
    </row>
    <row r="68" spans="1:20" s="708" customFormat="1" ht="15" customHeight="1">
      <c r="A68" s="1270"/>
      <c r="B68" s="1637"/>
      <c r="C68" s="4839" t="s">
        <v>1215</v>
      </c>
      <c r="D68" s="4839"/>
      <c r="E68" s="4839"/>
      <c r="F68" s="1636"/>
      <c r="G68" s="1627" t="s">
        <v>171</v>
      </c>
      <c r="H68" s="1634">
        <v>17</v>
      </c>
      <c r="I68" s="1633">
        <v>100</v>
      </c>
      <c r="J68" s="1632"/>
      <c r="K68" s="1634">
        <v>17</v>
      </c>
      <c r="L68" s="1633">
        <v>100</v>
      </c>
      <c r="M68" s="1635"/>
      <c r="N68" s="1634">
        <v>17</v>
      </c>
      <c r="O68" s="1633">
        <v>100</v>
      </c>
      <c r="P68" s="1632"/>
      <c r="Q68" s="38"/>
      <c r="R68" s="1944">
        <f>IF($H$68=0,0,VLOOKUP($H$68,'SD6'!N8:O87,'SD6'!$O$1,FALSE))*(1+'SDK1'!O11/100)</f>
        <v>1.2264000000000002</v>
      </c>
      <c r="S68" s="1631">
        <f>IF($K$68=0,0,VLOOKUP($K$68,'SD6'!N8:O87,'SD6'!$O$1,FALSE))*(1+'SDK1'!O11/100)</f>
        <v>1.2264000000000002</v>
      </c>
      <c r="T68" s="1944">
        <f>IF($N$68=0,0,VLOOKUP($N$68,'SD6'!N8:O87,'SD6'!$O$1,FALSE))*(1+'SDK1'!O11/100)</f>
        <v>1.2264000000000002</v>
      </c>
    </row>
    <row r="69" spans="1:20" s="708" customFormat="1" ht="18.75" customHeight="1">
      <c r="A69" s="1270"/>
      <c r="B69" s="1276" t="s">
        <v>1214</v>
      </c>
      <c r="C69" s="1270"/>
      <c r="D69" s="1270"/>
      <c r="E69" s="38"/>
      <c r="F69" s="38"/>
      <c r="G69" s="1620"/>
      <c r="H69" s="44"/>
      <c r="I69" s="73"/>
      <c r="J69" s="1614">
        <f>H70*$F70/1000</f>
        <v>7.38</v>
      </c>
      <c r="K69" s="1630"/>
      <c r="L69" s="1629"/>
      <c r="M69" s="1617">
        <f>K70*$F70/1000</f>
        <v>18.45</v>
      </c>
      <c r="N69" s="44"/>
      <c r="O69" s="73"/>
      <c r="P69" s="1614">
        <f>N70*$F70/1000</f>
        <v>29.52</v>
      </c>
      <c r="Q69" s="38"/>
    </row>
    <row r="70" spans="1:20" s="708" customFormat="1" ht="15" customHeight="1">
      <c r="A70" s="1270"/>
      <c r="B70" s="1332"/>
      <c r="C70" s="1331" t="s">
        <v>896</v>
      </c>
      <c r="D70" s="353"/>
      <c r="E70" s="280"/>
      <c r="F70" s="1628">
        <f>'SDK7'!G109</f>
        <v>30</v>
      </c>
      <c r="G70" s="1627" t="s">
        <v>171</v>
      </c>
      <c r="H70" s="1623">
        <f>I9+I10</f>
        <v>246</v>
      </c>
      <c r="I70" s="1622"/>
      <c r="J70" s="1621"/>
      <c r="K70" s="1626">
        <f>L9+L10</f>
        <v>615</v>
      </c>
      <c r="L70" s="1625"/>
      <c r="M70" s="1624"/>
      <c r="N70" s="1623">
        <f>O9+O10</f>
        <v>984</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4.0184065495980388</v>
      </c>
      <c r="K75" s="711"/>
      <c r="L75" s="1056"/>
      <c r="M75" s="1578">
        <f>(M23+M27+M34+M43+M60+M65+M67+M69+M71)*('SDK1'!$O$59%*$G$75/12)</f>
        <v>4.4119655803333337</v>
      </c>
      <c r="N75" s="1580"/>
      <c r="O75" s="1579"/>
      <c r="P75" s="1578">
        <f>(P23+P27+P34+P43+P60+P65+P67+P69+P71)*('SDK1'!$O$59%*$G$75/12)</f>
        <v>4.8055246110686278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H150" s="1929"/>
      <c r="J150" s="1928"/>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D155" s="15"/>
      <c r="F155" s="15"/>
      <c r="G155" s="15"/>
      <c r="H155" s="15"/>
      <c r="I155" s="15"/>
      <c r="J155" s="15"/>
      <c r="K155" s="15"/>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5,1 und 23,0 % Wassergehalt." sqref="H68 K68 N68">
      <formula1>15.1</formula1>
      <formula2>23</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8" orientation="portrait" r:id="rId1"/>
  <headerFooter alignWithMargins="0">
    <oddFooter>&amp;L&amp;11LEL Schwäbisch Gmünd&amp;C71&amp;R&amp;11&amp;F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'SDK5'!$Z$214:$Z$313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195.77076614234306</v>
      </c>
      <c r="K1" s="4859">
        <f>M1-J1</f>
        <v>418.68121500000029</v>
      </c>
      <c r="L1" s="4859"/>
      <c r="M1" s="1906">
        <f>(M7+M13+M18+M22+L11+L12)-(M23+M27+M34+M43+M60+M65+M67+M69+M71+M75)</f>
        <v>614.45198114234336</v>
      </c>
      <c r="N1" s="4859">
        <f>P1-M1</f>
        <v>268.37627995249022</v>
      </c>
      <c r="O1" s="4859"/>
      <c r="P1" s="1906">
        <f>(P7+P13+P18+P22+O11+O12)-(P23+P27+P34+P43+P60+P65+P67+P69+P71+P75)</f>
        <v>882.82826109483358</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196</v>
      </c>
      <c r="L2" s="4870"/>
      <c r="M2" s="4870"/>
      <c r="N2" s="4870"/>
      <c r="O2" s="4870"/>
      <c r="P2" s="4870"/>
      <c r="Q2" s="1920">
        <v>0</v>
      </c>
    </row>
    <row r="3" spans="1:41" s="1891" customFormat="1" ht="21.75" customHeight="1">
      <c r="A3" s="1895"/>
      <c r="B3" s="1919"/>
      <c r="H3" s="1902"/>
      <c r="J3" s="4866"/>
      <c r="K3" s="4867"/>
      <c r="L3" s="4867"/>
      <c r="M3" s="1960"/>
      <c r="N3" s="4871" t="str">
        <f>IF(AND(T3=TRUE,T4=TRUE),"nur 1 Strohnutzung möglich","")</f>
        <v/>
      </c>
      <c r="O3" s="4872"/>
      <c r="P3" s="1900"/>
      <c r="Q3" s="1895"/>
      <c r="T3" s="1918" t="b">
        <v>0</v>
      </c>
    </row>
    <row r="4" spans="1:41" s="1891" customFormat="1" ht="20.25" customHeight="1">
      <c r="A4" s="1895"/>
      <c r="B4" s="377" t="s">
        <v>1154</v>
      </c>
      <c r="C4" s="35"/>
      <c r="D4" s="35"/>
      <c r="E4" s="4830" t="s">
        <v>1280</v>
      </c>
      <c r="F4" s="4830"/>
      <c r="G4" s="4830"/>
      <c r="H4" s="4830"/>
      <c r="I4" s="4830"/>
      <c r="J4" s="4866"/>
      <c r="K4" s="4867"/>
      <c r="L4" s="4867"/>
      <c r="M4" s="1960"/>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650</v>
      </c>
      <c r="K6" s="4849" t="s">
        <v>152</v>
      </c>
      <c r="L6" s="4850"/>
      <c r="M6" s="1887">
        <v>750</v>
      </c>
      <c r="N6" s="4864" t="s">
        <v>178</v>
      </c>
      <c r="O6" s="4865"/>
      <c r="P6" s="1886">
        <v>850</v>
      </c>
      <c r="Q6" s="70"/>
    </row>
    <row r="7" spans="1:41" s="252" customFormat="1" ht="18.75" customHeight="1">
      <c r="A7" s="47"/>
      <c r="B7" s="311" t="s">
        <v>1258</v>
      </c>
      <c r="C7" s="47"/>
      <c r="D7" s="47"/>
      <c r="E7" s="47"/>
      <c r="F7" s="47"/>
      <c r="G7" s="1884"/>
      <c r="H7" s="1881"/>
      <c r="I7" s="1880"/>
      <c r="J7" s="1614">
        <f>SUM(I9:I10)</f>
        <v>1486.5</v>
      </c>
      <c r="K7" s="1883"/>
      <c r="L7" s="1882"/>
      <c r="M7" s="1617">
        <f>SUM(L9:L10)</f>
        <v>2098.9666666666667</v>
      </c>
      <c r="N7" s="1881"/>
      <c r="O7" s="1880"/>
      <c r="P7" s="1614">
        <f>SUM(O9:O10)</f>
        <v>2405.5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'SDK1'!O38</f>
        <v>2.83</v>
      </c>
      <c r="H9" s="1877">
        <f>J6-H10</f>
        <v>350</v>
      </c>
      <c r="I9" s="1873">
        <f>H9*G9</f>
        <v>990.5</v>
      </c>
      <c r="J9" s="43"/>
      <c r="K9" s="1876">
        <f>M6-K10</f>
        <v>730</v>
      </c>
      <c r="L9" s="1875">
        <f>K9*G9</f>
        <v>2065.9</v>
      </c>
      <c r="M9" s="1854"/>
      <c r="N9" s="1874">
        <f>P6-N10</f>
        <v>850</v>
      </c>
      <c r="O9" s="1873">
        <f>N9*G9</f>
        <v>2405.5</v>
      </c>
      <c r="P9" s="43"/>
      <c r="Q9" s="1959" t="s">
        <v>1279</v>
      </c>
      <c r="R9" s="935"/>
      <c r="S9" s="265" t="s">
        <v>1265</v>
      </c>
      <c r="T9" s="1872"/>
    </row>
    <row r="10" spans="1:41" s="1842" customFormat="1" ht="15" customHeight="1">
      <c r="A10" s="377"/>
      <c r="B10" s="239"/>
      <c r="C10" s="281" t="str">
        <f>IF('SDK1'!O9&gt;0,"Nebenprodukt (incl. MwSt.)","Nebenprodukt (ohne MwSt)")</f>
        <v>Nebenprodukt (ohne MwSt)</v>
      </c>
      <c r="D10" s="1851"/>
      <c r="E10" s="1958"/>
      <c r="F10" s="1957" t="s">
        <v>1278</v>
      </c>
      <c r="G10" s="1956">
        <f>'SDK1'!O39</f>
        <v>1.6533333333333333</v>
      </c>
      <c r="H10" s="1955">
        <v>300</v>
      </c>
      <c r="I10" s="1865">
        <f>H10*G10</f>
        <v>496</v>
      </c>
      <c r="J10" s="1870"/>
      <c r="K10" s="1955">
        <v>20</v>
      </c>
      <c r="L10" s="1868">
        <f>K10*G10</f>
        <v>33.066666666666663</v>
      </c>
      <c r="M10" s="1867"/>
      <c r="N10" s="1955"/>
      <c r="O10" s="1865">
        <f>N10*G10</f>
        <v>0</v>
      </c>
      <c r="P10" s="1864"/>
      <c r="Q10" s="1954"/>
      <c r="R10" s="1863">
        <f>I10+I11+I12</f>
        <v>496</v>
      </c>
      <c r="S10" s="1862">
        <f>L10+L11+L12</f>
        <v>33.066666666666663</v>
      </c>
      <c r="T10" s="1861">
        <f>O10+O11+O12</f>
        <v>0</v>
      </c>
      <c r="W10" s="252" t="s">
        <v>1254</v>
      </c>
    </row>
    <row r="11" spans="1:41" s="1842" customFormat="1" ht="15" hidden="1" customHeight="1">
      <c r="A11" s="377"/>
      <c r="B11" s="274"/>
      <c r="C11" s="45" t="s">
        <v>1253</v>
      </c>
      <c r="D11" s="377"/>
      <c r="E11" s="1860">
        <v>7</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1954"/>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1954"/>
    </row>
    <row r="13" spans="1:41" s="252" customFormat="1" ht="18.75" customHeight="1">
      <c r="A13" s="47"/>
      <c r="B13" s="266" t="s">
        <v>1248</v>
      </c>
      <c r="C13" s="47"/>
      <c r="D13" s="47"/>
      <c r="E13" s="47"/>
      <c r="F13" s="47"/>
      <c r="G13" s="1841"/>
      <c r="H13" s="1926"/>
      <c r="I13" s="1823"/>
      <c r="J13" s="1614">
        <f>SUM(I14:I17)</f>
        <v>100</v>
      </c>
      <c r="K13" s="1927"/>
      <c r="L13" s="1825"/>
      <c r="M13" s="1617"/>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355.4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275</v>
      </c>
      <c r="K23" s="1619"/>
      <c r="L23" s="1618"/>
      <c r="M23" s="1800">
        <f>SUM(L25:L26)</f>
        <v>275</v>
      </c>
      <c r="N23" s="1616"/>
      <c r="O23" s="1615"/>
      <c r="P23" s="1599">
        <f>SUM(O25:O26)</f>
        <v>275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'SDK7'!F70</f>
        <v>250</v>
      </c>
      <c r="G25" s="1794">
        <f>F25*(100+$D$24)/100</f>
        <v>250</v>
      </c>
      <c r="H25" s="1793">
        <v>1.1000000000000001</v>
      </c>
      <c r="I25" s="1754">
        <f>H25*$G25</f>
        <v>275</v>
      </c>
      <c r="J25" s="45"/>
      <c r="K25" s="1793">
        <f>H25</f>
        <v>1.1000000000000001</v>
      </c>
      <c r="L25" s="1596">
        <f>K25*$G25</f>
        <v>275</v>
      </c>
      <c r="M25" s="1589"/>
      <c r="N25" s="1793">
        <f>H25</f>
        <v>1.1000000000000001</v>
      </c>
      <c r="O25" s="1754">
        <f>N25*$G25</f>
        <v>275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460.54666666666662</v>
      </c>
      <c r="K27" s="1748"/>
      <c r="L27" s="1747"/>
      <c r="M27" s="1617">
        <f>SUM(L30:L33)</f>
        <v>531.4</v>
      </c>
      <c r="N27" s="1746"/>
      <c r="O27" s="1745"/>
      <c r="P27" s="1614">
        <f>SUM(O30:O33)</f>
        <v>602.25333333333333</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0.18</v>
      </c>
      <c r="F30" s="1774">
        <f>VLOOKUP(K2,'SD8'!B9:L42,7,FALSE)</f>
        <v>0.26</v>
      </c>
      <c r="G30" s="1773"/>
      <c r="H30" s="1771">
        <f>IF(J$6=0,0,(J$6*$E30+$G30+X14))</f>
        <v>117</v>
      </c>
      <c r="I30" s="1754">
        <f>H30*$D30</f>
        <v>187.58999999999997</v>
      </c>
      <c r="J30" s="45"/>
      <c r="K30" s="1772">
        <f>IF(M$6=0,0,(M$6*$E30+$G30+Y14))</f>
        <v>135</v>
      </c>
      <c r="L30" s="1596">
        <f>K30*$D30</f>
        <v>216.44999999999996</v>
      </c>
      <c r="M30" s="1589"/>
      <c r="N30" s="1771">
        <f>IF(P$6=0,0,(P$6*$E30+$G30+Z14))</f>
        <v>153</v>
      </c>
      <c r="O30" s="1754">
        <f>N30*$D30</f>
        <v>245.30999999999995</v>
      </c>
      <c r="P30" s="1718"/>
      <c r="Q30" s="38"/>
    </row>
    <row r="31" spans="1:26" s="42" customFormat="1" ht="15" customHeight="1">
      <c r="A31" s="1306"/>
      <c r="B31" s="274"/>
      <c r="C31" s="1306" t="s">
        <v>244</v>
      </c>
      <c r="D31" s="1723">
        <f>'SDK1'!O53</f>
        <v>1.0999999999999999</v>
      </c>
      <c r="E31" s="1774">
        <f>VLOOKUP(K2,'SD8'!B9:L42,4,FALSE)</f>
        <v>0.1</v>
      </c>
      <c r="F31" s="1774">
        <f>VLOOKUP(K2,'SD8'!B9:L42,8,FALSE)</f>
        <v>7.9999999999999988E-2</v>
      </c>
      <c r="G31" s="1773"/>
      <c r="H31" s="1771">
        <f>IF(J$6=0,0,(J$6*$E31+$G31+X15))</f>
        <v>65</v>
      </c>
      <c r="I31" s="1754">
        <f>H31*$D31</f>
        <v>71.499999999999986</v>
      </c>
      <c r="J31" s="45"/>
      <c r="K31" s="1772">
        <f>IF(M$6=0,0,(M$6*$E31+$G31+Y15))</f>
        <v>75</v>
      </c>
      <c r="L31" s="1596">
        <f>K31*$D31</f>
        <v>82.499999999999986</v>
      </c>
      <c r="M31" s="1589"/>
      <c r="N31" s="1771">
        <f>IF(P$6=0,0,(P$6*$E31+$G31+Z15))</f>
        <v>85</v>
      </c>
      <c r="O31" s="1754">
        <f>N31*$D31</f>
        <v>93.499999999999986</v>
      </c>
      <c r="P31" s="1718"/>
      <c r="Q31" s="38"/>
    </row>
    <row r="32" spans="1:26" s="42" customFormat="1" ht="15" customHeight="1">
      <c r="A32" s="1306"/>
      <c r="B32" s="274"/>
      <c r="C32" s="1306" t="s">
        <v>242</v>
      </c>
      <c r="D32" s="1723">
        <f>'SDK1'!O54</f>
        <v>1.02</v>
      </c>
      <c r="E32" s="1774">
        <f>VLOOKUP(K2,'SD8'!B9:L42,5,FALSE)</f>
        <v>0.25</v>
      </c>
      <c r="F32" s="1774">
        <f>VLOOKUP(K2,'SD8'!B9:L42,9,FALSE)</f>
        <v>0.42000000000000004</v>
      </c>
      <c r="G32" s="1773"/>
      <c r="H32" s="1771">
        <f>IF(J$6=0,0,(J$6*$E32+$G32+X16))</f>
        <v>162.5</v>
      </c>
      <c r="I32" s="1754">
        <f>H32*$D32</f>
        <v>165.75</v>
      </c>
      <c r="J32" s="45"/>
      <c r="K32" s="1772">
        <f>IF(M$6=0,0,(M$6*$E32+$G32+Y16))</f>
        <v>187.5</v>
      </c>
      <c r="L32" s="1596">
        <f>K32*$D32</f>
        <v>191.25</v>
      </c>
      <c r="M32" s="1589"/>
      <c r="N32" s="1771">
        <f>IF(P$6=0,0,(P$6*$E32+$G32+Z16))</f>
        <v>212.5</v>
      </c>
      <c r="O32" s="1754">
        <f>N32*$D32</f>
        <v>216.75</v>
      </c>
      <c r="P32" s="1718"/>
      <c r="Q32" s="38"/>
    </row>
    <row r="33" spans="1:17" s="42" customFormat="1" ht="15" customHeight="1">
      <c r="A33" s="1306"/>
      <c r="B33" s="239"/>
      <c r="C33" s="1331" t="s">
        <v>240</v>
      </c>
      <c r="D33" s="1706">
        <f>'SDK1'!O55</f>
        <v>0.68666666666666676</v>
      </c>
      <c r="E33" s="1770">
        <f>VLOOKUP(K2,'SD8'!B9:L42,6,FALSE)</f>
        <v>0.08</v>
      </c>
      <c r="F33" s="1770">
        <f>VLOOKUP(K2,'SD8'!B9:L42,10,FALSE)</f>
        <v>6.9999999999999993E-2</v>
      </c>
      <c r="G33" s="1769"/>
      <c r="H33" s="1767">
        <f>IF(J$6=0,0,(J$6*$E33+$G33+X17))</f>
        <v>52</v>
      </c>
      <c r="I33" s="1750">
        <f>H33*$D33</f>
        <v>35.706666666666671</v>
      </c>
      <c r="J33" s="45"/>
      <c r="K33" s="1768">
        <f>IF(M$6=0,0,(M$6*$E33+$G33+Y17))</f>
        <v>60</v>
      </c>
      <c r="L33" s="1590">
        <f>K33*$D33</f>
        <v>41.2</v>
      </c>
      <c r="M33" s="1589"/>
      <c r="N33" s="1767">
        <f>IF(P$6=0,0,(P$6*$E33+$G33+Z17))</f>
        <v>68</v>
      </c>
      <c r="O33" s="1750">
        <f>N33*$D33</f>
        <v>46.693333333333342</v>
      </c>
      <c r="P33" s="1749"/>
      <c r="Q33" s="38"/>
    </row>
    <row r="34" spans="1:17" s="708" customFormat="1" ht="18.75" customHeight="1">
      <c r="A34" s="1270"/>
      <c r="B34" s="1276" t="s">
        <v>1234</v>
      </c>
      <c r="C34" s="1270"/>
      <c r="D34" s="37"/>
      <c r="E34" s="37"/>
      <c r="F34" s="4831" t="s">
        <v>1233</v>
      </c>
      <c r="G34" s="4832"/>
      <c r="H34" s="1764"/>
      <c r="I34" s="1763"/>
      <c r="J34" s="1614">
        <f>SUM(I36:I42)</f>
        <v>345.4</v>
      </c>
      <c r="K34" s="1766"/>
      <c r="L34" s="1765"/>
      <c r="M34" s="1617">
        <f>SUM(L36:L42)</f>
        <v>345.4</v>
      </c>
      <c r="N34" s="1764"/>
      <c r="O34" s="1763"/>
      <c r="P34" s="1614">
        <f>SUM(O36:O42)</f>
        <v>387.4</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690</v>
      </c>
      <c r="D36" s="4857"/>
      <c r="E36" s="4858"/>
      <c r="F36" s="1756">
        <f>IF(C36="",0,VLOOKUP(C36,'SDK5'!C3:AF83,2,FALSE))</f>
        <v>35.4</v>
      </c>
      <c r="G36" s="1756">
        <f t="shared" ref="G36:G42" si="0">F36*(100+$D$35)/100</f>
        <v>35.4</v>
      </c>
      <c r="H36" s="1755">
        <v>5</v>
      </c>
      <c r="I36" s="1754">
        <f t="shared" ref="I36:I42" si="1">$G36*H36</f>
        <v>177</v>
      </c>
      <c r="J36" s="45"/>
      <c r="K36" s="1755">
        <v>5</v>
      </c>
      <c r="L36" s="1596">
        <f t="shared" ref="L36:L42" si="2">$G36*K36</f>
        <v>177</v>
      </c>
      <c r="M36" s="1589"/>
      <c r="N36" s="1755">
        <v>5</v>
      </c>
      <c r="O36" s="1754">
        <f t="shared" ref="O36:O42" si="3">$G36*N36</f>
        <v>177</v>
      </c>
      <c r="P36" s="1758"/>
      <c r="Q36" s="38"/>
    </row>
    <row r="37" spans="1:17" s="42" customFormat="1" ht="15" customHeight="1">
      <c r="A37" s="1306"/>
      <c r="B37" s="1594"/>
      <c r="C37" s="4855" t="s">
        <v>2083</v>
      </c>
      <c r="D37" s="4855"/>
      <c r="E37" s="4856"/>
      <c r="F37" s="1756">
        <f>IF(C37="",0,VLOOKUP(C37,'SDK5'!C4:AF84,2,FALSE))</f>
        <v>31.6</v>
      </c>
      <c r="G37" s="1756">
        <f t="shared" si="0"/>
        <v>31.6</v>
      </c>
      <c r="H37" s="1755">
        <v>4</v>
      </c>
      <c r="I37" s="1754">
        <f t="shared" si="1"/>
        <v>126.4</v>
      </c>
      <c r="J37" s="45"/>
      <c r="K37" s="1755">
        <v>4</v>
      </c>
      <c r="L37" s="1596">
        <f t="shared" si="2"/>
        <v>126.4</v>
      </c>
      <c r="M37" s="1589"/>
      <c r="N37" s="1755">
        <v>4</v>
      </c>
      <c r="O37" s="1754">
        <f t="shared" si="3"/>
        <v>126.4</v>
      </c>
      <c r="P37" s="1718"/>
      <c r="Q37" s="38"/>
    </row>
    <row r="38" spans="1:17" s="42" customFormat="1" ht="15" customHeight="1">
      <c r="A38" s="1306"/>
      <c r="B38" s="1757"/>
      <c r="C38" s="4855" t="s">
        <v>2089</v>
      </c>
      <c r="D38" s="4855"/>
      <c r="E38" s="4856"/>
      <c r="F38" s="1756">
        <f>IF(C38="",0,VLOOKUP(C38,'SDK5'!C5:AF85,2,FALSE))</f>
        <v>42</v>
      </c>
      <c r="G38" s="1756">
        <f t="shared" si="0"/>
        <v>42</v>
      </c>
      <c r="H38" s="1755">
        <v>1</v>
      </c>
      <c r="I38" s="1754">
        <f t="shared" si="1"/>
        <v>42</v>
      </c>
      <c r="J38" s="45"/>
      <c r="K38" s="1755">
        <v>1</v>
      </c>
      <c r="L38" s="1596">
        <f t="shared" si="2"/>
        <v>42</v>
      </c>
      <c r="M38" s="1589"/>
      <c r="N38" s="1755">
        <v>2</v>
      </c>
      <c r="O38" s="1754">
        <f t="shared" si="3"/>
        <v>84</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141.49904399932774</v>
      </c>
      <c r="K43" s="1748"/>
      <c r="L43" s="1747"/>
      <c r="M43" s="1617">
        <f>SUM(M46:M57)</f>
        <v>141.49904399932774</v>
      </c>
      <c r="N43" s="1746"/>
      <c r="O43" s="1745"/>
      <c r="P43" s="1614">
        <f>SUM(P46:P57)</f>
        <v>147.26624570285713</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504</v>
      </c>
      <c r="D47" s="4836"/>
      <c r="E47" s="1725">
        <f>IF($C47=0,0,VLOOKUP($C47,'SDK3'!$C$24:$O$92,4,FALSE))</f>
        <v>83</v>
      </c>
      <c r="F47" s="1724">
        <f>IF($C47=0,0,VLOOKUP($C47,'SDK3'!$C$24:$O$92,12,FALSE))</f>
        <v>0.56999999999999995</v>
      </c>
      <c r="G47" s="1723">
        <f>IF($C47=0,0,VLOOKUP($C47,'SDK3'!$C$24:$O$92,13,FALSE))</f>
        <v>13.864622900840335</v>
      </c>
      <c r="H47" s="1720">
        <v>2</v>
      </c>
      <c r="I47" s="1719">
        <f t="shared" si="4"/>
        <v>1.1399999999999999</v>
      </c>
      <c r="J47" s="1718">
        <f t="shared" si="5"/>
        <v>27.729245801680669</v>
      </c>
      <c r="K47" s="1720">
        <v>2</v>
      </c>
      <c r="L47" s="1722">
        <f t="shared" si="6"/>
        <v>1.1399999999999999</v>
      </c>
      <c r="M47" s="1721">
        <f t="shared" si="7"/>
        <v>27.729245801680669</v>
      </c>
      <c r="N47" s="1720">
        <v>2</v>
      </c>
      <c r="O47" s="1719">
        <f t="shared" si="8"/>
        <v>1.1399999999999999</v>
      </c>
      <c r="P47" s="1718">
        <f t="shared" si="9"/>
        <v>27.729245801680669</v>
      </c>
      <c r="Q47" s="38"/>
    </row>
    <row r="48" spans="1:17" s="42" customFormat="1" ht="15" customHeight="1">
      <c r="A48" s="1306"/>
      <c r="B48" s="1726"/>
      <c r="C48" s="4835" t="s">
        <v>478</v>
      </c>
      <c r="D48" s="4836"/>
      <c r="E48" s="1725">
        <f>IF($C48=0,0,VLOOKUP($C48,'SDK3'!$C$24:$O$92,4,FALSE))</f>
        <v>83</v>
      </c>
      <c r="F48" s="1724">
        <f>IF($C48=0,0,VLOOKUP($C48,'SDK3'!$C$24:$O$92,12,FALSE))</f>
        <v>0.98</v>
      </c>
      <c r="G48" s="1723">
        <f>IF($C48=0,0,VLOOKUP($C48,'SDK3'!$C$24:$O$92,13,FALSE))</f>
        <v>22.910160192941177</v>
      </c>
      <c r="H48" s="1720">
        <v>1</v>
      </c>
      <c r="I48" s="1719">
        <f t="shared" si="4"/>
        <v>0.98</v>
      </c>
      <c r="J48" s="1718">
        <f t="shared" si="5"/>
        <v>22.910160192941177</v>
      </c>
      <c r="K48" s="1720">
        <v>1</v>
      </c>
      <c r="L48" s="1722">
        <f t="shared" si="6"/>
        <v>0.98</v>
      </c>
      <c r="M48" s="1721">
        <f t="shared" si="7"/>
        <v>22.910160192941177</v>
      </c>
      <c r="N48" s="1720">
        <v>1</v>
      </c>
      <c r="O48" s="1719">
        <f t="shared" si="8"/>
        <v>0.98</v>
      </c>
      <c r="P48" s="1718">
        <f t="shared" si="9"/>
        <v>22.910160192941177</v>
      </c>
      <c r="Q48" s="38"/>
    </row>
    <row r="49" spans="1:17" s="42" customFormat="1" ht="15" customHeight="1">
      <c r="A49" s="1306"/>
      <c r="B49" s="1726"/>
      <c r="C49" s="4835" t="s">
        <v>467</v>
      </c>
      <c r="D49" s="4836"/>
      <c r="E49" s="1725">
        <f>IF($C49=0,0,VLOOKUP($C49,'SDK3'!$C$24:$O$92,4,FALSE))</f>
        <v>54</v>
      </c>
      <c r="F49" s="1724">
        <f>IF($C49=0,0,VLOOKUP($C49,'SDK3'!$C$24:$O$92,12,FALSE))</f>
        <v>0.32</v>
      </c>
      <c r="G49" s="1723">
        <f>IF($C49=0,0,VLOOKUP($C49,'SDK3'!$C$24:$O$92,13,FALSE))</f>
        <v>3.6014154164705885</v>
      </c>
      <c r="H49" s="1720">
        <v>3</v>
      </c>
      <c r="I49" s="1719">
        <f t="shared" si="4"/>
        <v>0.96</v>
      </c>
      <c r="J49" s="1718">
        <f t="shared" si="5"/>
        <v>10.804246249411765</v>
      </c>
      <c r="K49" s="1720">
        <v>3</v>
      </c>
      <c r="L49" s="1722">
        <f t="shared" si="6"/>
        <v>0.96</v>
      </c>
      <c r="M49" s="1721">
        <f t="shared" si="7"/>
        <v>10.804246249411765</v>
      </c>
      <c r="N49" s="1720">
        <v>3</v>
      </c>
      <c r="O49" s="1719">
        <f t="shared" si="8"/>
        <v>0.96</v>
      </c>
      <c r="P49" s="1718">
        <f t="shared" si="9"/>
        <v>10.804246249411765</v>
      </c>
      <c r="Q49" s="38"/>
    </row>
    <row r="50" spans="1:17" s="42" customFormat="1" ht="15" customHeight="1">
      <c r="A50" s="1306"/>
      <c r="B50" s="1726"/>
      <c r="C50" s="4835" t="s">
        <v>456</v>
      </c>
      <c r="D50" s="4836"/>
      <c r="E50" s="1725">
        <f>IF($C50=0,0,VLOOKUP($C50,'SDK3'!$C$24:$O$92,4,FALSE))</f>
        <v>83</v>
      </c>
      <c r="F50" s="1724">
        <f>IF($C50=0,0,VLOOKUP($C50,'SDK3'!$C$24:$O$92,12,FALSE))</f>
        <v>0.36</v>
      </c>
      <c r="G50" s="1723">
        <f>IF($C50=0,0,VLOOKUP($C50,'SDK3'!$C$24:$O$92,13,FALSE))</f>
        <v>5.7672017035294116</v>
      </c>
      <c r="H50" s="1720">
        <v>4</v>
      </c>
      <c r="I50" s="1719">
        <f t="shared" si="4"/>
        <v>1.44</v>
      </c>
      <c r="J50" s="1718">
        <f t="shared" si="5"/>
        <v>23.068806814117647</v>
      </c>
      <c r="K50" s="1720">
        <v>4</v>
      </c>
      <c r="L50" s="1722">
        <f t="shared" si="6"/>
        <v>1.44</v>
      </c>
      <c r="M50" s="1721">
        <f t="shared" si="7"/>
        <v>23.068806814117647</v>
      </c>
      <c r="N50" s="1720">
        <v>5</v>
      </c>
      <c r="O50" s="1719">
        <f t="shared" si="8"/>
        <v>1.7999999999999998</v>
      </c>
      <c r="P50" s="1718">
        <f t="shared" si="9"/>
        <v>28.836008517647059</v>
      </c>
      <c r="Q50" s="38"/>
    </row>
    <row r="51" spans="1:17" s="42" customFormat="1" ht="15" customHeight="1">
      <c r="A51" s="1306"/>
      <c r="B51" s="1726"/>
      <c r="C51" s="4835"/>
      <c r="D51" s="4836"/>
      <c r="E51" s="1725">
        <f>IF($C51=0,0,VLOOKUP($C51,'SDK3'!$C$24:$O$92,4,FALSE))</f>
        <v>0</v>
      </c>
      <c r="F51" s="1724">
        <f>IF($C51=0,0,VLOOKUP($C51,'SDK3'!$C$24:$O$92,12,FALSE))</f>
        <v>0</v>
      </c>
      <c r="G51" s="1723">
        <f>IF($C51=0,0,VLOOKUP($C51,'SDK3'!$C$24:$O$92,13,FALSE))</f>
        <v>0</v>
      </c>
      <c r="H51" s="1720"/>
      <c r="I51" s="1719">
        <f t="shared" si="4"/>
        <v>0</v>
      </c>
      <c r="J51" s="1718">
        <f t="shared" si="5"/>
        <v>0</v>
      </c>
      <c r="K51" s="1720"/>
      <c r="L51" s="1722">
        <f t="shared" si="6"/>
        <v>0</v>
      </c>
      <c r="M51" s="1721">
        <f t="shared" si="7"/>
        <v>0</v>
      </c>
      <c r="N51" s="1720"/>
      <c r="O51" s="1719">
        <f t="shared" si="8"/>
        <v>0</v>
      </c>
      <c r="P51" s="1718">
        <f t="shared" si="9"/>
        <v>0</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5.9799999999999986</v>
      </c>
      <c r="J58" s="1701"/>
      <c r="K58" s="1700"/>
      <c r="L58" s="1699">
        <f>SUM($L$46:$L$57)</f>
        <v>5.9799999999999986</v>
      </c>
      <c r="M58" s="1698"/>
      <c r="N58" s="1697"/>
      <c r="O58" s="1696">
        <f>SUM($O$46:$O$57)</f>
        <v>6.339999999999999</v>
      </c>
      <c r="P58" s="1695"/>
      <c r="Q58" s="38"/>
    </row>
    <row r="59" spans="1:17" s="65" customFormat="1" ht="15" customHeight="1">
      <c r="A59" s="1373"/>
      <c r="B59" s="1694"/>
      <c r="C59" s="353"/>
      <c r="D59" s="280" t="s">
        <v>1222</v>
      </c>
      <c r="E59" s="1693">
        <v>80</v>
      </c>
      <c r="F59" s="353" t="s">
        <v>1221</v>
      </c>
      <c r="G59" s="1692"/>
      <c r="H59" s="1688"/>
      <c r="I59" s="1687">
        <f>IF(I58+SUM($I$46:$I$57)*$E$59%&gt;I58+10,I58+10,I58+SUM($I$46:$I$57)*$E$59%)</f>
        <v>10.763999999999998</v>
      </c>
      <c r="J59" s="1686"/>
      <c r="K59" s="1691"/>
      <c r="L59" s="1690">
        <f>IF(L58+SUM($L$46:$L$57)*$E$59%&gt;L58+10,L58+10,L58+SUM($L$46:$L$57)*$E$59%)</f>
        <v>10.763999999999998</v>
      </c>
      <c r="M59" s="1689"/>
      <c r="N59" s="1688"/>
      <c r="O59" s="1687">
        <f>IF(O58+SUM($O$46:$O$57)*$E$59%&gt;O58+10,O58+10,O58+SUM($O$46:$O$57)*$E$59%)</f>
        <v>11.411999999999999</v>
      </c>
      <c r="P59" s="1686"/>
      <c r="Q59" s="38"/>
    </row>
    <row r="60" spans="1:17" s="42" customFormat="1" ht="18.75" customHeight="1">
      <c r="A60" s="1306"/>
      <c r="B60" s="1276" t="s">
        <v>1220</v>
      </c>
      <c r="C60" s="1373"/>
      <c r="D60" s="1373"/>
      <c r="E60" s="45"/>
      <c r="F60" s="45"/>
      <c r="G60" s="1685"/>
      <c r="H60" s="1677"/>
      <c r="I60" s="1676"/>
      <c r="J60" s="1684">
        <f>IF(J6=0,0,SUM(I62:I64))</f>
        <v>397.5</v>
      </c>
      <c r="K60" s="1680"/>
      <c r="L60" s="1679"/>
      <c r="M60" s="1617">
        <f>IF(M6=0,0,SUM(L62:L64))</f>
        <v>397.5</v>
      </c>
      <c r="N60" s="1677"/>
      <c r="O60" s="1676"/>
      <c r="P60" s="1684">
        <f>IF(P6=0,0,SUM(O62:O64))</f>
        <v>397.5</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92" t="s">
        <v>338</v>
      </c>
      <c r="D62" s="4892"/>
      <c r="E62" s="4893"/>
      <c r="F62" s="1674">
        <f>IF($C62=0,0,VLOOKUP($C62,'SDK3'!$C$98:$D$119,2,FALSE))</f>
        <v>397.5</v>
      </c>
      <c r="G62" s="1673">
        <f>(100+$D$61)/100*F62</f>
        <v>397.5</v>
      </c>
      <c r="H62" s="227"/>
      <c r="I62" s="1669">
        <f>$G$62</f>
        <v>397.5</v>
      </c>
      <c r="J62" s="227"/>
      <c r="K62" s="1672"/>
      <c r="L62" s="1671">
        <f>$G$62</f>
        <v>397.5</v>
      </c>
      <c r="M62" s="1589"/>
      <c r="N62" s="1670"/>
      <c r="O62" s="1669">
        <f>$G$62</f>
        <v>397.5</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94"/>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17.838000000000001</v>
      </c>
      <c r="K69" s="1630"/>
      <c r="L69" s="1629"/>
      <c r="M69" s="1617">
        <f>K70*$F70/1000</f>
        <v>25.1876</v>
      </c>
      <c r="N69" s="44"/>
      <c r="O69" s="73"/>
      <c r="P69" s="1614">
        <f>N70*$F70/1000</f>
        <v>28.866</v>
      </c>
      <c r="Q69" s="38"/>
    </row>
    <row r="70" spans="1:20" s="708" customFormat="1" ht="15" customHeight="1">
      <c r="A70" s="1270"/>
      <c r="B70" s="1332"/>
      <c r="C70" s="1331" t="s">
        <v>896</v>
      </c>
      <c r="D70" s="353"/>
      <c r="E70" s="280"/>
      <c r="F70" s="1628">
        <f>'SDK7'!G114</f>
        <v>12</v>
      </c>
      <c r="G70" s="1627" t="s">
        <v>171</v>
      </c>
      <c r="H70" s="1623">
        <f>I9+I10</f>
        <v>1486.5</v>
      </c>
      <c r="I70" s="1622"/>
      <c r="J70" s="1621"/>
      <c r="K70" s="1626">
        <f>L9+L10</f>
        <v>2098.9666666666667</v>
      </c>
      <c r="L70" s="1625"/>
      <c r="M70" s="1624"/>
      <c r="N70" s="1623">
        <f>O9+O10</f>
        <v>2405.5</v>
      </c>
      <c r="O70" s="1622"/>
      <c r="P70" s="1621"/>
      <c r="Q70" s="38"/>
    </row>
    <row r="71" spans="1:20" ht="18.75" customHeight="1">
      <c r="A71" s="377"/>
      <c r="B71" s="311" t="s">
        <v>1213</v>
      </c>
      <c r="C71" s="377"/>
      <c r="D71" s="377"/>
      <c r="E71" s="229"/>
      <c r="G71" s="1620"/>
      <c r="H71" s="1616"/>
      <c r="I71" s="1615"/>
      <c r="J71" s="1614">
        <f>SUM(I73:I74)</f>
        <v>97.5</v>
      </c>
      <c r="K71" s="1619"/>
      <c r="L71" s="1618"/>
      <c r="M71" s="1617">
        <f>SUM(L73:L74)</f>
        <v>112.5</v>
      </c>
      <c r="N71" s="1616"/>
      <c r="O71" s="1615"/>
      <c r="P71" s="1614">
        <f>SUM(O73:O74)</f>
        <v>127.5</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5" t="s">
        <v>1277</v>
      </c>
      <c r="D73" s="4845"/>
      <c r="E73" s="4845"/>
      <c r="F73" s="1598"/>
      <c r="G73" s="1597"/>
      <c r="H73" s="1591">
        <f>1.5*J6*0.1</f>
        <v>97.5</v>
      </c>
      <c r="I73" s="1595">
        <f>(100+$D$72)/100*H73</f>
        <v>97.5</v>
      </c>
      <c r="J73" s="45"/>
      <c r="K73" s="1591">
        <f>1.5*(0.1*M6)</f>
        <v>112.5</v>
      </c>
      <c r="L73" s="1596">
        <f>(100+$D$72)/100*K73</f>
        <v>112.5</v>
      </c>
      <c r="M73" s="1589"/>
      <c r="N73" s="1591">
        <f>1.5*(0.1*P6)</f>
        <v>127.5</v>
      </c>
      <c r="O73" s="1595">
        <f>(100+$D$72)/100*N73</f>
        <v>127.5</v>
      </c>
      <c r="P73" s="1586"/>
      <c r="Q73" s="383" t="s">
        <v>1276</v>
      </c>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10.845523191662464</v>
      </c>
      <c r="K75" s="711"/>
      <c r="L75" s="1056"/>
      <c r="M75" s="1578">
        <f>(M23+M27+M34+M43+M60+M65+M67+M69+M71)*('SDK1'!$O$59%*$G$75/12)</f>
        <v>11.428041524995797</v>
      </c>
      <c r="N75" s="1580"/>
      <c r="O75" s="1579"/>
      <c r="P75" s="1578">
        <f>(P23+P27+P34+P43+P60+P65+P67+P69+P71)*('SDK1'!$O$59%*$G$75/12)</f>
        <v>12.286159868976188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D159" s="15"/>
      <c r="F159" s="15"/>
      <c r="G159" s="15"/>
      <c r="H159" s="15"/>
      <c r="I159" s="15"/>
      <c r="J159" s="15"/>
      <c r="M159" s="35"/>
      <c r="N159" s="35"/>
      <c r="O159" s="35"/>
      <c r="P159" s="35"/>
      <c r="Q159" s="35"/>
    </row>
    <row r="160" spans="1:17">
      <c r="A160" s="35"/>
      <c r="B160" s="623"/>
      <c r="C160" s="15"/>
      <c r="D160" s="15"/>
      <c r="F160" s="15"/>
      <c r="G160" s="15"/>
      <c r="H160" s="15"/>
      <c r="I160" s="15"/>
      <c r="J160" s="15"/>
      <c r="M160" s="35"/>
      <c r="N160" s="35"/>
      <c r="O160" s="35"/>
      <c r="P160" s="35"/>
      <c r="Q160" s="35"/>
    </row>
    <row r="161" spans="1:17">
      <c r="A161" s="35"/>
      <c r="B161" s="623"/>
      <c r="C161" s="15"/>
      <c r="D161" s="15"/>
      <c r="F161" s="15"/>
      <c r="G161" s="15"/>
      <c r="H161" s="15"/>
      <c r="I161" s="15"/>
      <c r="J161" s="15"/>
      <c r="K161" s="35"/>
      <c r="L161" s="35"/>
      <c r="M161" s="35"/>
      <c r="N161" s="35"/>
      <c r="O161" s="35"/>
      <c r="P161" s="35"/>
      <c r="Q161" s="35"/>
    </row>
    <row r="162" spans="1:17">
      <c r="A162" s="35"/>
      <c r="B162" s="623"/>
      <c r="C162" s="15"/>
      <c r="D162" s="15"/>
      <c r="F162" s="15"/>
      <c r="G162" s="15"/>
      <c r="H162" s="15"/>
      <c r="I162" s="15"/>
      <c r="J162" s="15"/>
      <c r="K162" s="35"/>
      <c r="L162" s="35"/>
      <c r="M162" s="35"/>
      <c r="N162" s="35"/>
      <c r="O162" s="35"/>
      <c r="P162" s="35"/>
      <c r="Q162" s="35"/>
    </row>
    <row r="163" spans="1:17">
      <c r="A163" s="35"/>
      <c r="B163" s="623"/>
      <c r="C163" s="15"/>
      <c r="D163" s="15"/>
      <c r="F163" s="15"/>
      <c r="G163" s="15"/>
      <c r="H163" s="15"/>
      <c r="I163" s="15"/>
      <c r="J163" s="15"/>
      <c r="K163" s="35"/>
      <c r="L163" s="35"/>
      <c r="M163" s="35"/>
      <c r="N163" s="35"/>
      <c r="O163" s="35"/>
      <c r="P163" s="35"/>
      <c r="Q163" s="35"/>
    </row>
    <row r="164" spans="1:17">
      <c r="A164" s="35"/>
      <c r="B164" s="623"/>
      <c r="C164" s="15"/>
      <c r="D164" s="15"/>
      <c r="F164" s="15"/>
      <c r="G164" s="15"/>
      <c r="H164" s="15"/>
      <c r="I164" s="15"/>
      <c r="J164" s="15"/>
      <c r="K164" s="35"/>
      <c r="L164" s="35"/>
      <c r="M164" s="35"/>
      <c r="N164" s="35"/>
      <c r="O164" s="35"/>
      <c r="P164" s="35"/>
      <c r="Q164" s="35"/>
    </row>
    <row r="165" spans="1:17">
      <c r="A165" s="35"/>
      <c r="B165" s="623"/>
      <c r="C165" s="15"/>
      <c r="K165" s="35"/>
      <c r="L165" s="35"/>
      <c r="M165" s="35"/>
      <c r="N165" s="35"/>
      <c r="O165" s="35"/>
      <c r="P165" s="35"/>
      <c r="Q165" s="35"/>
    </row>
    <row r="166" spans="1:17">
      <c r="A166" s="35"/>
      <c r="B166" s="623"/>
      <c r="C166" s="15"/>
      <c r="K166" s="35"/>
      <c r="L166" s="35"/>
      <c r="M166" s="35"/>
      <c r="N166" s="35"/>
      <c r="O166" s="35"/>
      <c r="P166" s="35"/>
      <c r="Q166" s="35"/>
    </row>
    <row r="167" spans="1:17">
      <c r="A167" s="35"/>
      <c r="B167" s="623"/>
      <c r="C167" s="15"/>
      <c r="K167" s="35"/>
      <c r="L167" s="35"/>
      <c r="M167" s="35"/>
      <c r="N167" s="35"/>
      <c r="O167" s="35"/>
      <c r="P167" s="35"/>
      <c r="Q167" s="35"/>
    </row>
    <row r="168" spans="1:17">
      <c r="A168" s="35"/>
      <c r="B168" s="623"/>
      <c r="C168" s="15"/>
      <c r="K168" s="35"/>
      <c r="L168" s="35"/>
      <c r="M168" s="35"/>
      <c r="N168" s="35"/>
      <c r="O168" s="35"/>
      <c r="P168" s="35"/>
      <c r="Q168" s="35"/>
    </row>
    <row r="169" spans="1:17">
      <c r="A169" s="35"/>
      <c r="B169" s="623"/>
      <c r="C169" s="15"/>
      <c r="K169" s="35"/>
      <c r="L169" s="35"/>
      <c r="M169" s="35"/>
      <c r="N169" s="35"/>
      <c r="O169" s="35"/>
      <c r="P169" s="35"/>
      <c r="Q169" s="35"/>
    </row>
    <row r="170" spans="1:17">
      <c r="A170" s="35"/>
      <c r="B170" s="623"/>
      <c r="C170" s="15"/>
      <c r="K170" s="35"/>
      <c r="L170" s="35"/>
      <c r="M170" s="35"/>
      <c r="N170" s="35"/>
      <c r="O170" s="35"/>
      <c r="P170" s="35"/>
      <c r="Q170" s="35"/>
    </row>
    <row r="171" spans="1:17">
      <c r="A171" s="35"/>
      <c r="B171" s="623"/>
      <c r="C171" s="15"/>
      <c r="K171" s="35"/>
      <c r="L171" s="35"/>
      <c r="M171" s="35"/>
      <c r="N171" s="35"/>
      <c r="O171" s="35"/>
      <c r="P171" s="35"/>
      <c r="Q171" s="35"/>
    </row>
    <row r="172" spans="1:17">
      <c r="A172" s="35"/>
      <c r="B172" s="623"/>
      <c r="C172" s="15"/>
      <c r="K172" s="35"/>
      <c r="L172" s="35"/>
      <c r="M172" s="35"/>
      <c r="N172" s="35"/>
      <c r="O172" s="35"/>
      <c r="P172" s="35"/>
      <c r="Q172" s="35"/>
    </row>
    <row r="173" spans="1:17">
      <c r="A173" s="35"/>
      <c r="B173" s="623"/>
      <c r="C173" s="15"/>
      <c r="K173" s="35"/>
      <c r="L173" s="35"/>
      <c r="M173" s="35"/>
      <c r="N173" s="35"/>
      <c r="O173" s="35"/>
      <c r="P173" s="35"/>
      <c r="Q173" s="35"/>
    </row>
    <row r="174" spans="1:17">
      <c r="A174" s="35"/>
      <c r="B174" s="623"/>
      <c r="C174" s="15"/>
      <c r="K174" s="35"/>
      <c r="L174" s="35"/>
      <c r="M174" s="35"/>
      <c r="N174" s="35"/>
      <c r="O174" s="35"/>
      <c r="P174" s="35"/>
      <c r="Q174" s="35"/>
    </row>
    <row r="175" spans="1:17">
      <c r="A175" s="35"/>
      <c r="B175" s="623"/>
      <c r="C175" s="15"/>
      <c r="K175" s="35"/>
      <c r="L175" s="35"/>
      <c r="M175" s="35"/>
      <c r="N175" s="35"/>
      <c r="O175" s="35"/>
      <c r="P175" s="35"/>
      <c r="Q175" s="35"/>
    </row>
    <row r="176" spans="1:17">
      <c r="A176" s="35"/>
      <c r="B176" s="623"/>
      <c r="C176" s="1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mergeCells count="46">
    <mergeCell ref="C74:E74"/>
    <mergeCell ref="C73:E73"/>
    <mergeCell ref="C55:D55"/>
    <mergeCell ref="C68:E68"/>
    <mergeCell ref="C62:E62"/>
    <mergeCell ref="C64:E64"/>
    <mergeCell ref="C63:E63"/>
    <mergeCell ref="C57:D57"/>
    <mergeCell ref="C56:D56"/>
    <mergeCell ref="C46:D46"/>
    <mergeCell ref="C41:E41"/>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7:F17"/>
    <mergeCell ref="E22:G22"/>
    <mergeCell ref="C37:E37"/>
    <mergeCell ref="B75:C75"/>
    <mergeCell ref="K1:L1"/>
    <mergeCell ref="C49:D49"/>
    <mergeCell ref="C52:D52"/>
    <mergeCell ref="C53:D53"/>
    <mergeCell ref="C54:D54"/>
    <mergeCell ref="C50:D50"/>
    <mergeCell ref="C51:D51"/>
    <mergeCell ref="J4:L4"/>
    <mergeCell ref="C16:F16"/>
    <mergeCell ref="C48:D48"/>
    <mergeCell ref="F23:G23"/>
    <mergeCell ref="F34:G34"/>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0" orientation="portrait" r:id="rId1"/>
  <headerFooter alignWithMargins="0">
    <oddFooter>&amp;L&amp;11LEL Schwäbisch Gmünd&amp;C73&amp;R&amp;11&amp;F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'SDK5'!$AA$214:$AA$313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0">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2" width="7.25" style="38" customWidth="1"/>
    <col min="13" max="13" width="8.25" style="38" customWidth="1"/>
    <col min="14" max="14" width="8" style="38" customWidth="1"/>
    <col min="15" max="15" width="7.25" style="38" customWidth="1"/>
    <col min="16" max="16" width="8.7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1867.761813293695</v>
      </c>
      <c r="K1" s="4859">
        <f>M1-J1</f>
        <v>1573.7059541250001</v>
      </c>
      <c r="L1" s="4859"/>
      <c r="M1" s="1906">
        <f>(M7+M13+M18+M22+L11+L12)-(M23+M27+M34+M43+M60+M65+M67+M69+M71+M75)</f>
        <v>3441.4677674186951</v>
      </c>
      <c r="N1" s="4859">
        <f>P1-M1</f>
        <v>1573.7059541249992</v>
      </c>
      <c r="O1" s="4859"/>
      <c r="P1" s="1906">
        <f>(P7+P13+P18+P22+O11+O12)-(P23+P27+P34+P43+P60+P65+P67+P69+P71+P75)</f>
        <v>5015.1737215436942</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195</v>
      </c>
      <c r="L2" s="4870"/>
      <c r="M2" s="4870"/>
      <c r="N2" s="4870"/>
      <c r="O2" s="4870"/>
      <c r="P2" s="4870"/>
      <c r="Q2" s="1920">
        <v>0</v>
      </c>
    </row>
    <row r="3" spans="1:41" s="1891" customFormat="1" ht="21.75" customHeight="1">
      <c r="A3" s="1895"/>
      <c r="B3" s="1919"/>
      <c r="H3" s="1902"/>
      <c r="J3" s="4866"/>
      <c r="K3" s="4867"/>
      <c r="L3" s="4867"/>
      <c r="M3" s="1960"/>
      <c r="N3" s="4871" t="str">
        <f>IF(AND(T3=TRUE,T4=TRUE),"nur 1 Strohnutzung möglich","")</f>
        <v/>
      </c>
      <c r="O3" s="4872"/>
      <c r="P3" s="1900"/>
      <c r="Q3" s="1895"/>
      <c r="T3" s="1918" t="b">
        <v>0</v>
      </c>
    </row>
    <row r="4" spans="1:41" s="1891" customFormat="1" ht="20.25" customHeight="1">
      <c r="A4" s="1895"/>
      <c r="B4" s="377" t="s">
        <v>1154</v>
      </c>
      <c r="C4" s="35"/>
      <c r="D4" s="35"/>
      <c r="E4" s="4895" t="s">
        <v>1288</v>
      </c>
      <c r="F4" s="4895"/>
      <c r="G4" s="4895"/>
      <c r="H4" s="4895"/>
      <c r="I4" s="4895"/>
      <c r="J4" s="4866"/>
      <c r="K4" s="4867"/>
      <c r="L4" s="4867"/>
      <c r="M4" s="1960"/>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250</v>
      </c>
      <c r="K6" s="4849" t="s">
        <v>152</v>
      </c>
      <c r="L6" s="4850"/>
      <c r="M6" s="1887">
        <v>300</v>
      </c>
      <c r="N6" s="4864" t="s">
        <v>178</v>
      </c>
      <c r="O6" s="4865"/>
      <c r="P6" s="1886">
        <v>350</v>
      </c>
      <c r="Q6" s="70"/>
      <c r="R6" s="1961"/>
    </row>
    <row r="7" spans="1:41" s="252" customFormat="1" ht="18.75" customHeight="1">
      <c r="A7" s="47"/>
      <c r="B7" s="311" t="s">
        <v>1258</v>
      </c>
      <c r="C7" s="47"/>
      <c r="D7" s="47"/>
      <c r="E7" s="47"/>
      <c r="F7" s="47"/>
      <c r="G7" s="1884"/>
      <c r="H7" s="1881"/>
      <c r="I7" s="1880"/>
      <c r="J7" s="1614">
        <f>SUM(I9:I10)</f>
        <v>8416.6666666666661</v>
      </c>
      <c r="K7" s="1883"/>
      <c r="L7" s="1882"/>
      <c r="M7" s="1617">
        <f>SUM(L9:L10)</f>
        <v>10100</v>
      </c>
      <c r="N7" s="1881"/>
      <c r="O7" s="1880"/>
      <c r="P7" s="1614">
        <f>SUM(O9:O10)</f>
        <v>11783.333333333332</v>
      </c>
      <c r="Q7" s="383" t="s">
        <v>1287</v>
      </c>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3" t="s">
        <v>1286</v>
      </c>
    </row>
    <row r="9" spans="1:41" s="252" customFormat="1" ht="16.5" customHeight="1">
      <c r="A9" s="47"/>
      <c r="B9" s="311"/>
      <c r="C9" s="45" t="str">
        <f>IF('SDK1'!O9&gt;0,"Hauptprodukt (incl. MwSt.)","Hauptprodukt (ohne MwSt)")</f>
        <v>Hauptprodukt (ohne MwSt)</v>
      </c>
      <c r="D9" s="47"/>
      <c r="E9" s="47"/>
      <c r="F9" s="1878" t="s">
        <v>1257</v>
      </c>
      <c r="G9" s="1794">
        <f>'SDK1'!O40</f>
        <v>33.666666666666664</v>
      </c>
      <c r="H9" s="1877">
        <f>J6-H10</f>
        <v>250</v>
      </c>
      <c r="I9" s="1873">
        <f>H9*G9</f>
        <v>8416.6666666666661</v>
      </c>
      <c r="J9" s="43"/>
      <c r="K9" s="1876">
        <f>M6-K10</f>
        <v>300</v>
      </c>
      <c r="L9" s="1875">
        <f>K9*G9</f>
        <v>10100</v>
      </c>
      <c r="M9" s="1854"/>
      <c r="N9" s="1874">
        <f>P6-N10</f>
        <v>350</v>
      </c>
      <c r="O9" s="1873">
        <f>N9*G9</f>
        <v>11783.333333333332</v>
      </c>
      <c r="P9" s="43"/>
      <c r="Q9" s="383" t="s">
        <v>1285</v>
      </c>
      <c r="R9" s="935"/>
      <c r="S9" s="265" t="s">
        <v>1265</v>
      </c>
      <c r="T9" s="1872"/>
      <c r="W9" s="252" t="s">
        <v>1284</v>
      </c>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3" t="s">
        <v>1283</v>
      </c>
      <c r="R10" s="1863">
        <f>I10+I11+I12</f>
        <v>0</v>
      </c>
      <c r="S10" s="1862">
        <f>L10+L11+L12</f>
        <v>0</v>
      </c>
      <c r="T10" s="1861">
        <f>O10+O11+O12</f>
        <v>0</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4995</v>
      </c>
      <c r="K23" s="1619"/>
      <c r="L23" s="1618"/>
      <c r="M23" s="1800">
        <f>SUM(L25:L26)</f>
        <v>4995</v>
      </c>
      <c r="N23" s="1616"/>
      <c r="O23" s="1615"/>
      <c r="P23" s="1599">
        <f>SUM(O25:O26)</f>
        <v>4995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'SDK7'!F72</f>
        <v>185</v>
      </c>
      <c r="G25" s="1794">
        <f>F25*(100+$D$24)/100</f>
        <v>185</v>
      </c>
      <c r="H25" s="1793">
        <v>27</v>
      </c>
      <c r="I25" s="1754">
        <f>H25*$G25</f>
        <v>4995</v>
      </c>
      <c r="J25" s="45"/>
      <c r="K25" s="1793">
        <f>H25</f>
        <v>27</v>
      </c>
      <c r="L25" s="1596">
        <f>K25*$G25</f>
        <v>4995</v>
      </c>
      <c r="M25" s="1589"/>
      <c r="N25" s="1793">
        <f>H25</f>
        <v>27</v>
      </c>
      <c r="O25" s="1754">
        <f>N25*$G25</f>
        <v>4995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522.42499999999995</v>
      </c>
      <c r="K27" s="1748"/>
      <c r="L27" s="1747"/>
      <c r="M27" s="1617">
        <f>SUM(L30:L33)</f>
        <v>590.15666666666664</v>
      </c>
      <c r="N27" s="1746"/>
      <c r="O27" s="1745"/>
      <c r="P27" s="1614">
        <f>SUM(O30:O33)</f>
        <v>657.88833333333321</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1282</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0.35</v>
      </c>
      <c r="F30" s="1774">
        <f>VLOOKUP(K2,'SD8'!B9:L42,7,FALSE)</f>
        <v>0.20000000000000007</v>
      </c>
      <c r="G30" s="1773">
        <v>50</v>
      </c>
      <c r="H30" s="1771">
        <f>IF(J$6=0,0,(J$6*$E30+$G30+X14))</f>
        <v>137.5</v>
      </c>
      <c r="I30" s="1754">
        <f>H30*$D30</f>
        <v>220.45833333333329</v>
      </c>
      <c r="J30" s="45"/>
      <c r="K30" s="1772">
        <f>IF(M$6=0,0,(M$6*$E30+$G30+Y14))</f>
        <v>155</v>
      </c>
      <c r="L30" s="1596">
        <f>K30*$D30</f>
        <v>248.51666666666662</v>
      </c>
      <c r="M30" s="1589"/>
      <c r="N30" s="1771">
        <f>IF(P$6=0,0,(P$6*$E30+$G30+Z14))</f>
        <v>172.5</v>
      </c>
      <c r="O30" s="1754">
        <f>N30*$D30</f>
        <v>276.57499999999993</v>
      </c>
      <c r="P30" s="1718"/>
      <c r="Q30" s="38"/>
    </row>
    <row r="31" spans="1:26" s="42" customFormat="1" ht="15" customHeight="1">
      <c r="A31" s="1306"/>
      <c r="B31" s="274"/>
      <c r="C31" s="1306" t="s">
        <v>244</v>
      </c>
      <c r="D31" s="1723">
        <f>'SDK1'!O53</f>
        <v>1.0999999999999999</v>
      </c>
      <c r="E31" s="1774">
        <f>VLOOKUP(K2,'SD8'!B9:L42,4,FALSE)</f>
        <v>0.14000000000000001</v>
      </c>
      <c r="F31" s="1774">
        <f>VLOOKUP(K2,'SD8'!B9:L42,8,FALSE)</f>
        <v>9.9999999999999811E-3</v>
      </c>
      <c r="G31" s="1773">
        <v>20</v>
      </c>
      <c r="H31" s="1771">
        <f>IF(J$6=0,0,(J$6*$E31+$G31+X15))</f>
        <v>55</v>
      </c>
      <c r="I31" s="1754">
        <f>H31*$D31</f>
        <v>60.499999999999993</v>
      </c>
      <c r="J31" s="45"/>
      <c r="K31" s="1772">
        <f>IF(M$6=0,0,(M$6*$E31+$G31+Y15))</f>
        <v>62.000000000000007</v>
      </c>
      <c r="L31" s="1596">
        <f>K31*$D31</f>
        <v>68.2</v>
      </c>
      <c r="M31" s="1589"/>
      <c r="N31" s="1771">
        <f>IF(P$6=0,0,(P$6*$E31+$G31+Z15))</f>
        <v>69</v>
      </c>
      <c r="O31" s="1754">
        <f>N31*$D31</f>
        <v>75.899999999999991</v>
      </c>
      <c r="P31" s="1718"/>
      <c r="Q31" s="38"/>
    </row>
    <row r="32" spans="1:26" s="42" customFormat="1" ht="15" customHeight="1">
      <c r="A32" s="1306"/>
      <c r="B32" s="274"/>
      <c r="C32" s="1306" t="s">
        <v>242</v>
      </c>
      <c r="D32" s="1723">
        <f>'SDK1'!O54</f>
        <v>1.02</v>
      </c>
      <c r="E32" s="1774">
        <f>VLOOKUP(K2,'SD8'!B9:L42,5,FALSE)</f>
        <v>0.6</v>
      </c>
      <c r="F32" s="1774">
        <f>VLOOKUP(K2,'SD8'!B9:L42,9,FALSE)</f>
        <v>0</v>
      </c>
      <c r="G32" s="1773">
        <v>80</v>
      </c>
      <c r="H32" s="1771">
        <f>IF(J$6=0,0,(J$6*$E32+$G32+X16))</f>
        <v>230</v>
      </c>
      <c r="I32" s="1754">
        <f>H32*$D32</f>
        <v>234.6</v>
      </c>
      <c r="J32" s="45"/>
      <c r="K32" s="1772">
        <f>IF(M$6=0,0,(M$6*$E32+$G32+Y16))</f>
        <v>260</v>
      </c>
      <c r="L32" s="1596">
        <f>K32*$D32</f>
        <v>265.2</v>
      </c>
      <c r="M32" s="1589"/>
      <c r="N32" s="1771">
        <f>IF(P$6=0,0,(P$6*$E32+$G32+Z16))</f>
        <v>290</v>
      </c>
      <c r="O32" s="1754">
        <f>N32*$D32</f>
        <v>295.8</v>
      </c>
      <c r="P32" s="1718"/>
      <c r="Q32" s="38"/>
    </row>
    <row r="33" spans="1:17" s="42" customFormat="1" ht="15" customHeight="1">
      <c r="A33" s="1306"/>
      <c r="B33" s="239"/>
      <c r="C33" s="1331" t="s">
        <v>240</v>
      </c>
      <c r="D33" s="1706">
        <f>'SDK1'!O55</f>
        <v>0.68666666666666676</v>
      </c>
      <c r="E33" s="1770">
        <f>VLOOKUP(K2,'SD8'!B9:L42,6,FALSE)</f>
        <v>0.04</v>
      </c>
      <c r="F33" s="1770">
        <f>VLOOKUP(K2,'SD8'!B9:L42,10,FALSE)</f>
        <v>0</v>
      </c>
      <c r="G33" s="1769"/>
      <c r="H33" s="1767">
        <f>IF(J$6=0,0,(J$6*$E33+$G33+X17))</f>
        <v>10</v>
      </c>
      <c r="I33" s="1750">
        <f>H33*$D33</f>
        <v>6.8666666666666671</v>
      </c>
      <c r="J33" s="45"/>
      <c r="K33" s="1768">
        <f>IF(M$6=0,0,(M$6*$E33+$G33+Y17))</f>
        <v>12</v>
      </c>
      <c r="L33" s="1590">
        <f>K33*$D33</f>
        <v>8.240000000000002</v>
      </c>
      <c r="M33" s="1589"/>
      <c r="N33" s="1767">
        <f>IF(P$6=0,0,(P$6*$E33+$G33+Z17))</f>
        <v>14</v>
      </c>
      <c r="O33" s="1750">
        <f>N33*$D33</f>
        <v>9.6133333333333351</v>
      </c>
      <c r="P33" s="1749"/>
      <c r="Q33" s="38"/>
    </row>
    <row r="34" spans="1:17" s="708" customFormat="1" ht="18.75" customHeight="1">
      <c r="A34" s="1270"/>
      <c r="B34" s="1276" t="s">
        <v>1234</v>
      </c>
      <c r="C34" s="1270"/>
      <c r="D34" s="37"/>
      <c r="E34" s="37"/>
      <c r="F34" s="4831" t="s">
        <v>1233</v>
      </c>
      <c r="G34" s="4832"/>
      <c r="H34" s="1764"/>
      <c r="I34" s="1763"/>
      <c r="J34" s="1614">
        <f>SUM(I36:I42)</f>
        <v>231.40799999999999</v>
      </c>
      <c r="K34" s="1766"/>
      <c r="L34" s="1765"/>
      <c r="M34" s="1617">
        <f>SUM(L36:L42)</f>
        <v>231.40799999999999</v>
      </c>
      <c r="N34" s="1764"/>
      <c r="O34" s="1763"/>
      <c r="P34" s="1614">
        <f>SUM(O36:O42)</f>
        <v>231.40799999999999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711</v>
      </c>
      <c r="D36" s="4857"/>
      <c r="E36" s="4858"/>
      <c r="F36" s="1756">
        <f>IF(C36="",0,VLOOKUP(C36,'SDK5'!C3:AF83,2,FALSE))</f>
        <v>27.7</v>
      </c>
      <c r="G36" s="1756">
        <f t="shared" ref="G36:G42" si="0">F36*(100+$D$35)/100</f>
        <v>27.7</v>
      </c>
      <c r="H36" s="1755">
        <v>3.5</v>
      </c>
      <c r="I36" s="1754">
        <f t="shared" ref="I36:I42" si="1">$G36*H36</f>
        <v>96.95</v>
      </c>
      <c r="J36" s="45"/>
      <c r="K36" s="1755">
        <v>3.5</v>
      </c>
      <c r="L36" s="1596">
        <f t="shared" ref="L36:L42" si="2">$G36*K36</f>
        <v>96.95</v>
      </c>
      <c r="M36" s="1589"/>
      <c r="N36" s="1755">
        <v>3.5</v>
      </c>
      <c r="O36" s="1754">
        <f t="shared" ref="O36:O42" si="3">$G36*N36</f>
        <v>96.95</v>
      </c>
      <c r="P36" s="1758"/>
      <c r="Q36" s="38"/>
    </row>
    <row r="37" spans="1:17" s="42" customFormat="1" ht="15" customHeight="1">
      <c r="A37" s="1306"/>
      <c r="B37" s="1594"/>
      <c r="C37" s="4855" t="s">
        <v>661</v>
      </c>
      <c r="D37" s="4855"/>
      <c r="E37" s="4856"/>
      <c r="F37" s="1756">
        <f>IF(C37="",0,VLOOKUP(C37,'SDK5'!C4:AF84,2,FALSE))</f>
        <v>52.5</v>
      </c>
      <c r="G37" s="1756">
        <f t="shared" si="0"/>
        <v>52.5</v>
      </c>
      <c r="H37" s="1755">
        <v>0.4</v>
      </c>
      <c r="I37" s="1754">
        <f t="shared" si="1"/>
        <v>21</v>
      </c>
      <c r="J37" s="45"/>
      <c r="K37" s="1755">
        <v>0.4</v>
      </c>
      <c r="L37" s="1596">
        <f t="shared" si="2"/>
        <v>21</v>
      </c>
      <c r="M37" s="1589"/>
      <c r="N37" s="1755">
        <v>0.4</v>
      </c>
      <c r="O37" s="1754">
        <f t="shared" si="3"/>
        <v>21</v>
      </c>
      <c r="P37" s="1718"/>
      <c r="Q37" s="38"/>
    </row>
    <row r="38" spans="1:17" s="42" customFormat="1" ht="15" customHeight="1">
      <c r="A38" s="1306"/>
      <c r="B38" s="1757"/>
      <c r="C38" s="4855" t="s">
        <v>368</v>
      </c>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t="s">
        <v>673</v>
      </c>
      <c r="D39" s="4855"/>
      <c r="E39" s="4856"/>
      <c r="F39" s="1756">
        <f>IF(C39="",0,VLOOKUP(C39,'SDK5'!C6:AF86,2,FALSE))</f>
        <v>11.2</v>
      </c>
      <c r="G39" s="1756">
        <f t="shared" si="0"/>
        <v>11.2</v>
      </c>
      <c r="H39" s="1755">
        <v>3.6</v>
      </c>
      <c r="I39" s="1754">
        <f t="shared" si="1"/>
        <v>40.32</v>
      </c>
      <c r="J39" s="45"/>
      <c r="K39" s="1755">
        <v>3.6</v>
      </c>
      <c r="L39" s="1596">
        <f t="shared" si="2"/>
        <v>40.32</v>
      </c>
      <c r="M39" s="1589"/>
      <c r="N39" s="1755">
        <v>3.6</v>
      </c>
      <c r="O39" s="1754">
        <f t="shared" si="3"/>
        <v>40.32</v>
      </c>
      <c r="P39" s="1718"/>
      <c r="Q39" s="38"/>
    </row>
    <row r="40" spans="1:17" s="42" customFormat="1" ht="15" customHeight="1">
      <c r="A40" s="1306"/>
      <c r="B40" s="1594"/>
      <c r="C40" s="4855" t="s">
        <v>660</v>
      </c>
      <c r="D40" s="4855"/>
      <c r="E40" s="4856"/>
      <c r="F40" s="1756">
        <f>IF(C40="",0,VLOOKUP(C40,'SDK5'!C7:AF87,2,FALSE))</f>
        <v>40</v>
      </c>
      <c r="G40" s="1756">
        <f t="shared" si="0"/>
        <v>40</v>
      </c>
      <c r="H40" s="1755">
        <v>0.6</v>
      </c>
      <c r="I40" s="1754">
        <f t="shared" si="1"/>
        <v>24</v>
      </c>
      <c r="J40" s="45"/>
      <c r="K40" s="1755">
        <v>0.6</v>
      </c>
      <c r="L40" s="1596">
        <f t="shared" si="2"/>
        <v>24</v>
      </c>
      <c r="M40" s="1589"/>
      <c r="N40" s="1755">
        <v>0.6</v>
      </c>
      <c r="O40" s="1754">
        <f t="shared" si="3"/>
        <v>24</v>
      </c>
      <c r="P40" s="1718"/>
      <c r="Q40" s="38"/>
    </row>
    <row r="41" spans="1:17" s="42" customFormat="1" ht="15" customHeight="1">
      <c r="A41" s="1306"/>
      <c r="B41" s="1594"/>
      <c r="C41" s="4855" t="s">
        <v>696</v>
      </c>
      <c r="D41" s="4855"/>
      <c r="E41" s="4856"/>
      <c r="F41" s="1756">
        <f>IF(C41="",0,VLOOKUP(C41,'SDK5'!C8:AF88,2,FALSE))</f>
        <v>357.3</v>
      </c>
      <c r="G41" s="1756">
        <f t="shared" si="0"/>
        <v>357.3</v>
      </c>
      <c r="H41" s="1755">
        <v>0.06</v>
      </c>
      <c r="I41" s="1754">
        <f t="shared" si="1"/>
        <v>21.437999999999999</v>
      </c>
      <c r="J41" s="45"/>
      <c r="K41" s="1755">
        <v>0.06</v>
      </c>
      <c r="L41" s="1596">
        <f t="shared" si="2"/>
        <v>21.437999999999999</v>
      </c>
      <c r="M41" s="1589"/>
      <c r="N41" s="1755">
        <v>0.06</v>
      </c>
      <c r="O41" s="1754">
        <f t="shared" si="3"/>
        <v>21.437999999999999</v>
      </c>
      <c r="P41" s="1718"/>
      <c r="Q41" s="38"/>
    </row>
    <row r="42" spans="1:17" s="42" customFormat="1" ht="15" customHeight="1">
      <c r="A42" s="1306"/>
      <c r="B42" s="1753"/>
      <c r="C42" s="4860" t="s">
        <v>711</v>
      </c>
      <c r="D42" s="4860"/>
      <c r="E42" s="4861"/>
      <c r="F42" s="1756">
        <f>IF(C42="",0,VLOOKUP(C42,'SDK5'!C9:AF89,2,FALSE))</f>
        <v>27.7</v>
      </c>
      <c r="G42" s="1752">
        <f t="shared" si="0"/>
        <v>27.7</v>
      </c>
      <c r="H42" s="1751">
        <v>1</v>
      </c>
      <c r="I42" s="1750">
        <f t="shared" si="1"/>
        <v>27.7</v>
      </c>
      <c r="J42" s="45"/>
      <c r="K42" s="1751">
        <v>1</v>
      </c>
      <c r="L42" s="1590">
        <f t="shared" si="2"/>
        <v>27.7</v>
      </c>
      <c r="M42" s="1589"/>
      <c r="N42" s="1751">
        <v>1</v>
      </c>
      <c r="O42" s="1750">
        <f t="shared" si="3"/>
        <v>27.7</v>
      </c>
      <c r="P42" s="1749"/>
      <c r="Q42" s="38"/>
    </row>
    <row r="43" spans="1:17" s="708" customFormat="1" ht="18.75" customHeight="1">
      <c r="A43" s="1270"/>
      <c r="B43" s="1276" t="s">
        <v>1231</v>
      </c>
      <c r="C43" s="1270"/>
      <c r="D43" s="1270"/>
      <c r="E43" s="1270"/>
      <c r="F43" s="1270"/>
      <c r="G43" s="1620"/>
      <c r="H43" s="1746"/>
      <c r="I43" s="1745"/>
      <c r="J43" s="1614">
        <f>SUM(J46:J57)</f>
        <v>273.21685428369744</v>
      </c>
      <c r="K43" s="1748"/>
      <c r="L43" s="1747"/>
      <c r="M43" s="1617">
        <f>SUM(M46:M57)</f>
        <v>289.18165142655459</v>
      </c>
      <c r="N43" s="1746"/>
      <c r="O43" s="1745"/>
      <c r="P43" s="1614">
        <f>SUM(P46:P57)</f>
        <v>305.14644856941175</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400</v>
      </c>
      <c r="D48" s="4836"/>
      <c r="E48" s="1725">
        <f>IF($C48=0,0,VLOOKUP($C48,'SDK3'!$C$24:$O$92,4,FALSE))</f>
        <v>83</v>
      </c>
      <c r="F48" s="1724">
        <f>IF($C48=0,0,VLOOKUP($C48,'SDK3'!$C$24:$O$92,12,FALSE))</f>
        <v>2</v>
      </c>
      <c r="G48" s="1723">
        <f>IF($C48=0,0,VLOOKUP($C48,'SDK3'!$C$24:$O$92,13,FALSE))</f>
        <v>43.428898352941175</v>
      </c>
      <c r="H48" s="1720">
        <v>1</v>
      </c>
      <c r="I48" s="1719">
        <f t="shared" si="4"/>
        <v>2</v>
      </c>
      <c r="J48" s="1718">
        <f t="shared" si="5"/>
        <v>43.428898352941175</v>
      </c>
      <c r="K48" s="1720">
        <v>1</v>
      </c>
      <c r="L48" s="1722">
        <f t="shared" si="6"/>
        <v>2</v>
      </c>
      <c r="M48" s="1721">
        <f t="shared" si="7"/>
        <v>43.428898352941175</v>
      </c>
      <c r="N48" s="1720">
        <v>1</v>
      </c>
      <c r="O48" s="1719">
        <f t="shared" si="8"/>
        <v>2</v>
      </c>
      <c r="P48" s="1718">
        <f t="shared" si="9"/>
        <v>43.428898352941175</v>
      </c>
      <c r="Q48" s="38"/>
    </row>
    <row r="49" spans="1:17" s="42" customFormat="1" ht="15" customHeight="1">
      <c r="A49" s="1306"/>
      <c r="B49" s="1726"/>
      <c r="C49" s="4835" t="s">
        <v>391</v>
      </c>
      <c r="D49" s="4836"/>
      <c r="E49" s="1725">
        <f>IF($C49=0,0,VLOOKUP($C49,'SDK3'!$C$24:$O$92,4,FALSE))</f>
        <v>54</v>
      </c>
      <c r="F49" s="1724">
        <f>IF($C49=0,0,VLOOKUP($C49,'SDK3'!$C$24:$O$92,12,FALSE))</f>
        <v>0.69</v>
      </c>
      <c r="G49" s="1723">
        <f>IF($C49=0,0,VLOOKUP($C49,'SDK3'!$C$24:$O$92,13,FALSE))</f>
        <v>11.827734988235294</v>
      </c>
      <c r="H49" s="1720">
        <v>1</v>
      </c>
      <c r="I49" s="1719">
        <f t="shared" si="4"/>
        <v>0.69</v>
      </c>
      <c r="J49" s="1718">
        <f t="shared" si="5"/>
        <v>11.827734988235294</v>
      </c>
      <c r="K49" s="1720">
        <v>1</v>
      </c>
      <c r="L49" s="1722">
        <f t="shared" si="6"/>
        <v>0.69</v>
      </c>
      <c r="M49" s="1721">
        <f t="shared" si="7"/>
        <v>11.827734988235294</v>
      </c>
      <c r="N49" s="1720">
        <v>1</v>
      </c>
      <c r="O49" s="1719">
        <f t="shared" si="8"/>
        <v>0.69</v>
      </c>
      <c r="P49" s="1718">
        <f t="shared" si="9"/>
        <v>11.827734988235294</v>
      </c>
      <c r="Q49" s="38"/>
    </row>
    <row r="50" spans="1:17" s="42" customFormat="1" ht="15" customHeight="1">
      <c r="A50" s="1306"/>
      <c r="B50" s="1726"/>
      <c r="C50" s="4835" t="s">
        <v>467</v>
      </c>
      <c r="D50" s="4836"/>
      <c r="E50" s="1725">
        <f>IF($C50=0,0,VLOOKUP($C50,'SDK3'!$C$24:$O$92,4,FALSE))</f>
        <v>54</v>
      </c>
      <c r="F50" s="1724">
        <f>IF($C50=0,0,VLOOKUP($C50,'SDK3'!$C$24:$O$92,12,FALSE))</f>
        <v>0.32</v>
      </c>
      <c r="G50" s="1723">
        <f>IF($C50=0,0,VLOOKUP($C50,'SDK3'!$C$24:$O$92,13,FALSE))</f>
        <v>3.6014154164705885</v>
      </c>
      <c r="H50" s="1720">
        <v>2</v>
      </c>
      <c r="I50" s="1719">
        <f t="shared" si="4"/>
        <v>0.64</v>
      </c>
      <c r="J50" s="1718">
        <f t="shared" si="5"/>
        <v>7.202830832941177</v>
      </c>
      <c r="K50" s="1720">
        <v>2</v>
      </c>
      <c r="L50" s="1722">
        <f t="shared" si="6"/>
        <v>0.64</v>
      </c>
      <c r="M50" s="1721">
        <f t="shared" si="7"/>
        <v>7.202830832941177</v>
      </c>
      <c r="N50" s="1720">
        <v>2</v>
      </c>
      <c r="O50" s="1719">
        <f t="shared" si="8"/>
        <v>0.64</v>
      </c>
      <c r="P50" s="1718">
        <f t="shared" si="9"/>
        <v>7.202830832941177</v>
      </c>
      <c r="Q50" s="38"/>
    </row>
    <row r="51" spans="1:17" s="42" customFormat="1" ht="15" customHeight="1">
      <c r="A51" s="1306"/>
      <c r="B51" s="1726"/>
      <c r="C51" s="4835" t="s">
        <v>456</v>
      </c>
      <c r="D51" s="4836"/>
      <c r="E51" s="1725">
        <f>IF($C51=0,0,VLOOKUP($C51,'SDK3'!$C$24:$O$92,4,FALSE))</f>
        <v>83</v>
      </c>
      <c r="F51" s="1724">
        <f>IF($C51=0,0,VLOOKUP($C51,'SDK3'!$C$24:$O$92,12,FALSE))</f>
        <v>0.36</v>
      </c>
      <c r="G51" s="1723">
        <f>IF($C51=0,0,VLOOKUP($C51,'SDK3'!$C$24:$O$92,13,FALSE))</f>
        <v>5.7672017035294116</v>
      </c>
      <c r="H51" s="1720">
        <v>7</v>
      </c>
      <c r="I51" s="1719">
        <f t="shared" si="4"/>
        <v>2.52</v>
      </c>
      <c r="J51" s="1718">
        <f t="shared" si="5"/>
        <v>40.370411924705884</v>
      </c>
      <c r="K51" s="1720">
        <v>7</v>
      </c>
      <c r="L51" s="1722">
        <f t="shared" si="6"/>
        <v>2.52</v>
      </c>
      <c r="M51" s="1721">
        <f t="shared" si="7"/>
        <v>40.370411924705884</v>
      </c>
      <c r="N51" s="1720">
        <v>7</v>
      </c>
      <c r="O51" s="1719">
        <f t="shared" si="8"/>
        <v>2.52</v>
      </c>
      <c r="P51" s="1718">
        <f t="shared" si="9"/>
        <v>40.370411924705884</v>
      </c>
      <c r="Q51" s="38"/>
    </row>
    <row r="52" spans="1:17" s="42" customFormat="1" ht="15" customHeight="1">
      <c r="A52" s="1306"/>
      <c r="B52" s="1726"/>
      <c r="C52" s="4835" t="s">
        <v>367</v>
      </c>
      <c r="D52" s="4836"/>
      <c r="E52" s="1725">
        <f>IF($C52=0,0,VLOOKUP($C52,'SDK3'!$C$24:$O$92,4,FALSE))</f>
        <v>102</v>
      </c>
      <c r="F52" s="1724">
        <f>IF($C52=0,0,VLOOKUP($C52,'SDK3'!$C$24:$O$92,12,FALSE))</f>
        <v>1.5</v>
      </c>
      <c r="G52" s="1723">
        <f>IF($C52=0,0,VLOOKUP($C52,'SDK3'!$C$24:$O$92,13,FALSE))</f>
        <v>33.526073999999994</v>
      </c>
      <c r="H52" s="1720">
        <f>H9/10/10.5</f>
        <v>2.3809523809523809</v>
      </c>
      <c r="I52" s="1719">
        <f t="shared" si="4"/>
        <v>3.5714285714285712</v>
      </c>
      <c r="J52" s="1718">
        <f t="shared" si="5"/>
        <v>79.823985714285698</v>
      </c>
      <c r="K52" s="1720">
        <f>K9/10/10.5</f>
        <v>2.8571428571428572</v>
      </c>
      <c r="L52" s="1722">
        <f t="shared" si="6"/>
        <v>4.2857142857142856</v>
      </c>
      <c r="M52" s="1721">
        <f t="shared" si="7"/>
        <v>95.788782857142849</v>
      </c>
      <c r="N52" s="1720">
        <f>N9/10/10.5</f>
        <v>3.3333333333333335</v>
      </c>
      <c r="O52" s="1719">
        <f t="shared" si="8"/>
        <v>5</v>
      </c>
      <c r="P52" s="1718">
        <f t="shared" si="9"/>
        <v>111.75357999999999</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11.911428571428571</v>
      </c>
      <c r="J58" s="1701"/>
      <c r="K58" s="1700"/>
      <c r="L58" s="1699">
        <f>SUM($L$46:$L$57)</f>
        <v>12.625714285714285</v>
      </c>
      <c r="M58" s="1698"/>
      <c r="N58" s="1697"/>
      <c r="O58" s="1696">
        <f>SUM($O$46:$O$57)</f>
        <v>13.34</v>
      </c>
      <c r="P58" s="1695"/>
      <c r="Q58" s="38"/>
    </row>
    <row r="59" spans="1:17" s="65" customFormat="1" ht="15" customHeight="1">
      <c r="A59" s="1373"/>
      <c r="B59" s="1694"/>
      <c r="C59" s="353"/>
      <c r="D59" s="280" t="s">
        <v>1222</v>
      </c>
      <c r="E59" s="1693">
        <v>80</v>
      </c>
      <c r="F59" s="353" t="s">
        <v>1221</v>
      </c>
      <c r="G59" s="1692"/>
      <c r="H59" s="1688"/>
      <c r="I59" s="1687">
        <f>IF(I58+SUM($I$46:$I$57)*$E$59%&gt;I58+10,I58+10,I58+SUM($I$46:$I$57)*$E$59%)</f>
        <v>21.440571428571428</v>
      </c>
      <c r="J59" s="1686"/>
      <c r="K59" s="1691"/>
      <c r="L59" s="1690">
        <f>IF(L58+SUM($L$46:$L$57)*$E$59%&gt;L58+10,L58+10,L58+SUM($L$46:$L$57)*$E$59%)</f>
        <v>22.625714285714285</v>
      </c>
      <c r="M59" s="1689"/>
      <c r="N59" s="1688"/>
      <c r="O59" s="1687">
        <f>IF(O58+SUM($O$46:$O$57)*$E$59%&gt;O58+10,O58+10,O58+SUM($O$46:$O$57)*$E$59%)</f>
        <v>23.34</v>
      </c>
      <c r="P59" s="1686"/>
      <c r="Q59" s="38"/>
    </row>
    <row r="60" spans="1:17" s="42" customFormat="1" ht="18.75" customHeight="1">
      <c r="A60" s="1306"/>
      <c r="B60" s="1276" t="s">
        <v>1220</v>
      </c>
      <c r="C60" s="1373"/>
      <c r="D60" s="1373"/>
      <c r="E60" s="45"/>
      <c r="F60" s="45"/>
      <c r="G60" s="1685"/>
      <c r="H60" s="1677"/>
      <c r="I60" s="1676"/>
      <c r="J60" s="1684">
        <f>IF(J6=0,0,SUM(I62:I64))</f>
        <v>600</v>
      </c>
      <c r="K60" s="1680"/>
      <c r="L60" s="1679"/>
      <c r="M60" s="1617">
        <f>IF(M6=0,0,SUM(L62:L64))</f>
        <v>600</v>
      </c>
      <c r="N60" s="1677"/>
      <c r="O60" s="1676"/>
      <c r="P60" s="1684">
        <f>IF(P6=0,0,SUM(O62:O64))</f>
        <v>600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336</v>
      </c>
      <c r="D62" s="4833"/>
      <c r="E62" s="4833"/>
      <c r="F62" s="1674">
        <f>IF($C62=0,0,VLOOKUP($C62,'SDK3'!$C$98:$D$119,2,FALSE))</f>
        <v>600</v>
      </c>
      <c r="G62" s="1673">
        <f>(100+$D$61)/100*F62</f>
        <v>600</v>
      </c>
      <c r="H62" s="227"/>
      <c r="I62" s="1669">
        <f>$G$62</f>
        <v>600</v>
      </c>
      <c r="J62" s="227"/>
      <c r="K62" s="1672"/>
      <c r="L62" s="1671">
        <f>$G$62</f>
        <v>600</v>
      </c>
      <c r="M62" s="1589"/>
      <c r="N62" s="1670"/>
      <c r="O62" s="1669">
        <f>$G$62</f>
        <v>600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212.5</v>
      </c>
      <c r="K65" s="1629"/>
      <c r="L65" s="1629"/>
      <c r="M65" s="1617">
        <f>K66*$E66</f>
        <v>212.5</v>
      </c>
      <c r="N65" s="73"/>
      <c r="O65" s="73"/>
      <c r="P65" s="1614">
        <f>N66*$E66</f>
        <v>212.5</v>
      </c>
      <c r="Q65" s="38"/>
    </row>
    <row r="66" spans="1:20" s="708" customFormat="1" ht="15" customHeight="1">
      <c r="A66" s="1270"/>
      <c r="B66" s="1648"/>
      <c r="C66" s="1377"/>
      <c r="D66" s="280" t="s">
        <v>1060</v>
      </c>
      <c r="E66" s="1647">
        <v>8.5</v>
      </c>
      <c r="F66" s="1622"/>
      <c r="G66" s="1646" t="s">
        <v>516</v>
      </c>
      <c r="H66" s="1644">
        <v>25</v>
      </c>
      <c r="I66" s="1643"/>
      <c r="J66" s="1632"/>
      <c r="K66" s="1644">
        <v>25</v>
      </c>
      <c r="L66" s="1645"/>
      <c r="M66" s="1635"/>
      <c r="N66" s="1644">
        <v>25</v>
      </c>
      <c r="O66" s="1643"/>
      <c r="P66" s="1632"/>
      <c r="Q66" s="38" t="s">
        <v>1281</v>
      </c>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126.24999999999999</v>
      </c>
      <c r="K69" s="1630"/>
      <c r="L69" s="1629"/>
      <c r="M69" s="1617">
        <f>K70*$F70/1000</f>
        <v>151.5</v>
      </c>
      <c r="N69" s="44"/>
      <c r="O69" s="73"/>
      <c r="P69" s="1614">
        <f>N70*$F70/1000</f>
        <v>176.74999999999997</v>
      </c>
      <c r="Q69" s="38"/>
    </row>
    <row r="70" spans="1:20" s="708" customFormat="1" ht="15" customHeight="1">
      <c r="A70" s="1270"/>
      <c r="B70" s="1332"/>
      <c r="C70" s="1331" t="s">
        <v>896</v>
      </c>
      <c r="D70" s="353"/>
      <c r="E70" s="280"/>
      <c r="F70" s="1628">
        <f>'SDK7'!G113</f>
        <v>15</v>
      </c>
      <c r="G70" s="1627" t="s">
        <v>171</v>
      </c>
      <c r="H70" s="1623">
        <f>I9+I10</f>
        <v>8416.6666666666661</v>
      </c>
      <c r="I70" s="1622"/>
      <c r="J70" s="1621"/>
      <c r="K70" s="1626">
        <f>L9+L10</f>
        <v>10100</v>
      </c>
      <c r="L70" s="1625"/>
      <c r="M70" s="1624"/>
      <c r="N70" s="1623">
        <f>O9+O10</f>
        <v>11783.333333333332</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43.504999089273106</v>
      </c>
      <c r="K75" s="711"/>
      <c r="L75" s="1056"/>
      <c r="M75" s="1578">
        <f>(M23+M27+M34+M43+M60+M65+M67+M69+M71)*('SDK1'!$O$59%*$G$75/12)</f>
        <v>44.185914488082631</v>
      </c>
      <c r="N75" s="1580"/>
      <c r="O75" s="1579"/>
      <c r="P75" s="1578">
        <f>(P23+P27+P34+P43+P60+P65+P67+P69+P71)*('SDK1'!$O$59%*$G$75/12)</f>
        <v>44.866829886892155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N145" s="568"/>
      <c r="O145" s="35"/>
      <c r="P145" s="35"/>
      <c r="Q145" s="35"/>
    </row>
    <row r="146" spans="1:17">
      <c r="A146" s="35"/>
      <c r="B146" s="623"/>
      <c r="C146" s="15"/>
      <c r="L146" s="15"/>
      <c r="N146" s="568"/>
      <c r="O146" s="35"/>
      <c r="P146" s="35"/>
      <c r="Q146" s="35"/>
    </row>
    <row r="147" spans="1:17">
      <c r="A147" s="35"/>
      <c r="B147" s="623"/>
      <c r="C147" s="15"/>
      <c r="L147" s="15"/>
      <c r="N147" s="568"/>
      <c r="O147" s="35"/>
      <c r="P147" s="35"/>
      <c r="Q147" s="35"/>
    </row>
    <row r="148" spans="1:17">
      <c r="A148" s="35"/>
      <c r="B148" s="623"/>
      <c r="C148" s="15"/>
      <c r="L148" s="15"/>
      <c r="N148" s="568"/>
      <c r="O148" s="35"/>
      <c r="P148" s="35"/>
      <c r="Q148" s="35"/>
    </row>
    <row r="149" spans="1:17">
      <c r="A149" s="35"/>
      <c r="B149" s="623"/>
      <c r="C149" s="15"/>
      <c r="N149" s="568"/>
      <c r="O149" s="35"/>
      <c r="P149" s="35"/>
      <c r="Q149" s="35"/>
    </row>
    <row r="150" spans="1:17">
      <c r="A150" s="35"/>
      <c r="B150" s="623"/>
      <c r="C150" s="15"/>
      <c r="N150" s="568"/>
      <c r="O150" s="35"/>
      <c r="P150" s="35"/>
      <c r="Q150" s="35"/>
    </row>
    <row r="151" spans="1:17">
      <c r="A151" s="35"/>
      <c r="B151" s="623"/>
      <c r="C151" s="15"/>
      <c r="N151" s="568"/>
      <c r="O151" s="35"/>
      <c r="P151" s="35"/>
      <c r="Q151" s="35"/>
    </row>
    <row r="152" spans="1:17">
      <c r="A152" s="35"/>
      <c r="B152" s="623"/>
      <c r="C152" s="15"/>
      <c r="N152" s="568"/>
      <c r="O152" s="35"/>
      <c r="P152" s="35"/>
      <c r="Q152" s="35"/>
    </row>
    <row r="153" spans="1:17">
      <c r="A153" s="35"/>
      <c r="B153" s="623"/>
      <c r="C153" s="15"/>
      <c r="H153" s="1929"/>
      <c r="J153" s="1928"/>
      <c r="N153" s="568"/>
      <c r="O153" s="35"/>
      <c r="P153" s="35"/>
      <c r="Q153" s="35"/>
    </row>
    <row r="154" spans="1:17">
      <c r="A154" s="35"/>
      <c r="B154" s="623"/>
      <c r="C154" s="15"/>
      <c r="H154" s="1929"/>
      <c r="J154" s="1928"/>
      <c r="N154" s="568"/>
      <c r="O154" s="35"/>
      <c r="P154" s="35"/>
      <c r="Q154" s="35"/>
    </row>
    <row r="155" spans="1:17">
      <c r="A155" s="35"/>
      <c r="B155" s="623"/>
      <c r="C155" s="15"/>
      <c r="H155" s="1929"/>
      <c r="J155" s="1928"/>
      <c r="O155" s="35"/>
      <c r="P155" s="35"/>
      <c r="Q155" s="35"/>
    </row>
    <row r="156" spans="1:17">
      <c r="A156" s="35"/>
      <c r="B156" s="623"/>
      <c r="C156" s="15"/>
      <c r="D156" s="15"/>
      <c r="F156" s="15"/>
      <c r="G156" s="15"/>
      <c r="H156" s="15"/>
      <c r="I156" s="15"/>
      <c r="J156" s="15"/>
      <c r="K156" s="15"/>
      <c r="O156" s="35"/>
      <c r="P156" s="35"/>
      <c r="Q156" s="35"/>
    </row>
    <row r="157" spans="1:17">
      <c r="A157" s="35"/>
      <c r="B157" s="623"/>
      <c r="C157" s="15"/>
      <c r="D157" s="15"/>
      <c r="F157" s="15"/>
      <c r="G157" s="15"/>
      <c r="H157" s="15"/>
      <c r="I157" s="15"/>
      <c r="J157" s="15"/>
      <c r="K157" s="15"/>
      <c r="O157" s="35"/>
      <c r="P157" s="35"/>
      <c r="Q157" s="35"/>
    </row>
    <row r="158" spans="1:17">
      <c r="A158" s="35"/>
      <c r="B158" s="623"/>
      <c r="C158" s="15"/>
      <c r="D158" s="15"/>
      <c r="F158" s="15"/>
      <c r="G158" s="15"/>
      <c r="H158" s="15"/>
      <c r="I158" s="15"/>
      <c r="J158" s="15"/>
      <c r="K158" s="15"/>
      <c r="O158" s="35"/>
      <c r="P158" s="35"/>
      <c r="Q158" s="35"/>
    </row>
    <row r="159" spans="1:17">
      <c r="A159" s="35"/>
      <c r="B159" s="623"/>
      <c r="C159" s="15"/>
      <c r="D159" s="15"/>
      <c r="F159" s="15"/>
      <c r="G159" s="15"/>
      <c r="H159" s="15"/>
      <c r="I159" s="15"/>
      <c r="J159" s="15"/>
      <c r="O159" s="35"/>
      <c r="P159" s="35"/>
      <c r="Q159" s="35"/>
    </row>
    <row r="160" spans="1:17">
      <c r="A160" s="35"/>
      <c r="B160" s="623"/>
      <c r="C160" s="15"/>
      <c r="D160" s="15"/>
      <c r="F160" s="15"/>
      <c r="G160" s="15"/>
      <c r="H160" s="15"/>
      <c r="I160" s="15"/>
      <c r="J160" s="15"/>
      <c r="O160" s="35"/>
      <c r="P160" s="35"/>
      <c r="Q160" s="35"/>
    </row>
    <row r="161" spans="1:17">
      <c r="A161" s="35"/>
      <c r="B161" s="623"/>
      <c r="C161" s="15"/>
      <c r="D161" s="15"/>
      <c r="F161" s="15"/>
      <c r="G161" s="15"/>
      <c r="H161" s="15"/>
      <c r="I161" s="15"/>
      <c r="J161" s="15"/>
      <c r="K161" s="35"/>
      <c r="L161" s="35"/>
      <c r="M161" s="35"/>
      <c r="N161" s="35"/>
      <c r="O161" s="35"/>
      <c r="P161" s="35"/>
      <c r="Q161" s="35"/>
    </row>
    <row r="162" spans="1:17">
      <c r="A162" s="35"/>
      <c r="B162" s="623"/>
      <c r="C162" s="15"/>
      <c r="K162" s="35"/>
      <c r="L162" s="35"/>
      <c r="M162" s="35"/>
      <c r="N162" s="35"/>
      <c r="O162" s="35"/>
      <c r="P162" s="35"/>
      <c r="Q162" s="35"/>
    </row>
    <row r="163" spans="1:17">
      <c r="A163" s="35"/>
      <c r="B163" s="623"/>
      <c r="C163" s="15"/>
      <c r="K163" s="35"/>
      <c r="L163" s="35"/>
      <c r="M163" s="35"/>
      <c r="N163" s="35"/>
      <c r="O163" s="35"/>
      <c r="P163" s="35"/>
      <c r="Q163" s="35"/>
    </row>
    <row r="164" spans="1:17">
      <c r="A164" s="35"/>
      <c r="B164" s="623"/>
      <c r="C164" s="15"/>
      <c r="K164" s="35"/>
      <c r="L164" s="35"/>
      <c r="M164" s="35"/>
      <c r="N164" s="35"/>
      <c r="O164" s="35"/>
      <c r="P164" s="35"/>
      <c r="Q164" s="35"/>
    </row>
    <row r="165" spans="1:17">
      <c r="A165" s="35"/>
      <c r="B165" s="623"/>
      <c r="C165" s="15"/>
      <c r="K165" s="35"/>
      <c r="L165" s="35"/>
      <c r="M165" s="35"/>
      <c r="N165" s="35"/>
      <c r="O165" s="35"/>
      <c r="P165" s="35"/>
      <c r="Q165" s="35"/>
    </row>
    <row r="166" spans="1:17">
      <c r="A166" s="35"/>
      <c r="B166" s="623"/>
      <c r="C166" s="15"/>
      <c r="K166" s="35"/>
      <c r="L166" s="35"/>
      <c r="M166" s="35"/>
      <c r="N166" s="35"/>
      <c r="O166" s="35"/>
      <c r="P166" s="35"/>
      <c r="Q166" s="35"/>
    </row>
    <row r="167" spans="1:17">
      <c r="A167" s="35"/>
      <c r="B167" s="623"/>
      <c r="C167" s="15"/>
      <c r="K167" s="35"/>
      <c r="L167" s="35"/>
      <c r="M167" s="35"/>
      <c r="N167" s="35"/>
      <c r="O167" s="35"/>
      <c r="P167" s="35"/>
      <c r="Q167" s="35"/>
    </row>
    <row r="168" spans="1:17">
      <c r="A168" s="35"/>
      <c r="B168" s="623"/>
      <c r="C168" s="15"/>
      <c r="K168" s="35"/>
      <c r="L168" s="35"/>
      <c r="M168" s="35"/>
      <c r="N168" s="35"/>
      <c r="O168" s="35"/>
      <c r="P168" s="35"/>
      <c r="Q168" s="35"/>
    </row>
    <row r="169" spans="1:17">
      <c r="A169" s="35"/>
      <c r="B169" s="623"/>
      <c r="C169" s="15"/>
      <c r="K169" s="35"/>
      <c r="L169" s="35"/>
      <c r="M169" s="35"/>
      <c r="N169" s="35"/>
      <c r="O169" s="35"/>
      <c r="P169" s="35"/>
      <c r="Q169" s="35"/>
    </row>
    <row r="170" spans="1:17">
      <c r="A170" s="35"/>
      <c r="B170" s="623"/>
      <c r="C170" s="15"/>
      <c r="K170" s="35"/>
      <c r="L170" s="35"/>
      <c r="M170" s="35"/>
      <c r="N170" s="35"/>
      <c r="O170" s="35"/>
      <c r="P170" s="35"/>
      <c r="Q170" s="35"/>
    </row>
    <row r="171" spans="1:17">
      <c r="A171" s="35"/>
      <c r="B171" s="623"/>
      <c r="C171" s="15"/>
      <c r="K171" s="35"/>
      <c r="L171" s="35"/>
      <c r="M171" s="35"/>
      <c r="N171" s="35"/>
      <c r="O171" s="35"/>
      <c r="P171" s="35"/>
      <c r="Q171" s="35"/>
    </row>
    <row r="172" spans="1:17">
      <c r="A172" s="35"/>
      <c r="B172" s="623"/>
      <c r="C172" s="15"/>
      <c r="K172" s="35"/>
      <c r="L172" s="35"/>
      <c r="M172" s="35"/>
      <c r="N172" s="35"/>
      <c r="O172" s="35"/>
      <c r="P172" s="35"/>
      <c r="Q172" s="35"/>
    </row>
    <row r="173" spans="1:17">
      <c r="A173" s="35"/>
      <c r="B173" s="623"/>
      <c r="C173" s="15"/>
      <c r="K173" s="35"/>
      <c r="L173" s="35"/>
      <c r="M173" s="35"/>
      <c r="N173" s="35"/>
      <c r="O173" s="35"/>
      <c r="P173" s="35"/>
      <c r="Q173" s="35"/>
    </row>
    <row r="174" spans="1:17">
      <c r="A174" s="35"/>
      <c r="B174" s="623"/>
      <c r="C174" s="15"/>
      <c r="K174" s="35"/>
      <c r="L174" s="35"/>
      <c r="M174" s="35"/>
      <c r="N174" s="35"/>
      <c r="O174" s="35"/>
      <c r="P174" s="35"/>
      <c r="Q174" s="35"/>
    </row>
    <row r="175" spans="1:17">
      <c r="A175" s="35"/>
      <c r="B175" s="623"/>
      <c r="C175" s="15"/>
      <c r="K175" s="35"/>
      <c r="L175" s="35"/>
      <c r="M175" s="35"/>
      <c r="N175" s="35"/>
      <c r="O175" s="35"/>
      <c r="P175" s="35"/>
      <c r="Q175" s="35"/>
    </row>
    <row r="176" spans="1:17">
      <c r="A176" s="35"/>
      <c r="B176" s="623"/>
      <c r="C176" s="1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2" orientation="portrait" r:id="rId1"/>
  <headerFooter alignWithMargins="0">
    <oddFooter>&amp;L&amp;11LEL Schwäbisch Gmünd&amp;C75&amp;R&amp;11&amp;F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9" width="7.125" style="38" bestFit="1" customWidth="1"/>
    <col min="10" max="10" width="8" style="38" bestFit="1" customWidth="1"/>
    <col min="11" max="11" width="8" style="38" customWidth="1"/>
    <col min="12" max="12" width="7.25" style="38" customWidth="1"/>
    <col min="13" max="13" width="8" style="38" bestFit="1" customWidth="1"/>
    <col min="14" max="14" width="8" style="38" customWidth="1"/>
    <col min="15" max="15" width="7.25" style="38" customWidth="1"/>
    <col min="16" max="16" width="8" style="38" bestFit="1" customWidth="1"/>
    <col min="17" max="17" width="19.75" style="38" hidden="1" customWidth="1"/>
    <col min="18" max="18" width="12" style="35" hidden="1" customWidth="1"/>
    <col min="19" max="20" width="10.75" style="35" hidden="1" customWidth="1"/>
    <col min="21" max="21" width="0" style="35" hidden="1" customWidth="1"/>
    <col min="22" max="22" width="12.875" style="35" hidden="1" customWidth="1"/>
    <col min="23" max="32" width="0" style="35" hidden="1" customWidth="1"/>
    <col min="33" max="16384" width="10.5" style="35"/>
  </cols>
  <sheetData>
    <row r="1" spans="1:41" s="1891" customFormat="1" ht="30.4" customHeight="1">
      <c r="A1" s="1895"/>
      <c r="B1" s="326"/>
      <c r="C1" s="1908"/>
      <c r="D1" s="1827"/>
      <c r="E1" s="323"/>
      <c r="F1" s="323"/>
      <c r="G1" s="607"/>
      <c r="H1" s="1902"/>
      <c r="I1" s="1907" t="s">
        <v>1264</v>
      </c>
      <c r="J1" s="1906">
        <f>(J7+J13+J18+J22+I11+I12)-(J23+J27+J34+J43+J60+J65+J67+J69+J71+J75)</f>
        <v>1725.5114462974216</v>
      </c>
      <c r="K1" s="4859">
        <f>M1-J1</f>
        <v>1579.5092008391766</v>
      </c>
      <c r="L1" s="4859"/>
      <c r="M1" s="1906">
        <f>(M7+M13+M18+M22+L11+L12)-(M23+M27+M34+M43+M60+M65+M67+M69+M71+M75)</f>
        <v>3305.0206471365982</v>
      </c>
      <c r="N1" s="4859">
        <f>P1-M1</f>
        <v>1567.9027074108217</v>
      </c>
      <c r="O1" s="4859"/>
      <c r="P1" s="1906">
        <f>(P7+P13+P18+P22+O11+O12)-(P23+P27+P34+P43+P60+P65+P67+P69+P71+P75)</f>
        <v>4872.9233545474199</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194</v>
      </c>
      <c r="L2" s="4870"/>
      <c r="M2" s="4870"/>
      <c r="N2" s="4870"/>
      <c r="O2" s="4870"/>
      <c r="P2" s="4870"/>
      <c r="Q2" s="1920">
        <v>0</v>
      </c>
    </row>
    <row r="3" spans="1:41" s="1891" customFormat="1" ht="21.75" customHeight="1">
      <c r="A3" s="1895"/>
      <c r="B3" s="1919"/>
      <c r="H3" s="1902"/>
      <c r="J3" s="4866"/>
      <c r="K3" s="4867"/>
      <c r="L3" s="4867"/>
      <c r="N3" s="4871" t="str">
        <f>IF(AND(T3=TRUE,T4=TRUE),"nur 1 Strohnutzung möglich","")</f>
        <v/>
      </c>
      <c r="O3" s="4872"/>
      <c r="P3" s="1900"/>
      <c r="Q3" s="1895"/>
      <c r="T3" s="1918" t="b">
        <v>0</v>
      </c>
    </row>
    <row r="4" spans="1:41" s="1891" customFormat="1" ht="20.25" customHeight="1">
      <c r="A4" s="1895"/>
      <c r="B4" s="377" t="s">
        <v>1154</v>
      </c>
      <c r="C4" s="35"/>
      <c r="D4" s="35"/>
      <c r="E4" s="4830" t="s">
        <v>1293</v>
      </c>
      <c r="F4" s="4830"/>
      <c r="G4" s="4830"/>
      <c r="H4" s="4830"/>
      <c r="I4" s="4830"/>
      <c r="J4" s="4866"/>
      <c r="K4" s="4867"/>
      <c r="L4" s="4867"/>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300</v>
      </c>
      <c r="K6" s="4849" t="s">
        <v>152</v>
      </c>
      <c r="L6" s="4850"/>
      <c r="M6" s="1887">
        <v>350</v>
      </c>
      <c r="N6" s="4864" t="s">
        <v>178</v>
      </c>
      <c r="O6" s="4865"/>
      <c r="P6" s="1886">
        <v>400</v>
      </c>
      <c r="Q6" s="70"/>
    </row>
    <row r="7" spans="1:41" s="252" customFormat="1" ht="18.75" customHeight="1">
      <c r="A7" s="47"/>
      <c r="B7" s="311" t="s">
        <v>1258</v>
      </c>
      <c r="C7" s="47"/>
      <c r="D7" s="47"/>
      <c r="E7" s="47"/>
      <c r="F7" s="47"/>
      <c r="G7" s="1884"/>
      <c r="H7" s="1881"/>
      <c r="I7" s="1880"/>
      <c r="J7" s="1614">
        <f>SUM(I9:I10)</f>
        <v>10100</v>
      </c>
      <c r="K7" s="1883"/>
      <c r="L7" s="1882"/>
      <c r="M7" s="1617">
        <f>SUM(L9:L10)</f>
        <v>11783.333333333332</v>
      </c>
      <c r="N7" s="1881"/>
      <c r="O7" s="1880"/>
      <c r="P7" s="1614">
        <f>SUM(O9:O10)</f>
        <v>13466.666666666666</v>
      </c>
      <c r="Q7" s="38" t="s">
        <v>1287</v>
      </c>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t="s">
        <v>1286</v>
      </c>
    </row>
    <row r="9" spans="1:41" s="252" customFormat="1" ht="16.5" customHeight="1">
      <c r="A9" s="47"/>
      <c r="B9" s="311"/>
      <c r="C9" s="45" t="str">
        <f>IF('SDK1'!O9&gt;0,"Hauptprodukt (incl. MwSt.)","Hauptprodukt (ohne MwSt)")</f>
        <v>Hauptprodukt (ohne MwSt)</v>
      </c>
      <c r="D9" s="47"/>
      <c r="E9" s="47"/>
      <c r="F9" s="1878" t="s">
        <v>1257</v>
      </c>
      <c r="G9" s="1794">
        <f>'SDK1'!O41</f>
        <v>33.666666666666664</v>
      </c>
      <c r="H9" s="1877">
        <f>J6-H10</f>
        <v>300</v>
      </c>
      <c r="I9" s="1873">
        <f>H9*G9</f>
        <v>10100</v>
      </c>
      <c r="J9" s="43"/>
      <c r="K9" s="1876">
        <f>M6-K10</f>
        <v>350</v>
      </c>
      <c r="L9" s="1875">
        <f>K9*G9</f>
        <v>11783.333333333332</v>
      </c>
      <c r="M9" s="1854"/>
      <c r="N9" s="1874">
        <f>P6-N10</f>
        <v>400</v>
      </c>
      <c r="O9" s="1873">
        <f>N9*G9</f>
        <v>13466.666666666666</v>
      </c>
      <c r="P9" s="43"/>
      <c r="Q9" s="38" t="s">
        <v>1285</v>
      </c>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t="s">
        <v>1283</v>
      </c>
      <c r="R10" s="1863">
        <f>I10+I11+I12</f>
        <v>0</v>
      </c>
      <c r="S10" s="1862">
        <f>L10+L11+L12</f>
        <v>0</v>
      </c>
      <c r="T10" s="1861">
        <f>O10+O11+O12</f>
        <v>0</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4995</v>
      </c>
      <c r="K23" s="1619"/>
      <c r="L23" s="1618"/>
      <c r="M23" s="1800">
        <f>SUM(L25:L26)</f>
        <v>4995</v>
      </c>
      <c r="N23" s="1616"/>
      <c r="O23" s="1615"/>
      <c r="P23" s="1599">
        <f>SUM(O25:O26)</f>
        <v>4995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'SDK7'!F72</f>
        <v>185</v>
      </c>
      <c r="G25" s="1794">
        <f>F25*(100+$D$24)/100</f>
        <v>185</v>
      </c>
      <c r="H25" s="1793">
        <v>27</v>
      </c>
      <c r="I25" s="1754">
        <f>H25*$G25</f>
        <v>4995</v>
      </c>
      <c r="J25" s="45"/>
      <c r="K25" s="1793">
        <f>H25</f>
        <v>27</v>
      </c>
      <c r="L25" s="1596">
        <f>K25*$G25</f>
        <v>4995</v>
      </c>
      <c r="M25" s="1589"/>
      <c r="N25" s="1793">
        <f>H25</f>
        <v>27</v>
      </c>
      <c r="O25" s="1754">
        <f>N25*$G25</f>
        <v>4995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622.22333333333324</v>
      </c>
      <c r="K27" s="1748"/>
      <c r="L27" s="1747"/>
      <c r="M27" s="1617">
        <f>SUM(L30:L33)</f>
        <v>689.95499999999993</v>
      </c>
      <c r="N27" s="1746"/>
      <c r="O27" s="1745"/>
      <c r="P27" s="1614">
        <f>SUM(O30:O33)</f>
        <v>757.68666666666661</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1282</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0.35</v>
      </c>
      <c r="F30" s="1774">
        <f>VLOOKUP(K2,'SD8'!B9:L42,7,FALSE)</f>
        <v>0.20000000000000007</v>
      </c>
      <c r="G30" s="1773">
        <v>70</v>
      </c>
      <c r="H30" s="1771">
        <f>IF(J$6=0,0,(J$6*$E30+$G30+X14))</f>
        <v>175</v>
      </c>
      <c r="I30" s="1754">
        <f>H30*$D30</f>
        <v>280.58333333333326</v>
      </c>
      <c r="J30" s="45"/>
      <c r="K30" s="1772">
        <f>IF(M$6=0,0,(M$6*$E30+$G30+Y14))</f>
        <v>192.5</v>
      </c>
      <c r="L30" s="1596">
        <f>K30*$D30</f>
        <v>308.64166666666659</v>
      </c>
      <c r="M30" s="1589"/>
      <c r="N30" s="1771">
        <f>IF(P$6=0,0,(P$6*$E30+$G30+Z14))</f>
        <v>210</v>
      </c>
      <c r="O30" s="1754">
        <f>N30*$D30</f>
        <v>336.69999999999993</v>
      </c>
      <c r="P30" s="1718"/>
      <c r="Q30" s="38"/>
    </row>
    <row r="31" spans="1:26" s="42" customFormat="1" ht="15" customHeight="1">
      <c r="A31" s="1306"/>
      <c r="B31" s="274"/>
      <c r="C31" s="1306" t="s">
        <v>244</v>
      </c>
      <c r="D31" s="1723">
        <f>'SDK1'!O53</f>
        <v>1.0999999999999999</v>
      </c>
      <c r="E31" s="1774">
        <f>VLOOKUP(K2,'SD8'!B9:L42,4,FALSE)</f>
        <v>0.14000000000000001</v>
      </c>
      <c r="F31" s="1774">
        <f>VLOOKUP(K2,'SD8'!B9:L42,8,FALSE)</f>
        <v>9.9999999999999811E-3</v>
      </c>
      <c r="G31" s="1773">
        <v>20</v>
      </c>
      <c r="H31" s="1771">
        <f>IF(J$6=0,0,(J$6*$E31+$G31+X15))</f>
        <v>62.000000000000007</v>
      </c>
      <c r="I31" s="1754">
        <f>H31*$D31</f>
        <v>68.2</v>
      </c>
      <c r="J31" s="45"/>
      <c r="K31" s="1772">
        <f>IF(M$6=0,0,(M$6*$E31+$G31+Y15))</f>
        <v>69</v>
      </c>
      <c r="L31" s="1596">
        <f>K31*$D31</f>
        <v>75.899999999999991</v>
      </c>
      <c r="M31" s="1589"/>
      <c r="N31" s="1771">
        <f>IF(P$6=0,0,(P$6*$E31+$G31+Z15))</f>
        <v>76</v>
      </c>
      <c r="O31" s="1754">
        <f>N31*$D31</f>
        <v>83.6</v>
      </c>
      <c r="P31" s="1718"/>
      <c r="Q31" s="38"/>
    </row>
    <row r="32" spans="1:26" s="42" customFormat="1" ht="15" customHeight="1">
      <c r="A32" s="1306"/>
      <c r="B32" s="274"/>
      <c r="C32" s="1306" t="s">
        <v>242</v>
      </c>
      <c r="D32" s="1723">
        <f>'SDK1'!O54</f>
        <v>1.02</v>
      </c>
      <c r="E32" s="1774">
        <f>VLOOKUP(K2,'SD8'!B9:L42,5,FALSE)</f>
        <v>0.6</v>
      </c>
      <c r="F32" s="1774">
        <f>VLOOKUP(K2,'SD8'!B9:L42,9,FALSE)</f>
        <v>0</v>
      </c>
      <c r="G32" s="1773">
        <v>80</v>
      </c>
      <c r="H32" s="1771">
        <f>IF(J$6=0,0,(J$6*$E32+$G32+X16))</f>
        <v>260</v>
      </c>
      <c r="I32" s="1754">
        <f>H32*$D32</f>
        <v>265.2</v>
      </c>
      <c r="J32" s="45"/>
      <c r="K32" s="1772">
        <f>IF(M$6=0,0,(M$6*$E32+$G32+Y16))</f>
        <v>290</v>
      </c>
      <c r="L32" s="1596">
        <f>K32*$D32</f>
        <v>295.8</v>
      </c>
      <c r="M32" s="1589"/>
      <c r="N32" s="1771">
        <f>IF(P$6=0,0,(P$6*$E32+$G32+Z16))</f>
        <v>320</v>
      </c>
      <c r="O32" s="1754">
        <f>N32*$D32</f>
        <v>326.39999999999998</v>
      </c>
      <c r="P32" s="1718"/>
      <c r="Q32" s="38"/>
    </row>
    <row r="33" spans="1:17" s="42" customFormat="1" ht="15" customHeight="1">
      <c r="A33" s="1306"/>
      <c r="B33" s="239"/>
      <c r="C33" s="1331" t="s">
        <v>240</v>
      </c>
      <c r="D33" s="1706">
        <f>'SDK1'!O55</f>
        <v>0.68666666666666676</v>
      </c>
      <c r="E33" s="1770">
        <f>VLOOKUP(K2,'SD8'!B9:L42,6,FALSE)</f>
        <v>0.04</v>
      </c>
      <c r="F33" s="1770">
        <f>VLOOKUP(K2,'SD8'!B9:L42,10,FALSE)</f>
        <v>0</v>
      </c>
      <c r="G33" s="1769"/>
      <c r="H33" s="1767">
        <f>IF(J$6=0,0,(J$6*$E33+$G33+X17))</f>
        <v>12</v>
      </c>
      <c r="I33" s="1750">
        <f>H33*$D33</f>
        <v>8.240000000000002</v>
      </c>
      <c r="J33" s="45"/>
      <c r="K33" s="1768">
        <f>IF(M$6=0,0,(M$6*$E33+$G33+Y17))</f>
        <v>14</v>
      </c>
      <c r="L33" s="1590">
        <f>K33*$D33</f>
        <v>9.6133333333333351</v>
      </c>
      <c r="M33" s="1589"/>
      <c r="N33" s="1767">
        <f>IF(P$6=0,0,(P$6*$E33+$G33+Z17))</f>
        <v>16</v>
      </c>
      <c r="O33" s="1750">
        <f>N33*$D33</f>
        <v>10.986666666666668</v>
      </c>
      <c r="P33" s="1749"/>
      <c r="Q33" s="38"/>
    </row>
    <row r="34" spans="1:17" s="708" customFormat="1" ht="18.75" customHeight="1">
      <c r="A34" s="1270"/>
      <c r="B34" s="1276" t="s">
        <v>1234</v>
      </c>
      <c r="C34" s="1270"/>
      <c r="D34" s="37"/>
      <c r="E34" s="37"/>
      <c r="F34" s="4831" t="s">
        <v>1233</v>
      </c>
      <c r="G34" s="4832"/>
      <c r="H34" s="1764"/>
      <c r="I34" s="1763"/>
      <c r="J34" s="1614">
        <f>SUM(I36:I42)</f>
        <v>353.30799999999999</v>
      </c>
      <c r="K34" s="1766"/>
      <c r="L34" s="1765"/>
      <c r="M34" s="1617">
        <f>SUM(L36:L42)</f>
        <v>353.30799999999999</v>
      </c>
      <c r="N34" s="1764"/>
      <c r="O34" s="1763"/>
      <c r="P34" s="1614">
        <f>SUM(O36:O42)</f>
        <v>353.30799999999999</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711</v>
      </c>
      <c r="D36" s="4857"/>
      <c r="E36" s="4858"/>
      <c r="F36" s="1756">
        <f>IF(C36="",0,VLOOKUP(C36,'SDK5'!C3:AF83,2,FALSE))</f>
        <v>27.7</v>
      </c>
      <c r="G36" s="1756">
        <f t="shared" ref="G36:G42" si="0">F36*(100+$D$35)/100</f>
        <v>27.7</v>
      </c>
      <c r="H36" s="1755">
        <v>3.5</v>
      </c>
      <c r="I36" s="1754">
        <f t="shared" ref="I36:I42" si="1">$G36*H36</f>
        <v>96.95</v>
      </c>
      <c r="J36" s="45"/>
      <c r="K36" s="1755">
        <v>3.5</v>
      </c>
      <c r="L36" s="1596">
        <f t="shared" ref="L36:L42" si="2">$G36*K36</f>
        <v>96.95</v>
      </c>
      <c r="M36" s="1589"/>
      <c r="N36" s="1755">
        <v>3.5</v>
      </c>
      <c r="O36" s="1754">
        <f t="shared" ref="O36:O42" si="3">$G36*N36</f>
        <v>96.95</v>
      </c>
      <c r="P36" s="1758"/>
      <c r="Q36" s="38"/>
    </row>
    <row r="37" spans="1:17" s="42" customFormat="1" ht="15" customHeight="1">
      <c r="A37" s="1306"/>
      <c r="B37" s="1594"/>
      <c r="C37" s="4855" t="s">
        <v>661</v>
      </c>
      <c r="D37" s="4855"/>
      <c r="E37" s="4856"/>
      <c r="F37" s="1756">
        <f>IF(C37="",0,VLOOKUP(C37,'SDK5'!C4:AF84,2,FALSE))</f>
        <v>52.5</v>
      </c>
      <c r="G37" s="1756">
        <f t="shared" si="0"/>
        <v>52.5</v>
      </c>
      <c r="H37" s="1755">
        <v>0.4</v>
      </c>
      <c r="I37" s="1754">
        <f t="shared" si="1"/>
        <v>21</v>
      </c>
      <c r="J37" s="45"/>
      <c r="K37" s="1755">
        <v>0.4</v>
      </c>
      <c r="L37" s="1596">
        <f t="shared" si="2"/>
        <v>21</v>
      </c>
      <c r="M37" s="1589"/>
      <c r="N37" s="1755">
        <v>0.4</v>
      </c>
      <c r="O37" s="1754">
        <f t="shared" si="3"/>
        <v>21</v>
      </c>
      <c r="P37" s="1718"/>
      <c r="Q37" s="38"/>
    </row>
    <row r="38" spans="1:17" s="42" customFormat="1" ht="15" customHeight="1">
      <c r="A38" s="1306"/>
      <c r="B38" s="1757"/>
      <c r="C38" s="4855" t="s">
        <v>368</v>
      </c>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t="s">
        <v>673</v>
      </c>
      <c r="D39" s="4855"/>
      <c r="E39" s="4856"/>
      <c r="F39" s="1756">
        <f>IF(C39="",0,VLOOKUP(C39,'SDK5'!C6:AF86,2,FALSE))</f>
        <v>11.2</v>
      </c>
      <c r="G39" s="1756">
        <f t="shared" si="0"/>
        <v>11.2</v>
      </c>
      <c r="H39" s="1755">
        <v>3.6</v>
      </c>
      <c r="I39" s="1754">
        <f t="shared" si="1"/>
        <v>40.32</v>
      </c>
      <c r="J39" s="45"/>
      <c r="K39" s="1755">
        <v>3.6</v>
      </c>
      <c r="L39" s="1596">
        <f t="shared" si="2"/>
        <v>40.32</v>
      </c>
      <c r="M39" s="1589"/>
      <c r="N39" s="1755">
        <v>3.6</v>
      </c>
      <c r="O39" s="1754">
        <f t="shared" si="3"/>
        <v>40.32</v>
      </c>
      <c r="P39" s="1718"/>
      <c r="Q39" s="38"/>
    </row>
    <row r="40" spans="1:17" s="42" customFormat="1" ht="15" customHeight="1">
      <c r="A40" s="1306"/>
      <c r="B40" s="1594"/>
      <c r="C40" s="4855" t="s">
        <v>660</v>
      </c>
      <c r="D40" s="4855"/>
      <c r="E40" s="4856"/>
      <c r="F40" s="1756">
        <f>IF(C40="",0,VLOOKUP(C40,'SDK5'!C7:AF87,2,FALSE))</f>
        <v>40</v>
      </c>
      <c r="G40" s="1756">
        <f t="shared" si="0"/>
        <v>40</v>
      </c>
      <c r="H40" s="1755">
        <v>0.6</v>
      </c>
      <c r="I40" s="1754">
        <f t="shared" si="1"/>
        <v>24</v>
      </c>
      <c r="J40" s="45"/>
      <c r="K40" s="1755">
        <v>0.6</v>
      </c>
      <c r="L40" s="1596">
        <f t="shared" si="2"/>
        <v>24</v>
      </c>
      <c r="M40" s="1589"/>
      <c r="N40" s="1755">
        <v>0.6</v>
      </c>
      <c r="O40" s="1754">
        <f t="shared" si="3"/>
        <v>24</v>
      </c>
      <c r="P40" s="1718"/>
      <c r="Q40" s="38"/>
    </row>
    <row r="41" spans="1:17" s="42" customFormat="1" ht="15" customHeight="1">
      <c r="A41" s="1306"/>
      <c r="B41" s="1594"/>
      <c r="C41" s="4855" t="s">
        <v>696</v>
      </c>
      <c r="D41" s="4855"/>
      <c r="E41" s="4856"/>
      <c r="F41" s="1756">
        <f>IF(C41="",0,VLOOKUP(C41,'SDK5'!C8:AF88,2,FALSE))</f>
        <v>357.3</v>
      </c>
      <c r="G41" s="1756">
        <f t="shared" si="0"/>
        <v>357.3</v>
      </c>
      <c r="H41" s="1755">
        <v>0.06</v>
      </c>
      <c r="I41" s="1754">
        <f t="shared" si="1"/>
        <v>21.437999999999999</v>
      </c>
      <c r="J41" s="45"/>
      <c r="K41" s="1755">
        <v>0.06</v>
      </c>
      <c r="L41" s="1596">
        <f t="shared" si="2"/>
        <v>21.437999999999999</v>
      </c>
      <c r="M41" s="1589"/>
      <c r="N41" s="1755">
        <v>0.06</v>
      </c>
      <c r="O41" s="1754">
        <f t="shared" si="3"/>
        <v>21.437999999999999</v>
      </c>
      <c r="P41" s="1718"/>
      <c r="Q41" s="38"/>
    </row>
    <row r="42" spans="1:17" s="42" customFormat="1" ht="15" customHeight="1">
      <c r="A42" s="1306"/>
      <c r="B42" s="1753"/>
      <c r="C42" s="4860" t="s">
        <v>699</v>
      </c>
      <c r="D42" s="4860"/>
      <c r="E42" s="4861"/>
      <c r="F42" s="1756">
        <f>IF(C42="",0,VLOOKUP(C42,'SDK5'!C9:AF89,2,FALSE))</f>
        <v>149.6</v>
      </c>
      <c r="G42" s="1752">
        <f t="shared" si="0"/>
        <v>149.6</v>
      </c>
      <c r="H42" s="1751">
        <v>1</v>
      </c>
      <c r="I42" s="1750">
        <f t="shared" si="1"/>
        <v>149.6</v>
      </c>
      <c r="J42" s="45"/>
      <c r="K42" s="1751">
        <v>1</v>
      </c>
      <c r="L42" s="1590">
        <f t="shared" si="2"/>
        <v>149.6</v>
      </c>
      <c r="M42" s="1589"/>
      <c r="N42" s="1751">
        <v>1</v>
      </c>
      <c r="O42" s="1750">
        <f t="shared" si="3"/>
        <v>149.6</v>
      </c>
      <c r="P42" s="1749"/>
      <c r="Q42" s="38"/>
    </row>
    <row r="43" spans="1:17" s="708" customFormat="1" ht="18.75" customHeight="1">
      <c r="A43" s="1270"/>
      <c r="B43" s="1276" t="s">
        <v>1231</v>
      </c>
      <c r="C43" s="1270"/>
      <c r="D43" s="1270"/>
      <c r="E43" s="1270"/>
      <c r="F43" s="1270"/>
      <c r="G43" s="1620"/>
      <c r="H43" s="1746"/>
      <c r="I43" s="1745"/>
      <c r="J43" s="1614">
        <f>SUM(J46:J57)</f>
        <v>517.01319208537802</v>
      </c>
      <c r="K43" s="1748"/>
      <c r="L43" s="1747"/>
      <c r="M43" s="1617">
        <f>SUM(M46:M57)</f>
        <v>527.21078752470578</v>
      </c>
      <c r="N43" s="1746"/>
      <c r="O43" s="1745"/>
      <c r="P43" s="1614">
        <f>SUM(P46:P57)</f>
        <v>548.94278637109232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489</v>
      </c>
      <c r="D47" s="4836"/>
      <c r="E47" s="1725">
        <f>IF($C47=0,0,VLOOKUP($C47,'SDK3'!$C$24:$O$92,4,FALSE))</f>
        <v>120</v>
      </c>
      <c r="F47" s="1724">
        <f>IF($C47=0,0,VLOOKUP($C47,'SDK3'!$C$24:$O$92,12,FALSE))</f>
        <v>1.1399999999999999</v>
      </c>
      <c r="G47" s="1723">
        <f>IF($C47=0,0,VLOOKUP($C47,'SDK3'!$C$24:$O$92,13,FALSE))</f>
        <v>41.147674352941173</v>
      </c>
      <c r="H47" s="1720">
        <v>1</v>
      </c>
      <c r="I47" s="1719">
        <f t="shared" si="4"/>
        <v>1.1399999999999999</v>
      </c>
      <c r="J47" s="1718">
        <f t="shared" si="5"/>
        <v>41.147674352941173</v>
      </c>
      <c r="K47" s="1720">
        <v>1</v>
      </c>
      <c r="L47" s="1722">
        <f t="shared" si="6"/>
        <v>1.1399999999999999</v>
      </c>
      <c r="M47" s="1721">
        <f t="shared" si="7"/>
        <v>41.147674352941173</v>
      </c>
      <c r="N47" s="1720">
        <v>1</v>
      </c>
      <c r="O47" s="1719">
        <f t="shared" si="8"/>
        <v>1.1399999999999999</v>
      </c>
      <c r="P47" s="1718">
        <f t="shared" si="9"/>
        <v>41.147674352941173</v>
      </c>
      <c r="Q47" s="38"/>
    </row>
    <row r="48" spans="1:17" s="42" customFormat="1" ht="15" customHeight="1">
      <c r="A48" s="1306"/>
      <c r="B48" s="1726"/>
      <c r="C48" s="4835" t="s">
        <v>400</v>
      </c>
      <c r="D48" s="4836"/>
      <c r="E48" s="1725">
        <f>IF($C48=0,0,VLOOKUP($C48,'SDK3'!$C$24:$O$92,4,FALSE))</f>
        <v>83</v>
      </c>
      <c r="F48" s="1724">
        <f>IF($C48=0,0,VLOOKUP($C48,'SDK3'!$C$24:$O$92,12,FALSE))</f>
        <v>2</v>
      </c>
      <c r="G48" s="1723">
        <f>IF($C48=0,0,VLOOKUP($C48,'SDK3'!$C$24:$O$92,13,FALSE))</f>
        <v>43.428898352941175</v>
      </c>
      <c r="H48" s="1720">
        <v>1</v>
      </c>
      <c r="I48" s="1719">
        <f t="shared" si="4"/>
        <v>2</v>
      </c>
      <c r="J48" s="1718">
        <f t="shared" si="5"/>
        <v>43.428898352941175</v>
      </c>
      <c r="K48" s="1720">
        <v>1</v>
      </c>
      <c r="L48" s="1722">
        <f t="shared" si="6"/>
        <v>2</v>
      </c>
      <c r="M48" s="1721">
        <f t="shared" si="7"/>
        <v>43.428898352941175</v>
      </c>
      <c r="N48" s="1720">
        <v>1</v>
      </c>
      <c r="O48" s="1719">
        <f t="shared" si="8"/>
        <v>2</v>
      </c>
      <c r="P48" s="1718">
        <f t="shared" si="9"/>
        <v>43.428898352941175</v>
      </c>
      <c r="Q48" s="38"/>
    </row>
    <row r="49" spans="1:17" s="42" customFormat="1" ht="15" customHeight="1">
      <c r="A49" s="1306"/>
      <c r="B49" s="1726"/>
      <c r="C49" s="4835" t="s">
        <v>391</v>
      </c>
      <c r="D49" s="4836"/>
      <c r="E49" s="1725">
        <f>IF($C49=0,0,VLOOKUP($C49,'SDK3'!$C$24:$O$92,4,FALSE))</f>
        <v>54</v>
      </c>
      <c r="F49" s="1724">
        <f>IF($C49=0,0,VLOOKUP($C49,'SDK3'!$C$24:$O$92,12,FALSE))</f>
        <v>0.69</v>
      </c>
      <c r="G49" s="1723">
        <f>IF($C49=0,0,VLOOKUP($C49,'SDK3'!$C$24:$O$92,13,FALSE))</f>
        <v>11.827734988235294</v>
      </c>
      <c r="H49" s="1720">
        <v>1</v>
      </c>
      <c r="I49" s="1719">
        <f t="shared" si="4"/>
        <v>0.69</v>
      </c>
      <c r="J49" s="1718">
        <f t="shared" si="5"/>
        <v>11.827734988235294</v>
      </c>
      <c r="K49" s="1720">
        <v>1</v>
      </c>
      <c r="L49" s="1722">
        <f t="shared" si="6"/>
        <v>0.69</v>
      </c>
      <c r="M49" s="1721">
        <f t="shared" si="7"/>
        <v>11.827734988235294</v>
      </c>
      <c r="N49" s="1720">
        <v>1</v>
      </c>
      <c r="O49" s="1719">
        <f t="shared" si="8"/>
        <v>0.69</v>
      </c>
      <c r="P49" s="1718">
        <f t="shared" si="9"/>
        <v>11.827734988235294</v>
      </c>
      <c r="Q49" s="38"/>
    </row>
    <row r="50" spans="1:17" s="42" customFormat="1" ht="15" customHeight="1">
      <c r="A50" s="1306"/>
      <c r="B50" s="1726"/>
      <c r="C50" s="4835" t="s">
        <v>358</v>
      </c>
      <c r="D50" s="4836"/>
      <c r="E50" s="1725">
        <f>IF($C50=0,0,VLOOKUP($C50,'SDK3'!$C$24:$O$92,4,FALSE))</f>
        <v>54</v>
      </c>
      <c r="F50" s="1724">
        <f>IF($C50=0,0,VLOOKUP($C50,'SDK3'!$C$24:$O$92,12,FALSE))</f>
        <v>10.19</v>
      </c>
      <c r="G50" s="1723">
        <f>IF($C50=0,0,VLOOKUP($C50,'SDK3'!$C$24:$O$92,13,FALSE))</f>
        <v>147.92901381176469</v>
      </c>
      <c r="H50" s="1720">
        <v>1</v>
      </c>
      <c r="I50" s="1719">
        <f t="shared" si="4"/>
        <v>10.19</v>
      </c>
      <c r="J50" s="1718">
        <f t="shared" si="5"/>
        <v>147.92901381176469</v>
      </c>
      <c r="K50" s="1720">
        <v>1</v>
      </c>
      <c r="L50" s="1722">
        <f t="shared" si="6"/>
        <v>10.19</v>
      </c>
      <c r="M50" s="1721">
        <f t="shared" si="7"/>
        <v>147.92901381176469</v>
      </c>
      <c r="N50" s="1720">
        <v>1</v>
      </c>
      <c r="O50" s="1719">
        <f t="shared" si="8"/>
        <v>10.19</v>
      </c>
      <c r="P50" s="1718">
        <f t="shared" si="9"/>
        <v>147.92901381176469</v>
      </c>
      <c r="Q50" s="38"/>
    </row>
    <row r="51" spans="1:17" s="42" customFormat="1" ht="15" customHeight="1">
      <c r="A51" s="1306"/>
      <c r="B51" s="1726"/>
      <c r="C51" s="4835" t="s">
        <v>361</v>
      </c>
      <c r="D51" s="4836"/>
      <c r="E51" s="1725">
        <f>IF($C51=0,0,VLOOKUP($C51,'SDK3'!$C$24:$O$92,4,FALSE))</f>
        <v>54</v>
      </c>
      <c r="F51" s="1724">
        <f>IF($C51=0,0,VLOOKUP($C51,'SDK3'!$C$24:$O$92,12,FALSE))</f>
        <v>4.0999999999999996</v>
      </c>
      <c r="G51" s="1723">
        <f>IF($C51=0,0,VLOOKUP($C51,'SDK3'!$C$24:$O$92,13,FALSE))</f>
        <v>72.33126002352941</v>
      </c>
      <c r="H51" s="1720">
        <v>1</v>
      </c>
      <c r="I51" s="1719">
        <f t="shared" si="4"/>
        <v>4.0999999999999996</v>
      </c>
      <c r="J51" s="1718">
        <f t="shared" si="5"/>
        <v>72.33126002352941</v>
      </c>
      <c r="K51" s="1720">
        <v>1</v>
      </c>
      <c r="L51" s="1722">
        <f t="shared" si="6"/>
        <v>4.0999999999999996</v>
      </c>
      <c r="M51" s="1721">
        <f t="shared" si="7"/>
        <v>72.33126002352941</v>
      </c>
      <c r="N51" s="1720">
        <v>1</v>
      </c>
      <c r="O51" s="1719">
        <f t="shared" si="8"/>
        <v>4.0999999999999996</v>
      </c>
      <c r="P51" s="1718">
        <f t="shared" si="9"/>
        <v>72.33126002352941</v>
      </c>
      <c r="Q51" s="38"/>
    </row>
    <row r="52" spans="1:17" s="42" customFormat="1" ht="15" customHeight="1">
      <c r="A52" s="1306"/>
      <c r="B52" s="1726"/>
      <c r="C52" s="4835" t="s">
        <v>467</v>
      </c>
      <c r="D52" s="4836"/>
      <c r="E52" s="1725">
        <f>IF($C52=0,0,VLOOKUP($C52,'SDK3'!$C$24:$O$92,4,FALSE))</f>
        <v>54</v>
      </c>
      <c r="F52" s="1724">
        <f>IF($C52=0,0,VLOOKUP($C52,'SDK3'!$C$24:$O$92,12,FALSE))</f>
        <v>0.32</v>
      </c>
      <c r="G52" s="1723">
        <f>IF($C52=0,0,VLOOKUP($C52,'SDK3'!$C$24:$O$92,13,FALSE))</f>
        <v>3.6014154164705885</v>
      </c>
      <c r="H52" s="1720">
        <v>2</v>
      </c>
      <c r="I52" s="1719">
        <f t="shared" si="4"/>
        <v>0.64</v>
      </c>
      <c r="J52" s="1718">
        <f t="shared" si="5"/>
        <v>7.202830832941177</v>
      </c>
      <c r="K52" s="1720">
        <v>2</v>
      </c>
      <c r="L52" s="1722">
        <f t="shared" si="6"/>
        <v>0.64</v>
      </c>
      <c r="M52" s="1721">
        <f t="shared" si="7"/>
        <v>7.202830832941177</v>
      </c>
      <c r="N52" s="1720">
        <v>2</v>
      </c>
      <c r="O52" s="1719">
        <f t="shared" si="8"/>
        <v>0.64</v>
      </c>
      <c r="P52" s="1718">
        <f t="shared" si="9"/>
        <v>7.202830832941177</v>
      </c>
      <c r="Q52" s="38"/>
    </row>
    <row r="53" spans="1:17" s="42" customFormat="1" ht="15" customHeight="1">
      <c r="A53" s="1306"/>
      <c r="B53" s="1726"/>
      <c r="C53" s="4835" t="s">
        <v>456</v>
      </c>
      <c r="D53" s="4836"/>
      <c r="E53" s="1725">
        <f>IF($C53=0,0,VLOOKUP($C53,'SDK3'!$C$24:$O$92,4,FALSE))</f>
        <v>83</v>
      </c>
      <c r="F53" s="1724">
        <f>IF($C53=0,0,VLOOKUP($C53,'SDK3'!$C$24:$O$92,12,FALSE))</f>
        <v>0.36</v>
      </c>
      <c r="G53" s="1723">
        <f>IF($C53=0,0,VLOOKUP($C53,'SDK3'!$C$24:$O$92,13,FALSE))</f>
        <v>5.7672017035294116</v>
      </c>
      <c r="H53" s="1720">
        <v>7</v>
      </c>
      <c r="I53" s="1719">
        <f t="shared" si="4"/>
        <v>2.52</v>
      </c>
      <c r="J53" s="1718">
        <f t="shared" si="5"/>
        <v>40.370411924705884</v>
      </c>
      <c r="K53" s="1720">
        <v>6</v>
      </c>
      <c r="L53" s="1722">
        <f t="shared" si="6"/>
        <v>2.16</v>
      </c>
      <c r="M53" s="1721">
        <f t="shared" si="7"/>
        <v>34.603210221176468</v>
      </c>
      <c r="N53" s="1720">
        <v>7</v>
      </c>
      <c r="O53" s="1719">
        <f t="shared" si="8"/>
        <v>2.52</v>
      </c>
      <c r="P53" s="1718">
        <f t="shared" si="9"/>
        <v>40.370411924705884</v>
      </c>
      <c r="Q53" s="38"/>
    </row>
    <row r="54" spans="1:17" s="42" customFormat="1" ht="15" customHeight="1">
      <c r="A54" s="1306"/>
      <c r="B54" s="1726"/>
      <c r="C54" s="4835" t="s">
        <v>367</v>
      </c>
      <c r="D54" s="4836"/>
      <c r="E54" s="1725">
        <f>IF($C54=0,0,VLOOKUP($C54,'SDK3'!$C$24:$O$92,4,FALSE))</f>
        <v>102</v>
      </c>
      <c r="F54" s="1724">
        <f>IF($C54=0,0,VLOOKUP($C54,'SDK3'!$C$24:$O$92,12,FALSE))</f>
        <v>1.5</v>
      </c>
      <c r="G54" s="1723">
        <f>IF($C54=0,0,VLOOKUP($C54,'SDK3'!$C$24:$O$92,13,FALSE))</f>
        <v>33.526073999999994</v>
      </c>
      <c r="H54" s="1720">
        <f>H9/10/10.5</f>
        <v>2.8571428571428572</v>
      </c>
      <c r="I54" s="1719">
        <f t="shared" si="4"/>
        <v>4.2857142857142856</v>
      </c>
      <c r="J54" s="1718">
        <f t="shared" si="5"/>
        <v>95.788782857142849</v>
      </c>
      <c r="K54" s="1720">
        <f>K9/10/10.5</f>
        <v>3.3333333333333335</v>
      </c>
      <c r="L54" s="1722">
        <f t="shared" si="6"/>
        <v>5</v>
      </c>
      <c r="M54" s="1721">
        <f t="shared" si="7"/>
        <v>111.75357999999999</v>
      </c>
      <c r="N54" s="1720">
        <f>N9/10/10.5</f>
        <v>3.8095238095238093</v>
      </c>
      <c r="O54" s="1719">
        <f t="shared" si="8"/>
        <v>5.7142857142857135</v>
      </c>
      <c r="P54" s="1718">
        <f t="shared" si="9"/>
        <v>127.71837714285711</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27.025714285714283</v>
      </c>
      <c r="J58" s="1701"/>
      <c r="K58" s="1700"/>
      <c r="L58" s="1699">
        <f>SUM($L$46:$L$57)</f>
        <v>27.38</v>
      </c>
      <c r="M58" s="1698"/>
      <c r="N58" s="1697"/>
      <c r="O58" s="1696">
        <f>SUM($O$46:$O$57)</f>
        <v>28.45428571428571</v>
      </c>
      <c r="P58" s="1695"/>
      <c r="Q58" s="38"/>
    </row>
    <row r="59" spans="1:17" s="65" customFormat="1" ht="15" customHeight="1">
      <c r="A59" s="1373"/>
      <c r="B59" s="1694"/>
      <c r="C59" s="353"/>
      <c r="D59" s="280" t="s">
        <v>1222</v>
      </c>
      <c r="E59" s="1693">
        <v>80</v>
      </c>
      <c r="F59" s="353" t="s">
        <v>1221</v>
      </c>
      <c r="G59" s="1692"/>
      <c r="H59" s="1688"/>
      <c r="I59" s="1687">
        <f>IF(I58+SUM($I$46:$I$57)*$E$59%&gt;I58+10,I58+10,I58+SUM($I$46:$I$57)*$E$59%)</f>
        <v>37.025714285714287</v>
      </c>
      <c r="J59" s="1686"/>
      <c r="K59" s="1691"/>
      <c r="L59" s="1690">
        <f>IF(L58+SUM($L$46:$L$57)*$E$59%&gt;L58+10,L58+10,L58+SUM($L$46:$L$57)*$E$59%)</f>
        <v>37.379999999999995</v>
      </c>
      <c r="M59" s="1689"/>
      <c r="N59" s="1688"/>
      <c r="O59" s="1687">
        <f>IF(O58+SUM($O$46:$O$57)*$E$59%&gt;O58+10,O58+10,O58+SUM($O$46:$O$57)*$E$59%)</f>
        <v>38.45428571428571</v>
      </c>
      <c r="P59" s="1686"/>
      <c r="Q59" s="38"/>
    </row>
    <row r="60" spans="1:17" s="42" customFormat="1" ht="18.75" customHeight="1">
      <c r="A60" s="1306"/>
      <c r="B60" s="1276" t="s">
        <v>1220</v>
      </c>
      <c r="C60" s="1373"/>
      <c r="D60" s="1373"/>
      <c r="E60" s="45"/>
      <c r="F60" s="45"/>
      <c r="G60" s="1685"/>
      <c r="H60" s="1677"/>
      <c r="I60" s="1676"/>
      <c r="J60" s="1684">
        <f>IF(J6=0,0,SUM(I62:I64))</f>
        <v>600</v>
      </c>
      <c r="K60" s="1680"/>
      <c r="L60" s="1679"/>
      <c r="M60" s="1617">
        <f>IF(M6=0,0,SUM(L62:L64))</f>
        <v>600</v>
      </c>
      <c r="N60" s="1677"/>
      <c r="O60" s="1676"/>
      <c r="P60" s="1684">
        <f>IF(P6=0,0,SUM(O62:O64))</f>
        <v>600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336</v>
      </c>
      <c r="D62" s="4833"/>
      <c r="E62" s="4833"/>
      <c r="F62" s="1674">
        <f>IF($C62=0,0,VLOOKUP($C62,'SDK3'!$C$98:$D$119,2,FALSE))</f>
        <v>600</v>
      </c>
      <c r="G62" s="1673">
        <f>(100+$D$61)/100*F62</f>
        <v>600</v>
      </c>
      <c r="H62" s="227"/>
      <c r="I62" s="1669">
        <f>$G$62</f>
        <v>600</v>
      </c>
      <c r="J62" s="227"/>
      <c r="K62" s="1672"/>
      <c r="L62" s="1671">
        <f>$G$62</f>
        <v>600</v>
      </c>
      <c r="M62" s="1589"/>
      <c r="N62" s="1670"/>
      <c r="O62" s="1669">
        <f>$G$62</f>
        <v>600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1190</v>
      </c>
      <c r="K65" s="1629"/>
      <c r="L65" s="1629"/>
      <c r="M65" s="1617">
        <f>K66*$E66</f>
        <v>1190</v>
      </c>
      <c r="N65" s="73"/>
      <c r="O65" s="73"/>
      <c r="P65" s="1614">
        <f>N66*$E66</f>
        <v>1190</v>
      </c>
      <c r="Q65" s="38"/>
    </row>
    <row r="66" spans="1:20" s="708" customFormat="1" ht="15" customHeight="1">
      <c r="A66" s="1270"/>
      <c r="B66" s="1648"/>
      <c r="C66" s="1377"/>
      <c r="D66" s="280" t="s">
        <v>1060</v>
      </c>
      <c r="E66" s="1647">
        <v>8.5</v>
      </c>
      <c r="F66" s="1622"/>
      <c r="G66" s="1646" t="s">
        <v>516</v>
      </c>
      <c r="H66" s="1644">
        <v>140</v>
      </c>
      <c r="I66" s="1643"/>
      <c r="J66" s="1632"/>
      <c r="K66" s="1644">
        <v>140</v>
      </c>
      <c r="L66" s="1645"/>
      <c r="M66" s="1635"/>
      <c r="N66" s="1644">
        <v>140</v>
      </c>
      <c r="O66" s="1643"/>
      <c r="P66" s="1632"/>
      <c r="Q66" s="383" t="s">
        <v>1292</v>
      </c>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83"/>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3"/>
      <c r="R68" s="1944">
        <f>IF($H$68=0,0,VLOOKUP($H$68,'SD6'!B8:C101,FALSE))*(1+'SDK1'!O11/100)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151.5</v>
      </c>
      <c r="K69" s="1630"/>
      <c r="L69" s="1629"/>
      <c r="M69" s="1617">
        <f>K70*$F70/1000</f>
        <v>176.74999999999997</v>
      </c>
      <c r="N69" s="44"/>
      <c r="O69" s="73"/>
      <c r="P69" s="1614">
        <f>N70*$F70/1000</f>
        <v>202</v>
      </c>
      <c r="Q69" s="383"/>
    </row>
    <row r="70" spans="1:20" s="708" customFormat="1" ht="15" customHeight="1">
      <c r="A70" s="1270"/>
      <c r="B70" s="1332"/>
      <c r="C70" s="1331" t="s">
        <v>896</v>
      </c>
      <c r="D70" s="353"/>
      <c r="E70" s="280"/>
      <c r="F70" s="1628">
        <f>'SDK7'!G113</f>
        <v>15</v>
      </c>
      <c r="G70" s="1627" t="s">
        <v>171</v>
      </c>
      <c r="H70" s="1623">
        <f>I9+I10</f>
        <v>10100</v>
      </c>
      <c r="I70" s="1622"/>
      <c r="J70" s="1621"/>
      <c r="K70" s="1626">
        <f>L9+L10</f>
        <v>11783.333333333332</v>
      </c>
      <c r="L70" s="1625"/>
      <c r="M70" s="1624"/>
      <c r="N70" s="1623">
        <f>O9+O10</f>
        <v>13466.666666666666</v>
      </c>
      <c r="O70" s="1622"/>
      <c r="P70" s="1621"/>
      <c r="Q70" s="383"/>
    </row>
    <row r="71" spans="1:20" ht="18.75" customHeight="1">
      <c r="A71" s="377"/>
      <c r="B71" s="311" t="s">
        <v>1213</v>
      </c>
      <c r="C71" s="377"/>
      <c r="D71" s="377"/>
      <c r="E71" s="229"/>
      <c r="G71" s="1620"/>
      <c r="H71" s="1616"/>
      <c r="I71" s="1615"/>
      <c r="J71" s="1614">
        <f>SUM(I73:I74)</f>
        <v>346</v>
      </c>
      <c r="K71" s="1619"/>
      <c r="L71" s="1618"/>
      <c r="M71" s="1617">
        <f>SUM(L73:L74)</f>
        <v>346</v>
      </c>
      <c r="N71" s="1616"/>
      <c r="O71" s="1615"/>
      <c r="P71" s="1614">
        <f>SUM(O73:O74)</f>
        <v>346</v>
      </c>
      <c r="Q71" s="383"/>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c r="Q72" s="383"/>
    </row>
    <row r="73" spans="1:20" s="42" customFormat="1" ht="15" customHeight="1">
      <c r="A73" s="1306"/>
      <c r="B73" s="1594"/>
      <c r="C73" s="4846" t="s">
        <v>1291</v>
      </c>
      <c r="D73" s="4846"/>
      <c r="E73" s="4846"/>
      <c r="F73" s="1598"/>
      <c r="G73" s="1597"/>
      <c r="H73" s="1591">
        <v>300</v>
      </c>
      <c r="I73" s="1595">
        <f>(100+$D$72)/100*H73</f>
        <v>300</v>
      </c>
      <c r="J73" s="45"/>
      <c r="K73" s="1591">
        <v>300</v>
      </c>
      <c r="L73" s="1596">
        <f>(100+$D$72)/100*K73</f>
        <v>300</v>
      </c>
      <c r="M73" s="1589"/>
      <c r="N73" s="1591">
        <v>300</v>
      </c>
      <c r="O73" s="1595">
        <f>(100+$D$72)/100*N73</f>
        <v>300</v>
      </c>
      <c r="P73" s="1586"/>
      <c r="Q73" s="383" t="s">
        <v>1289</v>
      </c>
    </row>
    <row r="74" spans="1:20" s="42" customFormat="1" ht="15" customHeight="1">
      <c r="A74" s="1306"/>
      <c r="B74" s="1594"/>
      <c r="C74" s="4845" t="s">
        <v>1290</v>
      </c>
      <c r="D74" s="4845"/>
      <c r="E74" s="4845"/>
      <c r="F74" s="1593"/>
      <c r="G74" s="1592"/>
      <c r="H74" s="1588">
        <v>46</v>
      </c>
      <c r="I74" s="1587">
        <f>(100+$D$72)/100*H74</f>
        <v>46</v>
      </c>
      <c r="J74" s="45"/>
      <c r="K74" s="1591">
        <v>46</v>
      </c>
      <c r="L74" s="1590">
        <f>(100+$D$72)/100*K74</f>
        <v>46</v>
      </c>
      <c r="M74" s="1589"/>
      <c r="N74" s="1588">
        <v>46</v>
      </c>
      <c r="O74" s="1587">
        <f>(100+$D$72)/100*N74</f>
        <v>46</v>
      </c>
      <c r="P74" s="1586"/>
      <c r="Q74" s="383" t="s">
        <v>1289</v>
      </c>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54.84402828386694</v>
      </c>
      <c r="K75" s="711"/>
      <c r="L75" s="1056"/>
      <c r="M75" s="1578">
        <f>(M23+M27+M34+M43+M60+M65+M67+M69+M71)*('SDK1'!$O$59%*$G$75/12)</f>
        <v>55.4888986720294</v>
      </c>
      <c r="N75" s="1580"/>
      <c r="O75" s="1579"/>
      <c r="P75" s="1578">
        <f>(P23+P27+P34+P43+P60+P65+P67+P69+P71)*('SDK1'!$O$59%*$G$75/12)</f>
        <v>56.20585908148599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D159" s="15"/>
      <c r="F159" s="15"/>
      <c r="G159" s="15"/>
      <c r="H159" s="15"/>
      <c r="I159" s="15"/>
      <c r="J159" s="15"/>
      <c r="M159" s="35"/>
      <c r="N159" s="35"/>
      <c r="O159" s="35"/>
      <c r="P159" s="35"/>
      <c r="Q159" s="35"/>
    </row>
    <row r="160" spans="1:17">
      <c r="A160" s="35"/>
      <c r="B160" s="623"/>
      <c r="C160" s="15"/>
      <c r="D160" s="15"/>
      <c r="F160" s="15"/>
      <c r="G160" s="15"/>
      <c r="H160" s="15"/>
      <c r="I160" s="15"/>
      <c r="J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7" firstPageNumber="64" orientation="portrait" r:id="rId1"/>
  <headerFooter alignWithMargins="0">
    <oddFooter>&amp;L&amp;11LEL Schwäbisch Gmünd&amp;C77&amp;R&amp;11&amp;F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2">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640.12991846924888</v>
      </c>
      <c r="K1" s="4859">
        <f>M1-J1</f>
        <v>-17.245941708331884</v>
      </c>
      <c r="L1" s="4859"/>
      <c r="M1" s="1906">
        <f>(M7+M13+M18+M22+L11+L12)-(M23+M27+M34+M43+M60+M65+M67+M69+M71+M75)</f>
        <v>622.88397676091699</v>
      </c>
      <c r="N1" s="4859">
        <f>P1-M1</f>
        <v>567.78837079166533</v>
      </c>
      <c r="O1" s="4859"/>
      <c r="P1" s="1906">
        <f>(P7+P13+P18+P22+O11+O12)-(P23+P27+P34+P43+P60+P65+P67+P69+P71+P75)</f>
        <v>1190.6723475525823</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193</v>
      </c>
      <c r="L2" s="4870"/>
      <c r="M2" s="4870"/>
      <c r="N2" s="4870"/>
      <c r="O2" s="4870"/>
      <c r="P2" s="4870"/>
      <c r="Q2" s="1920">
        <v>10</v>
      </c>
    </row>
    <row r="3" spans="1:41" s="1891" customFormat="1" ht="21.75" customHeight="1">
      <c r="A3" s="1895"/>
      <c r="B3" s="1919"/>
      <c r="H3" s="1902"/>
      <c r="J3" s="4866"/>
      <c r="K3" s="4867"/>
      <c r="L3" s="4867"/>
      <c r="M3" s="1960"/>
      <c r="N3" s="4871" t="str">
        <f>IF(AND(T3=TRUE,T4=TRUE),"nur 1 Strohnutzung möglich","")</f>
        <v/>
      </c>
      <c r="O3" s="4872"/>
      <c r="P3" s="1900"/>
      <c r="Q3" s="1895"/>
      <c r="T3" s="1918" t="b">
        <v>0</v>
      </c>
    </row>
    <row r="4" spans="1:41" s="1891" customFormat="1" ht="20.25" customHeight="1">
      <c r="A4" s="1895"/>
      <c r="B4" s="377" t="s">
        <v>1154</v>
      </c>
      <c r="C4" s="35"/>
      <c r="D4" s="35"/>
      <c r="E4" s="4830" t="s">
        <v>1295</v>
      </c>
      <c r="F4" s="4830"/>
      <c r="G4" s="4830"/>
      <c r="H4" s="4830"/>
      <c r="I4" s="4830"/>
      <c r="J4" s="4866"/>
      <c r="K4" s="4867"/>
      <c r="L4" s="4867"/>
      <c r="M4" s="1960"/>
      <c r="N4" s="4872"/>
      <c r="O4" s="4872"/>
      <c r="P4" s="1896">
        <f>'SDK1'!O3</f>
        <v>0</v>
      </c>
      <c r="Q4" s="1895"/>
      <c r="T4" s="1918"/>
    </row>
    <row r="5" spans="1:41" ht="6" customHeight="1"/>
    <row r="6" spans="1:41" s="1885" customFormat="1" ht="24" customHeight="1">
      <c r="A6" s="48"/>
      <c r="B6" s="1890" t="s">
        <v>1207</v>
      </c>
      <c r="C6" s="1889"/>
      <c r="D6" s="1889"/>
      <c r="E6" s="1889"/>
      <c r="F6" s="1889"/>
      <c r="G6" s="1888"/>
      <c r="H6" s="4864" t="s">
        <v>179</v>
      </c>
      <c r="I6" s="4865"/>
      <c r="J6" s="1887">
        <v>400</v>
      </c>
      <c r="K6" s="4849" t="s">
        <v>152</v>
      </c>
      <c r="L6" s="4850"/>
      <c r="M6" s="1887">
        <v>450</v>
      </c>
      <c r="N6" s="4864" t="s">
        <v>178</v>
      </c>
      <c r="O6" s="4865"/>
      <c r="P6" s="1886">
        <v>500</v>
      </c>
      <c r="Q6" s="70"/>
    </row>
    <row r="7" spans="1:41" s="252" customFormat="1" ht="18.75" customHeight="1">
      <c r="A7" s="47"/>
      <c r="B7" s="311" t="s">
        <v>1258</v>
      </c>
      <c r="C7" s="47"/>
      <c r="D7" s="47"/>
      <c r="E7" s="47"/>
      <c r="F7" s="47"/>
      <c r="G7" s="1884"/>
      <c r="H7" s="1881"/>
      <c r="I7" s="1880"/>
      <c r="J7" s="1614">
        <f>SUM(I9:I10)</f>
        <v>6970</v>
      </c>
      <c r="K7" s="1883"/>
      <c r="L7" s="1882"/>
      <c r="M7" s="1617">
        <f>SUM(L9:L10)</f>
        <v>7038</v>
      </c>
      <c r="N7" s="1881"/>
      <c r="O7" s="1880"/>
      <c r="P7" s="1614">
        <f>SUM(O9:O10)</f>
        <v>7700</v>
      </c>
      <c r="Q7" s="383" t="s">
        <v>1287</v>
      </c>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3" t="s">
        <v>1286</v>
      </c>
    </row>
    <row r="9" spans="1:41" s="252" customFormat="1" ht="16.5" customHeight="1">
      <c r="A9" s="47"/>
      <c r="B9" s="311"/>
      <c r="C9" s="45" t="str">
        <f>IF('SDK1'!O9&gt;0,"Hauptprodukt (incl. MwSt.)","Hauptprodukt (ohne MwSt)")</f>
        <v>Hauptprodukt (ohne MwSt)</v>
      </c>
      <c r="D9" s="47"/>
      <c r="E9" s="47"/>
      <c r="F9" s="1878" t="s">
        <v>1257</v>
      </c>
      <c r="G9" s="1794">
        <f>'SDK1'!O42</f>
        <v>19</v>
      </c>
      <c r="H9" s="1877">
        <f>J6-H10</f>
        <v>365</v>
      </c>
      <c r="I9" s="1873">
        <f>H9*G9</f>
        <v>6935</v>
      </c>
      <c r="J9" s="43"/>
      <c r="K9" s="1876">
        <f>M6-K10</f>
        <v>366</v>
      </c>
      <c r="L9" s="1875">
        <f>K9*G9</f>
        <v>6954</v>
      </c>
      <c r="M9" s="1854"/>
      <c r="N9" s="1874">
        <f>P6-N10</f>
        <v>400</v>
      </c>
      <c r="O9" s="1873">
        <f>N9*G9</f>
        <v>7600</v>
      </c>
      <c r="P9" s="43"/>
      <c r="Q9" s="383" t="s">
        <v>1285</v>
      </c>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v>1</v>
      </c>
      <c r="H10" s="1866">
        <v>35</v>
      </c>
      <c r="I10" s="1865">
        <f>H10*G10</f>
        <v>35</v>
      </c>
      <c r="J10" s="1870"/>
      <c r="K10" s="1869">
        <v>84</v>
      </c>
      <c r="L10" s="1868">
        <f>K10*G10</f>
        <v>84</v>
      </c>
      <c r="M10" s="1867"/>
      <c r="N10" s="1866">
        <v>100</v>
      </c>
      <c r="O10" s="1865">
        <f>N10*G10</f>
        <v>100</v>
      </c>
      <c r="P10" s="1864"/>
      <c r="Q10" s="383" t="s">
        <v>1283</v>
      </c>
      <c r="R10" s="1863">
        <f>I10+I11+I12</f>
        <v>35</v>
      </c>
      <c r="S10" s="1862">
        <f>L10+L11+L12</f>
        <v>84</v>
      </c>
      <c r="T10" s="1861">
        <f>O10+O11+O12</f>
        <v>100</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4425</v>
      </c>
      <c r="K23" s="1619"/>
      <c r="L23" s="1618"/>
      <c r="M23" s="1800">
        <f>SUM(L25:L26)</f>
        <v>4425</v>
      </c>
      <c r="N23" s="1616"/>
      <c r="O23" s="1615"/>
      <c r="P23" s="1599">
        <f>SUM(O25:O26)</f>
        <v>4425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'SDK7'!F71</f>
        <v>177</v>
      </c>
      <c r="G25" s="1794">
        <f>F25*(100+$D$24)/100</f>
        <v>177</v>
      </c>
      <c r="H25" s="1793">
        <v>25</v>
      </c>
      <c r="I25" s="1754">
        <f>H25*$G25</f>
        <v>4425</v>
      </c>
      <c r="J25" s="45"/>
      <c r="K25" s="1793">
        <f>H25</f>
        <v>25</v>
      </c>
      <c r="L25" s="1596">
        <f>K25*$G25</f>
        <v>4425</v>
      </c>
      <c r="M25" s="1589"/>
      <c r="N25" s="1793">
        <f>H25</f>
        <v>25</v>
      </c>
      <c r="O25" s="1754">
        <f>N25*$G25</f>
        <v>4425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573.92000000000007</v>
      </c>
      <c r="K27" s="1748"/>
      <c r="L27" s="1747"/>
      <c r="M27" s="1617">
        <f>SUM(L30:L33)</f>
        <v>641.65166666666664</v>
      </c>
      <c r="N27" s="1746"/>
      <c r="O27" s="1745"/>
      <c r="P27" s="1614">
        <f>SUM(O30:O33)</f>
        <v>709.38333333333321</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1282</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0.35</v>
      </c>
      <c r="F30" s="1774">
        <f>VLOOKUP(K2,'SD8'!B9:L42,7,FALSE)</f>
        <v>0.20000000000000007</v>
      </c>
      <c r="G30" s="1773">
        <v>20</v>
      </c>
      <c r="H30" s="1771">
        <f>IF(J$6=0,0,(J$6*$E30+$G30+X14))</f>
        <v>160</v>
      </c>
      <c r="I30" s="1754">
        <f>H30*$D30</f>
        <v>256.5333333333333</v>
      </c>
      <c r="J30" s="45"/>
      <c r="K30" s="1772">
        <f>IF(M$6=0,0,(M$6*$E30+$G30+Y14))</f>
        <v>177.5</v>
      </c>
      <c r="L30" s="1596">
        <f>K30*$D30</f>
        <v>284.59166666666664</v>
      </c>
      <c r="M30" s="1589"/>
      <c r="N30" s="1771">
        <f>IF(P$6=0,0,(P$6*$E30+$G30+Z14))</f>
        <v>195</v>
      </c>
      <c r="O30" s="1754">
        <f>N30*$D30</f>
        <v>312.64999999999992</v>
      </c>
      <c r="P30" s="1718"/>
      <c r="Q30" s="38"/>
    </row>
    <row r="31" spans="1:26" s="42" customFormat="1" ht="15" customHeight="1">
      <c r="A31" s="1306"/>
      <c r="B31" s="274"/>
      <c r="C31" s="1306" t="s">
        <v>244</v>
      </c>
      <c r="D31" s="1723">
        <f>'SDK1'!O53</f>
        <v>1.0999999999999999</v>
      </c>
      <c r="E31" s="1774">
        <f>VLOOKUP(K2,'SD8'!B9:L42,4,FALSE)</f>
        <v>0.14000000000000001</v>
      </c>
      <c r="F31" s="1774">
        <f>VLOOKUP(K2,'SD8'!B9:L42,8,FALSE)</f>
        <v>9.9999999999999811E-3</v>
      </c>
      <c r="G31" s="1773"/>
      <c r="H31" s="1771">
        <f>IF(J$6=0,0,(J$6*$E31+$G31+X15))</f>
        <v>56.000000000000007</v>
      </c>
      <c r="I31" s="1754">
        <f>H31*$D31</f>
        <v>61.6</v>
      </c>
      <c r="J31" s="45"/>
      <c r="K31" s="1772">
        <f>IF(M$6=0,0,(M$6*$E31+$G31+Y15))</f>
        <v>63.000000000000007</v>
      </c>
      <c r="L31" s="1596">
        <f>K31*$D31</f>
        <v>69.3</v>
      </c>
      <c r="M31" s="1589"/>
      <c r="N31" s="1771">
        <f>IF(P$6=0,0,(P$6*$E31+$G31+Z15))</f>
        <v>70</v>
      </c>
      <c r="O31" s="1754">
        <f>N31*$D31</f>
        <v>76.999999999999986</v>
      </c>
      <c r="P31" s="1718"/>
      <c r="Q31" s="38"/>
    </row>
    <row r="32" spans="1:26" s="42" customFormat="1" ht="15" customHeight="1">
      <c r="A32" s="1306"/>
      <c r="B32" s="274"/>
      <c r="C32" s="1306" t="s">
        <v>242</v>
      </c>
      <c r="D32" s="1723">
        <f>'SDK1'!O54</f>
        <v>1.02</v>
      </c>
      <c r="E32" s="1774">
        <f>VLOOKUP(K2,'SD8'!B9:L42,5,FALSE)</f>
        <v>0.6</v>
      </c>
      <c r="F32" s="1774">
        <f>VLOOKUP(K2,'SD8'!B9:L42,9,FALSE)</f>
        <v>0</v>
      </c>
      <c r="G32" s="1773"/>
      <c r="H32" s="1771">
        <f>IF(J$6=0,0,(J$6*$E32+$G32+X16))</f>
        <v>240</v>
      </c>
      <c r="I32" s="1754">
        <f>H32*$D32</f>
        <v>244.8</v>
      </c>
      <c r="J32" s="45"/>
      <c r="K32" s="1772">
        <f>IF(M$6=0,0,(M$6*$E32+$G32+Y16))</f>
        <v>270</v>
      </c>
      <c r="L32" s="1596">
        <f>K32*$D32</f>
        <v>275.39999999999998</v>
      </c>
      <c r="M32" s="1589"/>
      <c r="N32" s="1771">
        <f>IF(P$6=0,0,(P$6*$E32+$G32+Z16))</f>
        <v>300</v>
      </c>
      <c r="O32" s="1754">
        <f>N32*$D32</f>
        <v>306</v>
      </c>
      <c r="P32" s="1718"/>
      <c r="Q32" s="38"/>
    </row>
    <row r="33" spans="1:17" s="42" customFormat="1" ht="15" customHeight="1">
      <c r="A33" s="1306"/>
      <c r="B33" s="239"/>
      <c r="C33" s="1331" t="s">
        <v>240</v>
      </c>
      <c r="D33" s="1706">
        <f>'SDK1'!O55</f>
        <v>0.68666666666666676</v>
      </c>
      <c r="E33" s="1770">
        <f>VLOOKUP(K2,'SD8'!B9:L42,6,FALSE)</f>
        <v>0.04</v>
      </c>
      <c r="F33" s="1770">
        <f>VLOOKUP(K2,'SD8'!B9:L42,10,FALSE)</f>
        <v>0</v>
      </c>
      <c r="G33" s="1769"/>
      <c r="H33" s="1767">
        <f>IF(J$6=0,0,(J$6*$E33+$G33+X17))</f>
        <v>16</v>
      </c>
      <c r="I33" s="1750">
        <f>H33*$D33</f>
        <v>10.986666666666668</v>
      </c>
      <c r="J33" s="45"/>
      <c r="K33" s="1768">
        <f>IF(M$6=0,0,(M$6*$E33+$G33+Y17))</f>
        <v>18</v>
      </c>
      <c r="L33" s="1590">
        <f>K33*$D33</f>
        <v>12.360000000000001</v>
      </c>
      <c r="M33" s="1589"/>
      <c r="N33" s="1767">
        <f>IF(P$6=0,0,(P$6*$E33+$G33+Z17))</f>
        <v>20</v>
      </c>
      <c r="O33" s="1750">
        <f>N33*$D33</f>
        <v>13.733333333333334</v>
      </c>
      <c r="P33" s="1749"/>
      <c r="Q33" s="38"/>
    </row>
    <row r="34" spans="1:17" s="708" customFormat="1" ht="18.75" customHeight="1">
      <c r="A34" s="1270"/>
      <c r="B34" s="1276" t="s">
        <v>1234</v>
      </c>
      <c r="C34" s="1270"/>
      <c r="D34" s="37"/>
      <c r="E34" s="37"/>
      <c r="F34" s="4831" t="s">
        <v>1233</v>
      </c>
      <c r="G34" s="4832"/>
      <c r="H34" s="1764"/>
      <c r="I34" s="1763"/>
      <c r="J34" s="1614">
        <f>SUM(I36:I42)</f>
        <v>281.90800000000002</v>
      </c>
      <c r="K34" s="1766"/>
      <c r="L34" s="1765"/>
      <c r="M34" s="1617">
        <f>SUM(L36:L42)</f>
        <v>281.90800000000002</v>
      </c>
      <c r="N34" s="1764"/>
      <c r="O34" s="1763"/>
      <c r="P34" s="1614">
        <f>SUM(O36:O42)</f>
        <v>281.90800000000002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711</v>
      </c>
      <c r="D36" s="4857"/>
      <c r="E36" s="4858"/>
      <c r="F36" s="1756">
        <f>IF(C36="",0,VLOOKUP(C36,'SDK5'!C3:AF83,2,FALSE))</f>
        <v>27.7</v>
      </c>
      <c r="G36" s="1756">
        <f t="shared" ref="G36:G42" si="0">F36*(100+$D$35)/100</f>
        <v>27.7</v>
      </c>
      <c r="H36" s="1755">
        <v>3.5</v>
      </c>
      <c r="I36" s="1754">
        <f t="shared" ref="I36:I42" si="1">$G36*H36</f>
        <v>96.95</v>
      </c>
      <c r="J36" s="45"/>
      <c r="K36" s="1755">
        <v>3.5</v>
      </c>
      <c r="L36" s="1596">
        <f t="shared" ref="L36:L42" si="2">$G36*K36</f>
        <v>96.95</v>
      </c>
      <c r="M36" s="1589"/>
      <c r="N36" s="1755">
        <v>3.5</v>
      </c>
      <c r="O36" s="1754">
        <f t="shared" ref="O36:O42" si="3">$G36*N36</f>
        <v>96.95</v>
      </c>
      <c r="P36" s="1758"/>
      <c r="Q36" s="38"/>
    </row>
    <row r="37" spans="1:17" s="42" customFormat="1" ht="15" customHeight="1">
      <c r="A37" s="1306"/>
      <c r="B37" s="1594"/>
      <c r="C37" s="4855" t="s">
        <v>661</v>
      </c>
      <c r="D37" s="4855"/>
      <c r="E37" s="4856"/>
      <c r="F37" s="1756">
        <f>IF(C37="",0,VLOOKUP(C37,'SDK5'!C4:AF84,2,FALSE))</f>
        <v>52.5</v>
      </c>
      <c r="G37" s="1756">
        <f t="shared" si="0"/>
        <v>52.5</v>
      </c>
      <c r="H37" s="1755">
        <v>0.4</v>
      </c>
      <c r="I37" s="1754">
        <f t="shared" si="1"/>
        <v>21</v>
      </c>
      <c r="J37" s="45"/>
      <c r="K37" s="1755">
        <v>0.4</v>
      </c>
      <c r="L37" s="1596">
        <f t="shared" si="2"/>
        <v>21</v>
      </c>
      <c r="M37" s="1589"/>
      <c r="N37" s="1755">
        <v>0.4</v>
      </c>
      <c r="O37" s="1754">
        <f t="shared" si="3"/>
        <v>21</v>
      </c>
      <c r="P37" s="1718"/>
      <c r="Q37" s="38"/>
    </row>
    <row r="38" spans="1:17" s="42" customFormat="1" ht="15" customHeight="1">
      <c r="A38" s="1306"/>
      <c r="B38" s="1757"/>
      <c r="C38" s="4855" t="s">
        <v>368</v>
      </c>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t="s">
        <v>673</v>
      </c>
      <c r="D39" s="4855"/>
      <c r="E39" s="4856"/>
      <c r="F39" s="1756">
        <f>IF(C39="",0,VLOOKUP(C39,'SDK5'!C6:AF86,2,FALSE))</f>
        <v>11.2</v>
      </c>
      <c r="G39" s="1756">
        <f t="shared" si="0"/>
        <v>11.2</v>
      </c>
      <c r="H39" s="1755">
        <v>3.6</v>
      </c>
      <c r="I39" s="1754">
        <f t="shared" si="1"/>
        <v>40.32</v>
      </c>
      <c r="J39" s="45"/>
      <c r="K39" s="1755">
        <v>3.6</v>
      </c>
      <c r="L39" s="1596">
        <f t="shared" si="2"/>
        <v>40.32</v>
      </c>
      <c r="M39" s="1589"/>
      <c r="N39" s="1755">
        <v>3.6</v>
      </c>
      <c r="O39" s="1754">
        <f t="shared" si="3"/>
        <v>40.32</v>
      </c>
      <c r="P39" s="1718"/>
      <c r="Q39" s="38"/>
    </row>
    <row r="40" spans="1:17" s="42" customFormat="1" ht="15" customHeight="1">
      <c r="A40" s="1306"/>
      <c r="B40" s="1594"/>
      <c r="C40" s="4855" t="s">
        <v>660</v>
      </c>
      <c r="D40" s="4855"/>
      <c r="E40" s="4856"/>
      <c r="F40" s="1756">
        <f>IF(C40="",0,VLOOKUP(C40,'SDK5'!C7:AF87,2,FALSE))</f>
        <v>40</v>
      </c>
      <c r="G40" s="1756">
        <f t="shared" si="0"/>
        <v>40</v>
      </c>
      <c r="H40" s="1755">
        <v>1.6</v>
      </c>
      <c r="I40" s="1754">
        <f t="shared" si="1"/>
        <v>64</v>
      </c>
      <c r="J40" s="45"/>
      <c r="K40" s="1755">
        <v>1.6</v>
      </c>
      <c r="L40" s="1596">
        <f t="shared" si="2"/>
        <v>64</v>
      </c>
      <c r="M40" s="1589"/>
      <c r="N40" s="1755">
        <v>1.6</v>
      </c>
      <c r="O40" s="1754">
        <f t="shared" si="3"/>
        <v>64</v>
      </c>
      <c r="P40" s="1718"/>
      <c r="Q40" s="38"/>
    </row>
    <row r="41" spans="1:17" s="42" customFormat="1" ht="15" customHeight="1">
      <c r="A41" s="1306"/>
      <c r="B41" s="1594"/>
      <c r="C41" s="4855" t="s">
        <v>696</v>
      </c>
      <c r="D41" s="4855"/>
      <c r="E41" s="4856"/>
      <c r="F41" s="1756">
        <f>IF(C41="",0,VLOOKUP(C41,'SDK5'!C8:AF88,2,FALSE))</f>
        <v>357.3</v>
      </c>
      <c r="G41" s="1756">
        <f t="shared" si="0"/>
        <v>357.3</v>
      </c>
      <c r="H41" s="1755">
        <v>0.06</v>
      </c>
      <c r="I41" s="1754">
        <f t="shared" si="1"/>
        <v>21.437999999999999</v>
      </c>
      <c r="J41" s="45"/>
      <c r="K41" s="1755">
        <v>0.06</v>
      </c>
      <c r="L41" s="1596">
        <f t="shared" si="2"/>
        <v>21.437999999999999</v>
      </c>
      <c r="M41" s="1589"/>
      <c r="N41" s="1755">
        <v>0.06</v>
      </c>
      <c r="O41" s="1754">
        <f t="shared" si="3"/>
        <v>21.437999999999999</v>
      </c>
      <c r="P41" s="1718"/>
      <c r="Q41" s="38"/>
    </row>
    <row r="42" spans="1:17" s="42" customFormat="1" ht="15" customHeight="1">
      <c r="A42" s="1306"/>
      <c r="B42" s="1753"/>
      <c r="C42" s="4860" t="s">
        <v>722</v>
      </c>
      <c r="D42" s="4860"/>
      <c r="E42" s="4861"/>
      <c r="F42" s="1756">
        <f>IF(C42="",0,VLOOKUP(C42,'SDK5'!C9:AF89,2,FALSE))</f>
        <v>38.200000000000003</v>
      </c>
      <c r="G42" s="1752">
        <f t="shared" si="0"/>
        <v>38.200000000000003</v>
      </c>
      <c r="H42" s="1751">
        <v>1</v>
      </c>
      <c r="I42" s="1750">
        <f t="shared" si="1"/>
        <v>38.200000000000003</v>
      </c>
      <c r="J42" s="45"/>
      <c r="K42" s="1751">
        <v>1</v>
      </c>
      <c r="L42" s="1590">
        <f t="shared" si="2"/>
        <v>38.200000000000003</v>
      </c>
      <c r="M42" s="1589"/>
      <c r="N42" s="1751">
        <v>1</v>
      </c>
      <c r="O42" s="1750">
        <f t="shared" si="3"/>
        <v>38.200000000000003</v>
      </c>
      <c r="P42" s="1749"/>
      <c r="Q42" s="38"/>
    </row>
    <row r="43" spans="1:17" s="708" customFormat="1" ht="18.75" customHeight="1">
      <c r="A43" s="1270"/>
      <c r="B43" s="1276" t="s">
        <v>1231</v>
      </c>
      <c r="C43" s="1270"/>
      <c r="D43" s="1270"/>
      <c r="E43" s="1270"/>
      <c r="F43" s="1270"/>
      <c r="G43" s="1620"/>
      <c r="H43" s="1746"/>
      <c r="I43" s="1745"/>
      <c r="J43" s="1614">
        <f>SUM(J46:J57)</f>
        <v>332.74754686285712</v>
      </c>
      <c r="K43" s="1748"/>
      <c r="L43" s="1747"/>
      <c r="M43" s="1617">
        <f>SUM(M46:M57)</f>
        <v>348.71234400571427</v>
      </c>
      <c r="N43" s="1746"/>
      <c r="O43" s="1745"/>
      <c r="P43" s="1614">
        <f>SUM(P46:P57)</f>
        <v>364.67714114857142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 t="shared" ref="Q46:Q57" si="10">$Q$2*H46</f>
        <v>10</v>
      </c>
    </row>
    <row r="47" spans="1:17" s="42" customFormat="1" ht="15" customHeight="1">
      <c r="A47" s="1306"/>
      <c r="B47" s="1726"/>
      <c r="C47" s="4835" t="s">
        <v>489</v>
      </c>
      <c r="D47" s="4836"/>
      <c r="E47" s="1725">
        <f>IF($C47=0,0,VLOOKUP($C47,'SDK3'!$C$24:$O$92,4,FALSE))</f>
        <v>120</v>
      </c>
      <c r="F47" s="1724">
        <f>IF($C47=0,0,VLOOKUP($C47,'SDK3'!$C$24:$O$92,12,FALSE))</f>
        <v>1.1399999999999999</v>
      </c>
      <c r="G47" s="1723">
        <f>IF($C47=0,0,VLOOKUP($C47,'SDK3'!$C$24:$O$92,13,FALSE))</f>
        <v>41.147674352941173</v>
      </c>
      <c r="H47" s="1720">
        <v>1</v>
      </c>
      <c r="I47" s="1719">
        <f t="shared" si="4"/>
        <v>1.1399999999999999</v>
      </c>
      <c r="J47" s="1718">
        <f t="shared" si="5"/>
        <v>41.147674352941173</v>
      </c>
      <c r="K47" s="1720">
        <v>1</v>
      </c>
      <c r="L47" s="1722">
        <f t="shared" si="6"/>
        <v>1.1399999999999999</v>
      </c>
      <c r="M47" s="1721">
        <f t="shared" si="7"/>
        <v>41.147674352941173</v>
      </c>
      <c r="N47" s="1720">
        <v>1</v>
      </c>
      <c r="O47" s="1719">
        <f t="shared" si="8"/>
        <v>1.1399999999999999</v>
      </c>
      <c r="P47" s="1718">
        <f t="shared" si="9"/>
        <v>41.147674352941173</v>
      </c>
      <c r="Q47" s="38">
        <f t="shared" si="10"/>
        <v>10</v>
      </c>
    </row>
    <row r="48" spans="1:17" s="42" customFormat="1" ht="15" customHeight="1">
      <c r="A48" s="1306"/>
      <c r="B48" s="1726"/>
      <c r="C48" s="4835" t="s">
        <v>395</v>
      </c>
      <c r="D48" s="4836"/>
      <c r="E48" s="1725">
        <f>IF($C48=0,0,VLOOKUP($C48,'SDK3'!$C$24:$O$92,4,FALSE))</f>
        <v>83</v>
      </c>
      <c r="F48" s="1724">
        <f>IF($C48=0,0,VLOOKUP($C48,'SDK3'!$C$24:$O$92,12,FALSE))</f>
        <v>1.1299999999999999</v>
      </c>
      <c r="G48" s="1723">
        <f>IF($C48=0,0,VLOOKUP($C48,'SDK3'!$C$24:$O$92,13,FALSE))</f>
        <v>30.192327569411763</v>
      </c>
      <c r="H48" s="1720">
        <v>1</v>
      </c>
      <c r="I48" s="1719">
        <f t="shared" si="4"/>
        <v>1.1299999999999999</v>
      </c>
      <c r="J48" s="1718">
        <f t="shared" si="5"/>
        <v>30.192327569411763</v>
      </c>
      <c r="K48" s="1720">
        <v>1</v>
      </c>
      <c r="L48" s="1722">
        <f t="shared" si="6"/>
        <v>1.1299999999999999</v>
      </c>
      <c r="M48" s="1721">
        <f t="shared" si="7"/>
        <v>30.192327569411763</v>
      </c>
      <c r="N48" s="1720">
        <v>1</v>
      </c>
      <c r="O48" s="1719">
        <f t="shared" si="8"/>
        <v>1.1299999999999999</v>
      </c>
      <c r="P48" s="1718">
        <f t="shared" si="9"/>
        <v>30.192327569411763</v>
      </c>
      <c r="Q48" s="38">
        <f t="shared" si="10"/>
        <v>10</v>
      </c>
    </row>
    <row r="49" spans="1:17" s="42" customFormat="1" ht="15" customHeight="1">
      <c r="A49" s="1306"/>
      <c r="B49" s="1726"/>
      <c r="C49" s="4835" t="s">
        <v>391</v>
      </c>
      <c r="D49" s="4836"/>
      <c r="E49" s="1725">
        <f>IF($C49=0,0,VLOOKUP($C49,'SDK3'!$C$24:$O$92,4,FALSE))</f>
        <v>54</v>
      </c>
      <c r="F49" s="1724">
        <f>IF($C49=0,0,VLOOKUP($C49,'SDK3'!$C$24:$O$92,12,FALSE))</f>
        <v>0.69</v>
      </c>
      <c r="G49" s="1723">
        <f>IF($C49=0,0,VLOOKUP($C49,'SDK3'!$C$24:$O$92,13,FALSE))</f>
        <v>11.827734988235294</v>
      </c>
      <c r="H49" s="1720">
        <v>1</v>
      </c>
      <c r="I49" s="1719">
        <f t="shared" si="4"/>
        <v>0.69</v>
      </c>
      <c r="J49" s="1718">
        <f t="shared" si="5"/>
        <v>11.827734988235294</v>
      </c>
      <c r="K49" s="1720">
        <v>1</v>
      </c>
      <c r="L49" s="1722">
        <f t="shared" si="6"/>
        <v>0.69</v>
      </c>
      <c r="M49" s="1721">
        <f t="shared" si="7"/>
        <v>11.827734988235294</v>
      </c>
      <c r="N49" s="1720">
        <v>1</v>
      </c>
      <c r="O49" s="1719">
        <f t="shared" si="8"/>
        <v>0.69</v>
      </c>
      <c r="P49" s="1718">
        <f t="shared" si="9"/>
        <v>11.827734988235294</v>
      </c>
      <c r="Q49" s="38">
        <f t="shared" si="10"/>
        <v>10</v>
      </c>
    </row>
    <row r="50" spans="1:17" s="42" customFormat="1" ht="15" customHeight="1">
      <c r="A50" s="1306"/>
      <c r="B50" s="1726"/>
      <c r="C50" s="4835" t="s">
        <v>467</v>
      </c>
      <c r="D50" s="4836"/>
      <c r="E50" s="1725">
        <f>IF($C50=0,0,VLOOKUP($C50,'SDK3'!$C$24:$O$92,4,FALSE))</f>
        <v>54</v>
      </c>
      <c r="F50" s="1724">
        <f>IF($C50=0,0,VLOOKUP($C50,'SDK3'!$C$24:$O$92,12,FALSE))</f>
        <v>0.32</v>
      </c>
      <c r="G50" s="1723">
        <f>IF($C50=0,0,VLOOKUP($C50,'SDK3'!$C$24:$O$92,13,FALSE))</f>
        <v>3.6014154164705885</v>
      </c>
      <c r="H50" s="1720">
        <v>2</v>
      </c>
      <c r="I50" s="1719">
        <f t="shared" si="4"/>
        <v>0.64</v>
      </c>
      <c r="J50" s="1718">
        <f t="shared" si="5"/>
        <v>7.202830832941177</v>
      </c>
      <c r="K50" s="1720">
        <v>2</v>
      </c>
      <c r="L50" s="1722">
        <f t="shared" si="6"/>
        <v>0.64</v>
      </c>
      <c r="M50" s="1721">
        <f t="shared" si="7"/>
        <v>7.202830832941177</v>
      </c>
      <c r="N50" s="1720">
        <v>2</v>
      </c>
      <c r="O50" s="1719">
        <f t="shared" si="8"/>
        <v>0.64</v>
      </c>
      <c r="P50" s="1718">
        <f t="shared" si="9"/>
        <v>7.202830832941177</v>
      </c>
      <c r="Q50" s="38">
        <f t="shared" si="10"/>
        <v>20</v>
      </c>
    </row>
    <row r="51" spans="1:17" s="42" customFormat="1" ht="15" customHeight="1">
      <c r="A51" s="1306"/>
      <c r="B51" s="1726"/>
      <c r="C51" s="4835" t="s">
        <v>456</v>
      </c>
      <c r="D51" s="4836"/>
      <c r="E51" s="1725">
        <f>IF($C51=0,0,VLOOKUP($C51,'SDK3'!$C$24:$O$92,4,FALSE))</f>
        <v>83</v>
      </c>
      <c r="F51" s="1724">
        <f>IF($C51=0,0,VLOOKUP($C51,'SDK3'!$C$24:$O$92,12,FALSE))</f>
        <v>0.36</v>
      </c>
      <c r="G51" s="1723">
        <f>IF($C51=0,0,VLOOKUP($C51,'SDK3'!$C$24:$O$92,13,FALSE))</f>
        <v>5.7672017035294116</v>
      </c>
      <c r="H51" s="1720">
        <v>10</v>
      </c>
      <c r="I51" s="1719">
        <f t="shared" si="4"/>
        <v>3.5999999999999996</v>
      </c>
      <c r="J51" s="1718">
        <f t="shared" si="5"/>
        <v>57.672017035294118</v>
      </c>
      <c r="K51" s="1720">
        <v>10</v>
      </c>
      <c r="L51" s="1722">
        <f t="shared" si="6"/>
        <v>3.5999999999999996</v>
      </c>
      <c r="M51" s="1721">
        <f t="shared" si="7"/>
        <v>57.672017035294118</v>
      </c>
      <c r="N51" s="1720">
        <v>10</v>
      </c>
      <c r="O51" s="1719">
        <f t="shared" si="8"/>
        <v>3.5999999999999996</v>
      </c>
      <c r="P51" s="1718">
        <f t="shared" si="9"/>
        <v>57.672017035294118</v>
      </c>
      <c r="Q51" s="38">
        <f t="shared" si="10"/>
        <v>100</v>
      </c>
    </row>
    <row r="52" spans="1:17" s="42" customFormat="1" ht="15" customHeight="1">
      <c r="A52" s="1306"/>
      <c r="B52" s="1726"/>
      <c r="C52" s="4835" t="s">
        <v>367</v>
      </c>
      <c r="D52" s="4836"/>
      <c r="E52" s="1725">
        <f>IF($C52=0,0,VLOOKUP($C52,'SDK3'!$C$24:$O$92,4,FALSE))</f>
        <v>102</v>
      </c>
      <c r="F52" s="1724">
        <f>IF($C52=0,0,VLOOKUP($C52,'SDK3'!$C$24:$O$92,12,FALSE))</f>
        <v>1.5</v>
      </c>
      <c r="G52" s="1723">
        <f>IF($C52=0,0,VLOOKUP($C52,'SDK3'!$C$24:$O$92,13,FALSE))</f>
        <v>33.526073999999994</v>
      </c>
      <c r="H52" s="1720">
        <f>$J$6/10/10.5</f>
        <v>3.8095238095238093</v>
      </c>
      <c r="I52" s="1719">
        <f t="shared" si="4"/>
        <v>5.7142857142857135</v>
      </c>
      <c r="J52" s="1718">
        <f t="shared" si="5"/>
        <v>127.71837714285711</v>
      </c>
      <c r="K52" s="1720">
        <f>$M$6/10/10.5</f>
        <v>4.2857142857142856</v>
      </c>
      <c r="L52" s="1722">
        <f t="shared" si="6"/>
        <v>6.4285714285714288</v>
      </c>
      <c r="M52" s="1721">
        <f t="shared" si="7"/>
        <v>143.68317428571424</v>
      </c>
      <c r="N52" s="1720">
        <f>$P$6/10/10.5</f>
        <v>4.7619047619047619</v>
      </c>
      <c r="O52" s="1719">
        <f t="shared" si="8"/>
        <v>7.1428571428571423</v>
      </c>
      <c r="P52" s="1718">
        <f t="shared" si="9"/>
        <v>159.6479714285714</v>
      </c>
      <c r="Q52" s="38">
        <f t="shared" si="10"/>
        <v>38.095238095238095</v>
      </c>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f t="shared" si="10"/>
        <v>0</v>
      </c>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f t="shared" si="10"/>
        <v>0</v>
      </c>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f t="shared" si="10"/>
        <v>0</v>
      </c>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f t="shared" si="10"/>
        <v>0</v>
      </c>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f t="shared" si="10"/>
        <v>0</v>
      </c>
    </row>
    <row r="58" spans="1:17" s="65" customFormat="1" ht="18.75" customHeight="1">
      <c r="A58" s="1373"/>
      <c r="B58" s="1276" t="s">
        <v>1223</v>
      </c>
      <c r="C58" s="1373"/>
      <c r="D58" s="1373"/>
      <c r="E58" s="1373"/>
      <c r="F58" s="38"/>
      <c r="G58" s="1620"/>
      <c r="H58" s="1697"/>
      <c r="I58" s="1696">
        <f>SUM($I$46:$I$57)</f>
        <v>14.374285714285714</v>
      </c>
      <c r="J58" s="1701"/>
      <c r="K58" s="1700"/>
      <c r="L58" s="1699">
        <f>SUM($L$46:$L$57)</f>
        <v>15.088571428571429</v>
      </c>
      <c r="M58" s="1698"/>
      <c r="N58" s="1697"/>
      <c r="O58" s="1696">
        <f>SUM($O$46:$O$57)</f>
        <v>15.802857142857142</v>
      </c>
      <c r="P58" s="1695"/>
      <c r="Q58" s="38"/>
    </row>
    <row r="59" spans="1:17" s="65" customFormat="1" ht="15" customHeight="1">
      <c r="A59" s="1373"/>
      <c r="B59" s="1694"/>
      <c r="C59" s="353"/>
      <c r="D59" s="280" t="s">
        <v>1222</v>
      </c>
      <c r="E59" s="1693">
        <v>80</v>
      </c>
      <c r="F59" s="353" t="s">
        <v>1221</v>
      </c>
      <c r="G59" s="1692"/>
      <c r="H59" s="1688"/>
      <c r="I59" s="1687">
        <f>IF(I58+SUM($I$46:$I$57)*$E$59%&gt;I58+10,I58+10,I58+SUM($I$46:$I$57)*$E$59%)</f>
        <v>24.374285714285712</v>
      </c>
      <c r="J59" s="1686"/>
      <c r="K59" s="1691"/>
      <c r="L59" s="1690">
        <f>IF(L58+SUM($L$46:$L$57)*$E$59%&gt;L58+10,L58+10,L58+SUM($L$46:$L$57)*$E$59%)</f>
        <v>25.088571428571427</v>
      </c>
      <c r="M59" s="1689"/>
      <c r="N59" s="1688"/>
      <c r="O59" s="1687">
        <f>IF(O58+SUM($O$46:$O$57)*$E$59%&gt;O58+10,O58+10,O58+SUM($O$46:$O$57)*$E$59%)</f>
        <v>25.802857142857142</v>
      </c>
      <c r="P59" s="1686"/>
      <c r="Q59" s="38"/>
    </row>
    <row r="60" spans="1:17" s="42" customFormat="1" ht="18.75" customHeight="1">
      <c r="A60" s="1306"/>
      <c r="B60" s="1276" t="s">
        <v>1220</v>
      </c>
      <c r="C60" s="1373"/>
      <c r="D60" s="1373"/>
      <c r="E60" s="45"/>
      <c r="F60" s="45"/>
      <c r="G60" s="1685"/>
      <c r="H60" s="1677"/>
      <c r="I60" s="1676"/>
      <c r="J60" s="1684">
        <f>IF(J6=0,0,SUM(I62:I64))</f>
        <v>600</v>
      </c>
      <c r="K60" s="1680"/>
      <c r="L60" s="1679"/>
      <c r="M60" s="1617">
        <f>IF(M6=0,0,SUM(L62:L64))</f>
        <v>600</v>
      </c>
      <c r="N60" s="1677"/>
      <c r="O60" s="1676"/>
      <c r="P60" s="1684">
        <f>IF(P6=0,0,SUM(O62:O64))</f>
        <v>600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336</v>
      </c>
      <c r="D62" s="4833"/>
      <c r="E62" s="4833"/>
      <c r="F62" s="1674">
        <f>IF($C62=0,0,VLOOKUP($C62,'SDK3'!$C$98:$D$119,2,FALSE))</f>
        <v>600</v>
      </c>
      <c r="G62" s="1673">
        <f>(100+$D$61)/100*F62</f>
        <v>600</v>
      </c>
      <c r="H62" s="227"/>
      <c r="I62" s="1669">
        <f>$G$62</f>
        <v>600</v>
      </c>
      <c r="J62" s="227"/>
      <c r="K62" s="1672"/>
      <c r="L62" s="1671">
        <f>$G$62</f>
        <v>600</v>
      </c>
      <c r="M62" s="1589"/>
      <c r="N62" s="1670"/>
      <c r="O62" s="1669">
        <f>$G$62</f>
        <v>600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425</v>
      </c>
      <c r="K65" s="1629"/>
      <c r="L65" s="1629"/>
      <c r="M65" s="1617">
        <f>K66*$E66</f>
        <v>425</v>
      </c>
      <c r="N65" s="73"/>
      <c r="O65" s="73"/>
      <c r="P65" s="1614">
        <f>N66*$E66</f>
        <v>425</v>
      </c>
      <c r="Q65" s="38" t="s">
        <v>1294</v>
      </c>
    </row>
    <row r="66" spans="1:20" s="708" customFormat="1" ht="15" customHeight="1">
      <c r="A66" s="1270"/>
      <c r="B66" s="1648"/>
      <c r="C66" s="1377"/>
      <c r="D66" s="280" t="s">
        <v>1060</v>
      </c>
      <c r="E66" s="1647">
        <v>8.5</v>
      </c>
      <c r="F66" s="1622"/>
      <c r="G66" s="1646" t="s">
        <v>516</v>
      </c>
      <c r="H66" s="1644">
        <v>50</v>
      </c>
      <c r="I66" s="1643"/>
      <c r="J66" s="1632"/>
      <c r="K66" s="1644">
        <v>50</v>
      </c>
      <c r="L66" s="1645"/>
      <c r="M66" s="1635"/>
      <c r="N66" s="1644">
        <v>50</v>
      </c>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104.55</v>
      </c>
      <c r="K69" s="1630"/>
      <c r="L69" s="1629"/>
      <c r="M69" s="1617">
        <f>K70*$F70/1000</f>
        <v>105.57</v>
      </c>
      <c r="N69" s="44"/>
      <c r="O69" s="73"/>
      <c r="P69" s="1614">
        <f>N70*$F70/1000</f>
        <v>115.5</v>
      </c>
      <c r="Q69" s="38"/>
    </row>
    <row r="70" spans="1:20" s="708" customFormat="1" ht="15" customHeight="1">
      <c r="A70" s="1270"/>
      <c r="B70" s="1332"/>
      <c r="C70" s="1331" t="s">
        <v>896</v>
      </c>
      <c r="D70" s="353"/>
      <c r="E70" s="280"/>
      <c r="F70" s="1628">
        <f>'SDK7'!G113</f>
        <v>15</v>
      </c>
      <c r="G70" s="1627" t="s">
        <v>171</v>
      </c>
      <c r="H70" s="1623">
        <f>I9+I10</f>
        <v>6970</v>
      </c>
      <c r="I70" s="1622"/>
      <c r="J70" s="1621"/>
      <c r="K70" s="1626">
        <f>L9+L10</f>
        <v>7038</v>
      </c>
      <c r="L70" s="1625"/>
      <c r="M70" s="1624"/>
      <c r="N70" s="1623">
        <f>O9+O10</f>
        <v>7700</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42.144534667892856</v>
      </c>
      <c r="K75" s="711"/>
      <c r="L75" s="1056"/>
      <c r="M75" s="1578">
        <f>(M23+M27+M34+M43+M60+M65+M67+M69+M71)*('SDK1'!$O$59%*$G$75/12)</f>
        <v>42.674012566702373</v>
      </c>
      <c r="N75" s="1580"/>
      <c r="O75" s="1579"/>
      <c r="P75" s="1578">
        <f>(P23+P27+P34+P43+P60+P65+P67+P69+P71)*('SDK1'!$O$59%*$G$75/12)</f>
        <v>43.259177965511903</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H159" s="1929"/>
      <c r="J159" s="1928"/>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6" orientation="portrait" r:id="rId1"/>
  <headerFooter alignWithMargins="0">
    <oddFooter>&amp;L&amp;11LEL Schwäbisch Gmünd&amp;C79&amp;R&amp;11&amp;F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3">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441.82055246032905</v>
      </c>
      <c r="K1" s="4859">
        <f>M1-J1</f>
        <v>712.18520313166573</v>
      </c>
      <c r="L1" s="4859"/>
      <c r="M1" s="1906">
        <f>(M7+M13+M18+M22+L11+L12)-(M23+M27+M34+M43+M60+M65+M67+M69+M71+M75)</f>
        <v>1154.0057555919948</v>
      </c>
      <c r="N1" s="4859">
        <f>P1-M1</f>
        <v>694.77818217416734</v>
      </c>
      <c r="O1" s="4859"/>
      <c r="P1" s="1906">
        <f>(P7+P13+P18+P22+O11+O12)-(P23+P27+P34+P43+P60+P65+P67+P69+P71+P75)</f>
        <v>1848.7839377661621</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37</v>
      </c>
      <c r="L2" s="4870"/>
      <c r="M2" s="4870"/>
      <c r="N2" s="4870"/>
      <c r="O2" s="4870"/>
      <c r="P2" s="4870"/>
      <c r="Q2" s="1920">
        <v>0</v>
      </c>
    </row>
    <row r="3" spans="1:41" s="1891" customFormat="1" ht="21.75" customHeight="1">
      <c r="A3" s="1895"/>
      <c r="B3" s="1919"/>
      <c r="H3" s="1902"/>
      <c r="J3" s="4866"/>
      <c r="K3" s="4867"/>
      <c r="L3" s="4867"/>
      <c r="M3" s="1960"/>
      <c r="N3" s="4871" t="str">
        <f>IF(AND(T3=TRUE,T4=TRUE),"nur 1 Strohnutzung möglich","")</f>
        <v/>
      </c>
      <c r="O3" s="4872"/>
      <c r="P3" s="1900"/>
      <c r="Q3" s="1895"/>
      <c r="T3" s="1918" t="b">
        <v>0</v>
      </c>
    </row>
    <row r="4" spans="1:41" s="1891" customFormat="1" ht="20.25" customHeight="1">
      <c r="A4" s="1895"/>
      <c r="B4" s="377" t="s">
        <v>1154</v>
      </c>
      <c r="C4" s="35"/>
      <c r="D4" s="35"/>
      <c r="E4" s="4830" t="s">
        <v>1295</v>
      </c>
      <c r="F4" s="4830"/>
      <c r="G4" s="4830"/>
      <c r="H4" s="4830"/>
      <c r="I4" s="4830"/>
      <c r="J4" s="4866"/>
      <c r="K4" s="4867"/>
      <c r="L4" s="4867"/>
      <c r="M4" s="1960"/>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450</v>
      </c>
      <c r="K6" s="4849" t="s">
        <v>152</v>
      </c>
      <c r="L6" s="4850"/>
      <c r="M6" s="1887">
        <v>500</v>
      </c>
      <c r="N6" s="4864" t="s">
        <v>178</v>
      </c>
      <c r="O6" s="4865"/>
      <c r="P6" s="1886">
        <v>550</v>
      </c>
      <c r="Q6" s="70"/>
    </row>
    <row r="7" spans="1:41" s="252" customFormat="1" ht="18.75" customHeight="1">
      <c r="A7" s="47"/>
      <c r="B7" s="311" t="s">
        <v>1258</v>
      </c>
      <c r="C7" s="47"/>
      <c r="D7" s="47"/>
      <c r="E7" s="47"/>
      <c r="F7" s="47"/>
      <c r="G7" s="1884"/>
      <c r="H7" s="1881"/>
      <c r="I7" s="1880"/>
      <c r="J7" s="1614">
        <f>SUM(I9:I10)</f>
        <v>7344</v>
      </c>
      <c r="K7" s="1883"/>
      <c r="L7" s="1882"/>
      <c r="M7" s="1617">
        <f>SUM(L9:L10)</f>
        <v>8150</v>
      </c>
      <c r="N7" s="1881"/>
      <c r="O7" s="1880"/>
      <c r="P7" s="1614">
        <f>SUM(O9:O10)</f>
        <v>8938</v>
      </c>
      <c r="Q7" s="38" t="s">
        <v>1287</v>
      </c>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t="s">
        <v>1298</v>
      </c>
    </row>
    <row r="9" spans="1:41" s="252" customFormat="1" ht="16.5" customHeight="1">
      <c r="A9" s="47"/>
      <c r="B9" s="311"/>
      <c r="C9" s="45" t="str">
        <f>IF('SDK1'!O9&gt;0,"Hauptprodukt (incl. MwSt.)","Hauptprodukt (ohne MwSt)")</f>
        <v>Hauptprodukt (ohne MwSt)</v>
      </c>
      <c r="D9" s="47"/>
      <c r="E9" s="47"/>
      <c r="F9" s="1878" t="s">
        <v>1257</v>
      </c>
      <c r="G9" s="1794">
        <f>'SDK1'!O42</f>
        <v>19</v>
      </c>
      <c r="H9" s="1877">
        <f>J6-H10</f>
        <v>383</v>
      </c>
      <c r="I9" s="1873">
        <f>H9*G9</f>
        <v>7277</v>
      </c>
      <c r="J9" s="43"/>
      <c r="K9" s="1876">
        <f>M6-K10</f>
        <v>425</v>
      </c>
      <c r="L9" s="1875">
        <f>K9*G9</f>
        <v>8075</v>
      </c>
      <c r="M9" s="1854"/>
      <c r="N9" s="1874">
        <f>P6-N10</f>
        <v>466</v>
      </c>
      <c r="O9" s="1873">
        <f>N9*G9</f>
        <v>8854</v>
      </c>
      <c r="P9" s="43"/>
      <c r="Q9" s="38" t="s">
        <v>1285</v>
      </c>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v>1</v>
      </c>
      <c r="H10" s="1866">
        <v>67</v>
      </c>
      <c r="I10" s="1865">
        <f>H10*G10</f>
        <v>67</v>
      </c>
      <c r="J10" s="1870"/>
      <c r="K10" s="1869">
        <v>75</v>
      </c>
      <c r="L10" s="1868">
        <f>K10*G10</f>
        <v>75</v>
      </c>
      <c r="M10" s="1867"/>
      <c r="N10" s="1866">
        <v>84</v>
      </c>
      <c r="O10" s="1865">
        <f>N10*G10</f>
        <v>84</v>
      </c>
      <c r="P10" s="1864"/>
      <c r="Q10" s="38" t="s">
        <v>1297</v>
      </c>
      <c r="R10" s="1863">
        <f>I10+I11+I12</f>
        <v>67</v>
      </c>
      <c r="S10" s="1862">
        <f>L10+L11+L12</f>
        <v>75</v>
      </c>
      <c r="T10" s="1861">
        <f>O10+O11+O12</f>
        <v>84</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4425</v>
      </c>
      <c r="K23" s="1619"/>
      <c r="L23" s="1618"/>
      <c r="M23" s="1800">
        <f>SUM(L25:L26)</f>
        <v>4425</v>
      </c>
      <c r="N23" s="1616"/>
      <c r="O23" s="1615"/>
      <c r="P23" s="1599">
        <f>SUM(O25:O26)</f>
        <v>4425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'SDK7'!F71</f>
        <v>177</v>
      </c>
      <c r="G25" s="1794">
        <f>F25*(100+$D$24)/100</f>
        <v>177</v>
      </c>
      <c r="H25" s="1793">
        <v>25</v>
      </c>
      <c r="I25" s="1754">
        <f>H25*$G25</f>
        <v>4425</v>
      </c>
      <c r="J25" s="45"/>
      <c r="K25" s="1793">
        <f>H25</f>
        <v>25</v>
      </c>
      <c r="L25" s="1596">
        <f>K25*$G25</f>
        <v>4425</v>
      </c>
      <c r="M25" s="1589"/>
      <c r="N25" s="1793">
        <f>H25</f>
        <v>25</v>
      </c>
      <c r="O25" s="1754">
        <f>N25*$G25</f>
        <v>4425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641.65166666666664</v>
      </c>
      <c r="K27" s="1748"/>
      <c r="L27" s="1747"/>
      <c r="M27" s="1617">
        <f>SUM(L30:L33)</f>
        <v>709.38333333333321</v>
      </c>
      <c r="N27" s="1746"/>
      <c r="O27" s="1745"/>
      <c r="P27" s="1614">
        <f>SUM(O30:O33)</f>
        <v>777.1149999999999</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1282</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0.35</v>
      </c>
      <c r="F30" s="1774">
        <f>VLOOKUP(K2,'SD8'!B9:L42,7,FALSE)</f>
        <v>0.20000000000000007</v>
      </c>
      <c r="G30" s="1773">
        <v>20</v>
      </c>
      <c r="H30" s="1771">
        <f>IF(J$6=0,0,(J$6*$E30+$G30+X14))</f>
        <v>177.5</v>
      </c>
      <c r="I30" s="1754">
        <f>H30*$D30</f>
        <v>284.59166666666664</v>
      </c>
      <c r="J30" s="45"/>
      <c r="K30" s="1772">
        <f>IF(M$6=0,0,(M$6*$E30+$G30+Y14))</f>
        <v>195</v>
      </c>
      <c r="L30" s="1596">
        <f>K30*$D30</f>
        <v>312.64999999999992</v>
      </c>
      <c r="M30" s="1589"/>
      <c r="N30" s="1771">
        <f>IF(P$6=0,0,(P$6*$E30+$G30+Z14))</f>
        <v>212.5</v>
      </c>
      <c r="O30" s="1754">
        <f>N30*$D30</f>
        <v>340.70833333333326</v>
      </c>
      <c r="P30" s="1718"/>
      <c r="Q30" s="38"/>
    </row>
    <row r="31" spans="1:26" s="42" customFormat="1" ht="15" customHeight="1">
      <c r="A31" s="1306"/>
      <c r="B31" s="274"/>
      <c r="C31" s="1306" t="s">
        <v>244</v>
      </c>
      <c r="D31" s="1723">
        <f>'SDK1'!O53</f>
        <v>1.0999999999999999</v>
      </c>
      <c r="E31" s="1774">
        <f>VLOOKUP(K2,'SD8'!B9:L42,4,FALSE)</f>
        <v>0.14000000000000001</v>
      </c>
      <c r="F31" s="1774">
        <f>VLOOKUP(K2,'SD8'!B9:L42,8,FALSE)</f>
        <v>9.9999999999999811E-3</v>
      </c>
      <c r="G31" s="1773"/>
      <c r="H31" s="1771">
        <f>IF(J$6=0,0,(J$6*$E31+$G31+X15))</f>
        <v>63.000000000000007</v>
      </c>
      <c r="I31" s="1754">
        <f>H31*$D31</f>
        <v>69.3</v>
      </c>
      <c r="J31" s="45"/>
      <c r="K31" s="1772">
        <f>IF(M$6=0,0,(M$6*$E31+$G31+Y15))</f>
        <v>70</v>
      </c>
      <c r="L31" s="1596">
        <f>K31*$D31</f>
        <v>76.999999999999986</v>
      </c>
      <c r="M31" s="1589"/>
      <c r="N31" s="1771">
        <f>IF(P$6=0,0,(P$6*$E31+$G31+Z15))</f>
        <v>77.000000000000014</v>
      </c>
      <c r="O31" s="1754">
        <f>N31*$D31</f>
        <v>84.7</v>
      </c>
      <c r="P31" s="1718"/>
      <c r="Q31" s="38"/>
    </row>
    <row r="32" spans="1:26" s="42" customFormat="1" ht="15" customHeight="1">
      <c r="A32" s="1306"/>
      <c r="B32" s="274"/>
      <c r="C32" s="1306" t="s">
        <v>242</v>
      </c>
      <c r="D32" s="1723">
        <f>'SDK1'!O54</f>
        <v>1.02</v>
      </c>
      <c r="E32" s="1774">
        <f>VLOOKUP(K2,'SD8'!B9:L42,5,FALSE)</f>
        <v>0.6</v>
      </c>
      <c r="F32" s="1774">
        <f>VLOOKUP(K2,'SD8'!B9:L42,9,FALSE)</f>
        <v>0</v>
      </c>
      <c r="G32" s="1773"/>
      <c r="H32" s="1771">
        <f>IF(J$6=0,0,(J$6*$E32+$G32+X16))</f>
        <v>270</v>
      </c>
      <c r="I32" s="1754">
        <f>H32*$D32</f>
        <v>275.39999999999998</v>
      </c>
      <c r="J32" s="45"/>
      <c r="K32" s="1772">
        <f>IF(M$6=0,0,(M$6*$E32+$G32+Y16))</f>
        <v>300</v>
      </c>
      <c r="L32" s="1596">
        <f>K32*$D32</f>
        <v>306</v>
      </c>
      <c r="M32" s="1589"/>
      <c r="N32" s="1771">
        <f>IF(P$6=0,0,(P$6*$E32+$G32+Z16))</f>
        <v>330</v>
      </c>
      <c r="O32" s="1754">
        <f>N32*$D32</f>
        <v>336.6</v>
      </c>
      <c r="P32" s="1718"/>
      <c r="Q32" s="38"/>
    </row>
    <row r="33" spans="1:17" s="42" customFormat="1" ht="15" customHeight="1">
      <c r="A33" s="1306"/>
      <c r="B33" s="239"/>
      <c r="C33" s="1331" t="s">
        <v>240</v>
      </c>
      <c r="D33" s="1706">
        <f>'SDK1'!O55</f>
        <v>0.68666666666666676</v>
      </c>
      <c r="E33" s="1770">
        <f>VLOOKUP(K2,'SD8'!B9:L42,6,FALSE)</f>
        <v>0.04</v>
      </c>
      <c r="F33" s="1770">
        <f>VLOOKUP(K2,'SD8'!B9:L40,10,FALSE)</f>
        <v>0</v>
      </c>
      <c r="G33" s="1769"/>
      <c r="H33" s="1767">
        <f>IF(J$6=0,0,(J$6*$E33+$G33+X17))</f>
        <v>18</v>
      </c>
      <c r="I33" s="1750">
        <f>H33*$D33</f>
        <v>12.360000000000001</v>
      </c>
      <c r="J33" s="45"/>
      <c r="K33" s="1768">
        <f>IF(M$6=0,0,(M$6*$E33+$G33+Y17))</f>
        <v>20</v>
      </c>
      <c r="L33" s="1590">
        <f>K33*$D33</f>
        <v>13.733333333333334</v>
      </c>
      <c r="M33" s="1589"/>
      <c r="N33" s="1767">
        <f>IF(P$6=0,0,(P$6*$E33+$G33+Z17))</f>
        <v>22</v>
      </c>
      <c r="O33" s="1750">
        <f>N33*$D33</f>
        <v>15.106666666666669</v>
      </c>
      <c r="P33" s="1749"/>
      <c r="Q33" s="38"/>
    </row>
    <row r="34" spans="1:17" s="708" customFormat="1" ht="18.75" customHeight="1">
      <c r="A34" s="1270"/>
      <c r="B34" s="1276" t="s">
        <v>1234</v>
      </c>
      <c r="C34" s="1270"/>
      <c r="D34" s="37"/>
      <c r="E34" s="37"/>
      <c r="F34" s="4831" t="s">
        <v>1233</v>
      </c>
      <c r="G34" s="4832"/>
      <c r="H34" s="1764"/>
      <c r="I34" s="1763"/>
      <c r="J34" s="1614">
        <f>SUM(I36:I42)</f>
        <v>279.82</v>
      </c>
      <c r="K34" s="1766"/>
      <c r="L34" s="1765"/>
      <c r="M34" s="1617">
        <f>SUM(L36:L42)</f>
        <v>279.82</v>
      </c>
      <c r="N34" s="1764"/>
      <c r="O34" s="1763"/>
      <c r="P34" s="1614">
        <f>SUM(O36:O42)</f>
        <v>279.82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711</v>
      </c>
      <c r="D36" s="4857"/>
      <c r="E36" s="4858"/>
      <c r="F36" s="1756">
        <f>IF(C36="",0,VLOOKUP(C36,'SDK5'!C3:AF83,2,FALSE))</f>
        <v>27.7</v>
      </c>
      <c r="G36" s="1756">
        <f t="shared" ref="G36:G42" si="0">F36*(100+$D$35)/100</f>
        <v>27.7</v>
      </c>
      <c r="H36" s="1755">
        <v>3.5</v>
      </c>
      <c r="I36" s="1754">
        <f t="shared" ref="I36:I42" si="1">$G36*H36</f>
        <v>96.95</v>
      </c>
      <c r="J36" s="45"/>
      <c r="K36" s="1755">
        <v>3.5</v>
      </c>
      <c r="L36" s="1596">
        <f t="shared" ref="L36:L42" si="2">$G36*K36</f>
        <v>96.95</v>
      </c>
      <c r="M36" s="1589"/>
      <c r="N36" s="1755">
        <v>3.5</v>
      </c>
      <c r="O36" s="1754">
        <f t="shared" ref="O36:O42" si="3">$G36*N36</f>
        <v>96.95</v>
      </c>
      <c r="P36" s="1758"/>
      <c r="Q36" s="38"/>
    </row>
    <row r="37" spans="1:17" s="42" customFormat="1" ht="15" customHeight="1">
      <c r="A37" s="1306"/>
      <c r="B37" s="1594"/>
      <c r="C37" s="4855" t="s">
        <v>661</v>
      </c>
      <c r="D37" s="4855"/>
      <c r="E37" s="4856"/>
      <c r="F37" s="1756">
        <f>IF(C37="",0,VLOOKUP(C37,'SDK5'!C4:AF84,2,FALSE))</f>
        <v>52.5</v>
      </c>
      <c r="G37" s="1756">
        <f t="shared" si="0"/>
        <v>52.5</v>
      </c>
      <c r="H37" s="1755">
        <v>0.4</v>
      </c>
      <c r="I37" s="1754">
        <f t="shared" si="1"/>
        <v>21</v>
      </c>
      <c r="J37" s="45"/>
      <c r="K37" s="1755">
        <v>0.4</v>
      </c>
      <c r="L37" s="1596">
        <f t="shared" si="2"/>
        <v>21</v>
      </c>
      <c r="M37" s="1589"/>
      <c r="N37" s="1755">
        <v>0.4</v>
      </c>
      <c r="O37" s="1754">
        <f t="shared" si="3"/>
        <v>21</v>
      </c>
      <c r="P37" s="1718"/>
      <c r="Q37" s="38"/>
    </row>
    <row r="38" spans="1:17" s="42" customFormat="1" ht="15" customHeight="1">
      <c r="A38" s="1306"/>
      <c r="B38" s="1757"/>
      <c r="C38" s="4855" t="s">
        <v>368</v>
      </c>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t="s">
        <v>673</v>
      </c>
      <c r="D39" s="4855"/>
      <c r="E39" s="4856"/>
      <c r="F39" s="1756">
        <f>IF(C39="",0,VLOOKUP(C39,'SDK5'!C6:AF86,2,FALSE))</f>
        <v>11.2</v>
      </c>
      <c r="G39" s="1756">
        <f t="shared" si="0"/>
        <v>11.2</v>
      </c>
      <c r="H39" s="1755">
        <v>3.6</v>
      </c>
      <c r="I39" s="1754">
        <f t="shared" si="1"/>
        <v>40.32</v>
      </c>
      <c r="J39" s="45"/>
      <c r="K39" s="1755">
        <v>3.6</v>
      </c>
      <c r="L39" s="1596">
        <f t="shared" si="2"/>
        <v>40.32</v>
      </c>
      <c r="M39" s="1589"/>
      <c r="N39" s="1755">
        <v>3.6</v>
      </c>
      <c r="O39" s="1754">
        <f t="shared" si="3"/>
        <v>40.32</v>
      </c>
      <c r="P39" s="1718"/>
      <c r="Q39" s="38"/>
    </row>
    <row r="40" spans="1:17" s="42" customFormat="1" ht="15" customHeight="1">
      <c r="A40" s="1306"/>
      <c r="B40" s="1594"/>
      <c r="C40" s="4855" t="s">
        <v>660</v>
      </c>
      <c r="D40" s="4855"/>
      <c r="E40" s="4856"/>
      <c r="F40" s="1756">
        <f>IF(C40="",0,VLOOKUP(C40,'SDK5'!C7:AF87,2,FALSE))</f>
        <v>40</v>
      </c>
      <c r="G40" s="1756">
        <f t="shared" si="0"/>
        <v>40</v>
      </c>
      <c r="H40" s="1755">
        <v>1.6</v>
      </c>
      <c r="I40" s="1754">
        <f t="shared" si="1"/>
        <v>64</v>
      </c>
      <c r="J40" s="45"/>
      <c r="K40" s="1755">
        <v>1.6</v>
      </c>
      <c r="L40" s="1596">
        <f t="shared" si="2"/>
        <v>64</v>
      </c>
      <c r="M40" s="1589"/>
      <c r="N40" s="1755">
        <v>1.6</v>
      </c>
      <c r="O40" s="1754">
        <f t="shared" si="3"/>
        <v>64</v>
      </c>
      <c r="P40" s="1718"/>
      <c r="Q40" s="38"/>
    </row>
    <row r="41" spans="1:17" s="42" customFormat="1" ht="15" customHeight="1">
      <c r="A41" s="1306"/>
      <c r="B41" s="1594"/>
      <c r="C41" s="4855" t="s">
        <v>696</v>
      </c>
      <c r="D41" s="4855"/>
      <c r="E41" s="4856"/>
      <c r="F41" s="1756">
        <f>IF(C41="",0,VLOOKUP(C41,'SDK5'!C8:AF88,2,FALSE))</f>
        <v>357.3</v>
      </c>
      <c r="G41" s="1756">
        <f t="shared" si="0"/>
        <v>357.3</v>
      </c>
      <c r="H41" s="1755">
        <v>0.06</v>
      </c>
      <c r="I41" s="1754">
        <f t="shared" si="1"/>
        <v>21.437999999999999</v>
      </c>
      <c r="J41" s="45"/>
      <c r="K41" s="1755">
        <v>0.06</v>
      </c>
      <c r="L41" s="1596">
        <f t="shared" si="2"/>
        <v>21.437999999999999</v>
      </c>
      <c r="M41" s="1589"/>
      <c r="N41" s="1755">
        <v>0.06</v>
      </c>
      <c r="O41" s="1754">
        <f t="shared" si="3"/>
        <v>21.437999999999999</v>
      </c>
      <c r="P41" s="1718"/>
      <c r="Q41" s="38"/>
    </row>
    <row r="42" spans="1:17" s="42" customFormat="1" ht="15" customHeight="1">
      <c r="A42" s="1306"/>
      <c r="B42" s="1753"/>
      <c r="C42" s="4860" t="s">
        <v>656</v>
      </c>
      <c r="D42" s="4860"/>
      <c r="E42" s="4861"/>
      <c r="F42" s="1756">
        <f>IF(C42="",0,VLOOKUP(C42,'SDK5'!C9:AF89,2,FALSE))</f>
        <v>225.7</v>
      </c>
      <c r="G42" s="1752">
        <f t="shared" si="0"/>
        <v>225.7</v>
      </c>
      <c r="H42" s="1751">
        <v>0.16</v>
      </c>
      <c r="I42" s="1750">
        <f t="shared" si="1"/>
        <v>36.112000000000002</v>
      </c>
      <c r="J42" s="45"/>
      <c r="K42" s="1751">
        <v>0.16</v>
      </c>
      <c r="L42" s="1590">
        <f t="shared" si="2"/>
        <v>36.112000000000002</v>
      </c>
      <c r="M42" s="1589"/>
      <c r="N42" s="1751">
        <v>0.16</v>
      </c>
      <c r="O42" s="1750">
        <f t="shared" si="3"/>
        <v>36.112000000000002</v>
      </c>
      <c r="P42" s="1749"/>
      <c r="Q42" s="38"/>
    </row>
    <row r="43" spans="1:17" s="708" customFormat="1" ht="18.75" customHeight="1">
      <c r="A43" s="1270"/>
      <c r="B43" s="1276" t="s">
        <v>1231</v>
      </c>
      <c r="C43" s="1270"/>
      <c r="D43" s="1270"/>
      <c r="E43" s="1270"/>
      <c r="F43" s="1270"/>
      <c r="G43" s="1620"/>
      <c r="H43" s="1746"/>
      <c r="I43" s="1745"/>
      <c r="J43" s="1614">
        <f>SUM(J46:J57)</f>
        <v>475.24852964605037</v>
      </c>
      <c r="K43" s="1748"/>
      <c r="L43" s="1747"/>
      <c r="M43" s="1617">
        <f>SUM(M46:M57)</f>
        <v>488.65895924605036</v>
      </c>
      <c r="N43" s="1746"/>
      <c r="O43" s="1745"/>
      <c r="P43" s="1614">
        <f>SUM(P46:P57)</f>
        <v>501.75009290319326</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 t="shared" ref="Q46:Q57" si="10">$Q$2*H46</f>
        <v>0</v>
      </c>
    </row>
    <row r="47" spans="1:17" s="42" customFormat="1" ht="15" customHeight="1">
      <c r="A47" s="1306"/>
      <c r="B47" s="1726"/>
      <c r="C47" s="4835" t="s">
        <v>489</v>
      </c>
      <c r="D47" s="4836"/>
      <c r="E47" s="1725">
        <f>IF($C47=0,0,VLOOKUP($C47,'SDK3'!$C$24:$O$92,4,FALSE))</f>
        <v>120</v>
      </c>
      <c r="F47" s="1724">
        <f>IF($C47=0,0,VLOOKUP($C47,'SDK3'!$C$24:$O$92,12,FALSE))</f>
        <v>1.1399999999999999</v>
      </c>
      <c r="G47" s="1723">
        <f>IF($C47=0,0,VLOOKUP($C47,'SDK3'!$C$24:$O$92,13,FALSE))</f>
        <v>41.147674352941173</v>
      </c>
      <c r="H47" s="1720">
        <v>1</v>
      </c>
      <c r="I47" s="1719">
        <f t="shared" si="4"/>
        <v>1.1399999999999999</v>
      </c>
      <c r="J47" s="1718">
        <f t="shared" si="5"/>
        <v>41.147674352941173</v>
      </c>
      <c r="K47" s="1720">
        <v>1</v>
      </c>
      <c r="L47" s="1722">
        <f t="shared" si="6"/>
        <v>1.1399999999999999</v>
      </c>
      <c r="M47" s="1721">
        <f t="shared" si="7"/>
        <v>41.147674352941173</v>
      </c>
      <c r="N47" s="1720">
        <v>1</v>
      </c>
      <c r="O47" s="1719">
        <f t="shared" si="8"/>
        <v>1.1399999999999999</v>
      </c>
      <c r="P47" s="1718">
        <f t="shared" si="9"/>
        <v>41.147674352941173</v>
      </c>
      <c r="Q47" s="38">
        <f t="shared" si="10"/>
        <v>0</v>
      </c>
    </row>
    <row r="48" spans="1:17" s="42" customFormat="1" ht="15" customHeight="1">
      <c r="A48" s="1306"/>
      <c r="B48" s="1726"/>
      <c r="C48" s="4835" t="s">
        <v>395</v>
      </c>
      <c r="D48" s="4836"/>
      <c r="E48" s="1725">
        <f>IF($C48=0,0,VLOOKUP($C48,'SDK3'!$C$24:$O$92,4,FALSE))</f>
        <v>83</v>
      </c>
      <c r="F48" s="1724">
        <f>IF($C48=0,0,VLOOKUP($C48,'SDK3'!$C$24:$O$92,12,FALSE))</f>
        <v>1.1299999999999999</v>
      </c>
      <c r="G48" s="1723">
        <f>IF($C48=0,0,VLOOKUP($C48,'SDK3'!$C$24:$O$92,13,FALSE))</f>
        <v>30.192327569411763</v>
      </c>
      <c r="H48" s="1720">
        <v>1</v>
      </c>
      <c r="I48" s="1719">
        <f t="shared" si="4"/>
        <v>1.1299999999999999</v>
      </c>
      <c r="J48" s="1718">
        <f t="shared" si="5"/>
        <v>30.192327569411763</v>
      </c>
      <c r="K48" s="1720">
        <v>1</v>
      </c>
      <c r="L48" s="1722">
        <f t="shared" si="6"/>
        <v>1.1299999999999999</v>
      </c>
      <c r="M48" s="1721">
        <f t="shared" si="7"/>
        <v>30.192327569411763</v>
      </c>
      <c r="N48" s="1720">
        <v>1</v>
      </c>
      <c r="O48" s="1719">
        <f t="shared" si="8"/>
        <v>1.1299999999999999</v>
      </c>
      <c r="P48" s="1718">
        <f t="shared" si="9"/>
        <v>30.192327569411763</v>
      </c>
      <c r="Q48" s="38">
        <f t="shared" si="10"/>
        <v>0</v>
      </c>
    </row>
    <row r="49" spans="1:17" s="42" customFormat="1" ht="15" customHeight="1">
      <c r="A49" s="1306"/>
      <c r="B49" s="1726"/>
      <c r="C49" s="4835" t="s">
        <v>391</v>
      </c>
      <c r="D49" s="4836"/>
      <c r="E49" s="1725">
        <f>IF($C49=0,0,VLOOKUP($C49,'SDK3'!$C$24:$O$92,4,FALSE))</f>
        <v>54</v>
      </c>
      <c r="F49" s="1724">
        <f>IF($C49=0,0,VLOOKUP($C49,'SDK3'!$C$24:$O$92,12,FALSE))</f>
        <v>0.69</v>
      </c>
      <c r="G49" s="1723">
        <f>IF($C49=0,0,VLOOKUP($C49,'SDK3'!$C$24:$O$92,13,FALSE))</f>
        <v>11.827734988235294</v>
      </c>
      <c r="H49" s="1720">
        <v>1</v>
      </c>
      <c r="I49" s="1719">
        <f t="shared" si="4"/>
        <v>0.69</v>
      </c>
      <c r="J49" s="1718">
        <f t="shared" si="5"/>
        <v>11.827734988235294</v>
      </c>
      <c r="K49" s="1720">
        <v>1</v>
      </c>
      <c r="L49" s="1722">
        <f t="shared" si="6"/>
        <v>0.69</v>
      </c>
      <c r="M49" s="1721">
        <f t="shared" si="7"/>
        <v>11.827734988235294</v>
      </c>
      <c r="N49" s="1720">
        <v>1</v>
      </c>
      <c r="O49" s="1719">
        <f t="shared" si="8"/>
        <v>0.69</v>
      </c>
      <c r="P49" s="1718">
        <f t="shared" si="9"/>
        <v>11.827734988235294</v>
      </c>
      <c r="Q49" s="38">
        <f t="shared" si="10"/>
        <v>0</v>
      </c>
    </row>
    <row r="50" spans="1:17" s="42" customFormat="1" ht="15" customHeight="1">
      <c r="A50" s="1306"/>
      <c r="B50" s="1726"/>
      <c r="C50" s="4835" t="s">
        <v>358</v>
      </c>
      <c r="D50" s="4836"/>
      <c r="E50" s="1725">
        <f>IF($C50=0,0,VLOOKUP($C50,'SDK3'!$C$24:$O$92,4,FALSE))</f>
        <v>54</v>
      </c>
      <c r="F50" s="1724">
        <f>IF($C50=0,0,VLOOKUP($C50,'SDK3'!$C$24:$O$92,12,FALSE))</f>
        <v>10.19</v>
      </c>
      <c r="G50" s="1723">
        <f>IF($C50=0,0,VLOOKUP($C50,'SDK3'!$C$24:$O$92,13,FALSE))</f>
        <v>147.92901381176469</v>
      </c>
      <c r="H50" s="1720">
        <v>1</v>
      </c>
      <c r="I50" s="1719">
        <f t="shared" si="4"/>
        <v>10.19</v>
      </c>
      <c r="J50" s="1718">
        <f t="shared" si="5"/>
        <v>147.92901381176469</v>
      </c>
      <c r="K50" s="1720">
        <v>1</v>
      </c>
      <c r="L50" s="1722">
        <f t="shared" si="6"/>
        <v>10.19</v>
      </c>
      <c r="M50" s="1721">
        <f t="shared" si="7"/>
        <v>147.92901381176469</v>
      </c>
      <c r="N50" s="1720">
        <v>1</v>
      </c>
      <c r="O50" s="1719">
        <f t="shared" si="8"/>
        <v>10.19</v>
      </c>
      <c r="P50" s="1718">
        <f t="shared" si="9"/>
        <v>147.92901381176469</v>
      </c>
      <c r="Q50" s="38">
        <f t="shared" si="10"/>
        <v>0</v>
      </c>
    </row>
    <row r="51" spans="1:17" s="42" customFormat="1" ht="15" customHeight="1">
      <c r="A51" s="1306"/>
      <c r="B51" s="1726"/>
      <c r="C51" s="4835" t="s">
        <v>467</v>
      </c>
      <c r="D51" s="4836"/>
      <c r="E51" s="1725">
        <f>IF($C51=0,0,VLOOKUP($C51,'SDK3'!$C$24:$O$92,4,FALSE))</f>
        <v>54</v>
      </c>
      <c r="F51" s="1724">
        <f>IF($C51=0,0,VLOOKUP($C51,'SDK3'!$C$24:$O$92,12,FALSE))</f>
        <v>0.32</v>
      </c>
      <c r="G51" s="1723">
        <f>IF($C51=0,0,VLOOKUP($C51,'SDK3'!$C$24:$O$92,13,FALSE))</f>
        <v>3.6014154164705885</v>
      </c>
      <c r="H51" s="1720">
        <v>2</v>
      </c>
      <c r="I51" s="1719">
        <f t="shared" si="4"/>
        <v>0.64</v>
      </c>
      <c r="J51" s="1718">
        <f t="shared" si="5"/>
        <v>7.202830832941177</v>
      </c>
      <c r="K51" s="1720">
        <v>2</v>
      </c>
      <c r="L51" s="1722">
        <f t="shared" si="6"/>
        <v>0.64</v>
      </c>
      <c r="M51" s="1721">
        <f t="shared" si="7"/>
        <v>7.202830832941177</v>
      </c>
      <c r="N51" s="1720">
        <v>2</v>
      </c>
      <c r="O51" s="1719">
        <f t="shared" si="8"/>
        <v>0.64</v>
      </c>
      <c r="P51" s="1718">
        <f t="shared" si="9"/>
        <v>7.202830832941177</v>
      </c>
      <c r="Q51" s="38">
        <f t="shared" si="10"/>
        <v>0</v>
      </c>
    </row>
    <row r="52" spans="1:17" s="42" customFormat="1" ht="15" customHeight="1">
      <c r="A52" s="1306"/>
      <c r="B52" s="1726"/>
      <c r="C52" s="4835" t="s">
        <v>456</v>
      </c>
      <c r="D52" s="4836"/>
      <c r="E52" s="1725">
        <f>IF($C52=0,0,VLOOKUP($C52,'SDK3'!$C$24:$O$92,4,FALSE))</f>
        <v>83</v>
      </c>
      <c r="F52" s="1724">
        <f>IF($C52=0,0,VLOOKUP($C52,'SDK3'!$C$24:$O$92,12,FALSE))</f>
        <v>0.36</v>
      </c>
      <c r="G52" s="1723">
        <f>IF($C52=0,0,VLOOKUP($C52,'SDK3'!$C$24:$O$92,13,FALSE))</f>
        <v>5.7672017035294116</v>
      </c>
      <c r="H52" s="1720">
        <v>10</v>
      </c>
      <c r="I52" s="1719">
        <f t="shared" si="4"/>
        <v>3.5999999999999996</v>
      </c>
      <c r="J52" s="1718">
        <f t="shared" si="5"/>
        <v>57.672017035294118</v>
      </c>
      <c r="K52" s="1720">
        <v>10</v>
      </c>
      <c r="L52" s="1722">
        <f t="shared" si="6"/>
        <v>3.5999999999999996</v>
      </c>
      <c r="M52" s="1721">
        <f t="shared" si="7"/>
        <v>57.672017035294118</v>
      </c>
      <c r="N52" s="1720">
        <v>10</v>
      </c>
      <c r="O52" s="1719">
        <f t="shared" si="8"/>
        <v>3.5999999999999996</v>
      </c>
      <c r="P52" s="1718">
        <f t="shared" si="9"/>
        <v>57.672017035294118</v>
      </c>
      <c r="Q52" s="38">
        <f t="shared" si="10"/>
        <v>0</v>
      </c>
    </row>
    <row r="53" spans="1:17" s="42" customFormat="1" ht="15" customHeight="1">
      <c r="A53" s="1306"/>
      <c r="B53" s="1726"/>
      <c r="C53" s="4835" t="s">
        <v>367</v>
      </c>
      <c r="D53" s="4836"/>
      <c r="E53" s="1725">
        <f>IF($C53=0,0,VLOOKUP($C53,'SDK3'!$C$24:$O$92,4,FALSE))</f>
        <v>102</v>
      </c>
      <c r="F53" s="1724">
        <f>IF($C53=0,0,VLOOKUP($C53,'SDK3'!$C$24:$O$92,12,FALSE))</f>
        <v>1.5</v>
      </c>
      <c r="G53" s="1723">
        <f>IF($C53=0,0,VLOOKUP($C53,'SDK3'!$C$24:$O$92,13,FALSE))</f>
        <v>33.526073999999994</v>
      </c>
      <c r="H53" s="1720">
        <f>$H$9/10/10.5</f>
        <v>3.6476190476190475</v>
      </c>
      <c r="I53" s="1719">
        <f t="shared" si="4"/>
        <v>5.4714285714285715</v>
      </c>
      <c r="J53" s="1718">
        <f t="shared" si="5"/>
        <v>122.2903461142857</v>
      </c>
      <c r="K53" s="1720">
        <f>$K$9/10/10.5</f>
        <v>4.0476190476190474</v>
      </c>
      <c r="L53" s="1722">
        <f t="shared" si="6"/>
        <v>6.0714285714285712</v>
      </c>
      <c r="M53" s="1721">
        <f t="shared" si="7"/>
        <v>135.7007757142857</v>
      </c>
      <c r="N53" s="1720">
        <f>$N$9/10/10.5</f>
        <v>4.4380952380952383</v>
      </c>
      <c r="O53" s="1719">
        <f t="shared" si="8"/>
        <v>6.6571428571428575</v>
      </c>
      <c r="P53" s="1718">
        <f t="shared" si="9"/>
        <v>148.79190937142855</v>
      </c>
      <c r="Q53" s="38">
        <f t="shared" si="10"/>
        <v>0</v>
      </c>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f t="shared" si="10"/>
        <v>0</v>
      </c>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f t="shared" si="10"/>
        <v>0</v>
      </c>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f t="shared" si="10"/>
        <v>0</v>
      </c>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f t="shared" si="10"/>
        <v>0</v>
      </c>
    </row>
    <row r="58" spans="1:17" s="65" customFormat="1" ht="18.75" customHeight="1">
      <c r="A58" s="1373"/>
      <c r="B58" s="1276" t="s">
        <v>1223</v>
      </c>
      <c r="C58" s="1373"/>
      <c r="D58" s="1373"/>
      <c r="E58" s="1373"/>
      <c r="F58" s="38"/>
      <c r="G58" s="1620"/>
      <c r="H58" s="1697"/>
      <c r="I58" s="1696">
        <f>SUM($I$46:$I$57)</f>
        <v>24.321428571428573</v>
      </c>
      <c r="J58" s="1701"/>
      <c r="K58" s="1700"/>
      <c r="L58" s="1699">
        <f>SUM($L$46:$L$57)</f>
        <v>24.921428571428571</v>
      </c>
      <c r="M58" s="1698"/>
      <c r="N58" s="1697"/>
      <c r="O58" s="1696">
        <f>SUM($O$46:$O$57)</f>
        <v>25.50714285714286</v>
      </c>
      <c r="P58" s="1695"/>
      <c r="Q58" s="38"/>
    </row>
    <row r="59" spans="1:17" s="65" customFormat="1" ht="15" customHeight="1">
      <c r="A59" s="1373"/>
      <c r="B59" s="1694"/>
      <c r="C59" s="353"/>
      <c r="D59" s="280" t="s">
        <v>1222</v>
      </c>
      <c r="E59" s="1693">
        <v>80</v>
      </c>
      <c r="F59" s="353" t="s">
        <v>1221</v>
      </c>
      <c r="G59" s="1692"/>
      <c r="H59" s="1688"/>
      <c r="I59" s="1687">
        <f>IF(I58+SUM($I$46:$I$57)*$E$59%&gt;I58+10,I58+10,I58+SUM($I$46:$I$57)*$E$59%)</f>
        <v>34.321428571428569</v>
      </c>
      <c r="J59" s="1686"/>
      <c r="K59" s="1691"/>
      <c r="L59" s="1690">
        <f>IF(L58+SUM($L$46:$L$57)*$E$59%&gt;L58+10,L58+10,L58+SUM($L$46:$L$57)*$E$59%)</f>
        <v>34.921428571428571</v>
      </c>
      <c r="M59" s="1689"/>
      <c r="N59" s="1688"/>
      <c r="O59" s="1687">
        <f>IF(O58+SUM($O$46:$O$57)*$E$59%&gt;O58+10,O58+10,O58+SUM($O$46:$O$57)*$E$59%)</f>
        <v>35.50714285714286</v>
      </c>
      <c r="P59" s="1686"/>
      <c r="Q59" s="38"/>
    </row>
    <row r="60" spans="1:17" s="42" customFormat="1" ht="18.75" customHeight="1">
      <c r="A60" s="1306"/>
      <c r="B60" s="1276" t="s">
        <v>1220</v>
      </c>
      <c r="C60" s="1373"/>
      <c r="D60" s="1373"/>
      <c r="E60" s="45"/>
      <c r="F60" s="45"/>
      <c r="G60" s="1685"/>
      <c r="H60" s="1677"/>
      <c r="I60" s="1676"/>
      <c r="J60" s="1684">
        <f>IF(J6=0,0,SUM(I62:I64))</f>
        <v>600</v>
      </c>
      <c r="K60" s="1680"/>
      <c r="L60" s="1679"/>
      <c r="M60" s="1617">
        <f>IF(M6=0,0,SUM(L62:L64))</f>
        <v>600</v>
      </c>
      <c r="N60" s="1677"/>
      <c r="O60" s="1676"/>
      <c r="P60" s="1684">
        <f>IF(P6=0,0,SUM(O62:O64))</f>
        <v>600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336</v>
      </c>
      <c r="D62" s="4833"/>
      <c r="E62" s="4833"/>
      <c r="F62" s="1674">
        <f>IF($C62=0,0,VLOOKUP($C62,'SDK3'!$C$98:$D$119,2,FALSE))</f>
        <v>600</v>
      </c>
      <c r="G62" s="1673">
        <f>(100+$D$61)/100*F62</f>
        <v>600</v>
      </c>
      <c r="H62" s="227"/>
      <c r="I62" s="1669">
        <f>$G$62</f>
        <v>600</v>
      </c>
      <c r="J62" s="227"/>
      <c r="K62" s="1672"/>
      <c r="L62" s="1671">
        <f>$G$62</f>
        <v>600</v>
      </c>
      <c r="M62" s="1589"/>
      <c r="N62" s="1670"/>
      <c r="O62" s="1669">
        <f>$G$62</f>
        <v>600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510</v>
      </c>
      <c r="K65" s="1629"/>
      <c r="L65" s="1629"/>
      <c r="M65" s="1617">
        <f>K66*$E66</f>
        <v>510</v>
      </c>
      <c r="N65" s="73"/>
      <c r="O65" s="73"/>
      <c r="P65" s="1614">
        <f>N66*$E66</f>
        <v>510</v>
      </c>
      <c r="Q65" s="38" t="s">
        <v>1294</v>
      </c>
    </row>
    <row r="66" spans="1:20" s="708" customFormat="1" ht="15" customHeight="1">
      <c r="A66" s="1270"/>
      <c r="B66" s="1648"/>
      <c r="C66" s="1377"/>
      <c r="D66" s="280" t="s">
        <v>1060</v>
      </c>
      <c r="E66" s="1647">
        <v>8.5</v>
      </c>
      <c r="F66" s="1622"/>
      <c r="G66" s="1646" t="s">
        <v>516</v>
      </c>
      <c r="H66" s="1644">
        <v>60</v>
      </c>
      <c r="I66" s="1643"/>
      <c r="J66" s="1632"/>
      <c r="K66" s="1644">
        <v>60</v>
      </c>
      <c r="L66" s="1645"/>
      <c r="M66" s="1635"/>
      <c r="N66" s="1644">
        <v>60</v>
      </c>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110.16</v>
      </c>
      <c r="K69" s="1630"/>
      <c r="L69" s="1629"/>
      <c r="M69" s="1617">
        <f>K70*$F70/1000</f>
        <v>122.25</v>
      </c>
      <c r="N69" s="44"/>
      <c r="O69" s="73"/>
      <c r="P69" s="1614">
        <f>N70*$F70/1000</f>
        <v>134.07</v>
      </c>
      <c r="Q69" s="38"/>
    </row>
    <row r="70" spans="1:20" s="708" customFormat="1" ht="15" customHeight="1">
      <c r="A70" s="1270"/>
      <c r="B70" s="1332"/>
      <c r="C70" s="1331" t="s">
        <v>896</v>
      </c>
      <c r="D70" s="353"/>
      <c r="E70" s="280"/>
      <c r="F70" s="1628">
        <f>'SDK7'!G113</f>
        <v>15</v>
      </c>
      <c r="G70" s="1627" t="s">
        <v>171</v>
      </c>
      <c r="H70" s="1623">
        <f>I9+I10</f>
        <v>7344</v>
      </c>
      <c r="I70" s="1622"/>
      <c r="J70" s="1621"/>
      <c r="K70" s="1626">
        <f>L9+L10</f>
        <v>8150</v>
      </c>
      <c r="L70" s="1625"/>
      <c r="M70" s="1624"/>
      <c r="N70" s="1623">
        <f>O9+O10</f>
        <v>8938</v>
      </c>
      <c r="O70" s="1622"/>
      <c r="P70" s="1621"/>
      <c r="Q70" s="38"/>
    </row>
    <row r="71" spans="1:20" ht="18.75" customHeight="1">
      <c r="A71" s="377"/>
      <c r="B71" s="311" t="s">
        <v>1213</v>
      </c>
      <c r="C71" s="377"/>
      <c r="D71" s="377"/>
      <c r="E71" s="229"/>
      <c r="G71" s="1620"/>
      <c r="H71" s="1616"/>
      <c r="I71" s="1615"/>
      <c r="J71" s="1614">
        <f>SUM(I73:I74)</f>
        <v>270</v>
      </c>
      <c r="K71" s="1619"/>
      <c r="L71" s="1618"/>
      <c r="M71" s="1617">
        <f>SUM(L73:L74)</f>
        <v>270</v>
      </c>
      <c r="N71" s="1616"/>
      <c r="O71" s="1615"/>
      <c r="P71" s="1614">
        <f>SUM(O73:O74)</f>
        <v>270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t="s">
        <v>1296</v>
      </c>
      <c r="D73" s="4846"/>
      <c r="E73" s="4846"/>
      <c r="F73" s="1598"/>
      <c r="G73" s="1597"/>
      <c r="H73" s="1591">
        <v>270</v>
      </c>
      <c r="I73" s="1595">
        <f>(100+$D$72)/100*H73</f>
        <v>270</v>
      </c>
      <c r="J73" s="45"/>
      <c r="K73" s="1591">
        <v>270</v>
      </c>
      <c r="L73" s="1596">
        <f>(100+$D$72)/100*K73</f>
        <v>270</v>
      </c>
      <c r="M73" s="1589"/>
      <c r="N73" s="1591">
        <v>270</v>
      </c>
      <c r="O73" s="1595">
        <f>(100+$D$72)/100*N73</f>
        <v>270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45.699251226954473</v>
      </c>
      <c r="K75" s="711"/>
      <c r="L75" s="1056"/>
      <c r="M75" s="1578">
        <f>(M23+M27+M34+M43+M60+M65+M67+M69+M71)*('SDK1'!$O$59%*$G$75/12)</f>
        <v>46.281951828621139</v>
      </c>
      <c r="N75" s="1580"/>
      <c r="O75" s="1579"/>
      <c r="P75" s="1578">
        <f>(P23+P27+P34+P43+P60+P65+P67+P69+P71)*('SDK1'!$O$59%*$G$75/12)</f>
        <v>46.860969330644949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H159" s="1929"/>
      <c r="J159" s="1928"/>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38:E38"/>
    <mergeCell ref="E10:F10"/>
    <mergeCell ref="C53:D53"/>
    <mergeCell ref="C54:D54"/>
    <mergeCell ref="C51:D51"/>
    <mergeCell ref="C42:E42"/>
    <mergeCell ref="C47:D47"/>
    <mergeCell ref="C15:F15"/>
    <mergeCell ref="C48:D48"/>
    <mergeCell ref="C52:D52"/>
    <mergeCell ref="C57:D57"/>
    <mergeCell ref="C63:E63"/>
    <mergeCell ref="C49:D49"/>
    <mergeCell ref="C64:E64"/>
    <mergeCell ref="C56:D56"/>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N1:O1"/>
    <mergeCell ref="E4:I4"/>
    <mergeCell ref="N3:O4"/>
    <mergeCell ref="J3:L3"/>
    <mergeCell ref="J4:L4"/>
    <mergeCell ref="K2:P2"/>
    <mergeCell ref="K1:L1"/>
    <mergeCell ref="K6:L6"/>
    <mergeCell ref="H6:I6"/>
    <mergeCell ref="F23:G23"/>
    <mergeCell ref="F34:G34"/>
    <mergeCell ref="N6:O6"/>
    <mergeCell ref="C17:F17"/>
    <mergeCell ref="C19:F19"/>
    <mergeCell ref="C14:F14"/>
    <mergeCell ref="C16:F1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8" orientation="portrait" r:id="rId1"/>
  <headerFooter alignWithMargins="0">
    <oddFooter>&amp;L&amp;11LEL Schwäbisch Gmünd&amp;C81&amp;R&amp;11&amp;F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614"/>
      <c r="B1" s="1826"/>
      <c r="C1" s="1825"/>
      <c r="D1" s="3091"/>
      <c r="E1" s="1824"/>
      <c r="F1" s="1823"/>
      <c r="G1" s="1614"/>
      <c r="H1" s="1902"/>
      <c r="I1" s="1907" t="s">
        <v>1264</v>
      </c>
      <c r="J1" s="1906">
        <f>(J7+J13+J18+J22+I11+I12)-(J23+J27+J34+J43+J60+J65+J67+J69+J71+J75)</f>
        <v>609.69784193294549</v>
      </c>
      <c r="K1" s="4859">
        <f>M1-J1</f>
        <v>222.53304526295869</v>
      </c>
      <c r="L1" s="4859"/>
      <c r="M1" s="1906">
        <f>(M7+M13+M18+M22+L11+L12)-(M23+M27+M34+M43+M60+M65+M67+M69+M71+M75)</f>
        <v>832.23088719590419</v>
      </c>
      <c r="N1" s="4859">
        <f>P1-M1</f>
        <v>226.97154526295867</v>
      </c>
      <c r="O1" s="4859"/>
      <c r="P1" s="1906">
        <f>(P7+P13+P18+P22+O11+O12)-(P23+P27+P34+P43+P60+P65+P67+P69+P71+P75)</f>
        <v>1059.2024324588629</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211</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1260</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55</v>
      </c>
      <c r="K6" s="4849" t="s">
        <v>152</v>
      </c>
      <c r="L6" s="4850"/>
      <c r="M6" s="1887">
        <v>70</v>
      </c>
      <c r="N6" s="4864" t="s">
        <v>178</v>
      </c>
      <c r="O6" s="4865"/>
      <c r="P6" s="1886">
        <v>85</v>
      </c>
      <c r="Q6" s="70"/>
    </row>
    <row r="7" spans="1:41" s="252" customFormat="1" ht="18.75" customHeight="1">
      <c r="A7" s="47"/>
      <c r="B7" s="311" t="s">
        <v>1258</v>
      </c>
      <c r="C7" s="47"/>
      <c r="D7" s="47"/>
      <c r="E7" s="47"/>
      <c r="F7" s="47"/>
      <c r="G7" s="1884"/>
      <c r="H7" s="1881"/>
      <c r="I7" s="1880"/>
      <c r="J7" s="1614">
        <f>SUM(I9:I10)</f>
        <v>1250.3333333333335</v>
      </c>
      <c r="K7" s="1883"/>
      <c r="L7" s="1882"/>
      <c r="M7" s="1617">
        <f>SUM(L9:L10)</f>
        <v>1591.3333333333335</v>
      </c>
      <c r="N7" s="1881"/>
      <c r="O7" s="1880"/>
      <c r="P7" s="1614">
        <f>SUM(O9:O10)</f>
        <v>1932.3333333333335</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'SDK1'!O18</f>
        <v>22.733333333333334</v>
      </c>
      <c r="H9" s="1877">
        <f>J6-H10</f>
        <v>55</v>
      </c>
      <c r="I9" s="1873">
        <f>H9*G9</f>
        <v>1250.3333333333335</v>
      </c>
      <c r="J9" s="43"/>
      <c r="K9" s="1876">
        <f>M6-K10</f>
        <v>70</v>
      </c>
      <c r="L9" s="1875">
        <f>K9*G9</f>
        <v>1591.3333333333335</v>
      </c>
      <c r="M9" s="1854"/>
      <c r="N9" s="1874">
        <f>P6-N10</f>
        <v>85</v>
      </c>
      <c r="O9" s="1873">
        <f>N9*G9</f>
        <v>1932.3333333333335</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824"/>
      <c r="I13" s="1823"/>
      <c r="J13" s="1614">
        <f>SUM(I14:I17)</f>
        <v>100</v>
      </c>
      <c r="K13" s="1826"/>
      <c r="L13" s="1825"/>
      <c r="M13" s="1617">
        <f>SUM(L14:L17)</f>
        <v>100</v>
      </c>
      <c r="N13" s="1824"/>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158.4</v>
      </c>
      <c r="K23" s="1619"/>
      <c r="L23" s="1618"/>
      <c r="M23" s="1800">
        <f>SUM(L25:L26)</f>
        <v>158.4</v>
      </c>
      <c r="N23" s="1616"/>
      <c r="O23" s="1615"/>
      <c r="P23" s="1599">
        <f>SUM(O25:O26)</f>
        <v>158.4</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'SDK7'!F47/100</f>
        <v>0.88</v>
      </c>
      <c r="G25" s="1794">
        <f>F25*(100+$D$24)/100</f>
        <v>0.88</v>
      </c>
      <c r="H25" s="1793">
        <v>180</v>
      </c>
      <c r="I25" s="1754">
        <f>H25*$G25</f>
        <v>158.4</v>
      </c>
      <c r="J25" s="45"/>
      <c r="K25" s="1793">
        <f>H25</f>
        <v>180</v>
      </c>
      <c r="L25" s="1596">
        <f>K25*$G25</f>
        <v>158.4</v>
      </c>
      <c r="M25" s="1589"/>
      <c r="N25" s="1793">
        <f>H25</f>
        <v>180</v>
      </c>
      <c r="O25" s="1754">
        <f>N25*$G25</f>
        <v>158.4</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307.74683333333331</v>
      </c>
      <c r="K27" s="1748"/>
      <c r="L27" s="1747"/>
      <c r="M27" s="1617">
        <f>SUM(L30:L33)</f>
        <v>382.9323333333333</v>
      </c>
      <c r="N27" s="1746"/>
      <c r="O27" s="1745"/>
      <c r="P27" s="1614">
        <f>SUM(O30:O33)</f>
        <v>458.11783333333329</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2.11</v>
      </c>
      <c r="F30" s="1774">
        <f>VLOOKUP(K2,'SD8'!B9:L42,7,FALSE)</f>
        <v>0.39999999999999991</v>
      </c>
      <c r="G30" s="1773">
        <v>20</v>
      </c>
      <c r="H30" s="1771">
        <f>IF(J$6=0,0,(J$6*$E30+$G30+X14))</f>
        <v>136.05000000000001</v>
      </c>
      <c r="I30" s="1754">
        <f>H30*$D30</f>
        <v>218.13349999999997</v>
      </c>
      <c r="J30" s="45"/>
      <c r="K30" s="1772">
        <f>IF(M$6=0,0,(M$6*$E30+$G30+Y14))</f>
        <v>167.7</v>
      </c>
      <c r="L30" s="1596">
        <f>K30*$D30</f>
        <v>268.87899999999996</v>
      </c>
      <c r="M30" s="1589"/>
      <c r="N30" s="1771">
        <f>IF(P$6=0,0,(P$6*$E30+$G30+Z14))</f>
        <v>199.35</v>
      </c>
      <c r="O30" s="1754">
        <f>N30*$D30</f>
        <v>319.62449999999995</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44</v>
      </c>
      <c r="I31" s="1754">
        <f>H31*$D31</f>
        <v>48.399999999999991</v>
      </c>
      <c r="J31" s="45"/>
      <c r="K31" s="1772">
        <f>IF(M$6=0,0,(M$6*$E31+$G31+Y15))</f>
        <v>56</v>
      </c>
      <c r="L31" s="1596">
        <f>K31*$D31</f>
        <v>61.599999999999994</v>
      </c>
      <c r="M31" s="1589"/>
      <c r="N31" s="1771">
        <f>IF(P$6=0,0,(P$6*$E31+$G31+Z15))</f>
        <v>68</v>
      </c>
      <c r="O31" s="1754">
        <f>N31*$D31</f>
        <v>74.8</v>
      </c>
      <c r="P31" s="1718"/>
      <c r="Q31" s="38"/>
    </row>
    <row r="32" spans="1:26" s="42" customFormat="1" ht="15" customHeight="1">
      <c r="A32" s="1306"/>
      <c r="B32" s="274"/>
      <c r="C32" s="1306" t="s">
        <v>242</v>
      </c>
      <c r="D32" s="1723">
        <f>'SDK1'!O54</f>
        <v>1.02</v>
      </c>
      <c r="E32" s="1774">
        <f>VLOOKUP(K2,'SD8'!B9:L42,5,FALSE)</f>
        <v>0.6</v>
      </c>
      <c r="F32" s="1774">
        <f>VLOOKUP(K2,'SD8'!B9:L42,9,FALSE)</f>
        <v>1.1200000000000001</v>
      </c>
      <c r="G32" s="1773"/>
      <c r="H32" s="1771">
        <f>IF(J$6=0,0,(J$6*$E32+$G32+X16))</f>
        <v>33</v>
      </c>
      <c r="I32" s="1754">
        <f>H32*$D32</f>
        <v>33.660000000000004</v>
      </c>
      <c r="J32" s="45"/>
      <c r="K32" s="1772">
        <f>IF(M$6=0,0,(M$6*$E32+$G32+Y16))</f>
        <v>42</v>
      </c>
      <c r="L32" s="1596">
        <f>K32*$D32</f>
        <v>42.84</v>
      </c>
      <c r="M32" s="1589"/>
      <c r="N32" s="1771">
        <f>IF(P$6=0,0,(P$6*$E32+$G32+Z16))</f>
        <v>51</v>
      </c>
      <c r="O32" s="1754">
        <f>N32*$D32</f>
        <v>52.02</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11</v>
      </c>
      <c r="I33" s="1750">
        <f>H33*$D33</f>
        <v>7.5533333333333346</v>
      </c>
      <c r="J33" s="45"/>
      <c r="K33" s="1768">
        <f>IF(M$6=0,0,(M$6*$E33+$G33+Y17))</f>
        <v>14</v>
      </c>
      <c r="L33" s="1590">
        <f>K33*$D33</f>
        <v>9.6133333333333351</v>
      </c>
      <c r="M33" s="1589"/>
      <c r="N33" s="1767">
        <f>IF(P$6=0,0,(P$6*$E33+$G33+Z17))</f>
        <v>17</v>
      </c>
      <c r="O33" s="1750">
        <f>N33*$D33</f>
        <v>11.673333333333336</v>
      </c>
      <c r="P33" s="1749"/>
      <c r="Q33" s="38"/>
    </row>
    <row r="34" spans="1:17" s="708" customFormat="1" ht="18.75" customHeight="1">
      <c r="A34" s="1270"/>
      <c r="B34" s="1276" t="s">
        <v>1234</v>
      </c>
      <c r="C34" s="1270"/>
      <c r="D34" s="37"/>
      <c r="E34" s="37"/>
      <c r="F34" s="4831" t="s">
        <v>1233</v>
      </c>
      <c r="G34" s="4832"/>
      <c r="H34" s="1764"/>
      <c r="I34" s="1763"/>
      <c r="J34" s="1614">
        <f>SUM(I36:I42)</f>
        <v>204.08799999999999</v>
      </c>
      <c r="K34" s="1766"/>
      <c r="L34" s="1765"/>
      <c r="M34" s="1617">
        <f>SUM(L36:L42)</f>
        <v>208.48799999999997</v>
      </c>
      <c r="N34" s="1764"/>
      <c r="O34" s="1763"/>
      <c r="P34" s="1614">
        <f>SUM(O36:O42)</f>
        <v>208.48799999999997</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706</v>
      </c>
      <c r="D36" s="4857"/>
      <c r="E36" s="4858"/>
      <c r="F36" s="1756">
        <f>IF(C36="",0,VLOOKUP(C36,'SDK5'!C3:AF83,2,FALSE))</f>
        <v>290.39999999999998</v>
      </c>
      <c r="G36" s="1756">
        <f t="shared" ref="G36:G42" si="0">F36*(100+$D$35)/100</f>
        <v>290.39999999999998</v>
      </c>
      <c r="H36" s="1755">
        <v>0.22</v>
      </c>
      <c r="I36" s="1754">
        <f t="shared" ref="I36:I42" si="1">$G36*H36</f>
        <v>63.887999999999998</v>
      </c>
      <c r="J36" s="45"/>
      <c r="K36" s="1755">
        <v>0.22</v>
      </c>
      <c r="L36" s="1596">
        <f t="shared" ref="L36:L42" si="2">$G36*K36</f>
        <v>63.887999999999998</v>
      </c>
      <c r="M36" s="1589"/>
      <c r="N36" s="1755">
        <v>0.22</v>
      </c>
      <c r="O36" s="1754">
        <f t="shared" ref="O36:O42" si="3">$G36*N36</f>
        <v>63.887999999999998</v>
      </c>
      <c r="P36" s="1758"/>
      <c r="Q36" s="38"/>
    </row>
    <row r="37" spans="1:17" s="42" customFormat="1" ht="15" customHeight="1">
      <c r="A37" s="1306"/>
      <c r="B37" s="1594"/>
      <c r="C37" s="4855" t="s">
        <v>700</v>
      </c>
      <c r="D37" s="4855"/>
      <c r="E37" s="4856"/>
      <c r="F37" s="1756">
        <f>IF(C37="",0,VLOOKUP(C37,'SDK5'!C4:AF84,2,FALSE))</f>
        <v>5.5</v>
      </c>
      <c r="G37" s="1756">
        <f t="shared" si="0"/>
        <v>5.5</v>
      </c>
      <c r="H37" s="1755"/>
      <c r="I37" s="1754">
        <f t="shared" si="1"/>
        <v>0</v>
      </c>
      <c r="J37" s="45"/>
      <c r="K37" s="1755">
        <v>0.8</v>
      </c>
      <c r="L37" s="1596">
        <f t="shared" si="2"/>
        <v>4.4000000000000004</v>
      </c>
      <c r="M37" s="1589"/>
      <c r="N37" s="1755">
        <v>0.8</v>
      </c>
      <c r="O37" s="1754">
        <f t="shared" si="3"/>
        <v>4.4000000000000004</v>
      </c>
      <c r="P37" s="1718"/>
      <c r="Q37" s="38"/>
    </row>
    <row r="38" spans="1:17" s="42" customFormat="1" ht="15" customHeight="1">
      <c r="A38" s="1306"/>
      <c r="B38" s="1757"/>
      <c r="C38" s="4855" t="s">
        <v>2065</v>
      </c>
      <c r="D38" s="4855"/>
      <c r="E38" s="4856"/>
      <c r="F38" s="1756">
        <f>IF(C38="",0,VLOOKUP(C38,'SDK5'!C5:AF85,2,FALSE))</f>
        <v>59.4</v>
      </c>
      <c r="G38" s="1756">
        <f t="shared" si="0"/>
        <v>59.4</v>
      </c>
      <c r="H38" s="1755">
        <v>1.5</v>
      </c>
      <c r="I38" s="1754">
        <f t="shared" si="1"/>
        <v>89.1</v>
      </c>
      <c r="J38" s="45"/>
      <c r="K38" s="1755">
        <v>1.5</v>
      </c>
      <c r="L38" s="1596">
        <f t="shared" si="2"/>
        <v>89.1</v>
      </c>
      <c r="M38" s="1589"/>
      <c r="N38" s="1755">
        <v>1.5</v>
      </c>
      <c r="O38" s="1754">
        <f t="shared" si="3"/>
        <v>89.1</v>
      </c>
      <c r="P38" s="1718"/>
      <c r="Q38" s="38"/>
    </row>
    <row r="39" spans="1:17" s="42" customFormat="1" ht="15" customHeight="1">
      <c r="A39" s="1306"/>
      <c r="B39" s="1594"/>
      <c r="C39" s="4855" t="s">
        <v>669</v>
      </c>
      <c r="D39" s="4855"/>
      <c r="E39" s="4856"/>
      <c r="F39" s="1756">
        <f>IF(C39="",0,VLOOKUP(C39,'SDK5'!C6:AF86,2,FALSE))</f>
        <v>51.1</v>
      </c>
      <c r="G39" s="1756">
        <f t="shared" si="0"/>
        <v>51.1</v>
      </c>
      <c r="H39" s="1755">
        <v>1</v>
      </c>
      <c r="I39" s="1754">
        <f t="shared" si="1"/>
        <v>51.1</v>
      </c>
      <c r="J39" s="45"/>
      <c r="K39" s="1755">
        <v>1</v>
      </c>
      <c r="L39" s="1596">
        <f t="shared" si="2"/>
        <v>51.1</v>
      </c>
      <c r="M39" s="1589"/>
      <c r="N39" s="1755">
        <v>1</v>
      </c>
      <c r="O39" s="1754">
        <f t="shared" si="3"/>
        <v>51.1</v>
      </c>
      <c r="P39" s="1718"/>
      <c r="Q39" s="38"/>
    </row>
    <row r="40" spans="1:17" s="42" customFormat="1" ht="15" customHeight="1">
      <c r="A40" s="1306"/>
      <c r="B40" s="1594"/>
      <c r="C40" s="4855" t="s">
        <v>368</v>
      </c>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t="s">
        <v>368</v>
      </c>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t="s">
        <v>368</v>
      </c>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145.11320151215688</v>
      </c>
      <c r="K43" s="1748"/>
      <c r="L43" s="1747"/>
      <c r="M43" s="1617">
        <f>SUM(M46:M57)</f>
        <v>150.43606184627453</v>
      </c>
      <c r="N43" s="1746"/>
      <c r="O43" s="1745"/>
      <c r="P43" s="1614">
        <f>SUM(P46:P57)</f>
        <v>155.75892218039218</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3</v>
      </c>
      <c r="L48" s="1722">
        <f t="shared" si="6"/>
        <v>0.96</v>
      </c>
      <c r="M48" s="1721">
        <f t="shared" si="7"/>
        <v>10.804246249411765</v>
      </c>
      <c r="N48" s="1720">
        <v>4</v>
      </c>
      <c r="O48" s="1719">
        <f t="shared" si="8"/>
        <v>1.28</v>
      </c>
      <c r="P48" s="1718">
        <f t="shared" si="9"/>
        <v>14.405661665882354</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3</v>
      </c>
      <c r="L49" s="1722">
        <f t="shared" si="6"/>
        <v>1.08</v>
      </c>
      <c r="M49" s="1721">
        <f t="shared" si="7"/>
        <v>17.301605110588234</v>
      </c>
      <c r="N49" s="1720">
        <v>3</v>
      </c>
      <c r="O49" s="1719">
        <f t="shared" si="8"/>
        <v>1.08</v>
      </c>
      <c r="P49" s="1718">
        <f t="shared" si="9"/>
        <v>17.301605110588234</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55/60</f>
        <v>0.91666666666666663</v>
      </c>
      <c r="I50" s="1719">
        <f t="shared" si="4"/>
        <v>0.3666666666666667</v>
      </c>
      <c r="J50" s="1718">
        <f t="shared" si="5"/>
        <v>6.3119646980392163</v>
      </c>
      <c r="K50" s="1720">
        <f>70/60</f>
        <v>1.1666666666666667</v>
      </c>
      <c r="L50" s="1722">
        <f t="shared" si="6"/>
        <v>0.46666666666666673</v>
      </c>
      <c r="M50" s="1721">
        <f t="shared" si="7"/>
        <v>8.033409615686276</v>
      </c>
      <c r="N50" s="1720">
        <f>85/60</f>
        <v>1.4166666666666667</v>
      </c>
      <c r="O50" s="1719">
        <f t="shared" si="8"/>
        <v>0.56666666666666676</v>
      </c>
      <c r="P50" s="1718">
        <f t="shared" si="9"/>
        <v>9.7548545333333347</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5.5066666666666677</v>
      </c>
      <c r="J58" s="1701"/>
      <c r="K58" s="1700"/>
      <c r="L58" s="1699">
        <f>SUM($L$46:$L$57)</f>
        <v>5.9266666666666667</v>
      </c>
      <c r="M58" s="1698"/>
      <c r="N58" s="1697"/>
      <c r="O58" s="1696">
        <f>SUM($O$46:$O$57)</f>
        <v>6.3466666666666667</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9.9120000000000026</v>
      </c>
      <c r="J59" s="1686"/>
      <c r="K59" s="1691"/>
      <c r="L59" s="1690">
        <f>IF(L58+SUM($L$46:$L$57)*$E$59%&gt;L58+10,L58+10,L58+SUM($L$46:$L$57)*$E$59%)</f>
        <v>10.667999999999999</v>
      </c>
      <c r="M59" s="1689"/>
      <c r="N59" s="1688"/>
      <c r="O59" s="1687">
        <f>IF(O58+SUM($O$46:$O$57)*$E$59%&gt;O58+10,O58+10,O58+SUM($O$46:$O$57)*$E$59%)</f>
        <v>11.423999999999999</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99.275000000000006</v>
      </c>
      <c r="K67" s="1641" t="s">
        <v>1217</v>
      </c>
      <c r="L67" s="1640" t="s">
        <v>1216</v>
      </c>
      <c r="M67" s="1617">
        <f>S68*(K9+K10)*L68%+F68</f>
        <v>126.35000000000001</v>
      </c>
      <c r="N67" s="1639" t="s">
        <v>1217</v>
      </c>
      <c r="O67" s="1638" t="s">
        <v>1216</v>
      </c>
      <c r="P67" s="1614">
        <f>T68*(N9+N10)*O68%+F68</f>
        <v>153.42500000000001</v>
      </c>
      <c r="Q67" s="38"/>
    </row>
    <row r="68" spans="1:20" s="708" customFormat="1" ht="15" customHeight="1">
      <c r="A68" s="1270"/>
      <c r="B68" s="1637"/>
      <c r="C68" s="4839" t="s">
        <v>1215</v>
      </c>
      <c r="D68" s="4839"/>
      <c r="E68" s="4839"/>
      <c r="F68" s="1636">
        <v>0</v>
      </c>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20.005333333333336</v>
      </c>
      <c r="K69" s="1630"/>
      <c r="L69" s="1629"/>
      <c r="M69" s="1617">
        <f>K70*$F70/1000</f>
        <v>25.461333333333336</v>
      </c>
      <c r="N69" s="44"/>
      <c r="O69" s="73"/>
      <c r="P69" s="1614">
        <f>N70*$F70/1000</f>
        <v>30.917333333333335</v>
      </c>
      <c r="Q69" s="38"/>
    </row>
    <row r="70" spans="1:20" s="708" customFormat="1" ht="15" customHeight="1">
      <c r="A70" s="1270"/>
      <c r="B70" s="1332"/>
      <c r="C70" s="1331" t="s">
        <v>896</v>
      </c>
      <c r="D70" s="353"/>
      <c r="E70" s="280"/>
      <c r="F70" s="1628">
        <f>'SDK7'!G102</f>
        <v>16</v>
      </c>
      <c r="G70" s="1627" t="s">
        <v>171</v>
      </c>
      <c r="H70" s="1623">
        <f>I9+I10</f>
        <v>1250.3333333333335</v>
      </c>
      <c r="I70" s="1622"/>
      <c r="J70" s="1621"/>
      <c r="K70" s="1626">
        <f>L9+L10</f>
        <v>1591.3333333333335</v>
      </c>
      <c r="L70" s="1625"/>
      <c r="M70" s="1624"/>
      <c r="N70" s="1623">
        <f>O9+O10</f>
        <v>1932.3333333333335</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9.5071232215647044</v>
      </c>
      <c r="K75" s="711"/>
      <c r="L75" s="1056"/>
      <c r="M75" s="1578">
        <f>(M23+M27+M34+M43+M60+M65+M67+M69+M71)*('SDK1'!$O$59%*$G$75/12)</f>
        <v>10.534717624488234</v>
      </c>
      <c r="N75" s="1580"/>
      <c r="O75" s="1579"/>
      <c r="P75" s="1578">
        <f>(P23+P27+P34+P43+P60+P65+P67+P69+P71)*('SDK1'!$O$59%*$G$75/12)</f>
        <v>11.523812027411763</v>
      </c>
      <c r="Q75" s="38"/>
    </row>
    <row r="77" spans="1:20" ht="12.6" customHeight="1"/>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D150" s="15"/>
      <c r="F150" s="15"/>
      <c r="G150" s="15"/>
      <c r="H150" s="15"/>
      <c r="I150" s="15"/>
      <c r="J150" s="15"/>
      <c r="K150" s="15"/>
      <c r="M150" s="35"/>
      <c r="N150" s="35"/>
      <c r="O150" s="35"/>
      <c r="P150" s="35"/>
      <c r="Q150" s="35"/>
    </row>
    <row r="151" spans="1:17">
      <c r="A151" s="35"/>
      <c r="B151" s="623"/>
      <c r="C151" s="15"/>
      <c r="D151" s="15"/>
      <c r="F151" s="15"/>
      <c r="G151" s="15"/>
      <c r="H151" s="15"/>
      <c r="I151" s="15"/>
      <c r="J151" s="15"/>
      <c r="K151" s="15"/>
      <c r="M151" s="35"/>
      <c r="N151" s="35"/>
      <c r="O151" s="35"/>
      <c r="P151" s="35"/>
      <c r="Q151" s="35"/>
    </row>
    <row r="152" spans="1:17">
      <c r="A152" s="35"/>
      <c r="B152" s="623"/>
      <c r="C152" s="15"/>
      <c r="D152" s="15"/>
      <c r="F152" s="15"/>
      <c r="G152" s="15"/>
      <c r="H152" s="15"/>
      <c r="I152" s="15"/>
      <c r="J152" s="15"/>
      <c r="K152" s="15"/>
      <c r="M152" s="35"/>
      <c r="N152" s="35"/>
      <c r="O152" s="35"/>
      <c r="P152" s="35"/>
      <c r="Q152" s="35"/>
    </row>
    <row r="153" spans="1:17">
      <c r="A153" s="35"/>
      <c r="B153" s="623"/>
      <c r="C153" s="15"/>
      <c r="D153" s="15"/>
      <c r="F153" s="15"/>
      <c r="G153" s="15"/>
      <c r="H153" s="15"/>
      <c r="I153" s="15"/>
      <c r="J153" s="15"/>
      <c r="K153" s="15"/>
      <c r="M153" s="35"/>
      <c r="N153" s="35"/>
      <c r="O153" s="35"/>
      <c r="P153" s="35"/>
      <c r="Q153" s="35"/>
    </row>
    <row r="154" spans="1:17">
      <c r="A154" s="35"/>
      <c r="B154" s="623"/>
      <c r="C154" s="15"/>
      <c r="D154" s="15"/>
      <c r="F154" s="15"/>
      <c r="G154" s="15"/>
      <c r="H154" s="15"/>
      <c r="I154" s="15"/>
      <c r="J154" s="15"/>
      <c r="K154" s="15"/>
      <c r="M154" s="35"/>
      <c r="N154" s="35"/>
      <c r="O154" s="35"/>
      <c r="P154" s="35"/>
      <c r="Q154" s="35"/>
    </row>
    <row r="155" spans="1:17">
      <c r="A155" s="35"/>
      <c r="B155" s="623"/>
      <c r="C155" s="15"/>
      <c r="D155" s="15"/>
      <c r="F155" s="15"/>
      <c r="G155" s="15"/>
      <c r="H155" s="15"/>
      <c r="I155" s="15"/>
      <c r="J155" s="15"/>
      <c r="K155" s="15"/>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19:F19"/>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47:D47"/>
    <mergeCell ref="C50:D50"/>
    <mergeCell ref="C46:D46"/>
    <mergeCell ref="C39:E39"/>
    <mergeCell ref="C68:E68"/>
    <mergeCell ref="C62:E62"/>
    <mergeCell ref="C51:D51"/>
    <mergeCell ref="C63:E6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0" orientation="portrait" r:id="rId1"/>
  <headerFooter alignWithMargins="0">
    <oddFooter>&amp;L&amp;11LEL Schwäbisch Gmünd&amp;C27&amp;R&amp;11&amp;F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12</xdr:col>
                    <xdr:colOff>285750</xdr:colOff>
                    <xdr:row>3</xdr:row>
                    <xdr:rowOff>19050</xdr:rowOff>
                  </from>
                  <to>
                    <xdr:col>13</xdr:col>
                    <xdr:colOff>9525</xdr:colOff>
                    <xdr:row>4</xdr:row>
                    <xdr:rowOff>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12</xdr:col>
                    <xdr:colOff>285750</xdr:colOff>
                    <xdr:row>2</xdr:row>
                    <xdr:rowOff>47625</xdr:rowOff>
                  </from>
                  <to>
                    <xdr:col>13</xdr:col>
                    <xdr:colOff>9525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643.62917374961171</v>
      </c>
      <c r="K1" s="4859">
        <f>M1-J1</f>
        <v>160.35027154151771</v>
      </c>
      <c r="L1" s="4859"/>
      <c r="M1" s="1906">
        <f>(M7+M13+M18+M22+L11+L12)-(M23+M27+M34+M43+M60+M65+M67+M69+M71+M75)</f>
        <v>803.97944529112942</v>
      </c>
      <c r="N1" s="4859">
        <f>P1-M1</f>
        <v>160.35027154151771</v>
      </c>
      <c r="O1" s="4859"/>
      <c r="P1" s="1906">
        <f>(P7+P13+P18+P22+O11+O12)-(P23+P27+P34+P43+P60+P65+P67+P69+P71+P75)</f>
        <v>964.32971683264714</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209</v>
      </c>
      <c r="L2" s="4870"/>
      <c r="M2" s="4870"/>
      <c r="N2" s="4870"/>
      <c r="O2" s="4870"/>
      <c r="P2" s="4870"/>
      <c r="Q2" s="1920">
        <v>0</v>
      </c>
    </row>
    <row r="3" spans="1:41" s="1891" customFormat="1" ht="21.75" customHeight="1">
      <c r="A3" s="1895"/>
      <c r="B3" s="1919"/>
      <c r="H3" s="1902"/>
      <c r="J3" s="4866" t="s">
        <v>1262</v>
      </c>
      <c r="K3" s="4867"/>
      <c r="L3" s="4867"/>
      <c r="M3" s="1901"/>
      <c r="N3" s="4871" t="str">
        <f>IF(AND(T3=TRUE,T4=TRUE),"nur 1 Strohnutzung möglich","")</f>
        <v/>
      </c>
      <c r="O3" s="4872"/>
      <c r="P3" s="1900"/>
      <c r="Q3" s="1895"/>
      <c r="T3" s="1918" t="b">
        <v>0</v>
      </c>
    </row>
    <row r="4" spans="1:41" s="1891" customFormat="1" ht="20.25" customHeight="1">
      <c r="A4" s="1895"/>
      <c r="B4" s="377" t="s">
        <v>1154</v>
      </c>
      <c r="C4" s="35"/>
      <c r="D4" s="35"/>
      <c r="E4" s="4830" t="s">
        <v>1260</v>
      </c>
      <c r="F4" s="4830"/>
      <c r="G4" s="4830"/>
      <c r="H4" s="4830"/>
      <c r="I4" s="4830"/>
      <c r="J4" s="4866" t="s">
        <v>1250</v>
      </c>
      <c r="K4" s="4867"/>
      <c r="L4" s="4867"/>
      <c r="M4" s="1897"/>
      <c r="N4" s="4872"/>
      <c r="O4" s="4872"/>
      <c r="P4" s="1896">
        <f>'SDK1'!O3</f>
        <v>0</v>
      </c>
      <c r="Q4" s="1895"/>
      <c r="T4" s="1918" t="b">
        <v>0</v>
      </c>
      <c r="U4" s="1892"/>
    </row>
    <row r="5" spans="1:41" ht="6" customHeight="1"/>
    <row r="6" spans="1:41" s="1885" customFormat="1" ht="24" customHeight="1">
      <c r="A6" s="48"/>
      <c r="B6" s="1890" t="s">
        <v>1207</v>
      </c>
      <c r="C6" s="1889"/>
      <c r="D6" s="1889"/>
      <c r="E6" s="1889"/>
      <c r="F6" s="1889"/>
      <c r="G6" s="1888"/>
      <c r="H6" s="4864" t="s">
        <v>179</v>
      </c>
      <c r="I6" s="4865"/>
      <c r="J6" s="1887">
        <v>55</v>
      </c>
      <c r="K6" s="4849" t="s">
        <v>152</v>
      </c>
      <c r="L6" s="4850"/>
      <c r="M6" s="1887">
        <v>65</v>
      </c>
      <c r="N6" s="4864" t="s">
        <v>178</v>
      </c>
      <c r="O6" s="4865"/>
      <c r="P6" s="1886">
        <v>75</v>
      </c>
      <c r="Q6" s="70"/>
    </row>
    <row r="7" spans="1:41" s="252" customFormat="1" ht="18.75" customHeight="1">
      <c r="A7" s="47"/>
      <c r="B7" s="311" t="s">
        <v>1258</v>
      </c>
      <c r="C7" s="47"/>
      <c r="D7" s="47"/>
      <c r="E7" s="47"/>
      <c r="F7" s="47"/>
      <c r="G7" s="1884"/>
      <c r="H7" s="1881"/>
      <c r="I7" s="1880"/>
      <c r="J7" s="1614">
        <f>SUM(I9:I10)</f>
        <v>1334.74</v>
      </c>
      <c r="K7" s="1883"/>
      <c r="L7" s="1882"/>
      <c r="M7" s="1617">
        <f>SUM(L9:L10)</f>
        <v>1577.42</v>
      </c>
      <c r="N7" s="1881"/>
      <c r="O7" s="1880"/>
      <c r="P7" s="1614">
        <f>SUM(O9:O10)</f>
        <v>1820.1000000000001</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'SDK1'!O19</f>
        <v>24.268000000000001</v>
      </c>
      <c r="H9" s="1877">
        <f>J6-H10</f>
        <v>55</v>
      </c>
      <c r="I9" s="1873">
        <f>H9*G9</f>
        <v>1334.74</v>
      </c>
      <c r="J9" s="43"/>
      <c r="K9" s="1876">
        <f>M6-K10</f>
        <v>65</v>
      </c>
      <c r="L9" s="1875">
        <f>K9*G9</f>
        <v>1577.42</v>
      </c>
      <c r="M9" s="1854"/>
      <c r="N9" s="1874">
        <f>P6-N10</f>
        <v>75</v>
      </c>
      <c r="O9" s="1873">
        <f>N9*G9</f>
        <v>1820.1000000000001</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0.8</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824"/>
      <c r="I13" s="1823"/>
      <c r="J13" s="1614">
        <f>SUM(I14:I17)</f>
        <v>100</v>
      </c>
      <c r="K13" s="1826"/>
      <c r="L13" s="1825"/>
      <c r="M13" s="1617">
        <f>SUM(L14:L17)</f>
        <v>100</v>
      </c>
      <c r="N13" s="1824"/>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153</v>
      </c>
      <c r="K23" s="1619"/>
      <c r="L23" s="1618"/>
      <c r="M23" s="1800">
        <f>SUM(L25:L26)</f>
        <v>153</v>
      </c>
      <c r="N23" s="1616"/>
      <c r="O23" s="1615"/>
      <c r="P23" s="1599">
        <f>SUM(O25:O26)</f>
        <v>153</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'SDK7'!F48/100</f>
        <v>0.9</v>
      </c>
      <c r="G25" s="1794">
        <f>F25*(100+$D$24)/100</f>
        <v>0.9</v>
      </c>
      <c r="H25" s="1793">
        <v>170</v>
      </c>
      <c r="I25" s="1754">
        <f>H25*$G25</f>
        <v>153</v>
      </c>
      <c r="J25" s="45"/>
      <c r="K25" s="1793">
        <f>H25</f>
        <v>170</v>
      </c>
      <c r="L25" s="1596">
        <f>K25*$G25</f>
        <v>153</v>
      </c>
      <c r="M25" s="1589"/>
      <c r="N25" s="1793">
        <f>H25</f>
        <v>170</v>
      </c>
      <c r="O25" s="1754">
        <f>N25*$G25</f>
        <v>153</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334.20183333333335</v>
      </c>
      <c r="K27" s="1748"/>
      <c r="L27" s="1747"/>
      <c r="M27" s="1617">
        <f>SUM(L30:L33)</f>
        <v>389.13549999999992</v>
      </c>
      <c r="N27" s="1746"/>
      <c r="O27" s="1745"/>
      <c r="P27" s="1614">
        <f>SUM(O30:O33)</f>
        <v>444.0691666666666</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2.41</v>
      </c>
      <c r="F30" s="1774">
        <f>VLOOKUP(K2,'SD8'!B9:L42,7,FALSE)</f>
        <v>0.39999999999999991</v>
      </c>
      <c r="G30" s="1773">
        <v>20</v>
      </c>
      <c r="H30" s="1771">
        <f>IF(J$6=0,0,(J$6*$E30+$G30+X14))</f>
        <v>152.55000000000001</v>
      </c>
      <c r="I30" s="1754">
        <f>H30*$D30</f>
        <v>244.58849999999998</v>
      </c>
      <c r="J30" s="45"/>
      <c r="K30" s="1772">
        <f>IF(M$6=0,0,(M$6*$E30+$G30+Y14))</f>
        <v>176.65</v>
      </c>
      <c r="L30" s="1596">
        <f>K30*$D30</f>
        <v>283.22883333333328</v>
      </c>
      <c r="M30" s="1589"/>
      <c r="N30" s="1771">
        <f>IF(P$6=0,0,(P$6*$E30+$G30+Z14))</f>
        <v>200.75</v>
      </c>
      <c r="O30" s="1754">
        <f>N30*$D30</f>
        <v>321.86916666666662</v>
      </c>
      <c r="P30" s="1718"/>
      <c r="Q30" s="38"/>
    </row>
    <row r="31" spans="1:26" s="42" customFormat="1" ht="15" customHeight="1">
      <c r="A31" s="1306"/>
      <c r="B31" s="274"/>
      <c r="C31" s="1306" t="s">
        <v>244</v>
      </c>
      <c r="D31" s="1723">
        <f>'SDK1'!O53</f>
        <v>1.0999999999999999</v>
      </c>
      <c r="E31" s="1774">
        <f>VLOOKUP(K2,'SD8'!B9:L42,4,FALSE)</f>
        <v>0.8</v>
      </c>
      <c r="F31" s="1774">
        <f>VLOOKUP(K2,'SD8'!B9:L42,8,FALSE)</f>
        <v>0.24</v>
      </c>
      <c r="G31" s="1773"/>
      <c r="H31" s="1771">
        <f>IF(J$6=0,0,(J$6*$E31+$G31+X15))</f>
        <v>44</v>
      </c>
      <c r="I31" s="1754">
        <f>H31*$D31</f>
        <v>48.399999999999991</v>
      </c>
      <c r="J31" s="45"/>
      <c r="K31" s="1772">
        <f>IF(M$6=0,0,(M$6*$E31+$G31+Y15))</f>
        <v>52</v>
      </c>
      <c r="L31" s="1596">
        <f>K31*$D31</f>
        <v>57.199999999999996</v>
      </c>
      <c r="M31" s="1589"/>
      <c r="N31" s="1771">
        <f>IF(P$6=0,0,(P$6*$E31+$G31+Z15))</f>
        <v>60</v>
      </c>
      <c r="O31" s="1754">
        <f>N31*$D31</f>
        <v>65.999999999999986</v>
      </c>
      <c r="P31" s="1718"/>
      <c r="Q31" s="38"/>
    </row>
    <row r="32" spans="1:26" s="42" customFormat="1" ht="15" customHeight="1">
      <c r="A32" s="1306"/>
      <c r="B32" s="274"/>
      <c r="C32" s="1306" t="s">
        <v>242</v>
      </c>
      <c r="D32" s="1723">
        <f>'SDK1'!O54</f>
        <v>1.02</v>
      </c>
      <c r="E32" s="1774">
        <f>VLOOKUP(K2,'SD8'!B9:L42,5,FALSE)</f>
        <v>0.6</v>
      </c>
      <c r="F32" s="1774">
        <f>VLOOKUP(K2,'SD8'!B9:L42,9,FALSE)</f>
        <v>1.1200000000000001</v>
      </c>
      <c r="G32" s="1773"/>
      <c r="H32" s="1771">
        <f>IF(J$6=0,0,(J$6*$E32+$G32+X16))</f>
        <v>33</v>
      </c>
      <c r="I32" s="1754">
        <f>H32*$D32</f>
        <v>33.660000000000004</v>
      </c>
      <c r="J32" s="45"/>
      <c r="K32" s="1772">
        <f>IF(M$6=0,0,(M$6*$E32+$G32+Y16))</f>
        <v>39</v>
      </c>
      <c r="L32" s="1596">
        <f>K32*$D32</f>
        <v>39.78</v>
      </c>
      <c r="M32" s="1589"/>
      <c r="N32" s="1771">
        <f>IF(P$6=0,0,(P$6*$E32+$G32+Z16))</f>
        <v>45</v>
      </c>
      <c r="O32" s="1754">
        <f>N32*$D32</f>
        <v>45.9</v>
      </c>
      <c r="P32" s="1718"/>
      <c r="Q32" s="38"/>
    </row>
    <row r="33" spans="1:17" s="42" customFormat="1" ht="15" customHeight="1">
      <c r="A33" s="1306"/>
      <c r="B33" s="239"/>
      <c r="C33" s="1331" t="s">
        <v>240</v>
      </c>
      <c r="D33" s="1706">
        <f>'SDK1'!O55</f>
        <v>0.68666666666666676</v>
      </c>
      <c r="E33" s="1770">
        <f>VLOOKUP(K2,'SD8'!B9:L42,6,FALSE)</f>
        <v>0.2</v>
      </c>
      <c r="F33" s="1770">
        <f>VLOOKUP(K2,'SD8'!B9:L42,10,FALSE)</f>
        <v>0.15999999999999998</v>
      </c>
      <c r="G33" s="1769"/>
      <c r="H33" s="1767">
        <f>IF(J$6=0,0,(J$6*$E33+$G33+X17))</f>
        <v>11</v>
      </c>
      <c r="I33" s="1750">
        <f>H33*$D33</f>
        <v>7.5533333333333346</v>
      </c>
      <c r="J33" s="45"/>
      <c r="K33" s="1768">
        <f>IF(M$6=0,0,(M$6*$E33+$G33+Y17))</f>
        <v>13</v>
      </c>
      <c r="L33" s="1590">
        <f>K33*$D33</f>
        <v>8.9266666666666676</v>
      </c>
      <c r="M33" s="1589"/>
      <c r="N33" s="1767">
        <f>IF(P$6=0,0,(P$6*$E33+$G33+Z17))</f>
        <v>15</v>
      </c>
      <c r="O33" s="1750">
        <f>N33*$D33</f>
        <v>10.3</v>
      </c>
      <c r="P33" s="1749"/>
      <c r="Q33" s="38"/>
    </row>
    <row r="34" spans="1:17" s="708" customFormat="1" ht="18.75" customHeight="1">
      <c r="A34" s="1270"/>
      <c r="B34" s="1276" t="s">
        <v>1234</v>
      </c>
      <c r="C34" s="1270"/>
      <c r="D34" s="37"/>
      <c r="E34" s="37"/>
      <c r="F34" s="4831" t="s">
        <v>1233</v>
      </c>
      <c r="G34" s="4832"/>
      <c r="H34" s="1764"/>
      <c r="I34" s="1763"/>
      <c r="J34" s="1614">
        <f>SUM(I36:I42)</f>
        <v>231.72</v>
      </c>
      <c r="K34" s="1766"/>
      <c r="L34" s="1765"/>
      <c r="M34" s="1617">
        <f>SUM(L36:L42)</f>
        <v>231.72</v>
      </c>
      <c r="N34" s="1764"/>
      <c r="O34" s="1763"/>
      <c r="P34" s="1614">
        <f>SUM(O36:O42)</f>
        <v>231.72</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706</v>
      </c>
      <c r="D36" s="4857"/>
      <c r="E36" s="4858"/>
      <c r="F36" s="1756">
        <f>IF(C36="",0,VLOOKUP(C36,'SDK5'!C3:AF83,2,FALSE))</f>
        <v>290.39999999999998</v>
      </c>
      <c r="G36" s="1756">
        <f t="shared" ref="G36:G42" si="0">F36*(100+$D$35)/100</f>
        <v>290.39999999999998</v>
      </c>
      <c r="H36" s="1755">
        <v>0.3</v>
      </c>
      <c r="I36" s="1754">
        <f t="shared" ref="I36:I42" si="1">$G36*H36</f>
        <v>87.11999999999999</v>
      </c>
      <c r="J36" s="45"/>
      <c r="K36" s="1755">
        <v>0.3</v>
      </c>
      <c r="L36" s="1596">
        <f t="shared" ref="L36:L42" si="2">$G36*K36</f>
        <v>87.11999999999999</v>
      </c>
      <c r="M36" s="1589"/>
      <c r="N36" s="1755">
        <v>0.3</v>
      </c>
      <c r="O36" s="1754">
        <f t="shared" ref="O36:O42" si="3">$G36*N36</f>
        <v>87.11999999999999</v>
      </c>
      <c r="P36" s="1758"/>
      <c r="Q36" s="38"/>
    </row>
    <row r="37" spans="1:17" s="42" customFormat="1" ht="15" customHeight="1">
      <c r="A37" s="1306"/>
      <c r="B37" s="1594"/>
      <c r="C37" s="4855" t="s">
        <v>700</v>
      </c>
      <c r="D37" s="4855"/>
      <c r="E37" s="4856"/>
      <c r="F37" s="1756">
        <f>IF(C37="",0,VLOOKUP(C37,'SDK5'!C4:AF84,2,FALSE))</f>
        <v>5.5</v>
      </c>
      <c r="G37" s="1756">
        <f t="shared" si="0"/>
        <v>5.5</v>
      </c>
      <c r="H37" s="1755">
        <v>0.8</v>
      </c>
      <c r="I37" s="1754">
        <f t="shared" si="1"/>
        <v>4.4000000000000004</v>
      </c>
      <c r="J37" s="45"/>
      <c r="K37" s="1755">
        <v>0.8</v>
      </c>
      <c r="L37" s="1596">
        <f t="shared" si="2"/>
        <v>4.4000000000000004</v>
      </c>
      <c r="M37" s="1589"/>
      <c r="N37" s="1755">
        <v>0.8</v>
      </c>
      <c r="O37" s="1754">
        <f t="shared" si="3"/>
        <v>4.4000000000000004</v>
      </c>
      <c r="P37" s="1718"/>
      <c r="Q37" s="38"/>
    </row>
    <row r="38" spans="1:17" s="42" customFormat="1" ht="15" customHeight="1">
      <c r="A38" s="1306"/>
      <c r="B38" s="1757"/>
      <c r="C38" s="4855" t="s">
        <v>2065</v>
      </c>
      <c r="D38" s="4855"/>
      <c r="E38" s="4856"/>
      <c r="F38" s="1756">
        <f>IF(C38="",0,VLOOKUP(C38,'SDK5'!C5:AF85,2,FALSE))</f>
        <v>59.4</v>
      </c>
      <c r="G38" s="1756">
        <f t="shared" si="0"/>
        <v>59.4</v>
      </c>
      <c r="H38" s="1755">
        <v>1.5</v>
      </c>
      <c r="I38" s="1754">
        <f t="shared" si="1"/>
        <v>89.1</v>
      </c>
      <c r="J38" s="45"/>
      <c r="K38" s="1755">
        <v>1.5</v>
      </c>
      <c r="L38" s="1596">
        <f t="shared" si="2"/>
        <v>89.1</v>
      </c>
      <c r="M38" s="1589"/>
      <c r="N38" s="1755">
        <v>1.5</v>
      </c>
      <c r="O38" s="1754">
        <f t="shared" si="3"/>
        <v>89.1</v>
      </c>
      <c r="P38" s="1718"/>
      <c r="Q38" s="38"/>
    </row>
    <row r="39" spans="1:17" s="42" customFormat="1" ht="15" customHeight="1">
      <c r="A39" s="1306"/>
      <c r="B39" s="1594"/>
      <c r="C39" s="4855" t="s">
        <v>669</v>
      </c>
      <c r="D39" s="4855"/>
      <c r="E39" s="4856"/>
      <c r="F39" s="1756">
        <f>IF(C39="",0,VLOOKUP(C39,'SDK5'!C6:AF86,2,FALSE))</f>
        <v>51.1</v>
      </c>
      <c r="G39" s="1756">
        <f t="shared" si="0"/>
        <v>51.1</v>
      </c>
      <c r="H39" s="1755">
        <v>1</v>
      </c>
      <c r="I39" s="1754">
        <f t="shared" si="1"/>
        <v>51.1</v>
      </c>
      <c r="J39" s="45"/>
      <c r="K39" s="1755">
        <v>1</v>
      </c>
      <c r="L39" s="1596">
        <f t="shared" si="2"/>
        <v>51.1</v>
      </c>
      <c r="M39" s="1589"/>
      <c r="N39" s="1755">
        <v>1</v>
      </c>
      <c r="O39" s="1754">
        <f t="shared" si="3"/>
        <v>51.1</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145.11320151215688</v>
      </c>
      <c r="K43" s="1748"/>
      <c r="L43" s="1747"/>
      <c r="M43" s="1617">
        <f>SUM(M46:M57)</f>
        <v>149.8622468737255</v>
      </c>
      <c r="N43" s="1746"/>
      <c r="O43" s="1745"/>
      <c r="P43" s="1614">
        <f>SUM(P46:P57)</f>
        <v>154.61129223529412</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467</v>
      </c>
      <c r="D48" s="4836"/>
      <c r="E48" s="1725">
        <f>IF($C48=0,0,VLOOKUP($C48,'SDK3'!$C$24:$O$92,4,FALSE))</f>
        <v>54</v>
      </c>
      <c r="F48" s="1724">
        <f>IF($C48=0,0,VLOOKUP($C48,'SDK3'!$C$24:$O$92,12,FALSE))</f>
        <v>0.32</v>
      </c>
      <c r="G48" s="1723">
        <f>IF($C48=0,0,VLOOKUP($C48,'SDK3'!$C$24:$O$92,13,FALSE))</f>
        <v>3.6014154164705885</v>
      </c>
      <c r="H48" s="1720">
        <v>2</v>
      </c>
      <c r="I48" s="1719">
        <f t="shared" si="4"/>
        <v>0.64</v>
      </c>
      <c r="J48" s="1718">
        <f t="shared" si="5"/>
        <v>7.202830832941177</v>
      </c>
      <c r="K48" s="1720">
        <v>3</v>
      </c>
      <c r="L48" s="1722">
        <f t="shared" si="6"/>
        <v>0.96</v>
      </c>
      <c r="M48" s="1721">
        <f t="shared" si="7"/>
        <v>10.804246249411765</v>
      </c>
      <c r="N48" s="1720">
        <v>4</v>
      </c>
      <c r="O48" s="1719">
        <f t="shared" si="8"/>
        <v>1.28</v>
      </c>
      <c r="P48" s="1718">
        <f t="shared" si="9"/>
        <v>14.405661665882354</v>
      </c>
      <c r="Q48" s="38"/>
    </row>
    <row r="49" spans="1:17" s="42" customFormat="1" ht="15" customHeight="1">
      <c r="A49" s="1306"/>
      <c r="B49" s="1726"/>
      <c r="C49" s="4835" t="s">
        <v>456</v>
      </c>
      <c r="D49" s="4836"/>
      <c r="E49" s="1725">
        <f>IF($C49=0,0,VLOOKUP($C49,'SDK3'!$C$24:$O$92,4,FALSE))</f>
        <v>83</v>
      </c>
      <c r="F49" s="1724">
        <f>IF($C49=0,0,VLOOKUP($C49,'SDK3'!$C$24:$O$92,12,FALSE))</f>
        <v>0.36</v>
      </c>
      <c r="G49" s="1723">
        <f>IF($C49=0,0,VLOOKUP($C49,'SDK3'!$C$24:$O$92,13,FALSE))</f>
        <v>5.7672017035294116</v>
      </c>
      <c r="H49" s="1720">
        <v>3</v>
      </c>
      <c r="I49" s="1719">
        <f t="shared" si="4"/>
        <v>1.08</v>
      </c>
      <c r="J49" s="1718">
        <f t="shared" si="5"/>
        <v>17.301605110588234</v>
      </c>
      <c r="K49" s="1720">
        <v>3</v>
      </c>
      <c r="L49" s="1722">
        <f t="shared" si="6"/>
        <v>1.08</v>
      </c>
      <c r="M49" s="1721">
        <f t="shared" si="7"/>
        <v>17.301605110588234</v>
      </c>
      <c r="N49" s="1720">
        <v>3</v>
      </c>
      <c r="O49" s="1719">
        <f t="shared" si="8"/>
        <v>1.08</v>
      </c>
      <c r="P49" s="1718">
        <f t="shared" si="9"/>
        <v>17.301605110588234</v>
      </c>
      <c r="Q49" s="38"/>
    </row>
    <row r="50" spans="1:17" s="42" customFormat="1" ht="15" customHeight="1">
      <c r="A50" s="1306"/>
      <c r="B50" s="1726"/>
      <c r="C50" s="4835" t="s">
        <v>435</v>
      </c>
      <c r="D50" s="4836"/>
      <c r="E50" s="1725">
        <f>IF($C50=0,0,VLOOKUP($C50,'SDK3'!$C$24:$O$92,4,FALSE))</f>
        <v>83</v>
      </c>
      <c r="F50" s="1724">
        <f>IF($C50=0,0,VLOOKUP($C50,'SDK3'!$C$24:$O$92,12,FALSE))</f>
        <v>0.4</v>
      </c>
      <c r="G50" s="1723">
        <f>IF($C50=0,0,VLOOKUP($C50,'SDK3'!$C$24:$O$92,13,FALSE))</f>
        <v>6.8857796705882359</v>
      </c>
      <c r="H50" s="1720">
        <f>55/60</f>
        <v>0.91666666666666663</v>
      </c>
      <c r="I50" s="1719">
        <f t="shared" si="4"/>
        <v>0.3666666666666667</v>
      </c>
      <c r="J50" s="1718">
        <f t="shared" si="5"/>
        <v>6.3119646980392163</v>
      </c>
      <c r="K50" s="1720">
        <f>65/60</f>
        <v>1.0833333333333333</v>
      </c>
      <c r="L50" s="1722">
        <f t="shared" si="6"/>
        <v>0.43333333333333335</v>
      </c>
      <c r="M50" s="1721">
        <f t="shared" si="7"/>
        <v>7.4595946431372555</v>
      </c>
      <c r="N50" s="1720">
        <f>75/60</f>
        <v>1.25</v>
      </c>
      <c r="O50" s="1719">
        <f t="shared" si="8"/>
        <v>0.5</v>
      </c>
      <c r="P50" s="1718">
        <f t="shared" si="9"/>
        <v>8.6072245882352956</v>
      </c>
      <c r="Q50" s="38"/>
    </row>
    <row r="51" spans="1:17" s="42" customFormat="1" ht="15" customHeight="1">
      <c r="A51" s="1306"/>
      <c r="B51" s="1726"/>
      <c r="C51" s="4835" t="s">
        <v>512</v>
      </c>
      <c r="D51" s="4836"/>
      <c r="E51" s="1725">
        <f>IF($C51=0,0,VLOOKUP($C51,'SDK3'!$C$24:$O$92,4,FALSE))</f>
        <v>102</v>
      </c>
      <c r="F51" s="1724">
        <f>IF($C51=0,0,VLOOKUP($C51,'SDK3'!$C$24:$O$92,12,FALSE))</f>
        <v>0.93</v>
      </c>
      <c r="G51" s="1723">
        <f>IF($C51=0,0,VLOOKUP($C51,'SDK3'!$C$24:$O$92,13,FALSE))</f>
        <v>23.733808400000004</v>
      </c>
      <c r="H51" s="1720">
        <v>1</v>
      </c>
      <c r="I51" s="1719">
        <f t="shared" si="4"/>
        <v>0.93</v>
      </c>
      <c r="J51" s="1718">
        <f t="shared" si="5"/>
        <v>23.733808400000004</v>
      </c>
      <c r="K51" s="1720">
        <v>1</v>
      </c>
      <c r="L51" s="1722">
        <f t="shared" si="6"/>
        <v>0.93</v>
      </c>
      <c r="M51" s="1721">
        <f t="shared" si="7"/>
        <v>23.733808400000004</v>
      </c>
      <c r="N51" s="1720">
        <v>1</v>
      </c>
      <c r="O51" s="1719">
        <f t="shared" si="8"/>
        <v>0.93</v>
      </c>
      <c r="P51" s="1718">
        <f t="shared" si="9"/>
        <v>23.733808400000004</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5.5066666666666677</v>
      </c>
      <c r="J58" s="1701"/>
      <c r="K58" s="1700"/>
      <c r="L58" s="1699">
        <f>SUM($L$46:$L$57)</f>
        <v>5.8933333333333335</v>
      </c>
      <c r="M58" s="1698"/>
      <c r="N58" s="1697"/>
      <c r="O58" s="1696">
        <f>SUM($O$46:$O$57)</f>
        <v>6.28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9.9120000000000026</v>
      </c>
      <c r="J59" s="1686"/>
      <c r="K59" s="1691"/>
      <c r="L59" s="1690">
        <f>IF(L58+SUM($L$46:$L$57)*$E$59%&gt;L58+10,L58+10,L58+SUM($L$46:$L$57)*$E$59%)</f>
        <v>10.608000000000001</v>
      </c>
      <c r="M59" s="1689"/>
      <c r="N59" s="1688"/>
      <c r="O59" s="1687">
        <f>IF(O58+SUM($O$46:$O$57)*$E$59%&gt;O58+10,O58+10,O58+SUM($O$46:$O$57)*$E$59%)</f>
        <v>11.304000000000002</v>
      </c>
      <c r="P59" s="1686"/>
      <c r="Q59" s="38"/>
    </row>
    <row r="60" spans="1:17" s="42" customFormat="1" ht="18.75" customHeight="1">
      <c r="A60" s="1306"/>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99.275000000000006</v>
      </c>
      <c r="K67" s="1641" t="s">
        <v>1217</v>
      </c>
      <c r="L67" s="1640" t="s">
        <v>1216</v>
      </c>
      <c r="M67" s="1617">
        <f>S68*(K9+K10)*L68%+F68</f>
        <v>117.32500000000002</v>
      </c>
      <c r="N67" s="1639" t="s">
        <v>1217</v>
      </c>
      <c r="O67" s="1638" t="s">
        <v>1216</v>
      </c>
      <c r="P67" s="1614">
        <f>T68*(N9+N10)*O68%+F68</f>
        <v>135.375</v>
      </c>
      <c r="Q67" s="38"/>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8"/>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21.355840000000001</v>
      </c>
      <c r="K69" s="1630"/>
      <c r="L69" s="1629"/>
      <c r="M69" s="1617">
        <f>K70*$F70/1000</f>
        <v>25.238720000000001</v>
      </c>
      <c r="N69" s="44"/>
      <c r="O69" s="73"/>
      <c r="P69" s="1614">
        <f>N70*$F70/1000</f>
        <v>29.121600000000001</v>
      </c>
      <c r="Q69" s="38"/>
    </row>
    <row r="70" spans="1:20" s="708" customFormat="1" ht="15" customHeight="1">
      <c r="A70" s="1270"/>
      <c r="B70" s="1332"/>
      <c r="C70" s="1331" t="s">
        <v>896</v>
      </c>
      <c r="D70" s="353"/>
      <c r="E70" s="280"/>
      <c r="F70" s="1628">
        <f>'SDK7'!G102</f>
        <v>16</v>
      </c>
      <c r="G70" s="1627" t="s">
        <v>171</v>
      </c>
      <c r="H70" s="1623">
        <f>I9+I10</f>
        <v>1334.74</v>
      </c>
      <c r="I70" s="1622"/>
      <c r="J70" s="1621"/>
      <c r="K70" s="1626">
        <f>L9+L10</f>
        <v>1577.42</v>
      </c>
      <c r="L70" s="1625"/>
      <c r="M70" s="1624"/>
      <c r="N70" s="1623">
        <f>O9+O10</f>
        <v>1820.1000000000001</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7</v>
      </c>
      <c r="H75" s="1580"/>
      <c r="I75" s="1581"/>
      <c r="J75" s="1578">
        <f>(J23+J27+J34+J43+J60+J65+J67+J69+J71)*('SDK1'!$O$59%*$G$75/12)</f>
        <v>9.9449514048980365</v>
      </c>
      <c r="K75" s="711"/>
      <c r="L75" s="1056"/>
      <c r="M75" s="1578">
        <f>(M23+M27+M34+M43+M60+M65+M67+M69+M71)*('SDK1'!$O$59%*$G$75/12)</f>
        <v>10.659087835145098</v>
      </c>
      <c r="N75" s="1580"/>
      <c r="O75" s="1579"/>
      <c r="P75" s="1578">
        <f>(P23+P27+P34+P43+P60+P65+P67+P69+P71)*('SDK1'!$O$59%*$G$75/12)</f>
        <v>11.373224265392155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D150" s="15"/>
      <c r="F150" s="15"/>
      <c r="G150" s="15"/>
      <c r="H150" s="15"/>
      <c r="I150" s="15"/>
      <c r="J150" s="15"/>
      <c r="M150" s="35"/>
      <c r="N150" s="35"/>
      <c r="O150" s="35"/>
      <c r="P150" s="35"/>
      <c r="Q150" s="35"/>
    </row>
    <row r="151" spans="1:17">
      <c r="A151" s="35"/>
      <c r="B151" s="623"/>
      <c r="C151" s="15"/>
      <c r="D151" s="15"/>
      <c r="F151" s="15"/>
      <c r="G151" s="15"/>
      <c r="H151" s="15"/>
      <c r="I151" s="15"/>
      <c r="J151" s="15"/>
      <c r="M151" s="35"/>
      <c r="N151" s="35"/>
      <c r="O151" s="35"/>
      <c r="P151" s="35"/>
      <c r="Q151" s="35"/>
    </row>
    <row r="152" spans="1:17">
      <c r="A152" s="35"/>
      <c r="B152" s="623"/>
      <c r="C152" s="15"/>
      <c r="D152" s="15"/>
      <c r="F152" s="15"/>
      <c r="G152" s="15"/>
      <c r="H152" s="15"/>
      <c r="I152" s="15"/>
      <c r="J152" s="15"/>
      <c r="M152" s="35"/>
      <c r="N152" s="35"/>
      <c r="O152" s="35"/>
      <c r="P152" s="35"/>
      <c r="Q152" s="35"/>
    </row>
    <row r="153" spans="1:17">
      <c r="A153" s="35"/>
      <c r="B153" s="623"/>
      <c r="C153" s="15"/>
      <c r="D153" s="15"/>
      <c r="F153" s="15"/>
      <c r="G153" s="15"/>
      <c r="H153" s="15"/>
      <c r="I153" s="15"/>
      <c r="J153" s="15"/>
      <c r="M153" s="35"/>
      <c r="N153" s="35"/>
      <c r="O153" s="35"/>
      <c r="P153" s="35"/>
      <c r="Q153" s="35"/>
    </row>
    <row r="154" spans="1:17">
      <c r="A154" s="35"/>
      <c r="B154" s="623"/>
      <c r="C154" s="15"/>
      <c r="D154" s="15"/>
      <c r="F154" s="15"/>
      <c r="G154" s="15"/>
      <c r="H154" s="15"/>
      <c r="I154" s="15"/>
      <c r="J154" s="15"/>
      <c r="M154" s="35"/>
      <c r="N154" s="35"/>
      <c r="O154" s="35"/>
      <c r="P154" s="35"/>
      <c r="Q154" s="35"/>
    </row>
    <row r="155" spans="1:17">
      <c r="A155" s="35"/>
      <c r="B155" s="623"/>
      <c r="C155" s="15"/>
      <c r="D155" s="15"/>
      <c r="F155" s="15"/>
      <c r="G155" s="15"/>
      <c r="H155" s="15"/>
      <c r="I155" s="15"/>
      <c r="J155" s="15"/>
      <c r="M155" s="35"/>
      <c r="N155" s="35"/>
      <c r="O155" s="35"/>
      <c r="P155" s="35"/>
      <c r="Q155" s="35"/>
    </row>
    <row r="156" spans="1:17">
      <c r="A156" s="35"/>
      <c r="B156" s="623"/>
      <c r="C156" s="15"/>
      <c r="D156" s="15"/>
      <c r="F156" s="15"/>
      <c r="G156" s="15"/>
      <c r="H156" s="15"/>
      <c r="I156" s="15"/>
      <c r="J156" s="15"/>
      <c r="M156" s="35"/>
      <c r="N156" s="35"/>
      <c r="O156" s="35"/>
      <c r="P156" s="35"/>
      <c r="Q156" s="35"/>
    </row>
    <row r="157" spans="1:17">
      <c r="A157" s="35"/>
      <c r="B157" s="623"/>
      <c r="C157" s="15"/>
      <c r="D157" s="15"/>
      <c r="F157" s="15"/>
      <c r="G157" s="15"/>
      <c r="H157" s="15"/>
      <c r="I157" s="15"/>
      <c r="J157" s="15"/>
      <c r="M157" s="35"/>
      <c r="N157" s="35"/>
      <c r="O157" s="35"/>
      <c r="P157" s="35"/>
      <c r="Q157" s="35"/>
    </row>
    <row r="158" spans="1:17">
      <c r="A158" s="35"/>
      <c r="B158" s="623"/>
      <c r="C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74:E74"/>
    <mergeCell ref="C55:D55"/>
    <mergeCell ref="C68:E68"/>
    <mergeCell ref="C62:E62"/>
    <mergeCell ref="C64:E64"/>
    <mergeCell ref="C73:E73"/>
    <mergeCell ref="C63:E63"/>
    <mergeCell ref="C57:D57"/>
    <mergeCell ref="C56:D56"/>
    <mergeCell ref="C46:D46"/>
    <mergeCell ref="C41:E41"/>
    <mergeCell ref="C37:E37"/>
    <mergeCell ref="C36:E36"/>
    <mergeCell ref="C40:E40"/>
    <mergeCell ref="C38:E3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 ref="C47:D47"/>
  </mergeCells>
  <dataValidations count="5">
    <dataValidation type="list" showInputMessage="1" showErrorMessage="1" sqref="H14 K14 N14">
      <formula1>"ja,nein"</formula1>
    </dataValidation>
    <dataValidation type="list" allowBlank="1" showInputMessage="1" showErrorMessage="1" sqref="H15:H17 K15:K17 N15:N17">
      <formula1>"ja,nein"</formula1>
    </dataValidation>
    <dataValidation type="list" allowBlank="1" showInputMessage="1" showErrorMessage="1" errorTitle="Hagelversicherung Landesteil" error="Bitte aus Liste auswählen." sqref="E69:F69">
      <formula1>$C$102:$C$107</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2" orientation="portrait" r:id="rId1"/>
  <headerFooter alignWithMargins="0">
    <oddFooter>&amp;L&amp;11LEL Schwäbisch Gmünd&amp;C29&amp;R&amp;11&amp;F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285750</xdr:colOff>
                    <xdr:row>3</xdr:row>
                    <xdr:rowOff>19050</xdr:rowOff>
                  </from>
                  <to>
                    <xdr:col>13</xdr:col>
                    <xdr:colOff>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621.21341697157845</v>
      </c>
      <c r="K1" s="4859">
        <f>M1-J1</f>
        <v>143.50924347553882</v>
      </c>
      <c r="L1" s="4859"/>
      <c r="M1" s="1906">
        <f>(M7+M13+M18+M22+L11+L12)-(M23+M27+M34+M43+M60+M65+M67+M69+M71+M75)</f>
        <v>764.72266044711728</v>
      </c>
      <c r="N1" s="4859">
        <f>P1-M1</f>
        <v>143.50924347553928</v>
      </c>
      <c r="O1" s="4859"/>
      <c r="P1" s="1906">
        <f>(P7+P13+P18+P22+O11+O12)-(P23+P27+P34+P43+P60+P65+P67+P69+P71+P75)</f>
        <v>908.23190392265656</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202</v>
      </c>
      <c r="L2" s="4870"/>
      <c r="M2" s="4870"/>
      <c r="N2" s="4870"/>
      <c r="O2" s="4870"/>
      <c r="P2" s="4870"/>
      <c r="Q2" s="1920">
        <v>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1268</v>
      </c>
      <c r="F4" s="4830"/>
      <c r="G4" s="4830"/>
      <c r="H4" s="4830"/>
      <c r="I4" s="4830"/>
      <c r="J4" s="4866"/>
      <c r="K4" s="4867"/>
      <c r="L4" s="4867"/>
      <c r="M4" s="1942"/>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25</v>
      </c>
      <c r="K6" s="4849" t="s">
        <v>152</v>
      </c>
      <c r="L6" s="4850"/>
      <c r="M6" s="1887">
        <v>30</v>
      </c>
      <c r="N6" s="4864" t="s">
        <v>178</v>
      </c>
      <c r="O6" s="4865"/>
      <c r="P6" s="1886">
        <v>35</v>
      </c>
      <c r="Q6" s="70"/>
    </row>
    <row r="7" spans="1:41" s="252" customFormat="1" ht="18.75" customHeight="1">
      <c r="A7" s="47"/>
      <c r="B7" s="311" t="s">
        <v>1258</v>
      </c>
      <c r="C7" s="47"/>
      <c r="D7" s="47"/>
      <c r="E7" s="47"/>
      <c r="F7" s="47"/>
      <c r="G7" s="1884"/>
      <c r="H7" s="1881"/>
      <c r="I7" s="1880"/>
      <c r="J7" s="1614">
        <f>SUM(I9:I10)</f>
        <v>1179.1666666666665</v>
      </c>
      <c r="K7" s="1883"/>
      <c r="L7" s="1882"/>
      <c r="M7" s="1617">
        <f>SUM(L9:L10)</f>
        <v>1414.9999999999998</v>
      </c>
      <c r="N7" s="1881"/>
      <c r="O7" s="1880"/>
      <c r="P7" s="1614">
        <f>SUM(O9:O10)</f>
        <v>1650.833333333333</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f>'SDK1'!O32</f>
        <v>47.166666666666657</v>
      </c>
      <c r="H9" s="1877">
        <f>J6-H10</f>
        <v>25</v>
      </c>
      <c r="I9" s="1873">
        <f>H9*G9</f>
        <v>1179.1666666666665</v>
      </c>
      <c r="J9" s="43"/>
      <c r="K9" s="1876">
        <f>M6-K10</f>
        <v>30</v>
      </c>
      <c r="L9" s="1875">
        <f>K9*G9</f>
        <v>1414.9999999999998</v>
      </c>
      <c r="M9" s="1854"/>
      <c r="N9" s="1874">
        <f>P6-N10</f>
        <v>35</v>
      </c>
      <c r="O9" s="1873">
        <f>N9*G9</f>
        <v>1650.833333333333</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0.5</v>
      </c>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175</v>
      </c>
      <c r="K23" s="1619"/>
      <c r="L23" s="1618"/>
      <c r="M23" s="1800">
        <f>SUM(L25:L26)</f>
        <v>175</v>
      </c>
      <c r="N23" s="1616"/>
      <c r="O23" s="1615"/>
      <c r="P23" s="1599">
        <f>SUM(O25:O26)</f>
        <v>175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'SDK7'!F64</f>
        <v>350</v>
      </c>
      <c r="G25" s="1794">
        <f>F25*(100+$D$24)/100</f>
        <v>350</v>
      </c>
      <c r="H25" s="1793">
        <v>0.5</v>
      </c>
      <c r="I25" s="1754">
        <f>H25*$G25</f>
        <v>175</v>
      </c>
      <c r="J25" s="45"/>
      <c r="K25" s="1793">
        <f>H25</f>
        <v>0.5</v>
      </c>
      <c r="L25" s="1596">
        <f>K25*$G25</f>
        <v>175</v>
      </c>
      <c r="M25" s="1589"/>
      <c r="N25" s="1793">
        <f>H25</f>
        <v>0.5</v>
      </c>
      <c r="O25" s="1754">
        <f>N25*$G25</f>
        <v>175</v>
      </c>
      <c r="P25" s="1718"/>
      <c r="Q25" s="38"/>
    </row>
    <row r="26" spans="1:26" s="42" customFormat="1" ht="15" customHeight="1">
      <c r="A26" s="1306"/>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8"/>
    </row>
    <row r="27" spans="1:26" s="708" customFormat="1" ht="18.75" customHeight="1">
      <c r="A27" s="1270"/>
      <c r="B27" s="1788" t="s">
        <v>1240</v>
      </c>
      <c r="C27" s="1270"/>
      <c r="D27" s="73"/>
      <c r="E27" s="38"/>
      <c r="F27" s="38"/>
      <c r="G27" s="1787"/>
      <c r="H27" s="1746"/>
      <c r="I27" s="1745"/>
      <c r="J27" s="1614">
        <f>SUM(I30:I33)</f>
        <v>233.85916666666665</v>
      </c>
      <c r="K27" s="1748"/>
      <c r="L27" s="1747"/>
      <c r="M27" s="1617">
        <f>SUM(L30:L33)</f>
        <v>280.63100000000003</v>
      </c>
      <c r="N27" s="1746"/>
      <c r="O27" s="1745"/>
      <c r="P27" s="1614">
        <f>SUM(O30:O33)</f>
        <v>327.40283333333332</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2.91</v>
      </c>
      <c r="F30" s="1774">
        <f>VLOOKUP(K2,'SD8'!B9:L42,7,FALSE)</f>
        <v>2</v>
      </c>
      <c r="G30" s="1773"/>
      <c r="H30" s="1771">
        <f>IF(J$6=0,0,(J$6*$E30+$G30+X14))</f>
        <v>72.75</v>
      </c>
      <c r="I30" s="1754">
        <f>H30*$D30</f>
        <v>116.64249999999998</v>
      </c>
      <c r="J30" s="45"/>
      <c r="K30" s="1772">
        <f>IF(M$6=0,0,(M$6*$E30+$G30+Y14))</f>
        <v>87.300000000000011</v>
      </c>
      <c r="L30" s="1596">
        <f>K30*$D30</f>
        <v>139.971</v>
      </c>
      <c r="M30" s="1589"/>
      <c r="N30" s="1771">
        <f>IF(P$6=0,0,(P$6*$E30+$G30+Z14))</f>
        <v>101.85000000000001</v>
      </c>
      <c r="O30" s="1754">
        <f>N30*$D30</f>
        <v>163.29949999999999</v>
      </c>
      <c r="P30" s="1718"/>
      <c r="Q30" s="38"/>
    </row>
    <row r="31" spans="1:26" s="42" customFormat="1" ht="15" customHeight="1">
      <c r="A31" s="1306"/>
      <c r="B31" s="274"/>
      <c r="C31" s="1306" t="s">
        <v>244</v>
      </c>
      <c r="D31" s="1723">
        <f>'SDK1'!O53</f>
        <v>1.0999999999999999</v>
      </c>
      <c r="E31" s="1774">
        <f>VLOOKUP(K2,'SD8'!B9:L42,4,FALSE)</f>
        <v>1.6</v>
      </c>
      <c r="F31" s="1774">
        <f>VLOOKUP(K2,'SD8'!B9:L42,8,FALSE)</f>
        <v>1.7999999999999998</v>
      </c>
      <c r="G31" s="1773"/>
      <c r="H31" s="1771">
        <f>IF(J$6=0,0,(J$6*$E31+$G31+X15))</f>
        <v>40</v>
      </c>
      <c r="I31" s="1754">
        <f>H31*$D31</f>
        <v>43.999999999999993</v>
      </c>
      <c r="J31" s="45"/>
      <c r="K31" s="1772">
        <f>IF(M$6=0,0,(M$6*$E31+$G31+Y15))</f>
        <v>48</v>
      </c>
      <c r="L31" s="1596">
        <f>K31*$D31</f>
        <v>52.8</v>
      </c>
      <c r="M31" s="1589"/>
      <c r="N31" s="1771">
        <f>IF(P$6=0,0,(P$6*$E31+$G31+Z15))</f>
        <v>56</v>
      </c>
      <c r="O31" s="1754">
        <f>N31*$D31</f>
        <v>61.599999999999994</v>
      </c>
      <c r="P31" s="1718"/>
      <c r="Q31" s="38"/>
    </row>
    <row r="32" spans="1:26" s="42" customFormat="1" ht="15" customHeight="1">
      <c r="A32" s="1306"/>
      <c r="B32" s="274"/>
      <c r="C32" s="1306" t="s">
        <v>242</v>
      </c>
      <c r="D32" s="1723">
        <f>'SDK1'!O54</f>
        <v>1.02</v>
      </c>
      <c r="E32" s="1774">
        <f>VLOOKUP(K2,'SD8'!B9:L42,5,FALSE)</f>
        <v>2.4</v>
      </c>
      <c r="F32" s="1774">
        <f>VLOOKUP(K2,'SD8'!B9:L42,9,FALSE)</f>
        <v>10</v>
      </c>
      <c r="G32" s="1773"/>
      <c r="H32" s="1771">
        <f>IF(J$6=0,0,(J$6*$E32+$G32+X16))</f>
        <v>60</v>
      </c>
      <c r="I32" s="1754">
        <f>H32*$D32</f>
        <v>61.2</v>
      </c>
      <c r="J32" s="45"/>
      <c r="K32" s="1772">
        <f>IF(M$6=0,0,(M$6*$E32+$G32+Y16))</f>
        <v>72</v>
      </c>
      <c r="L32" s="1596">
        <f>K32*$D32</f>
        <v>73.44</v>
      </c>
      <c r="M32" s="1589"/>
      <c r="N32" s="1771">
        <f>IF(P$6=0,0,(P$6*$E32+$G32+Z16))</f>
        <v>84</v>
      </c>
      <c r="O32" s="1754">
        <f>N32*$D32</f>
        <v>85.68</v>
      </c>
      <c r="P32" s="1718"/>
      <c r="Q32" s="38"/>
    </row>
    <row r="33" spans="1:17" s="42" customFormat="1" ht="15" customHeight="1">
      <c r="A33" s="1306"/>
      <c r="B33" s="239"/>
      <c r="C33" s="1331" t="s">
        <v>240</v>
      </c>
      <c r="D33" s="1706">
        <f>'SDK1'!O55</f>
        <v>0.68666666666666676</v>
      </c>
      <c r="E33" s="1770">
        <f>VLOOKUP(K2,'SD8'!B9:L42,6,FALSE)</f>
        <v>0.7</v>
      </c>
      <c r="F33" s="1770">
        <f>VLOOKUP(K2,'SD8'!B9:L42,10,FALSE)</f>
        <v>0.5</v>
      </c>
      <c r="G33" s="1769"/>
      <c r="H33" s="1767">
        <f>IF(J$6=0,0,(J$6*$E33+$G33+X17))</f>
        <v>17.5</v>
      </c>
      <c r="I33" s="1750">
        <f>H33*$D33</f>
        <v>12.016666666666667</v>
      </c>
      <c r="J33" s="45"/>
      <c r="K33" s="1768">
        <f>IF(M$6=0,0,(M$6*$E33+$G33+Y17))</f>
        <v>21</v>
      </c>
      <c r="L33" s="1590">
        <f>K33*$D33</f>
        <v>14.420000000000002</v>
      </c>
      <c r="M33" s="1589"/>
      <c r="N33" s="1767">
        <f>IF(P$6=0,0,(P$6*$E33+$G33+Z17))</f>
        <v>24.5</v>
      </c>
      <c r="O33" s="1750">
        <f>N33*$D33</f>
        <v>16.823333333333334</v>
      </c>
      <c r="P33" s="1749"/>
      <c r="Q33" s="38"/>
    </row>
    <row r="34" spans="1:17" s="708" customFormat="1" ht="18.75" customHeight="1">
      <c r="A34" s="1270"/>
      <c r="B34" s="1276" t="s">
        <v>1234</v>
      </c>
      <c r="C34" s="1270"/>
      <c r="D34" s="37"/>
      <c r="E34" s="37"/>
      <c r="F34" s="4831" t="s">
        <v>1233</v>
      </c>
      <c r="G34" s="4832"/>
      <c r="H34" s="1764"/>
      <c r="I34" s="1763"/>
      <c r="J34" s="1614">
        <f>SUM(I36:I42)</f>
        <v>67.899999999999991</v>
      </c>
      <c r="K34" s="1766"/>
      <c r="L34" s="1765"/>
      <c r="M34" s="1617">
        <f>SUM(L36:L42)</f>
        <v>67.899999999999991</v>
      </c>
      <c r="N34" s="1764"/>
      <c r="O34" s="1763"/>
      <c r="P34" s="1614">
        <f>SUM(O36:O42)</f>
        <v>67.899999999999991</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2064</v>
      </c>
      <c r="D36" s="4857"/>
      <c r="E36" s="4858"/>
      <c r="F36" s="1756">
        <f>IF(C36="",0,VLOOKUP(C36,'SDK5'!C3:AF83,2,FALSE))</f>
        <v>19.399999999999999</v>
      </c>
      <c r="G36" s="1756">
        <f t="shared" ref="G36:G42" si="0">F36*(100+$D$35)/100</f>
        <v>19.399999999999999</v>
      </c>
      <c r="H36" s="1755">
        <v>3.5</v>
      </c>
      <c r="I36" s="1754">
        <f t="shared" ref="I36:I42" si="1">$G36*H36</f>
        <v>67.899999999999991</v>
      </c>
      <c r="J36" s="45"/>
      <c r="K36" s="1755">
        <v>3.5</v>
      </c>
      <c r="L36" s="1596">
        <f t="shared" ref="L36:L42" si="2">$G36*K36</f>
        <v>67.899999999999991</v>
      </c>
      <c r="M36" s="1589"/>
      <c r="N36" s="1755">
        <v>3.5</v>
      </c>
      <c r="O36" s="1754">
        <f t="shared" ref="O36:O42" si="3">$G36*N36</f>
        <v>67.899999999999991</v>
      </c>
      <c r="P36" s="1758"/>
      <c r="Q36" s="38"/>
    </row>
    <row r="37" spans="1:17" s="42" customFormat="1" ht="15" customHeight="1">
      <c r="A37" s="1306"/>
      <c r="B37" s="1594"/>
      <c r="C37" s="4855" t="s">
        <v>368</v>
      </c>
      <c r="D37" s="4855"/>
      <c r="E37" s="4856"/>
      <c r="F37" s="1756">
        <f>IF(C37="",0,VLOOKUP(C37,'SDK5'!C4:AF84,2,FALSE))</f>
        <v>0</v>
      </c>
      <c r="G37" s="1756">
        <f t="shared" si="0"/>
        <v>0</v>
      </c>
      <c r="H37" s="1755"/>
      <c r="I37" s="1754">
        <f t="shared" si="1"/>
        <v>0</v>
      </c>
      <c r="J37" s="45"/>
      <c r="K37" s="1755"/>
      <c r="L37" s="1596">
        <f t="shared" si="2"/>
        <v>0</v>
      </c>
      <c r="M37" s="1589"/>
      <c r="N37" s="1755"/>
      <c r="O37" s="1754">
        <f t="shared" si="3"/>
        <v>0</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140.47496346509803</v>
      </c>
      <c r="K43" s="1748"/>
      <c r="L43" s="1747"/>
      <c r="M43" s="1617">
        <f>SUM(M46:M57)</f>
        <v>141.04877843764706</v>
      </c>
      <c r="N43" s="1746"/>
      <c r="O43" s="1745"/>
      <c r="P43" s="1614">
        <f>SUM(P46:P57)</f>
        <v>141.62259341019609</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0">
        <v>1</v>
      </c>
      <c r="I46" s="1727">
        <f t="shared" ref="I46:I57" si="4">$F46*H46</f>
        <v>1.46</v>
      </c>
      <c r="J46" s="1718">
        <f t="shared" ref="J46:J57" si="5">H46*$G46</f>
        <v>56.986584941176474</v>
      </c>
      <c r="K46" s="1720">
        <v>1</v>
      </c>
      <c r="L46" s="1729">
        <f t="shared" ref="L46:L57" si="6">$F46*K46</f>
        <v>1.46</v>
      </c>
      <c r="M46" s="1721">
        <f t="shared" ref="M46:M57" si="7">K46*$G46</f>
        <v>56.986584941176474</v>
      </c>
      <c r="N46" s="1720">
        <v>1</v>
      </c>
      <c r="O46" s="1727">
        <f t="shared" ref="O46:O57" si="8">$F46*N46</f>
        <v>1.46</v>
      </c>
      <c r="P46" s="1718">
        <f t="shared" ref="P46:P57" si="9">N46*$G46</f>
        <v>56.986584941176474</v>
      </c>
      <c r="Q46" s="38">
        <f>$Q$2*H46</f>
        <v>0</v>
      </c>
    </row>
    <row r="47" spans="1:17" s="42" customFormat="1" ht="15" customHeight="1">
      <c r="A47" s="1306"/>
      <c r="B47" s="1726"/>
      <c r="C47" s="4835" t="s">
        <v>500</v>
      </c>
      <c r="D47" s="4836"/>
      <c r="E47" s="1725">
        <f>IF($C47=0,0,VLOOKUP($C47,'SDK3'!$C$24:$O$92,4,FALSE))</f>
        <v>102</v>
      </c>
      <c r="F47" s="1724">
        <f>IF($C47=0,0,VLOOKUP($C47,'SDK3'!$C$24:$O$92,12,FALSE))</f>
        <v>1.01</v>
      </c>
      <c r="G47" s="1723">
        <f>IF($C47=0,0,VLOOKUP($C47,'SDK3'!$C$24:$O$92,13,FALSE))</f>
        <v>27.345318800000005</v>
      </c>
      <c r="H47" s="1720">
        <v>1</v>
      </c>
      <c r="I47" s="1719">
        <f t="shared" si="4"/>
        <v>1.01</v>
      </c>
      <c r="J47" s="1718">
        <f t="shared" si="5"/>
        <v>27.345318800000005</v>
      </c>
      <c r="K47" s="1720">
        <v>1</v>
      </c>
      <c r="L47" s="1722">
        <f t="shared" si="6"/>
        <v>1.01</v>
      </c>
      <c r="M47" s="1721">
        <f t="shared" si="7"/>
        <v>27.345318800000005</v>
      </c>
      <c r="N47" s="1720">
        <v>1</v>
      </c>
      <c r="O47" s="1719">
        <f t="shared" si="8"/>
        <v>1.01</v>
      </c>
      <c r="P47" s="1718">
        <f t="shared" si="9"/>
        <v>27.345318800000005</v>
      </c>
      <c r="Q47" s="38"/>
    </row>
    <row r="48" spans="1:17" s="42" customFormat="1" ht="15" customHeight="1">
      <c r="A48" s="1306"/>
      <c r="B48" s="1726"/>
      <c r="C48" s="4835" t="s">
        <v>482</v>
      </c>
      <c r="D48" s="4836"/>
      <c r="E48" s="1725">
        <f>IF($C48=0,0,VLOOKUP($C48,'SDK3'!$C$24:$O$92,4,FALSE))</f>
        <v>83</v>
      </c>
      <c r="F48" s="1724">
        <f>IF($C48=0,0,VLOOKUP($C48,'SDK3'!$C$24:$O$92,12,FALSE))</f>
        <v>0.8</v>
      </c>
      <c r="G48" s="1723">
        <f>IF($C48=0,0,VLOOKUP($C48,'SDK3'!$C$24:$O$92,13,FALSE))</f>
        <v>20.171559341176469</v>
      </c>
      <c r="H48" s="1720">
        <v>1</v>
      </c>
      <c r="I48" s="1719">
        <f t="shared" si="4"/>
        <v>0.8</v>
      </c>
      <c r="J48" s="1718">
        <f t="shared" si="5"/>
        <v>20.171559341176469</v>
      </c>
      <c r="K48" s="1720">
        <v>1</v>
      </c>
      <c r="L48" s="1722">
        <f t="shared" si="6"/>
        <v>0.8</v>
      </c>
      <c r="M48" s="1721">
        <f t="shared" si="7"/>
        <v>20.171559341176469</v>
      </c>
      <c r="N48" s="1720">
        <v>1</v>
      </c>
      <c r="O48" s="1719">
        <f t="shared" si="8"/>
        <v>0.8</v>
      </c>
      <c r="P48" s="1718">
        <f t="shared" si="9"/>
        <v>20.171559341176469</v>
      </c>
      <c r="Q48" s="38"/>
    </row>
    <row r="49" spans="1:17" s="42" customFormat="1" ht="15" customHeight="1">
      <c r="A49" s="1306"/>
      <c r="B49" s="1726"/>
      <c r="C49" s="4835" t="s">
        <v>467</v>
      </c>
      <c r="D49" s="4836"/>
      <c r="E49" s="1725">
        <f>IF($C49=0,0,VLOOKUP($C49,'SDK3'!$C$24:$O$92,4,FALSE))</f>
        <v>54</v>
      </c>
      <c r="F49" s="1724">
        <f>IF($C49=0,0,VLOOKUP($C49,'SDK3'!$C$24:$O$92,12,FALSE))</f>
        <v>0.32</v>
      </c>
      <c r="G49" s="1723">
        <f>IF($C49=0,0,VLOOKUP($C49,'SDK3'!$C$24:$O$92,13,FALSE))</f>
        <v>3.6014154164705885</v>
      </c>
      <c r="H49" s="1720">
        <v>1</v>
      </c>
      <c r="I49" s="1719">
        <f t="shared" si="4"/>
        <v>0.32</v>
      </c>
      <c r="J49" s="1718">
        <f t="shared" si="5"/>
        <v>3.6014154164705885</v>
      </c>
      <c r="K49" s="1720">
        <v>1</v>
      </c>
      <c r="L49" s="1722">
        <f t="shared" si="6"/>
        <v>0.32</v>
      </c>
      <c r="M49" s="1721">
        <f t="shared" si="7"/>
        <v>3.6014154164705885</v>
      </c>
      <c r="N49" s="1720">
        <v>1</v>
      </c>
      <c r="O49" s="1719">
        <f t="shared" si="8"/>
        <v>0.32</v>
      </c>
      <c r="P49" s="1718">
        <f t="shared" si="9"/>
        <v>3.6014154164705885</v>
      </c>
      <c r="Q49" s="38"/>
    </row>
    <row r="50" spans="1:17" s="42" customFormat="1" ht="15" customHeight="1">
      <c r="A50" s="1306"/>
      <c r="B50" s="1726"/>
      <c r="C50" s="4835" t="s">
        <v>456</v>
      </c>
      <c r="D50" s="4836"/>
      <c r="E50" s="1725">
        <f>IF($C50=0,0,VLOOKUP($C50,'SDK3'!$C$24:$O$92,4,FALSE))</f>
        <v>83</v>
      </c>
      <c r="F50" s="1724">
        <f>IF($C50=0,0,VLOOKUP($C50,'SDK3'!$C$24:$O$92,12,FALSE))</f>
        <v>0.36</v>
      </c>
      <c r="G50" s="1723">
        <f>IF($C50=0,0,VLOOKUP($C50,'SDK3'!$C$24:$O$92,13,FALSE))</f>
        <v>5.7672017035294116</v>
      </c>
      <c r="H50" s="1720">
        <v>1</v>
      </c>
      <c r="I50" s="1719">
        <f t="shared" si="4"/>
        <v>0.36</v>
      </c>
      <c r="J50" s="1718">
        <f t="shared" si="5"/>
        <v>5.7672017035294116</v>
      </c>
      <c r="K50" s="1720">
        <v>1</v>
      </c>
      <c r="L50" s="1722">
        <f t="shared" si="6"/>
        <v>0.36</v>
      </c>
      <c r="M50" s="1721">
        <f t="shared" si="7"/>
        <v>5.7672017035294116</v>
      </c>
      <c r="N50" s="1720">
        <v>1</v>
      </c>
      <c r="O50" s="1719">
        <f t="shared" si="8"/>
        <v>0.36</v>
      </c>
      <c r="P50" s="1718">
        <f t="shared" si="9"/>
        <v>5.7672017035294116</v>
      </c>
      <c r="Q50" s="38"/>
    </row>
    <row r="51" spans="1:17" s="42" customFormat="1" ht="15" customHeight="1">
      <c r="A51" s="1306"/>
      <c r="B51" s="1726"/>
      <c r="C51" s="4835" t="s">
        <v>435</v>
      </c>
      <c r="D51" s="4836"/>
      <c r="E51" s="1725">
        <f>IF($C51=0,0,VLOOKUP($C51,'SDK3'!$C$24:$O$92,4,FALSE))</f>
        <v>83</v>
      </c>
      <c r="F51" s="1724">
        <f>IF($C51=0,0,VLOOKUP($C51,'SDK3'!$C$24:$O$92,12,FALSE))</f>
        <v>0.4</v>
      </c>
      <c r="G51" s="1723">
        <f>IF($C51=0,0,VLOOKUP($C51,'SDK3'!$C$24:$O$92,13,FALSE))</f>
        <v>6.8857796705882359</v>
      </c>
      <c r="H51" s="1720">
        <v>0.41666666666666669</v>
      </c>
      <c r="I51" s="1719">
        <f t="shared" si="4"/>
        <v>0.16666666666666669</v>
      </c>
      <c r="J51" s="1718">
        <f t="shared" si="5"/>
        <v>2.8690748627450984</v>
      </c>
      <c r="K51" s="1720">
        <v>0.5</v>
      </c>
      <c r="L51" s="1722">
        <f t="shared" si="6"/>
        <v>0.2</v>
      </c>
      <c r="M51" s="1721">
        <f t="shared" si="7"/>
        <v>3.442889835294118</v>
      </c>
      <c r="N51" s="1720">
        <v>0.58333333333333337</v>
      </c>
      <c r="O51" s="1719">
        <f t="shared" si="8"/>
        <v>0.23333333333333336</v>
      </c>
      <c r="P51" s="1718">
        <f t="shared" si="9"/>
        <v>4.016704807843138</v>
      </c>
      <c r="Q51" s="38"/>
    </row>
    <row r="52" spans="1:17" s="42" customFormat="1" ht="15" customHeight="1">
      <c r="A52" s="1306"/>
      <c r="B52" s="1726"/>
      <c r="C52" s="4835" t="s">
        <v>512</v>
      </c>
      <c r="D52" s="4836"/>
      <c r="E52" s="1725">
        <f>IF($C52=0,0,VLOOKUP($C52,'SDK3'!$C$24:$O$92,4,FALSE))</f>
        <v>102</v>
      </c>
      <c r="F52" s="1724">
        <f>IF($C52=0,0,VLOOKUP($C52,'SDK3'!$C$24:$O$92,12,FALSE))</f>
        <v>0.93</v>
      </c>
      <c r="G52" s="1723">
        <f>IF($C52=0,0,VLOOKUP($C52,'SDK3'!$C$24:$O$92,13,FALSE))</f>
        <v>23.733808400000004</v>
      </c>
      <c r="H52" s="1720">
        <v>1</v>
      </c>
      <c r="I52" s="1719">
        <f t="shared" si="4"/>
        <v>0.93</v>
      </c>
      <c r="J52" s="1718">
        <f t="shared" si="5"/>
        <v>23.733808400000004</v>
      </c>
      <c r="K52" s="1720">
        <v>1</v>
      </c>
      <c r="L52" s="1722">
        <f t="shared" si="6"/>
        <v>0.93</v>
      </c>
      <c r="M52" s="1721">
        <f t="shared" si="7"/>
        <v>23.733808400000004</v>
      </c>
      <c r="N52" s="1720">
        <v>1</v>
      </c>
      <c r="O52" s="1719">
        <f t="shared" si="8"/>
        <v>0.93</v>
      </c>
      <c r="P52" s="1718">
        <f t="shared" si="9"/>
        <v>23.733808400000004</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t="s">
        <v>425</v>
      </c>
      <c r="D57" s="4848"/>
      <c r="E57" s="1708">
        <f>IF($C57=0,0,VLOOKUP($C57,'SDK3'!$C$24:$O$92,4,FALSE))</f>
        <v>83</v>
      </c>
      <c r="F57" s="1707">
        <f>IF($C57=0,0,VLOOKUP($C57,'SDK3'!$C$24:$O$92,12,FALSE))</f>
        <v>1</v>
      </c>
      <c r="G57" s="1706">
        <f>IF($C57=0,0,VLOOKUP($C57,'SDK3'!$C$24:$O$92,13,FALSE))</f>
        <v>16.014449176470588</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5.046666666666666</v>
      </c>
      <c r="J58" s="1701"/>
      <c r="K58" s="1700"/>
      <c r="L58" s="1699">
        <f>SUM($L$46:$L$57)</f>
        <v>5.0799999999999992</v>
      </c>
      <c r="M58" s="1698"/>
      <c r="N58" s="1697"/>
      <c r="O58" s="1696">
        <f>SUM($O$46:$O$57)</f>
        <v>5.1133333333333324</v>
      </c>
      <c r="P58" s="1695"/>
      <c r="Q58" s="38"/>
    </row>
    <row r="59" spans="1:17" s="65" customFormat="1" ht="15" customHeight="1">
      <c r="A59" s="1373"/>
      <c r="B59" s="1694"/>
      <c r="C59" s="353"/>
      <c r="D59" s="280" t="s">
        <v>1222</v>
      </c>
      <c r="E59" s="1693">
        <v>80</v>
      </c>
      <c r="F59" s="353" t="s">
        <v>1221</v>
      </c>
      <c r="G59" s="1692"/>
      <c r="H59" s="1688"/>
      <c r="I59" s="1687">
        <f>IF(I58+SUM($I$46:$I$57)*$E$59%&gt;I58+10,I58+10,I58+SUM($I$46:$I$57)*$E$59%)</f>
        <v>9.0839999999999996</v>
      </c>
      <c r="J59" s="1686"/>
      <c r="K59" s="1691"/>
      <c r="L59" s="1690">
        <f>IF(L58+SUM($L$46:$L$57)*$E$59%&gt;L58+10,L58+10,L58+SUM($L$46:$L$57)*$E$59%)</f>
        <v>9.1439999999999984</v>
      </c>
      <c r="M59" s="1689"/>
      <c r="N59" s="1688"/>
      <c r="O59" s="1687">
        <f>IF(O58+SUM($O$46:$O$57)*$E$59%&gt;O58+10,O58+10,O58+SUM($O$46:$O$57)*$E$59%)</f>
        <v>9.2039999999999988</v>
      </c>
      <c r="P59" s="1686"/>
      <c r="Q59" s="38"/>
    </row>
    <row r="60" spans="1:17" s="42" customFormat="1" ht="18.75" customHeight="1">
      <c r="A60" s="1306"/>
      <c r="B60" s="1276" t="s">
        <v>1220</v>
      </c>
      <c r="C60" s="1373"/>
      <c r="D60" s="1373"/>
      <c r="E60" s="45"/>
      <c r="F60" s="45"/>
      <c r="G60" s="1685"/>
      <c r="H60" s="1677"/>
      <c r="I60" s="1676"/>
      <c r="J60" s="1684">
        <f>IF(J6=0,0,SUM(I62:I64))</f>
        <v>167.8</v>
      </c>
      <c r="K60" s="1680"/>
      <c r="L60" s="1679"/>
      <c r="M60" s="1617">
        <f>IF(M6=0,0,SUM(L62:L64))</f>
        <v>167.8</v>
      </c>
      <c r="N60" s="1677"/>
      <c r="O60" s="1676"/>
      <c r="P60" s="1684">
        <f>IF(P6=0,0,SUM(O62:O64))</f>
        <v>167.8</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t="s">
        <v>346</v>
      </c>
      <c r="D62" s="4833"/>
      <c r="E62" s="4833"/>
      <c r="F62" s="1674">
        <f>IF($C62=0,0,VLOOKUP($C62,'SDK3'!$C$98:$D$119,2,FALSE))</f>
        <v>167.8</v>
      </c>
      <c r="G62" s="1673">
        <f>(100+$D$61)/100*F62</f>
        <v>167.8</v>
      </c>
      <c r="H62" s="227"/>
      <c r="I62" s="1669">
        <f>$G$62</f>
        <v>167.8</v>
      </c>
      <c r="J62" s="227"/>
      <c r="K62" s="1672"/>
      <c r="L62" s="1671">
        <f>$G$62</f>
        <v>167.8</v>
      </c>
      <c r="M62" s="1589"/>
      <c r="N62" s="1670"/>
      <c r="O62" s="1669">
        <f>$G$62</f>
        <v>167.8</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614">
        <f>R68*(H9+H10)*I68%+F68</f>
        <v>172.5</v>
      </c>
      <c r="K67" s="1641" t="s">
        <v>1217</v>
      </c>
      <c r="L67" s="1640" t="s">
        <v>1216</v>
      </c>
      <c r="M67" s="1617">
        <f>S68*(K9+K10)*L68%+F68</f>
        <v>207</v>
      </c>
      <c r="N67" s="1639" t="s">
        <v>1217</v>
      </c>
      <c r="O67" s="1638" t="s">
        <v>1216</v>
      </c>
      <c r="P67" s="1614">
        <f>T68*(N9+N10)*O68%+F68</f>
        <v>241.5</v>
      </c>
      <c r="Q67" s="38"/>
    </row>
    <row r="68" spans="1:20" s="708" customFormat="1" ht="15" customHeight="1">
      <c r="A68" s="1270"/>
      <c r="B68" s="1637"/>
      <c r="C68" s="4839" t="s">
        <v>1215</v>
      </c>
      <c r="D68" s="4839"/>
      <c r="E68" s="4839"/>
      <c r="F68" s="1636"/>
      <c r="G68" s="1627" t="s">
        <v>171</v>
      </c>
      <c r="H68" s="1634">
        <v>13</v>
      </c>
      <c r="I68" s="1633">
        <v>100</v>
      </c>
      <c r="J68" s="1632"/>
      <c r="K68" s="1634">
        <v>13</v>
      </c>
      <c r="L68" s="1633">
        <v>100</v>
      </c>
      <c r="M68" s="1635"/>
      <c r="N68" s="1634">
        <v>13</v>
      </c>
      <c r="O68" s="1633">
        <v>100</v>
      </c>
      <c r="P68" s="1632"/>
      <c r="Q68" s="38"/>
      <c r="R68" s="1948">
        <f>IF(H68=0,0,VLOOKUP(H68,'SD6'!L8:M156,'SD6'!M1))*(1+'SDK1'!O11/100)</f>
        <v>6.9</v>
      </c>
      <c r="S68" s="1948">
        <f>IF(K68=0,0,VLOOKUP(K68,'SD6'!L8:M156,'SD6'!M1))*(1+'SDK1'!O11/100)</f>
        <v>6.9</v>
      </c>
      <c r="T68" s="1947">
        <f>IF(N68=0,0,VLOOKUP(N68,'SD6'!L8:M156,'SD6'!M1))*(1+'SDK1'!O11/100)</f>
        <v>6.9</v>
      </c>
    </row>
    <row r="69" spans="1:20" s="708" customFormat="1" ht="18.75" customHeight="1">
      <c r="A69" s="1270"/>
      <c r="B69" s="1276" t="s">
        <v>1214</v>
      </c>
      <c r="C69" s="1270"/>
      <c r="D69" s="1270"/>
      <c r="E69" s="38"/>
      <c r="F69" s="38"/>
      <c r="G69" s="1620"/>
      <c r="H69" s="44"/>
      <c r="I69" s="73"/>
      <c r="J69" s="1614">
        <f>H70*$F70/1000</f>
        <v>49.524999999999991</v>
      </c>
      <c r="K69" s="1630"/>
      <c r="L69" s="1629"/>
      <c r="M69" s="1617">
        <f>K70*$F70/1000</f>
        <v>59.429999999999993</v>
      </c>
      <c r="N69" s="44"/>
      <c r="O69" s="73"/>
      <c r="P69" s="1614">
        <f>N70*$F70/1000</f>
        <v>69.33499999999998</v>
      </c>
      <c r="Q69" s="38"/>
    </row>
    <row r="70" spans="1:20" s="708" customFormat="1" ht="15" customHeight="1">
      <c r="A70" s="1270"/>
      <c r="B70" s="1332"/>
      <c r="C70" s="1331" t="s">
        <v>896</v>
      </c>
      <c r="D70" s="353"/>
      <c r="E70" s="280"/>
      <c r="F70" s="1628">
        <f>'SDK7'!G107</f>
        <v>42</v>
      </c>
      <c r="G70" s="1627" t="s">
        <v>171</v>
      </c>
      <c r="H70" s="1623">
        <f>I9+I10</f>
        <v>1179.1666666666665</v>
      </c>
      <c r="I70" s="1622"/>
      <c r="J70" s="1621"/>
      <c r="K70" s="1626">
        <f>L9+L10</f>
        <v>1414.9999999999998</v>
      </c>
      <c r="L70" s="1625"/>
      <c r="M70" s="1624"/>
      <c r="N70" s="1623">
        <f>O9+O10</f>
        <v>1650.833333333333</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6.2941195633235285</v>
      </c>
      <c r="K75" s="711"/>
      <c r="L75" s="1056"/>
      <c r="M75" s="1578">
        <f>(M23+M27+M34+M43+M60+M65+M67+M69+M71)*('SDK1'!$O$59%*$G$75/12)</f>
        <v>6.8675611152352936</v>
      </c>
      <c r="N75" s="1580"/>
      <c r="O75" s="1579"/>
      <c r="P75" s="1578">
        <f>(P23+P27+P34+P43+P60+P65+P67+P69+P71)*('SDK1'!$O$59%*$G$75/12)</f>
        <v>7.4410026671470586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H151" s="1929"/>
      <c r="J151" s="1928"/>
      <c r="M151" s="35"/>
      <c r="N151" s="35"/>
      <c r="O151" s="35"/>
      <c r="P151" s="35"/>
      <c r="Q151" s="35"/>
    </row>
    <row r="152" spans="1:17">
      <c r="A152" s="35"/>
      <c r="B152" s="623"/>
      <c r="C152" s="15"/>
      <c r="H152" s="1929"/>
      <c r="J152" s="1928"/>
      <c r="M152" s="35"/>
      <c r="N152" s="35"/>
      <c r="O152" s="35"/>
      <c r="P152" s="35"/>
      <c r="Q152" s="35"/>
    </row>
    <row r="153" spans="1:17">
      <c r="A153" s="35"/>
      <c r="B153" s="623"/>
      <c r="C153" s="15"/>
      <c r="H153" s="1929"/>
      <c r="J153" s="1928"/>
      <c r="M153" s="35"/>
      <c r="N153" s="35"/>
      <c r="O153" s="35"/>
      <c r="P153" s="35"/>
      <c r="Q153" s="35"/>
    </row>
    <row r="154" spans="1:17">
      <c r="A154" s="35"/>
      <c r="B154" s="623"/>
      <c r="C154" s="15"/>
      <c r="H154" s="1929"/>
      <c r="J154" s="1928"/>
      <c r="M154" s="35"/>
      <c r="N154" s="35"/>
      <c r="O154" s="35"/>
      <c r="P154" s="35"/>
      <c r="Q154" s="35"/>
    </row>
    <row r="155" spans="1:17">
      <c r="A155" s="35"/>
      <c r="B155" s="623"/>
      <c r="C155" s="15"/>
      <c r="H155" s="1929"/>
      <c r="J155" s="1928"/>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K2:P2"/>
    <mergeCell ref="D25:E25"/>
    <mergeCell ref="D26:E26"/>
    <mergeCell ref="C14:F14"/>
    <mergeCell ref="C15:F15"/>
    <mergeCell ref="N6:O6"/>
    <mergeCell ref="E10:F10"/>
    <mergeCell ref="K6:L6"/>
    <mergeCell ref="E4:I4"/>
    <mergeCell ref="J3:L3"/>
    <mergeCell ref="E22:G22"/>
    <mergeCell ref="B75:C75"/>
    <mergeCell ref="K1:L1"/>
    <mergeCell ref="N1:O1"/>
    <mergeCell ref="C16:F16"/>
    <mergeCell ref="C74:E74"/>
    <mergeCell ref="C17:F17"/>
    <mergeCell ref="C19:F19"/>
    <mergeCell ref="N3:O4"/>
    <mergeCell ref="F23:G23"/>
    <mergeCell ref="C63:E63"/>
    <mergeCell ref="C38:E38"/>
    <mergeCell ref="C57:D57"/>
    <mergeCell ref="J4:L4"/>
    <mergeCell ref="H6:I6"/>
    <mergeCell ref="C46:D46"/>
    <mergeCell ref="C39:E39"/>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F34:G34"/>
    <mergeCell ref="C40:E40"/>
    <mergeCell ref="C64:E64"/>
    <mergeCell ref="C36:E36"/>
    <mergeCell ref="C42:E4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8" orientation="portrait" r:id="rId1"/>
  <headerFooter alignWithMargins="0">
    <oddFooter>&amp;L&amp;11LEL Schwäbisch Gmünd&amp;C61&amp;R&amp;11&amp;F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'SDK5'!$U$214:$U$313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4">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91" customFormat="1" ht="30.4" customHeight="1">
      <c r="A1" s="1895"/>
      <c r="B1" s="326"/>
      <c r="C1" s="1908"/>
      <c r="D1" s="1827"/>
      <c r="E1" s="323"/>
      <c r="F1" s="323"/>
      <c r="G1" s="607"/>
      <c r="H1" s="1902"/>
      <c r="I1" s="1907" t="s">
        <v>1264</v>
      </c>
      <c r="J1" s="1906">
        <f>(J7+J13+J18+J22+I11+I12)-(J23+J27+J34+J43+J60+J65+J67+J69+J71+J75)</f>
        <v>901.80208420397071</v>
      </c>
      <c r="K1" s="4859">
        <f>M1-J1</f>
        <v>0</v>
      </c>
      <c r="L1" s="4859"/>
      <c r="M1" s="1906">
        <f>(M7+M13+M18+M22+L11+L12)-(M23+M27+M34+M43+M60+M65+M67+M69+M71+M75)</f>
        <v>901.80208420397071</v>
      </c>
      <c r="N1" s="4859">
        <f>P1-M1</f>
        <v>0</v>
      </c>
      <c r="O1" s="4859"/>
      <c r="P1" s="1906">
        <f>(P7+P13+P18+P22+O11+O12)-(P23+P27+P34+P43+P60+P65+P67+P69+P71+P75)</f>
        <v>901.80208420397071</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192</v>
      </c>
      <c r="L2" s="4870"/>
      <c r="M2" s="4870"/>
      <c r="N2" s="4870"/>
      <c r="O2" s="4870"/>
      <c r="P2" s="4870"/>
      <c r="Q2" s="1920">
        <v>0</v>
      </c>
    </row>
    <row r="3" spans="1:41" s="1891" customFormat="1" ht="21.75" customHeight="1">
      <c r="A3" s="1895"/>
      <c r="B3" s="1919"/>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30" t="s">
        <v>1300</v>
      </c>
      <c r="F4" s="4830"/>
      <c r="G4" s="4830"/>
      <c r="H4" s="4830"/>
      <c r="I4" s="4830"/>
      <c r="J4" s="4866"/>
      <c r="K4" s="4867"/>
      <c r="L4" s="4867"/>
      <c r="M4" s="1942"/>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1</v>
      </c>
      <c r="K6" s="4849" t="s">
        <v>152</v>
      </c>
      <c r="L6" s="4850"/>
      <c r="M6" s="1887">
        <v>1</v>
      </c>
      <c r="N6" s="4864" t="s">
        <v>178</v>
      </c>
      <c r="O6" s="4865"/>
      <c r="P6" s="1886">
        <v>1</v>
      </c>
      <c r="Q6" s="70"/>
    </row>
    <row r="7" spans="1:41" s="252" customFormat="1" ht="18.75" customHeight="1">
      <c r="A7" s="47"/>
      <c r="B7" s="311" t="s">
        <v>1258</v>
      </c>
      <c r="C7" s="47"/>
      <c r="D7" s="47"/>
      <c r="E7" s="47"/>
      <c r="F7" s="47"/>
      <c r="G7" s="1884"/>
      <c r="H7" s="1881"/>
      <c r="I7" s="1880"/>
      <c r="J7" s="1614">
        <f>SUM(I9:I10)</f>
        <v>0</v>
      </c>
      <c r="K7" s="1883"/>
      <c r="L7" s="1882"/>
      <c r="M7" s="1617">
        <f>SUM(L9:L10)</f>
        <v>0</v>
      </c>
      <c r="N7" s="1881"/>
      <c r="O7" s="1880"/>
      <c r="P7" s="1614">
        <f>SUM(O9:O10)</f>
        <v>0</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t="s">
        <v>1257</v>
      </c>
      <c r="G9" s="1794"/>
      <c r="H9" s="1877">
        <f>J6-H10</f>
        <v>1</v>
      </c>
      <c r="I9" s="1873">
        <f>H9*G9</f>
        <v>0</v>
      </c>
      <c r="J9" s="43"/>
      <c r="K9" s="1876">
        <f>M6-K10</f>
        <v>1</v>
      </c>
      <c r="L9" s="1875">
        <f>K9*G9</f>
        <v>0</v>
      </c>
      <c r="M9" s="1854"/>
      <c r="N9" s="1874">
        <f>P6-N10</f>
        <v>1</v>
      </c>
      <c r="O9" s="1873">
        <f>N9*G9</f>
        <v>0</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730</v>
      </c>
      <c r="K13" s="1927"/>
      <c r="L13" s="1825"/>
      <c r="M13" s="1617">
        <f>SUM(L14:L17)</f>
        <v>730</v>
      </c>
      <c r="N13" s="1926"/>
      <c r="O13" s="1823"/>
      <c r="P13" s="1614">
        <f>SUM(O14:O17)</f>
        <v>730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2112</v>
      </c>
      <c r="D14" s="4833"/>
      <c r="E14" s="4833"/>
      <c r="F14" s="4833"/>
      <c r="G14" s="1837"/>
      <c r="H14" s="1967" t="s">
        <v>1299</v>
      </c>
      <c r="I14" s="3965">
        <f>IF(H14="ja",Q14,0)</f>
        <v>730</v>
      </c>
      <c r="J14" s="45"/>
      <c r="K14" s="1836" t="s">
        <v>1299</v>
      </c>
      <c r="L14" s="1671">
        <f>IF(K14="ja",Q14,0)</f>
        <v>730</v>
      </c>
      <c r="M14" s="1589"/>
      <c r="N14" s="1836" t="s">
        <v>1299</v>
      </c>
      <c r="O14" s="1817">
        <f>IF(N14="ja",Q14,0)</f>
        <v>730</v>
      </c>
      <c r="P14" s="1586"/>
      <c r="Q14" s="1835">
        <f>IF(C14=0,0,VLOOKUP(C14,'SD2'!$C$11:$N$49,'SD2'!$N$1,FALSE))</f>
        <v>730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1085.4000000000001</v>
      </c>
      <c r="S19" s="1815">
        <f>M13+M18</f>
        <v>1085.4000000000001</v>
      </c>
      <c r="T19" s="1814">
        <f>P13+P18</f>
        <v>1085.4000000000001</v>
      </c>
    </row>
    <row r="20" spans="1:26" s="42" customFormat="1" ht="15">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68.400000000000006</v>
      </c>
      <c r="K23" s="1619"/>
      <c r="L23" s="1618"/>
      <c r="M23" s="1800">
        <f>SUM(L25:L26)</f>
        <v>68.400000000000006</v>
      </c>
      <c r="N23" s="1616"/>
      <c r="O23" s="1615"/>
      <c r="P23" s="1599">
        <f>SUM(O25:O26)</f>
        <v>68.400000000000006</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f>'SDK7'!F75/100</f>
        <v>5.7</v>
      </c>
      <c r="G25" s="1794">
        <f>F25*(100+$D$24)/100</f>
        <v>5.7</v>
      </c>
      <c r="H25" s="1966">
        <v>12</v>
      </c>
      <c r="I25" s="1754">
        <f>H25*$G25</f>
        <v>68.400000000000006</v>
      </c>
      <c r="J25" s="45"/>
      <c r="K25" s="1966">
        <v>12</v>
      </c>
      <c r="L25" s="1596">
        <f>K25*$G25</f>
        <v>68.400000000000006</v>
      </c>
      <c r="M25" s="1589"/>
      <c r="N25" s="1966">
        <v>12</v>
      </c>
      <c r="O25" s="1754">
        <f>N25*$G25</f>
        <v>68.400000000000006</v>
      </c>
      <c r="P25" s="1718"/>
      <c r="Q25" s="38"/>
    </row>
    <row r="26" spans="1:26" s="42" customFormat="1" ht="15" customHeight="1">
      <c r="A26" s="1306"/>
      <c r="B26" s="1332"/>
      <c r="C26" s="1792"/>
      <c r="D26" s="4853"/>
      <c r="E26" s="4854"/>
      <c r="F26" s="1791"/>
      <c r="G26" s="1790">
        <f>F26*(100+$D$24)/100</f>
        <v>0</v>
      </c>
      <c r="H26" s="1935"/>
      <c r="I26" s="1750">
        <f>H26*$G26</f>
        <v>0</v>
      </c>
      <c r="J26" s="45"/>
      <c r="K26" s="1935">
        <f>H26</f>
        <v>0</v>
      </c>
      <c r="L26" s="1590">
        <f>K26*$G26</f>
        <v>0</v>
      </c>
      <c r="M26" s="1589"/>
      <c r="N26" s="1935">
        <f>H26</f>
        <v>0</v>
      </c>
      <c r="O26" s="1750">
        <f>N26*$G26</f>
        <v>0</v>
      </c>
      <c r="P26" s="1749"/>
      <c r="Q26" s="38"/>
    </row>
    <row r="27" spans="1:26" s="708" customFormat="1" ht="18.75" customHeight="1">
      <c r="A27" s="1270"/>
      <c r="B27" s="1788" t="s">
        <v>1240</v>
      </c>
      <c r="C27" s="1270"/>
      <c r="D27" s="73"/>
      <c r="E27" s="38"/>
      <c r="F27" s="38"/>
      <c r="G27" s="1787"/>
      <c r="H27" s="1746"/>
      <c r="I27" s="1745"/>
      <c r="J27" s="1614">
        <f>SUM(I30:I33)</f>
        <v>0</v>
      </c>
      <c r="K27" s="1748"/>
      <c r="L27" s="1747"/>
      <c r="M27" s="1617">
        <f>SUM(L30:L33)</f>
        <v>0</v>
      </c>
      <c r="N27" s="1746"/>
      <c r="O27" s="1745"/>
      <c r="P27" s="1614">
        <f>SUM(O30:O33)</f>
        <v>0</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v>
      </c>
      <c r="F30" s="1774">
        <f>VLOOKUP(K2,'SD8'!B9:L42,7,FALSE)</f>
        <v>0</v>
      </c>
      <c r="G30" s="1773"/>
      <c r="H30" s="1771">
        <f>IF(J$6=0,0,(J$6*$E30+$G30+X14))</f>
        <v>0</v>
      </c>
      <c r="I30" s="1754">
        <f>H30*$D30</f>
        <v>0</v>
      </c>
      <c r="J30" s="45"/>
      <c r="K30" s="1772">
        <f>IF(M$6=0,0,(M$6*$E30+$G30+Y14))</f>
        <v>0</v>
      </c>
      <c r="L30" s="1596">
        <f>K30*$D30</f>
        <v>0</v>
      </c>
      <c r="M30" s="1589"/>
      <c r="N30" s="1771">
        <f>IF(P$6=0,0,(P$6*$E30+$G30+Z14))</f>
        <v>0</v>
      </c>
      <c r="O30" s="1754">
        <f>N30*$D30</f>
        <v>0</v>
      </c>
      <c r="P30" s="1718"/>
      <c r="Q30" s="38"/>
    </row>
    <row r="31" spans="1:26" s="42" customFormat="1" ht="15" customHeight="1">
      <c r="A31" s="1306"/>
      <c r="B31" s="274"/>
      <c r="C31" s="1306" t="s">
        <v>244</v>
      </c>
      <c r="D31" s="1723">
        <f>'SDK1'!O53</f>
        <v>1.0999999999999999</v>
      </c>
      <c r="E31" s="1774">
        <f>VLOOKUP(K2,'SD8'!B9:L42,4,FALSE)</f>
        <v>0</v>
      </c>
      <c r="F31" s="1774">
        <f>VLOOKUP(K2,'SD8'!B9:L42,8,FALSE)</f>
        <v>0</v>
      </c>
      <c r="G31" s="1773"/>
      <c r="H31" s="1771">
        <f>IF(J$6=0,0,(J$6*$E31+$G31+X15))</f>
        <v>0</v>
      </c>
      <c r="I31" s="1754">
        <f>H31*$D31</f>
        <v>0</v>
      </c>
      <c r="J31" s="45"/>
      <c r="K31" s="1772">
        <f>IF(M$6=0,0,(M$6*$E31+$G31+Y15))</f>
        <v>0</v>
      </c>
      <c r="L31" s="1596">
        <f>K31*$D31</f>
        <v>0</v>
      </c>
      <c r="M31" s="1589"/>
      <c r="N31" s="1771">
        <f>IF(P$6=0,0,(P$6*$E31+$G31+Z15))</f>
        <v>0</v>
      </c>
      <c r="O31" s="1754">
        <f>N31*$D31</f>
        <v>0</v>
      </c>
      <c r="P31" s="1718"/>
      <c r="Q31" s="38"/>
    </row>
    <row r="32" spans="1:26" s="42" customFormat="1" ht="15" customHeight="1">
      <c r="A32" s="1306"/>
      <c r="B32" s="274"/>
      <c r="C32" s="1306" t="s">
        <v>242</v>
      </c>
      <c r="D32" s="1723">
        <f>'SDK1'!O54</f>
        <v>1.02</v>
      </c>
      <c r="E32" s="1774">
        <f>VLOOKUP(K2,'SD8'!B9:L42,5,FALSE)</f>
        <v>0</v>
      </c>
      <c r="F32" s="1774">
        <f>VLOOKUP(K2,'SD8'!B9:L42,9,FALSE)</f>
        <v>0</v>
      </c>
      <c r="G32" s="1773"/>
      <c r="H32" s="1771">
        <f>IF(J$6=0,0,(J$6*$E32+$G32+X16))</f>
        <v>0</v>
      </c>
      <c r="I32" s="1754">
        <f>H32*$D32</f>
        <v>0</v>
      </c>
      <c r="J32" s="45"/>
      <c r="K32" s="1772">
        <f>IF(M$6=0,0,(M$6*$E32+$G32+Y16))</f>
        <v>0</v>
      </c>
      <c r="L32" s="1596">
        <f>K32*$D32</f>
        <v>0</v>
      </c>
      <c r="M32" s="1589"/>
      <c r="N32" s="1771">
        <f>IF(P$6=0,0,(P$6*$E32+$G32+Z16))</f>
        <v>0</v>
      </c>
      <c r="O32" s="1754">
        <f>N32*$D32</f>
        <v>0</v>
      </c>
      <c r="P32" s="1718"/>
      <c r="Q32" s="38"/>
    </row>
    <row r="33" spans="1:17" s="42" customFormat="1" ht="15" customHeight="1">
      <c r="A33" s="1306"/>
      <c r="B33" s="239"/>
      <c r="C33" s="1331" t="s">
        <v>240</v>
      </c>
      <c r="D33" s="1706">
        <f>'SDK1'!O55</f>
        <v>0.68666666666666676</v>
      </c>
      <c r="E33" s="1770">
        <f>VLOOKUP(K2,'SD8'!B9:L42,6,FALSE)</f>
        <v>0</v>
      </c>
      <c r="F33" s="1770">
        <f>VLOOKUP(K2,'SD8'!B9:L42,10,FALSE)</f>
        <v>0</v>
      </c>
      <c r="G33" s="1769"/>
      <c r="H33" s="1767">
        <f>IF(J$6=0,0,(J$6*$E33+$G33+X17))</f>
        <v>0</v>
      </c>
      <c r="I33" s="1750">
        <f>H33*$D33</f>
        <v>0</v>
      </c>
      <c r="J33" s="45"/>
      <c r="K33" s="1768">
        <f>IF(M$6=0,0,(M$6*$E33+$G33+Y17))</f>
        <v>0</v>
      </c>
      <c r="L33" s="1590">
        <f>K33*$D33</f>
        <v>0</v>
      </c>
      <c r="M33" s="1589"/>
      <c r="N33" s="1767">
        <f>IF(P$6=0,0,(P$6*$E33+$G33+Z17))</f>
        <v>0</v>
      </c>
      <c r="O33" s="1750">
        <f>N33*$D33</f>
        <v>0</v>
      </c>
      <c r="P33" s="1749"/>
      <c r="Q33" s="38"/>
    </row>
    <row r="34" spans="1:17" s="708" customFormat="1" ht="18.75" customHeight="1">
      <c r="A34" s="1270"/>
      <c r="B34" s="1276" t="s">
        <v>1234</v>
      </c>
      <c r="C34" s="1270"/>
      <c r="D34" s="37"/>
      <c r="E34" s="37"/>
      <c r="F34" s="4831" t="s">
        <v>1233</v>
      </c>
      <c r="G34" s="4832"/>
      <c r="H34" s="1764"/>
      <c r="I34" s="1763"/>
      <c r="J34" s="1614">
        <f>SUM(I36:I42)</f>
        <v>0</v>
      </c>
      <c r="K34" s="1766"/>
      <c r="L34" s="1765"/>
      <c r="M34" s="1617">
        <f>SUM(L36:L42)</f>
        <v>0</v>
      </c>
      <c r="N34" s="1764"/>
      <c r="O34" s="1763"/>
      <c r="P34" s="1614">
        <f>SUM(O36:O42)</f>
        <v>0</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c r="D36" s="4857"/>
      <c r="E36" s="4858"/>
      <c r="F36" s="1756">
        <f>IF(C36="",0,VLOOKUP(C36,'SDK5'!C3:AF83,2,FALSE))</f>
        <v>0</v>
      </c>
      <c r="G36" s="1756">
        <f t="shared" ref="G36:G42" si="0">F36*(100+$D$35)/100</f>
        <v>0</v>
      </c>
      <c r="H36" s="1965"/>
      <c r="I36" s="1754">
        <f t="shared" ref="I36:I42" si="1">$G36*H36</f>
        <v>0</v>
      </c>
      <c r="J36" s="45"/>
      <c r="K36" s="1965"/>
      <c r="L36" s="1596">
        <f t="shared" ref="L36:L42" si="2">$G36*K36</f>
        <v>0</v>
      </c>
      <c r="M36" s="1589"/>
      <c r="N36" s="1755"/>
      <c r="O36" s="1754">
        <f t="shared" ref="O36:O42" si="3">$G36*N36</f>
        <v>0</v>
      </c>
      <c r="P36" s="1758"/>
      <c r="Q36" s="38"/>
    </row>
    <row r="37" spans="1:17" s="42" customFormat="1" ht="15" customHeight="1">
      <c r="A37" s="1306"/>
      <c r="B37" s="1594"/>
      <c r="C37" s="4855"/>
      <c r="D37" s="4855"/>
      <c r="E37" s="4856"/>
      <c r="F37" s="1756">
        <f>IF(C37="",0,VLOOKUP(C37,'SDK5'!C4:AF84,2,FALSE))</f>
        <v>0</v>
      </c>
      <c r="G37" s="1756">
        <f t="shared" si="0"/>
        <v>0</v>
      </c>
      <c r="H37" s="1965"/>
      <c r="I37" s="1754">
        <f t="shared" si="1"/>
        <v>0</v>
      </c>
      <c r="J37" s="45"/>
      <c r="K37" s="1965"/>
      <c r="L37" s="1596">
        <f t="shared" si="2"/>
        <v>0</v>
      </c>
      <c r="M37" s="1589"/>
      <c r="N37" s="1755"/>
      <c r="O37" s="1754">
        <f t="shared" si="3"/>
        <v>0</v>
      </c>
      <c r="P37" s="1718"/>
      <c r="Q37" s="38"/>
    </row>
    <row r="38" spans="1:17" s="42" customFormat="1" ht="15" customHeight="1">
      <c r="A38" s="1306"/>
      <c r="B38" s="1757"/>
      <c r="C38" s="4855"/>
      <c r="D38" s="4855"/>
      <c r="E38" s="4856"/>
      <c r="F38" s="1756">
        <f>IF(C38="",0,VLOOKUP(C38,'SDK5'!C5:AF85,2,FALSE))</f>
        <v>0</v>
      </c>
      <c r="G38" s="1756">
        <f t="shared" si="0"/>
        <v>0</v>
      </c>
      <c r="H38" s="1965"/>
      <c r="I38" s="1754">
        <f t="shared" si="1"/>
        <v>0</v>
      </c>
      <c r="J38" s="45"/>
      <c r="K38" s="196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965"/>
      <c r="I39" s="1754">
        <f t="shared" si="1"/>
        <v>0</v>
      </c>
      <c r="J39" s="45"/>
      <c r="K39" s="196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965"/>
      <c r="I40" s="1754">
        <f t="shared" si="1"/>
        <v>0</v>
      </c>
      <c r="J40" s="45"/>
      <c r="K40" s="196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965"/>
      <c r="I41" s="1754">
        <f t="shared" si="1"/>
        <v>0</v>
      </c>
      <c r="J41" s="45"/>
      <c r="K41" s="196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964"/>
      <c r="I42" s="1750">
        <f t="shared" si="1"/>
        <v>0</v>
      </c>
      <c r="J42" s="45"/>
      <c r="K42" s="1964"/>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114.05755607058825</v>
      </c>
      <c r="K43" s="1748"/>
      <c r="L43" s="1747"/>
      <c r="M43" s="1617">
        <f>SUM(M46:M57)</f>
        <v>114.05755607058825</v>
      </c>
      <c r="N43" s="1746"/>
      <c r="O43" s="1745"/>
      <c r="P43" s="1614">
        <f>SUM(P46:P57)</f>
        <v>114.05755607058825</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450</v>
      </c>
      <c r="D48" s="4836"/>
      <c r="E48" s="1725">
        <f>IF($C48=0,0,VLOOKUP($C48,'SDK3'!$C$24:$O$92,4,FALSE))</f>
        <v>83</v>
      </c>
      <c r="F48" s="1724">
        <f>IF($C48=0,0,VLOOKUP($C48,'SDK3'!$C$24:$O$92,12,FALSE))</f>
        <v>1.19</v>
      </c>
      <c r="G48" s="1723">
        <f>IF($C48=0,0,VLOOKUP($C48,'SDK3'!$C$24:$O$92,13,FALSE))</f>
        <v>23.494563599999999</v>
      </c>
      <c r="H48" s="1720">
        <v>1</v>
      </c>
      <c r="I48" s="1719">
        <f t="shared" si="4"/>
        <v>1.19</v>
      </c>
      <c r="J48" s="1718">
        <f t="shared" si="5"/>
        <v>23.494563599999999</v>
      </c>
      <c r="K48" s="1720">
        <v>1</v>
      </c>
      <c r="L48" s="1722">
        <f t="shared" si="6"/>
        <v>1.19</v>
      </c>
      <c r="M48" s="1721">
        <f t="shared" si="7"/>
        <v>23.494563599999999</v>
      </c>
      <c r="N48" s="1720">
        <v>1</v>
      </c>
      <c r="O48" s="1719">
        <f t="shared" si="8"/>
        <v>1.19</v>
      </c>
      <c r="P48" s="1718">
        <f t="shared" si="9"/>
        <v>23.494563599999999</v>
      </c>
      <c r="Q48" s="38"/>
    </row>
    <row r="49" spans="1:17" s="42" customFormat="1" ht="15" customHeight="1">
      <c r="A49" s="1306"/>
      <c r="B49" s="1726"/>
      <c r="C49" s="4835"/>
      <c r="D49" s="4836"/>
      <c r="E49" s="1725">
        <f>IF($C49=0,0,VLOOKUP($C49,'SDK3'!$C$24:$O$92,4,FALSE))</f>
        <v>0</v>
      </c>
      <c r="F49" s="1724">
        <f>IF($C49=0,0,VLOOKUP($C49,'SDK3'!$C$24:$O$92,12,FALSE))</f>
        <v>0</v>
      </c>
      <c r="G49" s="1723">
        <f>IF($C49=0,0,VLOOKUP($C49,'SDK3'!$C$24:$O$92,13,FALSE))</f>
        <v>0</v>
      </c>
      <c r="H49" s="1720"/>
      <c r="I49" s="1719">
        <f t="shared" si="4"/>
        <v>0</v>
      </c>
      <c r="J49" s="1718">
        <f t="shared" si="5"/>
        <v>0</v>
      </c>
      <c r="K49" s="1720"/>
      <c r="L49" s="1722">
        <f t="shared" si="6"/>
        <v>0</v>
      </c>
      <c r="M49" s="1721">
        <f t="shared" si="7"/>
        <v>0</v>
      </c>
      <c r="N49" s="1720"/>
      <c r="O49" s="1719">
        <f t="shared" si="8"/>
        <v>0</v>
      </c>
      <c r="P49" s="1718">
        <f t="shared" si="9"/>
        <v>0</v>
      </c>
      <c r="Q49" s="38"/>
    </row>
    <row r="50" spans="1:17" s="42" customFormat="1" ht="15" customHeight="1">
      <c r="A50" s="1306"/>
      <c r="B50" s="1726"/>
      <c r="C50" s="4835"/>
      <c r="D50" s="4836"/>
      <c r="E50" s="1725">
        <f>IF($C50=0,0,VLOOKUP($C50,'SDK3'!$C$24:$O$92,4,FALSE))</f>
        <v>0</v>
      </c>
      <c r="F50" s="1724">
        <f>IF($C50=0,0,VLOOKUP($C50,'SDK3'!$C$24:$O$92,12,FALSE))</f>
        <v>0</v>
      </c>
      <c r="G50" s="1723">
        <f>IF($C50=0,0,VLOOKUP($C50,'SDK3'!$C$24:$O$92,13,FALSE))</f>
        <v>0</v>
      </c>
      <c r="H50" s="1720"/>
      <c r="I50" s="1719">
        <f t="shared" si="4"/>
        <v>0</v>
      </c>
      <c r="J50" s="1718">
        <f t="shared" si="5"/>
        <v>0</v>
      </c>
      <c r="K50" s="1720"/>
      <c r="L50" s="1722">
        <f t="shared" si="6"/>
        <v>0</v>
      </c>
      <c r="M50" s="1721">
        <f t="shared" si="7"/>
        <v>0</v>
      </c>
      <c r="N50" s="1720"/>
      <c r="O50" s="1719">
        <f t="shared" si="8"/>
        <v>0</v>
      </c>
      <c r="P50" s="1718">
        <f t="shared" si="9"/>
        <v>0</v>
      </c>
      <c r="Q50" s="38"/>
    </row>
    <row r="51" spans="1:17" s="42" customFormat="1" ht="15" customHeight="1">
      <c r="A51" s="1306"/>
      <c r="B51" s="1726"/>
      <c r="C51" s="4835"/>
      <c r="D51" s="4836"/>
      <c r="E51" s="1725">
        <f>IF($C51=0,0,VLOOKUP($C51,'SDK3'!$C$24:$O$92,4,FALSE))</f>
        <v>0</v>
      </c>
      <c r="F51" s="1724">
        <f>IF($C51=0,0,VLOOKUP($C51,'SDK3'!$C$24:$O$92,12,FALSE))</f>
        <v>0</v>
      </c>
      <c r="G51" s="1723">
        <f>IF($C51=0,0,VLOOKUP($C51,'SDK3'!$C$24:$O$92,13,FALSE))</f>
        <v>0</v>
      </c>
      <c r="H51" s="1720"/>
      <c r="I51" s="1719">
        <f t="shared" si="4"/>
        <v>0</v>
      </c>
      <c r="J51" s="1718">
        <f t="shared" si="5"/>
        <v>0</v>
      </c>
      <c r="K51" s="1720"/>
      <c r="L51" s="1722">
        <f t="shared" si="6"/>
        <v>0</v>
      </c>
      <c r="M51" s="1721">
        <f t="shared" si="7"/>
        <v>0</v>
      </c>
      <c r="N51" s="1720"/>
      <c r="O51" s="1719">
        <f t="shared" si="8"/>
        <v>0</v>
      </c>
      <c r="P51" s="1718">
        <f t="shared" si="9"/>
        <v>0</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3.68</v>
      </c>
      <c r="J58" s="1701"/>
      <c r="K58" s="1700"/>
      <c r="L58" s="1699">
        <f>SUM($L$46:$L$57)</f>
        <v>3.68</v>
      </c>
      <c r="M58" s="1698"/>
      <c r="N58" s="1697"/>
      <c r="O58" s="1696">
        <f>SUM($O$46:$O$57)</f>
        <v>3.68</v>
      </c>
      <c r="P58" s="1695"/>
      <c r="Q58" s="38"/>
    </row>
    <row r="59" spans="1:17" s="65" customFormat="1" ht="15" customHeight="1">
      <c r="A59" s="1373"/>
      <c r="B59" s="1694"/>
      <c r="C59" s="353"/>
      <c r="D59" s="280" t="s">
        <v>1222</v>
      </c>
      <c r="E59" s="1693">
        <v>80</v>
      </c>
      <c r="F59" s="353" t="s">
        <v>1221</v>
      </c>
      <c r="G59" s="1692"/>
      <c r="H59" s="1688"/>
      <c r="I59" s="1687">
        <f>IF(I58+SUM($I$46:$I$57)*$E$59%&gt;I58+10,I58+10,I58+SUM($I$46:$I$57)*$E$59%)</f>
        <v>6.6240000000000006</v>
      </c>
      <c r="J59" s="1686"/>
      <c r="K59" s="1691"/>
      <c r="L59" s="1690">
        <f>IF(L58+SUM($L$46:$L$57)*$E$59%&gt;L58+10,L58+10,L58+SUM($L$46:$L$57)*$E$59%)</f>
        <v>6.6240000000000006</v>
      </c>
      <c r="M59" s="1689"/>
      <c r="N59" s="1688"/>
      <c r="O59" s="1687">
        <f>IF(O58+SUM($O$46:$O$57)*$E$59%&gt;O58+10,O58+10,O58+SUM($O$46:$O$57)*$E$59%)</f>
        <v>6.6240000000000006</v>
      </c>
      <c r="P59" s="1686"/>
      <c r="Q59" s="38"/>
    </row>
    <row r="60" spans="1:17" s="42" customFormat="1" ht="18.75" customHeight="1">
      <c r="A60" s="1306"/>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963"/>
      <c r="K67" s="1641" t="s">
        <v>1217</v>
      </c>
      <c r="L67" s="1640" t="s">
        <v>1216</v>
      </c>
      <c r="M67" s="1963"/>
      <c r="N67" s="1639" t="s">
        <v>1217</v>
      </c>
      <c r="O67" s="1638" t="s">
        <v>1216</v>
      </c>
      <c r="P67" s="1963"/>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8"/>
    </row>
    <row r="70" spans="1:20" s="708" customFormat="1" ht="15" customHeight="1">
      <c r="A70" s="1270"/>
      <c r="B70" s="1332"/>
      <c r="C70" s="1331" t="s">
        <v>896</v>
      </c>
      <c r="D70" s="353"/>
      <c r="E70" s="280"/>
      <c r="F70" s="1962"/>
      <c r="G70" s="1627" t="s">
        <v>171</v>
      </c>
      <c r="H70" s="1623">
        <f>I9+I10</f>
        <v>0</v>
      </c>
      <c r="I70" s="1622"/>
      <c r="J70" s="1621"/>
      <c r="K70" s="1626">
        <f>L9+L10</f>
        <v>0</v>
      </c>
      <c r="L70" s="1625"/>
      <c r="M70" s="1624"/>
      <c r="N70" s="1623">
        <f>O9+O10</f>
        <v>0</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1.1403597254411766</v>
      </c>
      <c r="K75" s="711"/>
      <c r="L75" s="1056"/>
      <c r="M75" s="1578">
        <f>(M23+M27+M34+M43+M60+M65+M67+M69+M71)*('SDK1'!$O$59%*$G$75/12)</f>
        <v>1.1403597254411766</v>
      </c>
      <c r="N75" s="1580"/>
      <c r="O75" s="1579"/>
      <c r="P75" s="1578">
        <f>(P23+P27+P34+P43+P60+P65+P67+P69+P71)*('SDK1'!$O$59%*$G$75/12)</f>
        <v>1.1403597254411766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M153" s="35"/>
      <c r="N153" s="35"/>
      <c r="O153" s="35"/>
      <c r="P153" s="35"/>
      <c r="Q153" s="35"/>
    </row>
    <row r="154" spans="1:17">
      <c r="A154" s="35"/>
      <c r="B154" s="623"/>
      <c r="C154" s="15"/>
      <c r="M154" s="35"/>
      <c r="N154" s="35"/>
      <c r="O154" s="35"/>
      <c r="P154" s="35"/>
      <c r="Q154" s="35"/>
    </row>
    <row r="155" spans="1:17">
      <c r="A155" s="35"/>
      <c r="B155" s="623"/>
      <c r="C155" s="15"/>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mergeCells count="47">
    <mergeCell ref="C63:E63"/>
    <mergeCell ref="C48:D48"/>
    <mergeCell ref="C52:D52"/>
    <mergeCell ref="C54:D54"/>
    <mergeCell ref="E22:G22"/>
    <mergeCell ref="F23:G23"/>
    <mergeCell ref="F34:G34"/>
    <mergeCell ref="D25:E25"/>
    <mergeCell ref="D26:E26"/>
    <mergeCell ref="C36:E36"/>
    <mergeCell ref="C39:E39"/>
    <mergeCell ref="C40:E40"/>
    <mergeCell ref="C38:E38"/>
    <mergeCell ref="C49:D49"/>
    <mergeCell ref="C50:D50"/>
    <mergeCell ref="K1:L1"/>
    <mergeCell ref="K2:P2"/>
    <mergeCell ref="C15:F15"/>
    <mergeCell ref="N3:O4"/>
    <mergeCell ref="H6:I6"/>
    <mergeCell ref="K6:L6"/>
    <mergeCell ref="E10:F10"/>
    <mergeCell ref="N1:O1"/>
    <mergeCell ref="J3:L3"/>
    <mergeCell ref="C19:F19"/>
    <mergeCell ref="J4:L4"/>
    <mergeCell ref="E4:I4"/>
    <mergeCell ref="N6:O6"/>
    <mergeCell ref="C14:F14"/>
    <mergeCell ref="C17:F17"/>
    <mergeCell ref="C16:F16"/>
    <mergeCell ref="B75:C75"/>
    <mergeCell ref="C37:E37"/>
    <mergeCell ref="C73:E73"/>
    <mergeCell ref="C55:D55"/>
    <mergeCell ref="C68:E68"/>
    <mergeCell ref="C74:E74"/>
    <mergeCell ref="C56:D56"/>
    <mergeCell ref="C57:D57"/>
    <mergeCell ref="C51:D51"/>
    <mergeCell ref="C53:D53"/>
    <mergeCell ref="C62:E62"/>
    <mergeCell ref="C64:E64"/>
    <mergeCell ref="C41:E41"/>
    <mergeCell ref="C42:E42"/>
    <mergeCell ref="C46:D46"/>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'SDK5'!$AR$214:$AR$313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0000"/>
    <pageSetUpPr fitToPage="1"/>
  </sheetPr>
  <dimension ref="A1:L60"/>
  <sheetViews>
    <sheetView showZeros="0" topLeftCell="A2" zoomScaleNormal="100" workbookViewId="0">
      <selection sqref="A1:B1"/>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9" width="9.625" style="136" customWidth="1"/>
    <col min="10" max="10" width="10.75" style="136" customWidth="1"/>
    <col min="11" max="11" width="7.875" style="136" customWidth="1"/>
    <col min="12" max="12" width="9.25" style="136" hidden="1" customWidth="1"/>
    <col min="13" max="16384" width="10.5" style="136"/>
  </cols>
  <sheetData>
    <row r="1" spans="1:12" ht="13.5" hidden="1">
      <c r="A1" s="4136">
        <f>IF(J7=100,0,   "Flächenanteile ergeben nicht 100% !")</f>
        <v>0</v>
      </c>
      <c r="B1" s="4136"/>
      <c r="D1" s="206">
        <f t="shared" ref="D1:I1" si="0">VLOOKUP(D6,$D$27:$F$58,3,FALSE)</f>
        <v>17</v>
      </c>
      <c r="E1" s="206">
        <f t="shared" si="0"/>
        <v>3</v>
      </c>
      <c r="F1" s="206">
        <f t="shared" si="0"/>
        <v>22</v>
      </c>
      <c r="G1" s="206">
        <f t="shared" si="0"/>
        <v>8</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3254" t="s">
        <v>184</v>
      </c>
      <c r="K2" s="201"/>
    </row>
    <row r="3" spans="1:12" ht="40.15" customHeight="1">
      <c r="B3" s="221" t="s">
        <v>234</v>
      </c>
      <c r="D3" s="140"/>
      <c r="E3" s="4138" t="s">
        <v>233</v>
      </c>
      <c r="F3" s="4138"/>
      <c r="G3" s="4138"/>
      <c r="H3" s="4138"/>
      <c r="I3" s="4138"/>
      <c r="J3" s="4138"/>
    </row>
    <row r="4" spans="1:12" ht="21.4" customHeight="1">
      <c r="B4" s="4137" t="s">
        <v>212</v>
      </c>
      <c r="C4" s="4137"/>
      <c r="D4" s="202">
        <f>VLOOKUP(B4,G27:J30,4,FALSE)</f>
        <v>3</v>
      </c>
      <c r="E4" s="202"/>
      <c r="F4" s="202"/>
      <c r="G4" s="202"/>
      <c r="H4" s="140"/>
      <c r="I4" s="140"/>
      <c r="J4" s="201">
        <f>'SDK1'!O3</f>
        <v>0</v>
      </c>
      <c r="K4" s="201"/>
    </row>
    <row r="5" spans="1:12" ht="19.899999999999999" customHeight="1">
      <c r="C5" s="33"/>
      <c r="D5" s="200">
        <f t="shared" ref="D5:I5" si="1">$D$4*100+D1</f>
        <v>317</v>
      </c>
      <c r="E5" s="200">
        <f t="shared" si="1"/>
        <v>303</v>
      </c>
      <c r="F5" s="200">
        <f t="shared" si="1"/>
        <v>322</v>
      </c>
      <c r="G5" s="200">
        <f t="shared" si="1"/>
        <v>308</v>
      </c>
      <c r="H5" s="200">
        <f t="shared" si="1"/>
        <v>315</v>
      </c>
      <c r="I5" s="200">
        <f t="shared" si="1"/>
        <v>332</v>
      </c>
      <c r="J5" s="33"/>
    </row>
    <row r="6" spans="1:12" ht="43.15" customHeight="1">
      <c r="B6" s="220"/>
      <c r="C6" s="198" t="s">
        <v>232</v>
      </c>
      <c r="D6" s="3399" t="s">
        <v>64</v>
      </c>
      <c r="E6" s="3399" t="s">
        <v>96</v>
      </c>
      <c r="F6" s="3399" t="s">
        <v>199</v>
      </c>
      <c r="G6" s="3399" t="s">
        <v>86</v>
      </c>
      <c r="H6" s="3400" t="s">
        <v>205</v>
      </c>
      <c r="I6" s="197" t="s">
        <v>191</v>
      </c>
      <c r="J6" s="196" t="s">
        <v>231</v>
      </c>
      <c r="K6" s="195"/>
      <c r="L6" s="3241" t="str">
        <f>J6</f>
        <v xml:space="preserve">Ø DB je ha AF </v>
      </c>
    </row>
    <row r="7" spans="1:12" ht="18.75" customHeight="1">
      <c r="B7" s="194" t="s">
        <v>230</v>
      </c>
      <c r="C7" s="193" t="s">
        <v>113</v>
      </c>
      <c r="D7" s="3401">
        <v>20</v>
      </c>
      <c r="E7" s="3401">
        <v>30</v>
      </c>
      <c r="F7" s="3401">
        <v>10</v>
      </c>
      <c r="G7" s="3401">
        <v>20</v>
      </c>
      <c r="H7" s="3402">
        <v>20</v>
      </c>
      <c r="I7" s="3403"/>
      <c r="J7" s="189">
        <f>SUM($D$7:$H$7)</f>
        <v>100</v>
      </c>
      <c r="L7" s="3248">
        <v>100</v>
      </c>
    </row>
    <row r="8" spans="1:12" ht="21.6" customHeight="1">
      <c r="B8" s="179" t="s">
        <v>229</v>
      </c>
      <c r="C8" s="165" t="s">
        <v>172</v>
      </c>
      <c r="D8" s="164">
        <f>IF(ISERROR(IF(D5&lt;200,0,HLOOKUP(D5,Daten!$D$1:$CT$6,6,FALSE))),"",IF(D5&lt;200,0,HLOOKUP(D5,Daten!$D$1:$CT$6,6,FALSE)))</f>
        <v>40</v>
      </c>
      <c r="E8" s="164">
        <f>IF(ISERROR(IF(E5&lt;200,0,HLOOKUP(E5,Daten!$D$1:$CT$6,6,FALSE))),"",IF(E5&lt;200,0,HLOOKUP(E5,Daten!$D$1:$CT$6,6,FALSE)))</f>
        <v>75</v>
      </c>
      <c r="F8" s="164">
        <f>IF(ISERROR(IF(F5&lt;200,0,HLOOKUP(F5,Daten!$D$1:$CT$6,6,FALSE))),"",IF(F5&lt;200,0,HLOOKUP(F5,Daten!$D$1:$CT$6,6,FALSE)))</f>
        <v>35</v>
      </c>
      <c r="G8" s="164">
        <f>IF(ISERROR(IF(G5&lt;200,0,HLOOKUP(G5,Daten!$D$1:$CT$6,6,FALSE))),"",IF(G5&lt;200,0,HLOOKUP(G5,Daten!$D$1:$CT$6,6,FALSE)))</f>
        <v>70</v>
      </c>
      <c r="H8" s="162">
        <f>IF(ISERROR(IF(H5&lt;200,0,HLOOKUP(H5,Daten!$D$1:$CT$6,6,FALSE))),"",IF(H5&lt;200,0,HLOOKUP(H5,Daten!$D$1:$CT$6,6,FALSE)))</f>
        <v>100</v>
      </c>
      <c r="I8" s="178"/>
      <c r="J8" s="177"/>
      <c r="K8" s="176"/>
      <c r="L8" s="3244"/>
    </row>
    <row r="9" spans="1:12" ht="19.899999999999999" customHeight="1">
      <c r="B9" s="179" t="str">
        <f>IF('SDK1'!O9&gt;0," Preis (inkl. MwSt.)","Preis (ohne. MwSt.)")</f>
        <v>Preis (ohne. MwSt.)</v>
      </c>
      <c r="C9" s="165" t="s">
        <v>228</v>
      </c>
      <c r="D9" s="188">
        <f>IF(ISERROR(IF(D5&lt;200,0,HLOOKUP(D5,Daten!$D$1:$CT$7,7,FALSE))),"",IF(D5&lt;200,0,HLOOKUP(D5,Daten!$D$1:$CT$7,7,FALSE)))</f>
        <v>49.8</v>
      </c>
      <c r="E9" s="188">
        <f>IF(ISERROR(IF(E5&lt;200,0,HLOOKUP(E5,Daten!$D$1:$CT$7,7,FALSE))),"",IF(E5&lt;200,0,HLOOKUP(E5,Daten!$D$1:$CT$7,7,FALSE)))</f>
        <v>21.666666666666671</v>
      </c>
      <c r="F9" s="188">
        <f>IF(ISERROR(IF(F5&lt;200,0,HLOOKUP(F5,Daten!$D$1:$CT$7,7,FALSE))),"",IF(F5&lt;200,0,HLOOKUP(F5,Daten!$D$1:$CT$7,7,FALSE)))</f>
        <v>25.066666666666666</v>
      </c>
      <c r="G9" s="188">
        <f>IF(ISERROR(IF(G5&lt;200,0,HLOOKUP(G5,Daten!$D$1:$CT$7,7,FALSE))),"",IF(G5&lt;200,0,HLOOKUP(G5,Daten!$D$1:$CT$7,7,FALSE)))</f>
        <v>18.666666666666668</v>
      </c>
      <c r="H9" s="187">
        <f>IF(ISERROR(IF(H5&lt;200,0,HLOOKUP(H5,Daten!$D$1:$CT$7,7,FALSE))),"",IF(H5&lt;200,0,HLOOKUP(H5,Daten!$D$1:$CT$7,7,FALSE)))</f>
        <v>24.116666666666671</v>
      </c>
      <c r="I9" s="186">
        <f>IF(I7=0,0,IF(ISERROR(IF(I5&lt;200,0,HLOOKUP(I5,Daten!$D$1:$CT$7,7,FALSE))),"",IF(I5&lt;200,0,HLOOKUP(I5,Daten!$D$1:$CT$7,7,FALSE))))</f>
        <v>0</v>
      </c>
      <c r="J9" s="185"/>
      <c r="K9" s="184"/>
      <c r="L9" s="3244"/>
    </row>
    <row r="10" spans="1:12" ht="19.899999999999999" customHeight="1">
      <c r="B10" s="179" t="s">
        <v>227</v>
      </c>
      <c r="C10" s="165" t="s">
        <v>171</v>
      </c>
      <c r="D10" s="164">
        <f>IF(ISERROR(IF(D$5&lt;200,0,HLOOKUP(D$5,Daten!$D$1:$CT$11,8,FALSE))),"",IF(D$5&lt;200,0,HLOOKUP(D$5,Daten!$D$1:$CT$11,8,FALSE)))</f>
        <v>1992</v>
      </c>
      <c r="E10" s="164">
        <f>IF(ISERROR(IF(E$5&lt;200,0,HLOOKUP(E$5,Daten!$D$1:$CT$11,8,FALSE))),"",IF(E$5&lt;200,0,HLOOKUP(E$5,Daten!$D$1:$CT$11,8,FALSE)))</f>
        <v>1625.0000000000005</v>
      </c>
      <c r="F10" s="164">
        <f>IF(ISERROR(IF(F$5&lt;200,0,HLOOKUP(F$5,Daten!$D$1:$CT$11,8,FALSE))),"",IF(F$5&lt;200,0,HLOOKUP(F$5,Daten!$D$1:$CT$11,8,FALSE)))</f>
        <v>877.33333333333337</v>
      </c>
      <c r="G10" s="164">
        <f>IF(ISERROR(IF(G$5&lt;200,0,HLOOKUP(G$5,Daten!$D$1:$CT$11,8,FALSE))),"",IF(G$5&lt;200,0,HLOOKUP(G$5,Daten!$D$1:$CT$11,8,FALSE)))</f>
        <v>1306.6666666666667</v>
      </c>
      <c r="H10" s="162">
        <f>IF(ISERROR(IF(H$5&lt;200,0,HLOOKUP(H$5,Daten!$D$1:$CT$11,8,FALSE))),"",IF(H$5&lt;200,0,HLOOKUP(H$5,Daten!$D$1:$CT$11,8,FALSE)))</f>
        <v>2411.666666666667</v>
      </c>
      <c r="I10" s="178">
        <f>IF(I7=0,0,IF(ISERROR(IF(I$5&lt;200,0,HLOOKUP(I$5,Daten!$D$1:$CT$11,8,FALSE))),"",IF(I$5&lt;200,0,HLOOKUP(I$5,Daten!$D$1:$CT$11,8,FALSE))))</f>
        <v>0</v>
      </c>
      <c r="J10" s="185"/>
      <c r="K10" s="184"/>
      <c r="L10" s="3244"/>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0</v>
      </c>
      <c r="G11" s="164">
        <f>IF(ISERROR(IF(G$5&lt;200,0,HLOOKUP(G$5,Daten!$D$1:$CT$11,9,FALSE))),"",IF(G$5&lt;200,0,HLOOKUP(G$5,Daten!$D$1:$CT$11,9,FALSE)))</f>
        <v>0</v>
      </c>
      <c r="H11" s="162">
        <f>IF(ISERROR(IF(H$5&lt;200,0,HLOOKUP(H$5,Daten!$D$1:$CT$11,9,FALSE))),"",IF(H$5&lt;200,0,HLOOKUP(H$5,Daten!$D$1:$CT$11,9,FALSE)))</f>
        <v>0</v>
      </c>
      <c r="I11" s="178">
        <f>IF(I7=0,0,IF(ISERROR(IF(I$5&lt;200,0,HLOOKUP(I$5,Daten!$D$1:$CT$11,9,FALSE))),"",IF(I$5&lt;200,0,HLOOKUP(I$5,Daten!$D$1:$CT$11,9,FALSE))))</f>
        <v>0</v>
      </c>
      <c r="J11" s="185"/>
      <c r="K11" s="184"/>
      <c r="L11" s="3244"/>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45"/>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535.4</v>
      </c>
      <c r="F13" s="164">
        <f>IF(ISERROR(IF(F$5&lt;200,0,HLOOKUP(F$5,Daten!$D$1:$CT$23,23,FALSE))),"",IF(F$5&lt;200,0,HLOOKUP(F$5,Daten!$D$1:$CT$23,23,FALSE)))</f>
        <v>555.4</v>
      </c>
      <c r="G13" s="164">
        <f>IF(ISERROR(IF(G$5&lt;200,0,HLOOKUP(G$5,Daten!$D$1:$CT$23,23,FALSE))),"",IF(G$5&lt;200,0,HLOOKUP(G$5,Daten!$D$1:$CT$23,23,FALSE)))</f>
        <v>455.4</v>
      </c>
      <c r="H13" s="162">
        <f>IF(ISERROR(IF(H$5&lt;200,0,HLOOKUP(H$5,Daten!$D$1:$CT$23,23,FALSE))),"",IF(H$5&lt;200,0,HLOOKUP(H$5,Daten!$D$1:$CT$23,23,FALSE)))</f>
        <v>455.4</v>
      </c>
      <c r="I13" s="178">
        <f>IF(I7=0,0,IF(ISERROR(IF(I$5&lt;200,0,HLOOKUP(I$5,Daten!$D$1:$CT$23,23,FALSE))),"",IF(I$5&lt;200,0,HLOOKUP(I$5,Daten!$D$1:$CT$23,23,FALSE))))</f>
        <v>0</v>
      </c>
      <c r="J13" s="185"/>
      <c r="K13" s="184"/>
      <c r="L13" s="3242">
        <f t="shared" ref="L13:L22" si="2">IF(ISERROR((D13*$D$7+E13*$E$7+F13*$F$7+G13*$G$7+H13*$H$7+I13*$I$7)/$J$7),"",(D13*$D$7+E13*$E$7+F13*$F$7+G13*$G$7+H13*$H$7+I13*$I$7)/$J$7)</f>
        <v>489.4</v>
      </c>
    </row>
    <row r="14" spans="1:12" ht="19.899999999999999" customHeight="1">
      <c r="B14" s="175" t="s">
        <v>223</v>
      </c>
      <c r="C14" s="183" t="s">
        <v>171</v>
      </c>
      <c r="D14" s="170">
        <f>IF(ISERROR(IF(D5&lt;200,0,(HLOOKUP(D5,Daten!$D$1:$CT$63,11,FALSE))+(HLOOKUP(D5,Daten!$D$1:$CT$63,23,FALSE)))),"",IF(D5&lt;200,0,(HLOOKUP(D5,Daten!$D$1:$CT$63,11,FALSE))+(HLOOKUP(D5,Daten!$D$1:$CT$63,23,FALSE))))</f>
        <v>2447.4</v>
      </c>
      <c r="E14" s="170">
        <f>IF(ISERROR(IF(E5&lt;200,0,(HLOOKUP(E5,Daten!$D$1:$CT$63,11,FALSE))+(HLOOKUP(E5,Daten!$D$1:$CT$63,23,FALSE)))),"",IF(E5&lt;200,0,(HLOOKUP(E5,Daten!$D$1:$CT$63,11,FALSE))+(HLOOKUP(E5,Daten!$D$1:$CT$63,23,FALSE))))</f>
        <v>2160.4000000000005</v>
      </c>
      <c r="F14" s="170">
        <f>IF(ISERROR(IF(F5&lt;200,0,(HLOOKUP(F5,Daten!$D$1:$CT$63,11,FALSE))+(HLOOKUP(F5,Daten!$D$1:$CT$63,23,FALSE)))),"",IF(F5&lt;200,0,(HLOOKUP(F5,Daten!$D$1:$CT$63,11,FALSE))+(HLOOKUP(F5,Daten!$D$1:$CT$63,23,FALSE))))</f>
        <v>1432.7333333333333</v>
      </c>
      <c r="G14" s="170">
        <f>IF(ISERROR(IF(G5&lt;200,0,(HLOOKUP(G5,Daten!$D$1:$CT$63,11,FALSE))+(HLOOKUP(G5,Daten!$D$1:$CT$63,23,FALSE)))),"",IF(G5&lt;200,0,(HLOOKUP(G5,Daten!$D$1:$CT$63,11,FALSE))+(HLOOKUP(G5,Daten!$D$1:$CT$63,23,FALSE))))</f>
        <v>1762.0666666666666</v>
      </c>
      <c r="H14" s="169">
        <f>IF(ISERROR(IF(H5&lt;200,0,(HLOOKUP(H5,Daten!$D$1:$CT$63,11,FALSE))+(HLOOKUP(H5,Daten!$D$1:$CT$63,23,FALSE)))),"",IF(H5&lt;200,0,(HLOOKUP(H5,Daten!$D$1:$CT$63,11,FALSE))+(HLOOKUP(H5,Daten!$D$1:$CT$63,23,FALSE))))</f>
        <v>2867.0666666666671</v>
      </c>
      <c r="I14" s="168">
        <f>IF(I7=0,0,IF(ISERROR(IF(I5&lt;200,0,(HLOOKUP(I5,Daten!$D$1:$CT$63,11,FALSE))+(HLOOKUP(I5,Daten!$D$1:$CT$63,23,FALSE)))),"",IF(I5&lt;200,0,(HLOOKUP(I5,Daten!$D$1:$CT$63,11,FALSE))+(HLOOKUP(I5,Daten!$D$1:$CT$63,23,FALSE)))))</f>
        <v>0</v>
      </c>
      <c r="J14" s="182"/>
      <c r="K14" s="181"/>
      <c r="L14" s="3250">
        <f t="shared" si="2"/>
        <v>2206.7000000000003</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168</v>
      </c>
      <c r="G15" s="164">
        <f>IF(ISERROR(IF(G5&lt;200,0,HLOOKUP(G5,Daten!$D$1:$CT$12,12,FALSE))),"",IF(G5&lt;200,0,HLOOKUP(G5,Daten!$D$1:$CT$12,12,FALSE)))</f>
        <v>145.25</v>
      </c>
      <c r="H15" s="162">
        <f>IF(ISERROR(IF(H5&lt;200,0,HLOOKUP(H5,Daten!$D$1:$CT$12,12,FALSE))),"",IF(H5&lt;200,0,HLOOKUP(H5,Daten!$D$1:$CT$12,12,FALSE)))</f>
        <v>243</v>
      </c>
      <c r="I15" s="178">
        <f>IF(I7=0,0,IF(ISERROR(IF(I5&lt;200,0,HLOOKUP(I5,Daten!$D$1:$CT$12,12,FALSE))),"",IF(I5&lt;200,0,HLOOKUP(I5,Daten!$D$1:$CT$12,12,FALSE))))</f>
        <v>0</v>
      </c>
      <c r="J15" s="180"/>
      <c r="K15" s="176"/>
      <c r="L15" s="3242">
        <f t="shared" si="2"/>
        <v>163.9</v>
      </c>
    </row>
    <row r="16" spans="1:12" ht="19.899999999999999" customHeight="1">
      <c r="B16" s="179" t="s">
        <v>1341</v>
      </c>
      <c r="C16" s="165" t="s">
        <v>171</v>
      </c>
      <c r="D16" s="164">
        <f>IF(ISERROR(IF(D5&lt;200,0,HLOOKUP(D5,Daten!$D$1:$CT$13,13,FALSE))),"",IF(D5&lt;200,0,HLOOKUP(D5,Daten!$D$1:$CT$13,13,FALSE)))</f>
        <v>428.74666666666661</v>
      </c>
      <c r="E16" s="164">
        <f>IF(ISERROR(IF(E5&lt;200,0,HLOOKUP(E5,Daten!$D$1:$CT$13,13,FALSE))),"",IF(E5&lt;200,0,HLOOKUP(E5,Daten!$D$1:$CT$13,13,FALSE)))</f>
        <v>407.99416666666662</v>
      </c>
      <c r="F16" s="164">
        <f>IF(ISERROR(IF(F5&lt;200,0,HLOOKUP(F5,Daten!$D$1:$CT$13,13,FALSE))),"",IF(F5&lt;200,0,HLOOKUP(F5,Daten!$D$1:$CT$13,13,FALSE)))</f>
        <v>52.243333333333318</v>
      </c>
      <c r="G16" s="164">
        <f>IF(ISERROR(IF(G5&lt;200,0,HLOOKUP(G5,Daten!$D$1:$CT$13,13,FALSE))),"",IF(G5&lt;200,0,HLOOKUP(G5,Daten!$D$1:$CT$13,13,FALSE)))</f>
        <v>347.01766666666663</v>
      </c>
      <c r="H16" s="162">
        <f>IF(ISERROR(IF(H5&lt;200,0,HLOOKUP(H5,Daten!$D$1:$CT$13,13,FALSE))),"",IF(H5&lt;200,0,HLOOKUP(H5,Daten!$D$1:$CT$13,13,FALSE)))</f>
        <v>406.05999999999995</v>
      </c>
      <c r="I16" s="178">
        <f>IF(I7=0,0,IF(ISERROR(IF(I5&lt;200,0,HLOOKUP(I5,Daten!$D$1:$CT$13,13,FALSE))),"",IF(I5&lt;200,0,HLOOKUP(I5,Daten!$D$1:$CT$13,13,FALSE))))</f>
        <v>0</v>
      </c>
      <c r="J16" s="177"/>
      <c r="K16" s="176"/>
      <c r="L16" s="3242">
        <f t="shared" si="2"/>
        <v>363.98744999999997</v>
      </c>
    </row>
    <row r="17" spans="2:12" ht="19.899999999999999" customHeight="1">
      <c r="B17" s="179" t="s">
        <v>220</v>
      </c>
      <c r="C17" s="165" t="s">
        <v>171</v>
      </c>
      <c r="D17" s="164">
        <f>IF(ISERROR(IF(D5&lt;200,0,HLOOKUP(D5,Daten!$D$1:$CT$14,14,FALSE))),"",IF(D5&lt;200,0,HLOOKUP(D5,Daten!$D$1:$CT$14,14,FALSE)))</f>
        <v>178.11</v>
      </c>
      <c r="E17" s="164">
        <f>IF(ISERROR(IF(E5&lt;200,0,HLOOKUP(E5,Daten!$D$1:$CT$14,14,FALSE))),"",IF(E5&lt;200,0,HLOOKUP(E5,Daten!$D$1:$CT$14,14,FALSE)))</f>
        <v>182.58799999999999</v>
      </c>
      <c r="F17" s="164">
        <f>IF(ISERROR(IF(F5&lt;200,0,HLOOKUP(F5,Daten!$D$1:$CT$14,14,FALSE))),"",IF(F5&lt;200,0,HLOOKUP(F5,Daten!$D$1:$CT$14,14,FALSE)))</f>
        <v>78.300000000000011</v>
      </c>
      <c r="G17" s="164">
        <f>IF(ISERROR(IF(G5&lt;200,0,HLOOKUP(G5,Daten!$D$1:$CT$14,14,FALSE))),"",IF(G5&lt;200,0,HLOOKUP(G5,Daten!$D$1:$CT$14,14,FALSE)))</f>
        <v>192.29999999999998</v>
      </c>
      <c r="H17" s="162">
        <f>IF(ISERROR(IF(H5&lt;200,0,HLOOKUP(H5,Daten!$D$1:$CT$14,14,FALSE))),"",IF(H5&lt;200,0,HLOOKUP(H5,Daten!$D$1:$CT$14,14,FALSE)))</f>
        <v>67.199999999999989</v>
      </c>
      <c r="I17" s="178">
        <f>IF(I7=0,0,IF(ISERROR(IF(I5&lt;200,0,HLOOKUP(I5,Daten!$D$1:$CT$14,14,FALSE))),"",IF(I5&lt;200,0,HLOOKUP(I5,Daten!$D$1:$CT$14,14,FALSE))))</f>
        <v>0</v>
      </c>
      <c r="J17" s="177"/>
      <c r="K17" s="176"/>
      <c r="L17" s="3242">
        <f t="shared" si="2"/>
        <v>150.1284</v>
      </c>
    </row>
    <row r="18" spans="2:12" ht="19.899999999999999" customHeight="1">
      <c r="B18" s="179" t="s">
        <v>219</v>
      </c>
      <c r="C18" s="165" t="s">
        <v>171</v>
      </c>
      <c r="D18" s="164">
        <f>IF(ISERROR(IF(D5&lt;200,0,HLOOKUP(D5,Daten!$D$1:$CT$60,60,FALSE))),"",IF(D5&lt;200,0,HLOOKUP(D5,Daten!$D$1:$CT$60,60,FALSE)))</f>
        <v>320.56037371450986</v>
      </c>
      <c r="E18" s="164">
        <f>IF(ISERROR(IF(E5&lt;200,0,HLOOKUP(E5,Daten!$D$1:$CT$60,60,FALSE))),"",IF(E5&lt;200,0,HLOOKUP(E5,Daten!$D$1:$CT$60,60,FALSE)))</f>
        <v>302.90987681882353</v>
      </c>
      <c r="F18" s="164">
        <f>IF(ISERROR(IF(F5&lt;200,0,HLOOKUP(F5,Daten!$D$1:$CT$60,60,FALSE))),"",IF(F5&lt;200,0,HLOOKUP(F5,Daten!$D$1:$CT$60,60,FALSE)))</f>
        <v>304.59688579294118</v>
      </c>
      <c r="G18" s="164">
        <f>IF(ISERROR(IF(G5&lt;200,0,HLOOKUP(G5,Daten!$D$1:$CT$60,60,FALSE))),"",IF(G5&lt;200,0,HLOOKUP(G5,Daten!$D$1:$CT$60,60,FALSE)))</f>
        <v>298.73464642980395</v>
      </c>
      <c r="H18" s="162">
        <f>IF(ISERROR(IF(H5&lt;200,0,HLOOKUP(H5,Daten!$D$1:$CT$60,60,FALSE))),"",IF(H5&lt;200,0,HLOOKUP(H5,Daten!$D$1:$CT$60,60,FALSE)))</f>
        <v>297.94189379215686</v>
      </c>
      <c r="I18" s="178">
        <f>IF(I7=0,0,IF(ISERROR(IF(I5&lt;200,0,HLOOKUP(I5,Daten!$D$1:$CT$60,60,FALSE))),"",IF(I5&lt;200,0,HLOOKUP(I5,Daten!$D$1:$CT$60,60,FALSE))))</f>
        <v>0</v>
      </c>
      <c r="J18" s="177"/>
      <c r="K18" s="176"/>
      <c r="L18" s="3242">
        <f t="shared" si="2"/>
        <v>304.78003441223535</v>
      </c>
    </row>
    <row r="19" spans="2:12" ht="19.899999999999999" customHeight="1">
      <c r="B19" s="179" t="s">
        <v>218</v>
      </c>
      <c r="C19" s="165" t="s">
        <v>171</v>
      </c>
      <c r="D19" s="164">
        <f>IF(ISERROR(IF(D5&lt;200,0,HLOOKUP(D5,Daten!$D$1:$CT$59,59,FALSE))),"",IF(D5&lt;200,0,HLOOKUP(D5,Daten!$D$1:$CT$59,59,FALSE)))</f>
        <v>199.83265910333529</v>
      </c>
      <c r="E19" s="164">
        <f>IF(ISERROR(IF(E5&lt;200,0,HLOOKUP(E5,Daten!$D$1:$CT$59,59,FALSE))),"",IF(E5&lt;200,0,HLOOKUP(E5,Daten!$D$1:$CT$59,59,FALSE)))</f>
        <v>172.01821163049803</v>
      </c>
      <c r="F19" s="164">
        <f>IF(ISERROR(IF(F5&lt;200,0,HLOOKUP(F5,Daten!$D$1:$CT$59,59,FALSE))),"",IF(F5&lt;200,0,HLOOKUP(F5,Daten!$D$1:$CT$59,59,FALSE)))</f>
        <v>133.83012220287256</v>
      </c>
      <c r="G19" s="164">
        <f>IF(ISERROR(IF(G5&lt;200,0,HLOOKUP(G5,Daten!$D$1:$CT$59,59,FALSE))),"",IF(G5&lt;200,0,HLOOKUP(G5,Daten!$D$1:$CT$59,59,FALSE)))</f>
        <v>157.1490577395941</v>
      </c>
      <c r="H19" s="162">
        <f>IF(ISERROR(IF(H5&lt;200,0,HLOOKUP(H5,Daten!$D$1:$CT$59,59,FALSE))),"",IF(H5&lt;200,0,HLOOKUP(H5,Daten!$D$1:$CT$59,59,FALSE)))</f>
        <v>596.17735558620097</v>
      </c>
      <c r="I19" s="178">
        <f>IF(I7=0,0,IF(ISERROR(IF(I5&lt;200,0,HLOOKUP(I5,Daten!$D$1:$CT$59,59,FALSE))),"",IF(I5&lt;200,0,HLOOKUP(I5,Daten!$D$1:$CT$59,59,FALSE))))</f>
        <v>0</v>
      </c>
      <c r="J19" s="177"/>
      <c r="K19" s="176"/>
      <c r="L19" s="3242">
        <f t="shared" si="2"/>
        <v>255.62029019526273</v>
      </c>
    </row>
    <row r="20" spans="2:12" ht="19.899999999999999" customHeight="1">
      <c r="B20" s="175" t="s">
        <v>217</v>
      </c>
      <c r="C20" s="171" t="s">
        <v>171</v>
      </c>
      <c r="D20" s="170">
        <f>IF(ISERROR(IF(D5&lt;200,0,(HLOOKUP(D5,Daten!$D$1:$CT$63,21,FALSE))+(HLOOKUP(D5,Daten!$D$1:$CT$63,24,FALSE)))),"",IF(D5&lt;200,0,(HLOOKUP(D5,Daten!$D$1:$CT$63,21,FALSE))+(HLOOKUP(D5,Daten!$D$1:$CT$63,24,FALSE))))</f>
        <v>1232.2496994845119</v>
      </c>
      <c r="E20" s="170">
        <f>IF(ISERROR(IF(E5&lt;200,0,(HLOOKUP(E5,Daten!$D$1:$CT$63,21,FALSE))+(HLOOKUP(E5,Daten!$D$1:$CT$63,24,FALSE)))),"",IF(E5&lt;200,0,(HLOOKUP(E5,Daten!$D$1:$CT$63,21,FALSE))+(HLOOKUP(E5,Daten!$D$1:$CT$63,24,FALSE))))</f>
        <v>1227.010255115988</v>
      </c>
      <c r="F20" s="170">
        <f>IF(ISERROR(IF(F5&lt;200,0,(HLOOKUP(F5,Daten!$D$1:$CT$63,21,FALSE))+(HLOOKUP(F5,Daten!$D$1:$CT$63,24,FALSE)))),"",IF(F5&lt;200,0,(HLOOKUP(F5,Daten!$D$1:$CT$63,21,FALSE))+(HLOOKUP(F5,Daten!$D$1:$CT$63,24,FALSE))))</f>
        <v>736.970341329147</v>
      </c>
      <c r="G20" s="170">
        <f>IF(ISERROR(IF(G5&lt;200,0,(HLOOKUP(G5,Daten!$D$1:$CT$63,21,FALSE))+(HLOOKUP(G5,Daten!$D$1:$CT$63,24,FALSE)))),"",IF(G5&lt;200,0,(HLOOKUP(G5,Daten!$D$1:$CT$63,21,FALSE))+(HLOOKUP(G5,Daten!$D$1:$CT$63,24,FALSE))))</f>
        <v>1140.4513708360646</v>
      </c>
      <c r="H20" s="169">
        <f>IF(ISERROR(IF(H5&lt;200,0,(HLOOKUP(H5,Daten!$D$1:$CT$63,21,FALSE))+(HLOOKUP(H5,Daten!$D$1:$CT$63,24,FALSE)))),"",IF(H5&lt;200,0,(HLOOKUP(H5,Daten!$D$1:$CT$63,21,FALSE))+(HLOOKUP(H5,Daten!$D$1:$CT$63,24,FALSE))))</f>
        <v>1610.3792493783578</v>
      </c>
      <c r="I20" s="168">
        <f>IF(I7=0,0,IF(ISERROR(IF(I5&lt;200,0,(HLOOKUP(I5,Daten!$D$1:$CT$63,21,FALSE))+(HLOOKUP(I5,Daten!$D$1:$CT$63,24,FALSE)))),"",IF(I5&lt;200,0,(HLOOKUP(I5,Daten!$D$1:$CT$63,21,FALSE))+(HLOOKUP(I5,Daten!$D$1:$CT$63,24,FALSE)))))</f>
        <v>0</v>
      </c>
      <c r="J20" s="174"/>
      <c r="K20" s="162"/>
      <c r="L20" s="3242">
        <f t="shared" si="2"/>
        <v>1238.4161746074979</v>
      </c>
    </row>
    <row r="21" spans="2:12" ht="33" customHeight="1">
      <c r="B21" s="3251" t="s">
        <v>216</v>
      </c>
      <c r="C21" s="171" t="s">
        <v>171</v>
      </c>
      <c r="D21" s="170">
        <f>IF(ISERROR(IF(D5&lt;200,0,HLOOKUP(D5,Daten!$D$1:$CT$25,22,FALSE))),"",IF(D5&lt;200,0,HLOOKUP(D5,Daten!$D$1:$CT$25,22,FALSE)))</f>
        <v>770.43895961882345</v>
      </c>
      <c r="E21" s="170">
        <f>IF(ISERROR(IF(E5&lt;200,0,HLOOKUP(E5,Daten!$D$1:$CT$25,22,FALSE))),"",IF(E5&lt;200,0,HLOOKUP(E5,Daten!$D$1:$CT$25,22,FALSE)))</f>
        <v>408.6329565145104</v>
      </c>
      <c r="F21" s="170">
        <f>IF(ISERROR(IF(F5&lt;200,0,HLOOKUP(F5,Daten!$D$1:$CT$25,22,FALSE))),"",IF(F5&lt;200,0,HLOOKUP(F5,Daten!$D$1:$CT$25,22,FALSE)))</f>
        <v>144.94044754039226</v>
      </c>
      <c r="G21" s="170">
        <f>IF(ISERROR(IF(G5&lt;200,0,HLOOKUP(G5,Daten!$D$1:$CT$25,22,FALSE))),"",IF(G5&lt;200,0,HLOOKUP(G5,Daten!$D$1:$CT$25,22,FALSE)))</f>
        <v>176.10768690352961</v>
      </c>
      <c r="H21" s="169">
        <f>IF(ISERROR(IF(H5&lt;200,0,HLOOKUP(H5,Daten!$D$1:$CT$25,22,FALSE))),"",IF(H5&lt;200,0,HLOOKUP(H5,Daten!$D$1:$CT$25,22,FALSE)))</f>
        <v>811.28977287451016</v>
      </c>
      <c r="I21" s="168">
        <f>IF(I7=0,0,IF(ISERROR(IF(I5&lt;200,0,HLOOKUP(I5,Daten!$D$1:$CT$25,22,FALSE))),"",IF(I5&lt;200,0,HLOOKUP(I5,Daten!$D$1:$CT$25,22,FALSE))))</f>
        <v>0</v>
      </c>
      <c r="J21" s="215">
        <f>SUMPRODUCT(D7:H7,D21:H21)%+(I7*I21)%</f>
        <v>488.65121558776502</v>
      </c>
      <c r="K21" s="162"/>
      <c r="L21" s="3249">
        <f t="shared" si="2"/>
        <v>488.65121558776502</v>
      </c>
    </row>
    <row r="22" spans="2:12" ht="46.5" customHeight="1">
      <c r="B22" s="3252" t="s">
        <v>215</v>
      </c>
      <c r="C22" s="219" t="s">
        <v>171</v>
      </c>
      <c r="D22" s="218">
        <f>IF(ISERROR(IF(D5&lt;200,0,HLOOKUP(D5,Daten!$D$1:$CT$25,25,FALSE))),"",IF(D5&lt;200,0,HLOOKUP(D5,Daten!$D$1:$CT$25,25,FALSE)))</f>
        <v>1215.1503005154882</v>
      </c>
      <c r="E22" s="218">
        <f>IF(ISERROR(IF(E5&lt;200,0,HLOOKUP(E5,Daten!$D$1:$CT$25,25,FALSE))),"",IF(E5&lt;200,0,HLOOKUP(E5,Daten!$D$1:$CT$25,25,FALSE)))</f>
        <v>933.38974488401232</v>
      </c>
      <c r="F22" s="218">
        <f>IF(ISERROR(IF(F5&lt;200,0,HLOOKUP(F5,Daten!$D$1:$CT$25,25,FALSE))),"",IF(F5&lt;200,0,HLOOKUP(F5,Daten!$D$1:$CT$25,25,FALSE)))</f>
        <v>695.76299200418634</v>
      </c>
      <c r="G22" s="218">
        <f>IF(ISERROR(IF(G5&lt;200,0,HLOOKUP(G5,Daten!$D$1:$CT$25,25,FALSE))),"",IF(G5&lt;200,0,HLOOKUP(G5,Daten!$D$1:$CT$25,25,FALSE)))</f>
        <v>621.61529583060212</v>
      </c>
      <c r="H22" s="217">
        <f>IF(ISERROR(IF(H5&lt;200,0,HLOOKUP(H5,Daten!$D$1:$CT$25,25,FALSE))),"",IF(H5&lt;200,0,HLOOKUP(H5,Daten!$D$1:$CT$25,25,FALSE)))</f>
        <v>1256.6874172883092</v>
      </c>
      <c r="I22" s="216">
        <f>IF(I7=0,0,IF(ISERROR(IF(I5&lt;200,0,HLOOKUP(I5,Daten!$D$1:$CT$25,25,FALSE))),"",IF(I5&lt;200,0,HLOOKUP(I5,Daten!$D$1:$CT$25,25,FALSE))))</f>
        <v>0</v>
      </c>
      <c r="J22" s="215">
        <f>SUMPRODUCT(D7:H7,D22:H22)%+(I7*I22)%</f>
        <v>968.28382539250231</v>
      </c>
      <c r="K22" s="150"/>
      <c r="L22" s="3243">
        <f t="shared" si="2"/>
        <v>968.28382539250231</v>
      </c>
    </row>
    <row r="23" spans="2:12" ht="19.899999999999999" hidden="1" customHeight="1">
      <c r="B23" s="166"/>
      <c r="C23" s="165"/>
      <c r="D23" s="164"/>
      <c r="E23" s="164"/>
      <c r="F23" s="164"/>
      <c r="G23" s="164"/>
      <c r="H23" s="164"/>
      <c r="I23" s="162"/>
      <c r="J23" s="163"/>
      <c r="K23" s="162"/>
    </row>
    <row r="24" spans="2:12" ht="25.15" hidden="1" customHeight="1" thickBot="1">
      <c r="B24" s="214"/>
      <c r="C24" s="213"/>
      <c r="D24" s="211"/>
      <c r="E24" s="212"/>
      <c r="F24" s="211"/>
      <c r="G24" s="211"/>
      <c r="H24" s="210"/>
      <c r="I24" s="209"/>
      <c r="J24" s="208"/>
      <c r="K24" s="154"/>
    </row>
    <row r="25" spans="2:12" ht="163.69999999999999" customHeight="1">
      <c r="B25" s="207"/>
      <c r="C25" s="207"/>
      <c r="D25" s="207"/>
      <c r="E25" s="207"/>
      <c r="F25" s="207"/>
      <c r="G25" s="207"/>
      <c r="H25" s="207"/>
      <c r="I25" s="207"/>
      <c r="J25" s="207"/>
      <c r="K25" s="145"/>
    </row>
    <row r="26" spans="2:12" ht="12.4" customHeight="1">
      <c r="B26" s="3257" t="s">
        <v>1992</v>
      </c>
      <c r="K26" s="33"/>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11" hidden="1">
      <c r="C49" s="138">
        <v>23</v>
      </c>
      <c r="D49" s="139" t="s">
        <v>198</v>
      </c>
      <c r="E49" s="138"/>
      <c r="F49" s="138">
        <v>23</v>
      </c>
    </row>
    <row r="50" spans="3:11" hidden="1">
      <c r="C50" s="138">
        <v>24</v>
      </c>
      <c r="D50" s="139" t="s">
        <v>197</v>
      </c>
      <c r="E50" s="138"/>
      <c r="F50" s="138">
        <v>24</v>
      </c>
    </row>
    <row r="51" spans="3:11" hidden="1">
      <c r="C51" s="138">
        <v>25</v>
      </c>
      <c r="D51" s="139" t="s">
        <v>196</v>
      </c>
      <c r="E51" s="138"/>
      <c r="F51" s="138">
        <v>25</v>
      </c>
    </row>
    <row r="52" spans="3:11" hidden="1">
      <c r="C52" s="138">
        <v>26</v>
      </c>
      <c r="D52" s="139" t="s">
        <v>195</v>
      </c>
      <c r="E52" s="138"/>
      <c r="F52" s="138">
        <v>26</v>
      </c>
    </row>
    <row r="53" spans="3:11" hidden="1">
      <c r="C53" s="138">
        <v>27</v>
      </c>
      <c r="D53" s="139" t="s">
        <v>194</v>
      </c>
      <c r="E53" s="138"/>
      <c r="F53" s="138">
        <v>27</v>
      </c>
    </row>
    <row r="54" spans="3:11" hidden="1">
      <c r="C54" s="138">
        <v>28</v>
      </c>
      <c r="D54" s="139" t="s">
        <v>193</v>
      </c>
      <c r="E54" s="138"/>
      <c r="F54" s="138">
        <v>28</v>
      </c>
    </row>
    <row r="55" spans="3:11" hidden="1">
      <c r="C55" s="138">
        <v>29</v>
      </c>
      <c r="D55" s="139" t="s">
        <v>37</v>
      </c>
      <c r="E55" s="138"/>
      <c r="F55" s="138">
        <v>29</v>
      </c>
    </row>
    <row r="56" spans="3:11" hidden="1">
      <c r="C56" s="138">
        <v>30</v>
      </c>
      <c r="D56" s="139" t="s">
        <v>23</v>
      </c>
      <c r="E56" s="138"/>
      <c r="F56" s="138">
        <v>30</v>
      </c>
    </row>
    <row r="57" spans="3:11" hidden="1">
      <c r="C57" s="138">
        <v>31</v>
      </c>
      <c r="D57" s="139" t="s">
        <v>192</v>
      </c>
      <c r="E57" s="138"/>
      <c r="F57" s="138">
        <v>31</v>
      </c>
    </row>
    <row r="58" spans="3:11" hidden="1">
      <c r="C58" s="138">
        <v>32</v>
      </c>
      <c r="D58" s="139" t="s">
        <v>191</v>
      </c>
      <c r="E58" s="138"/>
      <c r="F58" s="138">
        <v>32</v>
      </c>
    </row>
    <row r="60" spans="3:11">
      <c r="K60" s="4074"/>
    </row>
  </sheetData>
  <mergeCells count="3">
    <mergeCell ref="A1:B1"/>
    <mergeCell ref="B4:C4"/>
    <mergeCell ref="E3:J3"/>
  </mergeCells>
  <conditionalFormatting sqref="J7 L7">
    <cfRule type="expression" dxfId="16"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type="list" allowBlank="1" showInputMessage="1" showErrorMessage="1" errorTitle="Leistungsniveau" error="Bitte Leistungsniveau aus Dropdownliste auswählen." sqref="B4:C4">
      <formula1>$G$27:$G$30</formula1>
    </dataValidation>
    <dataValidation allowBlank="1" showInputMessage="1" showErrorMessage="1" errorTitle="Produktionsverfahren" error="Bitte Produktionsverfahren aus Dropdownliste auswählen." sqref="I6"/>
  </dataValidations>
  <printOptions horizontalCentered="1"/>
  <pageMargins left="0.59055118110236227" right="0.59055118110236227" top="0.59055118110236227" bottom="0.59055118110236227" header="0.39370078740157483" footer="0.39370078740157483"/>
  <pageSetup paperSize="9" scale="85" firstPageNumber="87" fitToHeight="0" orientation="portrait" r:id="rId1"/>
  <headerFooter alignWithMargins="0">
    <oddFooter>&amp;L&amp;11LEL Schwäbisch Gmünd&amp;C&amp;P&amp;R&amp;11&amp;F</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5">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91" customFormat="1" ht="30.4" customHeight="1">
      <c r="A1" s="1895"/>
      <c r="B1" s="326"/>
      <c r="C1" s="1908"/>
      <c r="D1" s="1827"/>
      <c r="E1" s="323"/>
      <c r="F1" s="323"/>
      <c r="G1" s="607"/>
      <c r="H1" s="1902"/>
      <c r="I1" s="1907" t="s">
        <v>1264</v>
      </c>
      <c r="J1" s="1906">
        <f>(J7+J13+J18+J22+I11+I12)-(J23+J27+J34+J43+J60+J65+J67+J69+J71+J75)</f>
        <v>267.5045776188382</v>
      </c>
      <c r="K1" s="4859">
        <f>M1-J1</f>
        <v>0</v>
      </c>
      <c r="L1" s="4859"/>
      <c r="M1" s="1906">
        <f>(M7+M13+M18+M22+L11+L12)-(M23+M27+M34+M43+M60+M65+M67+M69+M71+M75)</f>
        <v>267.5045776188382</v>
      </c>
      <c r="N1" s="4859">
        <f>P1-M1</f>
        <v>0</v>
      </c>
      <c r="O1" s="4859"/>
      <c r="P1" s="1906">
        <f>(P7+P13+P18+P22+O11+O12)-(P23+P27+P34+P43+P60+P65+P67+P69+P71+P75)</f>
        <v>267.5045776188382</v>
      </c>
      <c r="Q1" s="189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1891" customFormat="1" ht="24.6" customHeight="1">
      <c r="A2" s="1895"/>
      <c r="B2" s="614" t="str">
        <f>"Berechnungsgrundlagen (Deckungsbeitrag "&amp;'SDK1'!O14 &amp;")"</f>
        <v>Berechnungsgrundlagen (Deckungsbeitrag ohne MwSt.)</v>
      </c>
      <c r="H2" s="1902"/>
      <c r="K2" s="4870" t="s">
        <v>191</v>
      </c>
      <c r="L2" s="4870"/>
      <c r="M2" s="4870"/>
      <c r="N2" s="4870"/>
      <c r="O2" s="4870"/>
      <c r="P2" s="4870"/>
      <c r="Q2" s="1920">
        <v>0</v>
      </c>
    </row>
    <row r="3" spans="1:41" s="1891" customFormat="1" ht="21.75" customHeight="1">
      <c r="A3" s="1895"/>
      <c r="B3" s="1919"/>
      <c r="E3" s="1968" t="s">
        <v>1303</v>
      </c>
      <c r="H3" s="1902"/>
      <c r="J3" s="4866"/>
      <c r="K3" s="4867"/>
      <c r="L3" s="4867"/>
      <c r="M3" s="1943"/>
      <c r="N3" s="4871" t="str">
        <f>IF(AND(T3=TRUE,T4=TRUE),"nur 1 Strohnutzung möglich","")</f>
        <v/>
      </c>
      <c r="O3" s="4872"/>
      <c r="P3" s="1900"/>
      <c r="Q3" s="1895"/>
      <c r="T3" s="1918" t="b">
        <v>0</v>
      </c>
    </row>
    <row r="4" spans="1:41" s="1891" customFormat="1" ht="20.25" customHeight="1">
      <c r="A4" s="1895"/>
      <c r="B4" s="377" t="s">
        <v>1154</v>
      </c>
      <c r="C4" s="35"/>
      <c r="D4" s="35"/>
      <c r="E4" s="4896" t="s">
        <v>1302</v>
      </c>
      <c r="F4" s="4896"/>
      <c r="G4" s="4896"/>
      <c r="H4" s="4896"/>
      <c r="I4" s="4896"/>
      <c r="J4" s="4866"/>
      <c r="K4" s="4867"/>
      <c r="L4" s="4867"/>
      <c r="M4" s="1942"/>
      <c r="N4" s="4872"/>
      <c r="O4" s="4872"/>
      <c r="P4" s="1896">
        <f>'SDK1'!O3</f>
        <v>0</v>
      </c>
      <c r="Q4" s="1895"/>
      <c r="T4" s="1918" t="b">
        <v>0</v>
      </c>
    </row>
    <row r="5" spans="1:41" ht="6" customHeight="1"/>
    <row r="6" spans="1:41" s="1885" customFormat="1" ht="24" customHeight="1">
      <c r="A6" s="48"/>
      <c r="B6" s="1890" t="s">
        <v>1207</v>
      </c>
      <c r="C6" s="1889"/>
      <c r="D6" s="1889"/>
      <c r="E6" s="1889"/>
      <c r="F6" s="1889"/>
      <c r="G6" s="1888"/>
      <c r="H6" s="4864" t="s">
        <v>179</v>
      </c>
      <c r="I6" s="4865"/>
      <c r="J6" s="1887">
        <v>1</v>
      </c>
      <c r="K6" s="4849" t="s">
        <v>152</v>
      </c>
      <c r="L6" s="4850"/>
      <c r="M6" s="1887">
        <v>1</v>
      </c>
      <c r="N6" s="4864" t="s">
        <v>178</v>
      </c>
      <c r="O6" s="4865"/>
      <c r="P6" s="1886">
        <v>1</v>
      </c>
      <c r="Q6" s="70"/>
    </row>
    <row r="7" spans="1:41" s="252" customFormat="1" ht="18.75" customHeight="1">
      <c r="A7" s="47"/>
      <c r="B7" s="311" t="s">
        <v>1258</v>
      </c>
      <c r="C7" s="47"/>
      <c r="D7" s="47"/>
      <c r="E7" s="47"/>
      <c r="F7" s="47"/>
      <c r="G7" s="1884"/>
      <c r="H7" s="1881"/>
      <c r="I7" s="1880"/>
      <c r="J7" s="1614">
        <f>SUM(I9:I10)</f>
        <v>0</v>
      </c>
      <c r="K7" s="1883"/>
      <c r="L7" s="1882"/>
      <c r="M7" s="1617">
        <f>SUM(L9:L10)</f>
        <v>0</v>
      </c>
      <c r="N7" s="1881"/>
      <c r="O7" s="1880"/>
      <c r="P7" s="1614">
        <f>SUM(O9:O10)</f>
        <v>0</v>
      </c>
      <c r="Q7" s="38"/>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8"/>
    </row>
    <row r="9" spans="1:41" s="252" customFormat="1" ht="16.5" customHeight="1">
      <c r="A9" s="47"/>
      <c r="B9" s="311"/>
      <c r="C9" s="45" t="str">
        <f>IF('SDK1'!O9&gt;0,"Hauptprodukt (incl. MwSt.)","Hauptprodukt (ohne MwSt)")</f>
        <v>Hauptprodukt (ohne MwSt)</v>
      </c>
      <c r="D9" s="47"/>
      <c r="E9" s="47"/>
      <c r="F9" s="1878"/>
      <c r="G9" s="1794"/>
      <c r="H9" s="1877">
        <f>J6-H10</f>
        <v>1</v>
      </c>
      <c r="I9" s="1873">
        <f>H9*G9</f>
        <v>0</v>
      </c>
      <c r="J9" s="43"/>
      <c r="K9" s="1876">
        <f>M6-K10</f>
        <v>1</v>
      </c>
      <c r="L9" s="1875">
        <f>K9*G9</f>
        <v>0</v>
      </c>
      <c r="M9" s="1854"/>
      <c r="N9" s="1874">
        <f>P6-N10</f>
        <v>1</v>
      </c>
      <c r="O9" s="1873">
        <f>N9*G9</f>
        <v>0</v>
      </c>
      <c r="P9" s="43"/>
      <c r="Q9" s="38"/>
      <c r="R9" s="935"/>
      <c r="S9" s="265" t="s">
        <v>1265</v>
      </c>
      <c r="T9" s="1872"/>
    </row>
    <row r="10" spans="1:41" s="1842" customFormat="1" ht="15" customHeight="1">
      <c r="A10" s="377"/>
      <c r="B10" s="239"/>
      <c r="C10" s="281" t="str">
        <f>IF('SDK1'!O9&gt;0,"Nebenprodukt (incl. MwSt.)","Nebenprodukt (ohne MwSt)")</f>
        <v>Nebenprodukt (ohne MwSt)</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'SDK1'!$O$48</f>
        <v>8.2999999999999989</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row>
    <row r="13" spans="1:41" s="252" customFormat="1" ht="18.75" customHeight="1">
      <c r="A13" s="47"/>
      <c r="B13" s="266" t="s">
        <v>1248</v>
      </c>
      <c r="C13" s="47"/>
      <c r="D13" s="47"/>
      <c r="E13" s="47"/>
      <c r="F13" s="47"/>
      <c r="G13" s="1841"/>
      <c r="H13" s="1926"/>
      <c r="I13" s="1823"/>
      <c r="J13" s="1614">
        <f>SUM(I14:I17)</f>
        <v>100</v>
      </c>
      <c r="K13" s="1927"/>
      <c r="L13" s="1825"/>
      <c r="M13" s="1617">
        <f>SUM(L14:L17)</f>
        <v>100</v>
      </c>
      <c r="N13" s="1926"/>
      <c r="O13" s="1823"/>
      <c r="P13" s="1614">
        <f>SUM(O14:O17)</f>
        <v>100</v>
      </c>
      <c r="Q13" s="38"/>
      <c r="R13" s="1827"/>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1836" t="s">
        <v>1299</v>
      </c>
      <c r="I14" s="3965">
        <f>IF(H14="ja",Q14,0)</f>
        <v>100</v>
      </c>
      <c r="J14" s="45"/>
      <c r="K14" s="1836" t="s">
        <v>1299</v>
      </c>
      <c r="L14" s="1671">
        <f>IF(K14="ja",Q14,0)</f>
        <v>100</v>
      </c>
      <c r="M14" s="1589"/>
      <c r="N14" s="1836" t="s">
        <v>1299</v>
      </c>
      <c r="O14" s="1817">
        <f>IF(N14="ja",Q14,0)</f>
        <v>100</v>
      </c>
      <c r="P14" s="1586"/>
      <c r="Q14" s="1835">
        <f>IF(C14=0,0,VLOOKUP(C14,'SD2'!$C$11:$N$49,'SD2'!$N$1,FALSE))</f>
        <v>100</v>
      </c>
      <c r="R14" s="1827"/>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827"/>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827"/>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R17" s="1827"/>
      <c r="S17" s="252"/>
      <c r="T17" s="252"/>
      <c r="W17" s="42" t="s">
        <v>240</v>
      </c>
      <c r="X17" s="1834">
        <f>$X$13*F33</f>
        <v>0</v>
      </c>
      <c r="Y17" s="1834">
        <f>$Y$13*F33</f>
        <v>0</v>
      </c>
      <c r="Z17" s="1834">
        <f>$Z$13*F33</f>
        <v>0</v>
      </c>
    </row>
    <row r="18" spans="1:26" s="708" customFormat="1" ht="18.75" customHeight="1">
      <c r="A18" s="47"/>
      <c r="B18" s="266" t="s">
        <v>2177</v>
      </c>
      <c r="C18" s="2498"/>
      <c r="D18" s="2498"/>
      <c r="E18" s="2498"/>
      <c r="F18" s="2498"/>
      <c r="G18" s="3082"/>
      <c r="H18" s="1926"/>
      <c r="I18" s="3083"/>
      <c r="J18" s="1614">
        <f>SUM(I19:I21)</f>
        <v>355.4</v>
      </c>
      <c r="K18" s="1927"/>
      <c r="L18" s="3084"/>
      <c r="M18" s="1617">
        <f>SUM(L19:L21)</f>
        <v>355.4</v>
      </c>
      <c r="N18" s="1926"/>
      <c r="O18" s="3083"/>
      <c r="P18" s="1614">
        <f>SUM(O19:O21)</f>
        <v>355.4</v>
      </c>
      <c r="Q18" s="38"/>
      <c r="R18" s="715" t="s">
        <v>1245</v>
      </c>
      <c r="S18" s="376"/>
      <c r="T18" s="1822"/>
    </row>
    <row r="19" spans="1:26" s="42" customFormat="1" ht="15.6" customHeight="1">
      <c r="A19" s="45"/>
      <c r="B19" s="1821"/>
      <c r="C19" s="4833" t="s">
        <v>2172</v>
      </c>
      <c r="D19" s="4833"/>
      <c r="E19" s="4833"/>
      <c r="F19" s="4833"/>
      <c r="G19" s="1820"/>
      <c r="H19" s="1818"/>
      <c r="I19" s="1817">
        <f>IF(OR($C19=0,$J$6=0),0,VLOOKUP($C19,'SD2'!C59:N75,12,FALSE))</f>
        <v>158</v>
      </c>
      <c r="J19" s="45"/>
      <c r="K19" s="1819"/>
      <c r="L19" s="1671">
        <f>IF(OR($C19=0,$M$6=0),0,VLOOKUP($C19,'SD2'!$C$59:$N$75,12,FALSE))</f>
        <v>158</v>
      </c>
      <c r="M19" s="1589"/>
      <c r="N19" s="1818"/>
      <c r="O19" s="1817">
        <f>IF(OR($C19=0,$P$6=0),0,VLOOKUP($C19,'SD2'!C59:N75,12,FALSE))</f>
        <v>158</v>
      </c>
      <c r="P19" s="1586"/>
      <c r="Q19" s="38"/>
      <c r="R19" s="1816">
        <f>J13+J18</f>
        <v>455.4</v>
      </c>
      <c r="S19" s="1815">
        <f>M13+M18</f>
        <v>455.4</v>
      </c>
      <c r="T19" s="1814">
        <f>P13+P18</f>
        <v>455.4</v>
      </c>
    </row>
    <row r="20" spans="1:26" s="42" customFormat="1" ht="15.6" customHeight="1">
      <c r="A20" s="3908"/>
      <c r="B20" s="1821"/>
      <c r="C20" s="4058" t="s">
        <v>2182</v>
      </c>
      <c r="D20" s="4058"/>
      <c r="E20" s="4058"/>
      <c r="F20" s="4058"/>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38"/>
      <c r="R20" s="4043"/>
      <c r="S20" s="4043"/>
      <c r="T20" s="4043"/>
    </row>
    <row r="21" spans="1:26" s="42" customFormat="1" ht="15.6" customHeight="1">
      <c r="A21" s="3908"/>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38"/>
      <c r="R21" s="4043"/>
      <c r="S21" s="4043"/>
      <c r="T21" s="4043"/>
    </row>
    <row r="22" spans="1:26" ht="15.75">
      <c r="A22" s="377"/>
      <c r="B22" s="311" t="s">
        <v>1244</v>
      </c>
      <c r="C22" s="45"/>
      <c r="D22" s="1807"/>
      <c r="E22" s="4868" t="s">
        <v>1243</v>
      </c>
      <c r="F22" s="4868"/>
      <c r="G22" s="4869"/>
      <c r="H22" s="1804"/>
      <c r="I22" s="1803"/>
      <c r="J22" s="1802"/>
      <c r="K22" s="1806"/>
      <c r="L22" s="1805"/>
      <c r="M22" s="1802"/>
      <c r="N22" s="1804"/>
      <c r="O22" s="1803"/>
      <c r="P22" s="1802"/>
      <c r="R22" s="38"/>
      <c r="S22" s="38"/>
      <c r="T22" s="38"/>
    </row>
    <row r="23" spans="1:26" ht="18.75" customHeight="1">
      <c r="A23" s="377"/>
      <c r="B23" s="266" t="s">
        <v>1242</v>
      </c>
      <c r="C23" s="1801"/>
      <c r="D23" s="1801"/>
      <c r="F23" s="4831" t="s">
        <v>1233</v>
      </c>
      <c r="G23" s="4832"/>
      <c r="H23" s="1616"/>
      <c r="I23" s="1615"/>
      <c r="J23" s="1599">
        <f>SUM(I25:I26)</f>
        <v>62.5</v>
      </c>
      <c r="K23" s="1619"/>
      <c r="L23" s="1618"/>
      <c r="M23" s="1800">
        <f>SUM(L25:L26)</f>
        <v>62.5</v>
      </c>
      <c r="N23" s="1616"/>
      <c r="O23" s="1615"/>
      <c r="P23" s="1599">
        <f>SUM(O25:O26)</f>
        <v>62.5</v>
      </c>
    </row>
    <row r="24" spans="1:26" ht="13.15" customHeight="1">
      <c r="A24" s="377"/>
      <c r="B24" s="1799"/>
      <c r="C24" s="1612" t="s">
        <v>1212</v>
      </c>
      <c r="D24" s="1683">
        <f>'SDK1'!$O$10</f>
        <v>0</v>
      </c>
      <c r="E24" s="1798"/>
      <c r="F24" s="1606" t="s">
        <v>249</v>
      </c>
      <c r="G24" s="1682" t="s">
        <v>1211</v>
      </c>
      <c r="H24" s="1778" t="s">
        <v>1232</v>
      </c>
      <c r="I24" s="1600" t="s">
        <v>171</v>
      </c>
      <c r="K24" s="1780" t="s">
        <v>1232</v>
      </c>
      <c r="L24" s="1603" t="s">
        <v>171</v>
      </c>
      <c r="M24" s="1797"/>
      <c r="N24" s="1778" t="s">
        <v>1232</v>
      </c>
      <c r="O24" s="1600" t="s">
        <v>171</v>
      </c>
      <c r="P24" s="1758"/>
    </row>
    <row r="25" spans="1:26" s="42" customFormat="1" ht="15" customHeight="1">
      <c r="A25" s="1306"/>
      <c r="B25" s="1796"/>
      <c r="C25" s="1306" t="s">
        <v>1241</v>
      </c>
      <c r="D25" s="4851"/>
      <c r="E25" s="4852"/>
      <c r="F25" s="1795"/>
      <c r="G25" s="1794">
        <f>F25*(100+$D$24)/100</f>
        <v>0</v>
      </c>
      <c r="H25" s="1966"/>
      <c r="I25" s="1754">
        <f>H25*$G25</f>
        <v>0</v>
      </c>
      <c r="J25" s="45"/>
      <c r="K25" s="1966"/>
      <c r="L25" s="1596">
        <f>K25*$G25</f>
        <v>0</v>
      </c>
      <c r="M25" s="1589"/>
      <c r="N25" s="1966">
        <f>H25</f>
        <v>0</v>
      </c>
      <c r="O25" s="1754">
        <f>N25*$G25</f>
        <v>0</v>
      </c>
      <c r="P25" s="1718"/>
      <c r="Q25" s="38"/>
    </row>
    <row r="26" spans="1:26" s="42" customFormat="1" ht="15" customHeight="1">
      <c r="A26" s="1306"/>
      <c r="B26" s="1332"/>
      <c r="C26" s="1792" t="s">
        <v>191</v>
      </c>
      <c r="D26" s="4853" t="s">
        <v>1301</v>
      </c>
      <c r="E26" s="4854"/>
      <c r="F26" s="1791">
        <v>2.5</v>
      </c>
      <c r="G26" s="1790">
        <f>F26*(100+$D$24)/100</f>
        <v>2.5</v>
      </c>
      <c r="H26" s="1935">
        <v>25</v>
      </c>
      <c r="I26" s="1750">
        <f>H26*$G26</f>
        <v>62.5</v>
      </c>
      <c r="J26" s="45"/>
      <c r="K26" s="1935">
        <v>25</v>
      </c>
      <c r="L26" s="1590">
        <f>K26*$G26</f>
        <v>62.5</v>
      </c>
      <c r="M26" s="1589"/>
      <c r="N26" s="1935">
        <v>25</v>
      </c>
      <c r="O26" s="1750">
        <f>N26*$G26</f>
        <v>62.5</v>
      </c>
      <c r="P26" s="1749"/>
      <c r="Q26" s="38"/>
    </row>
    <row r="27" spans="1:26" s="708" customFormat="1" ht="18.75" customHeight="1">
      <c r="A27" s="1270"/>
      <c r="B27" s="1788" t="s">
        <v>1240</v>
      </c>
      <c r="C27" s="1270"/>
      <c r="D27" s="73"/>
      <c r="E27" s="38"/>
      <c r="F27" s="38"/>
      <c r="G27" s="1787"/>
      <c r="H27" s="1746"/>
      <c r="I27" s="1745"/>
      <c r="J27" s="1614">
        <f>SUM(I30:I33)</f>
        <v>0</v>
      </c>
      <c r="K27" s="1748"/>
      <c r="L27" s="1747"/>
      <c r="M27" s="1617">
        <f>SUM(L30:L33)</f>
        <v>0</v>
      </c>
      <c r="N27" s="1746"/>
      <c r="O27" s="1745"/>
      <c r="P27" s="1614">
        <f>SUM(O30:O33)</f>
        <v>0</v>
      </c>
      <c r="Q27" s="38"/>
    </row>
    <row r="28" spans="1:26" s="708" customFormat="1" ht="13.7" customHeight="1">
      <c r="A28" s="1270"/>
      <c r="B28" s="1334"/>
      <c r="C28" s="37"/>
      <c r="D28" s="1786" t="s">
        <v>1075</v>
      </c>
      <c r="E28" s="1786" t="s">
        <v>1239</v>
      </c>
      <c r="F28" s="1786" t="s">
        <v>1239</v>
      </c>
      <c r="G28" s="1785" t="s">
        <v>1238</v>
      </c>
      <c r="H28" s="1745"/>
      <c r="I28" s="1782"/>
      <c r="J28" s="1784"/>
      <c r="K28" s="1748"/>
      <c r="L28" s="1678"/>
      <c r="M28" s="1783"/>
      <c r="N28" s="1746"/>
      <c r="O28" s="1782"/>
      <c r="P28" s="1599"/>
      <c r="Q28" s="38"/>
    </row>
    <row r="29" spans="1:26" s="708" customFormat="1" ht="15" customHeight="1">
      <c r="A29" s="1270"/>
      <c r="B29" s="1781"/>
      <c r="C29" s="1307" t="s">
        <v>1237</v>
      </c>
      <c r="D29" s="1607" t="s">
        <v>908</v>
      </c>
      <c r="E29" s="1607" t="s">
        <v>1236</v>
      </c>
      <c r="F29" s="1607" t="s">
        <v>1235</v>
      </c>
      <c r="G29" s="1607" t="s">
        <v>909</v>
      </c>
      <c r="H29" s="1778" t="s">
        <v>909</v>
      </c>
      <c r="I29" s="1600" t="s">
        <v>171</v>
      </c>
      <c r="J29" s="37"/>
      <c r="K29" s="1780" t="s">
        <v>909</v>
      </c>
      <c r="L29" s="1603" t="s">
        <v>171</v>
      </c>
      <c r="M29" s="1779"/>
      <c r="N29" s="1778" t="s">
        <v>909</v>
      </c>
      <c r="O29" s="1600" t="s">
        <v>171</v>
      </c>
      <c r="P29" s="1777"/>
      <c r="Q29" s="38"/>
    </row>
    <row r="30" spans="1:26" s="42" customFormat="1" ht="15" customHeight="1">
      <c r="A30" s="1306"/>
      <c r="B30" s="1776"/>
      <c r="C30" s="1775" t="s">
        <v>246</v>
      </c>
      <c r="D30" s="1723">
        <f>'SDK1'!O52</f>
        <v>1.6033333333333331</v>
      </c>
      <c r="E30" s="1774">
        <f>VLOOKUP(K2,'SD8'!B9:L42,3,FALSE)</f>
        <v>0</v>
      </c>
      <c r="F30" s="1774">
        <f>VLOOKUP(K2,'SD8'!B9:L42,7,FALSE)</f>
        <v>0</v>
      </c>
      <c r="G30" s="1773"/>
      <c r="H30" s="1771">
        <f>IF(J$6=0,0,(J$6*$E30+$G30+X14))</f>
        <v>0</v>
      </c>
      <c r="I30" s="1754">
        <f>H30*$D30</f>
        <v>0</v>
      </c>
      <c r="J30" s="45"/>
      <c r="K30" s="1772">
        <f>IF(M$6=0,0,(M$6*$E30+$G30+Y14))</f>
        <v>0</v>
      </c>
      <c r="L30" s="1596">
        <f>K30*$D30</f>
        <v>0</v>
      </c>
      <c r="M30" s="1589"/>
      <c r="N30" s="1771">
        <f>IF(P$6=0,0,(P$6*$E30+$G30+Z14))</f>
        <v>0</v>
      </c>
      <c r="O30" s="1754">
        <f>N30*$D30</f>
        <v>0</v>
      </c>
      <c r="P30" s="1718"/>
      <c r="Q30" s="38"/>
    </row>
    <row r="31" spans="1:26" s="42" customFormat="1" ht="15" customHeight="1">
      <c r="A31" s="1306"/>
      <c r="B31" s="274"/>
      <c r="C31" s="1306" t="s">
        <v>244</v>
      </c>
      <c r="D31" s="1723">
        <f>'SDK1'!O53</f>
        <v>1.0999999999999999</v>
      </c>
      <c r="E31" s="1774">
        <f>VLOOKUP(K2,'SD8'!B9:L42,4,FALSE)</f>
        <v>0</v>
      </c>
      <c r="F31" s="1774">
        <f>VLOOKUP(K2,'SD8'!B9:L42,8,FALSE)</f>
        <v>0</v>
      </c>
      <c r="G31" s="1773"/>
      <c r="H31" s="1771">
        <f>IF(J$6=0,0,(J$6*$E31+$G31+X15))</f>
        <v>0</v>
      </c>
      <c r="I31" s="1754">
        <f>H31*$D31</f>
        <v>0</v>
      </c>
      <c r="J31" s="45"/>
      <c r="K31" s="1772">
        <f>IF(M$6=0,0,(M$6*$E31+$G31+Y15))</f>
        <v>0</v>
      </c>
      <c r="L31" s="1596">
        <f>K31*$D31</f>
        <v>0</v>
      </c>
      <c r="M31" s="1589"/>
      <c r="N31" s="1771">
        <f>IF(P$6=0,0,(P$6*$E31+$G31+Z15))</f>
        <v>0</v>
      </c>
      <c r="O31" s="1754">
        <f>N31*$D31</f>
        <v>0</v>
      </c>
      <c r="P31" s="1718"/>
      <c r="Q31" s="38"/>
    </row>
    <row r="32" spans="1:26" s="42" customFormat="1" ht="15" customHeight="1">
      <c r="A32" s="1306"/>
      <c r="B32" s="274"/>
      <c r="C32" s="1306" t="s">
        <v>242</v>
      </c>
      <c r="D32" s="1723">
        <f>'SDK1'!O54</f>
        <v>1.02</v>
      </c>
      <c r="E32" s="1774">
        <f>VLOOKUP(K2,'SD8'!B9:L42,5,FALSE)</f>
        <v>0</v>
      </c>
      <c r="F32" s="1774">
        <f>VLOOKUP(K2,'SD8'!B9:L42,9,FALSE)</f>
        <v>0</v>
      </c>
      <c r="G32" s="1773"/>
      <c r="H32" s="1771">
        <f>IF(J$6=0,0,(J$6*$E32+$G32+X16))</f>
        <v>0</v>
      </c>
      <c r="I32" s="1754">
        <f>H32*$D32</f>
        <v>0</v>
      </c>
      <c r="J32" s="45"/>
      <c r="K32" s="1772">
        <f>IF(M$6=0,0,(M$6*$E32+$G32+Y16))</f>
        <v>0</v>
      </c>
      <c r="L32" s="1596">
        <f>K32*$D32</f>
        <v>0</v>
      </c>
      <c r="M32" s="1589"/>
      <c r="N32" s="1771">
        <f>IF(P$6=0,0,(P$6*$E32+$G32+Z16))</f>
        <v>0</v>
      </c>
      <c r="O32" s="1754">
        <f>N32*$D32</f>
        <v>0</v>
      </c>
      <c r="P32" s="1718"/>
      <c r="Q32" s="38"/>
    </row>
    <row r="33" spans="1:17" s="42" customFormat="1" ht="15" customHeight="1">
      <c r="A33" s="1306"/>
      <c r="B33" s="239"/>
      <c r="C33" s="1331" t="s">
        <v>240</v>
      </c>
      <c r="D33" s="1706">
        <f>'SDK1'!O55</f>
        <v>0.68666666666666676</v>
      </c>
      <c r="E33" s="1770">
        <f>VLOOKUP(K2,'SD8'!B9:L42,6,FALSE)</f>
        <v>0</v>
      </c>
      <c r="F33" s="1770">
        <f>VLOOKUP(K2,'SD8'!B9:L42,10,FALSE)</f>
        <v>0</v>
      </c>
      <c r="G33" s="1769"/>
      <c r="H33" s="1767">
        <f>IF(J$6=0,0,(J$6*$E33+$G33+X17))</f>
        <v>0</v>
      </c>
      <c r="I33" s="1750">
        <f>H33*$D33</f>
        <v>0</v>
      </c>
      <c r="J33" s="45"/>
      <c r="K33" s="1768">
        <f>IF(M$6=0,0,(M$6*$E33+$G33+Y17))</f>
        <v>0</v>
      </c>
      <c r="L33" s="1590">
        <f>K33*$D33</f>
        <v>0</v>
      </c>
      <c r="M33" s="1589"/>
      <c r="N33" s="1767">
        <f>IF(P$6=0,0,(P$6*$E33+$G33+Z17))</f>
        <v>0</v>
      </c>
      <c r="O33" s="1750">
        <f>N33*$D33</f>
        <v>0</v>
      </c>
      <c r="P33" s="1749"/>
      <c r="Q33" s="38"/>
    </row>
    <row r="34" spans="1:17" s="708" customFormat="1" ht="18.75" customHeight="1">
      <c r="A34" s="1270"/>
      <c r="B34" s="1276" t="s">
        <v>1234</v>
      </c>
      <c r="C34" s="1270"/>
      <c r="D34" s="37"/>
      <c r="E34" s="37"/>
      <c r="F34" s="4831" t="s">
        <v>1233</v>
      </c>
      <c r="G34" s="4832"/>
      <c r="H34" s="1764"/>
      <c r="I34" s="1763"/>
      <c r="J34" s="1614">
        <f>SUM(I36:I42)</f>
        <v>0</v>
      </c>
      <c r="K34" s="1766"/>
      <c r="L34" s="1765"/>
      <c r="M34" s="1617">
        <f>SUM(L36:L42)</f>
        <v>0</v>
      </c>
      <c r="N34" s="1764"/>
      <c r="O34" s="1763"/>
      <c r="P34" s="1614">
        <f>SUM(O36:O42)</f>
        <v>0</v>
      </c>
      <c r="Q34" s="38"/>
    </row>
    <row r="35" spans="1:17" s="708" customFormat="1" ht="13.15" customHeight="1">
      <c r="A35" s="1270"/>
      <c r="B35" s="1613"/>
      <c r="C35" s="1612" t="s">
        <v>1212</v>
      </c>
      <c r="D35" s="1683">
        <f>'SDK1'!$O$11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368</v>
      </c>
      <c r="D36" s="4857"/>
      <c r="E36" s="4858"/>
      <c r="F36" s="1756">
        <f>IF(C36="",0,VLOOKUP(C36,'SDK5'!C3:AF83,2,FALSE))</f>
        <v>0</v>
      </c>
      <c r="G36" s="1756">
        <f t="shared" ref="G36:G42" si="0">F36*(100+$D$35)/100</f>
        <v>0</v>
      </c>
      <c r="H36" s="1755"/>
      <c r="I36" s="1754">
        <f t="shared" ref="I36:I42" si="1">$G36*H36</f>
        <v>0</v>
      </c>
      <c r="J36" s="45"/>
      <c r="K36" s="1755"/>
      <c r="L36" s="1596">
        <f t="shared" ref="L36:L42" si="2">$G36*K36</f>
        <v>0</v>
      </c>
      <c r="M36" s="1589"/>
      <c r="N36" s="1755"/>
      <c r="O36" s="1754">
        <f t="shared" ref="O36:O42" si="3">$G36*N36</f>
        <v>0</v>
      </c>
      <c r="P36" s="1758"/>
      <c r="Q36" s="38"/>
    </row>
    <row r="37" spans="1:17" s="42" customFormat="1" ht="15" customHeight="1">
      <c r="A37" s="1306"/>
      <c r="B37" s="1594"/>
      <c r="C37" s="4855"/>
      <c r="D37" s="4855"/>
      <c r="E37" s="4856"/>
      <c r="F37" s="1756">
        <f>IF(C37="",0,VLOOKUP(C37,'SDK5'!C4:AF84,2,FALSE))</f>
        <v>0</v>
      </c>
      <c r="G37" s="1756">
        <f t="shared" si="0"/>
        <v>0</v>
      </c>
      <c r="H37" s="1755"/>
      <c r="I37" s="1754">
        <f t="shared" si="1"/>
        <v>0</v>
      </c>
      <c r="J37" s="45"/>
      <c r="K37" s="1755"/>
      <c r="L37" s="1596">
        <f t="shared" si="2"/>
        <v>0</v>
      </c>
      <c r="M37" s="1589"/>
      <c r="N37" s="1755"/>
      <c r="O37" s="1754">
        <f t="shared" si="3"/>
        <v>0</v>
      </c>
      <c r="P37" s="1718"/>
      <c r="Q37" s="38"/>
    </row>
    <row r="38" spans="1:17" s="42" customFormat="1" ht="15" customHeight="1">
      <c r="A38" s="1306"/>
      <c r="B38" s="1757"/>
      <c r="C38" s="4855"/>
      <c r="D38" s="4855"/>
      <c r="E38" s="4856"/>
      <c r="F38" s="1756">
        <f>IF(C38="",0,VLOOKUP(C38,'SDK5'!C5:AF85,2,FALSE))</f>
        <v>0</v>
      </c>
      <c r="G38" s="1756">
        <f t="shared" si="0"/>
        <v>0</v>
      </c>
      <c r="H38" s="1755"/>
      <c r="I38" s="1754">
        <f t="shared" si="1"/>
        <v>0</v>
      </c>
      <c r="J38" s="45"/>
      <c r="K38" s="1755"/>
      <c r="L38" s="1596">
        <f t="shared" si="2"/>
        <v>0</v>
      </c>
      <c r="M38" s="1589"/>
      <c r="N38" s="1755"/>
      <c r="O38" s="1754">
        <f t="shared" si="3"/>
        <v>0</v>
      </c>
      <c r="P38" s="1718"/>
      <c r="Q38" s="38"/>
    </row>
    <row r="39" spans="1:17" s="42" customFormat="1" ht="15" customHeight="1">
      <c r="A39" s="1306"/>
      <c r="B39" s="1594"/>
      <c r="C39" s="4855"/>
      <c r="D39" s="4855"/>
      <c r="E39" s="4856"/>
      <c r="F39" s="1756">
        <f>IF(C39="",0,VLOOKUP(C39,'SDK5'!C6:AF86,2,FALSE))</f>
        <v>0</v>
      </c>
      <c r="G39" s="1756">
        <f t="shared" si="0"/>
        <v>0</v>
      </c>
      <c r="H39" s="1755"/>
      <c r="I39" s="1754">
        <f t="shared" si="1"/>
        <v>0</v>
      </c>
      <c r="J39" s="45"/>
      <c r="K39" s="1755"/>
      <c r="L39" s="1596">
        <f t="shared" si="2"/>
        <v>0</v>
      </c>
      <c r="M39" s="1589"/>
      <c r="N39" s="1755"/>
      <c r="O39" s="1754">
        <f t="shared" si="3"/>
        <v>0</v>
      </c>
      <c r="P39" s="1718"/>
      <c r="Q39" s="38"/>
    </row>
    <row r="40" spans="1:17" s="42" customFormat="1" ht="15" customHeight="1">
      <c r="A40" s="1306"/>
      <c r="B40" s="1594"/>
      <c r="C40" s="4855"/>
      <c r="D40" s="4855"/>
      <c r="E40" s="4856"/>
      <c r="F40" s="1756">
        <f>IF(C40="",0,VLOOKUP(C40,'SDK5'!C7:AF87,2,FALSE))</f>
        <v>0</v>
      </c>
      <c r="G40" s="1756">
        <f t="shared" si="0"/>
        <v>0</v>
      </c>
      <c r="H40" s="1755"/>
      <c r="I40" s="1754">
        <f t="shared" si="1"/>
        <v>0</v>
      </c>
      <c r="J40" s="45"/>
      <c r="K40" s="1755"/>
      <c r="L40" s="1596">
        <f t="shared" si="2"/>
        <v>0</v>
      </c>
      <c r="M40" s="1589"/>
      <c r="N40" s="1755"/>
      <c r="O40" s="1754">
        <f t="shared" si="3"/>
        <v>0</v>
      </c>
      <c r="P40" s="1718"/>
      <c r="Q40" s="38"/>
    </row>
    <row r="41" spans="1:17" s="42" customFormat="1" ht="15" customHeight="1">
      <c r="A41" s="1306"/>
      <c r="B41" s="1594"/>
      <c r="C41" s="4855"/>
      <c r="D41" s="4855"/>
      <c r="E41" s="4856"/>
      <c r="F41" s="1756">
        <f>IF(C41="",0,VLOOKUP(C41,'SDK5'!C8:AF88,2,FALSE))</f>
        <v>0</v>
      </c>
      <c r="G41" s="1756">
        <f t="shared" si="0"/>
        <v>0</v>
      </c>
      <c r="H41" s="1755"/>
      <c r="I41" s="1754">
        <f t="shared" si="1"/>
        <v>0</v>
      </c>
      <c r="J41" s="45"/>
      <c r="K41" s="1755"/>
      <c r="L41" s="1596">
        <f t="shared" si="2"/>
        <v>0</v>
      </c>
      <c r="M41" s="1589"/>
      <c r="N41" s="1755"/>
      <c r="O41" s="1754">
        <f t="shared" si="3"/>
        <v>0</v>
      </c>
      <c r="P41" s="1718"/>
      <c r="Q41" s="38"/>
    </row>
    <row r="42" spans="1:17" s="42" customFormat="1" ht="15" customHeight="1">
      <c r="A42" s="1306"/>
      <c r="B42" s="1753"/>
      <c r="C42" s="4860"/>
      <c r="D42" s="4860"/>
      <c r="E42" s="4861"/>
      <c r="F42" s="1752">
        <f>IF(C42="",0,VLOOKUP(C42,'SDK5'!C9:AF89,2,FALSE))</f>
        <v>0</v>
      </c>
      <c r="G42" s="1752">
        <f t="shared" si="0"/>
        <v>0</v>
      </c>
      <c r="H42" s="1751"/>
      <c r="I42" s="1750">
        <f t="shared" si="1"/>
        <v>0</v>
      </c>
      <c r="J42" s="45"/>
      <c r="K42" s="1751"/>
      <c r="L42" s="1590">
        <f t="shared" si="2"/>
        <v>0</v>
      </c>
      <c r="M42" s="1589"/>
      <c r="N42" s="1751"/>
      <c r="O42" s="1750">
        <f t="shared" si="3"/>
        <v>0</v>
      </c>
      <c r="P42" s="1749"/>
      <c r="Q42" s="38"/>
    </row>
    <row r="43" spans="1:17" s="708" customFormat="1" ht="18.75" customHeight="1">
      <c r="A43" s="1270"/>
      <c r="B43" s="1276" t="s">
        <v>1231</v>
      </c>
      <c r="C43" s="1270"/>
      <c r="D43" s="1270"/>
      <c r="E43" s="1270"/>
      <c r="F43" s="1270"/>
      <c r="G43" s="1620"/>
      <c r="H43" s="1746"/>
      <c r="I43" s="1745"/>
      <c r="J43" s="1614">
        <f>SUM(J46:J57)</f>
        <v>124.22837006823531</v>
      </c>
      <c r="K43" s="1748"/>
      <c r="L43" s="1747"/>
      <c r="M43" s="1617">
        <f>SUM(M46:M57)</f>
        <v>124.22837006823531</v>
      </c>
      <c r="N43" s="1746"/>
      <c r="O43" s="1745"/>
      <c r="P43" s="1614">
        <f>SUM(P46:P57)</f>
        <v>124.22837006823531</v>
      </c>
      <c r="Q43" s="38"/>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8"/>
    </row>
    <row r="45" spans="1:17" s="42" customFormat="1" ht="15" customHeight="1">
      <c r="A45" s="1306"/>
      <c r="B45" s="573"/>
      <c r="C45" s="554"/>
      <c r="D45" s="1736"/>
      <c r="E45" s="1607" t="s">
        <v>1226</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8"/>
    </row>
    <row r="46" spans="1:17" s="42" customFormat="1" ht="15" customHeight="1">
      <c r="A46" s="1306"/>
      <c r="B46" s="1730"/>
      <c r="C46" s="4862" t="s">
        <v>515</v>
      </c>
      <c r="D46" s="4863"/>
      <c r="E46" s="1725">
        <f>IF($C46=0,0,VLOOKUP($C46,'SDK3'!$C$24:$O$92,4,FALSE))</f>
        <v>120</v>
      </c>
      <c r="F46" s="1724">
        <f>IF($C46=0,0,VLOOKUP($C46,'SDK3'!$C$24:$O$92,12,FALSE))</f>
        <v>1.46</v>
      </c>
      <c r="G46" s="1723">
        <f>IF($C46=0,0,VLOOKUP($C46,'SDK3'!$C$24:$O$92,13,FALSE))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f>$Q$2*H46</f>
        <v>0</v>
      </c>
    </row>
    <row r="47" spans="1:17" s="42" customFormat="1" ht="15" customHeight="1">
      <c r="A47" s="1306"/>
      <c r="B47" s="1726"/>
      <c r="C47" s="4835" t="s">
        <v>493</v>
      </c>
      <c r="D47" s="4836"/>
      <c r="E47" s="1725">
        <f>IF($C47=0,0,VLOOKUP($C47,'SDK3'!$C$24:$O$92,4,FALSE))</f>
        <v>120</v>
      </c>
      <c r="F47" s="1724">
        <f>IF($C47=0,0,VLOOKUP($C47,'SDK3'!$C$24:$O$92,12,FALSE))</f>
        <v>1.03</v>
      </c>
      <c r="G47" s="1723">
        <f>IF($C47=0,0,VLOOKUP($C47,'SDK3'!$C$24:$O$92,13,FALSE))</f>
        <v>33.576407529411767</v>
      </c>
      <c r="H47" s="1720">
        <v>1</v>
      </c>
      <c r="I47" s="1719">
        <f t="shared" si="4"/>
        <v>1.03</v>
      </c>
      <c r="J47" s="1718">
        <f t="shared" si="5"/>
        <v>33.576407529411767</v>
      </c>
      <c r="K47" s="1720">
        <v>1</v>
      </c>
      <c r="L47" s="1722">
        <f t="shared" si="6"/>
        <v>1.03</v>
      </c>
      <c r="M47" s="1721">
        <f t="shared" si="7"/>
        <v>33.576407529411767</v>
      </c>
      <c r="N47" s="1720">
        <v>1</v>
      </c>
      <c r="O47" s="1719">
        <f t="shared" si="8"/>
        <v>1.03</v>
      </c>
      <c r="P47" s="1718">
        <f t="shared" si="9"/>
        <v>33.576407529411767</v>
      </c>
      <c r="Q47" s="38"/>
    </row>
    <row r="48" spans="1:17" s="42" customFormat="1" ht="15" customHeight="1">
      <c r="A48" s="1306"/>
      <c r="B48" s="1726"/>
      <c r="C48" s="4835" t="s">
        <v>497</v>
      </c>
      <c r="D48" s="4836"/>
      <c r="E48" s="1725">
        <f>IF($C48=0,0,VLOOKUP($C48,'SDK3'!$C$24:$O$92,4,FALSE))</f>
        <v>83</v>
      </c>
      <c r="F48" s="1724">
        <f>IF($C48=0,0,VLOOKUP($C48,'SDK3'!$C$24:$O$92,12,FALSE))</f>
        <v>0.61</v>
      </c>
      <c r="G48" s="1723">
        <f>IF($C48=0,0,VLOOKUP($C48,'SDK3'!$C$24:$O$92,13,FALSE))</f>
        <v>10.170813997647059</v>
      </c>
      <c r="H48" s="1720">
        <v>1</v>
      </c>
      <c r="I48" s="1719">
        <f t="shared" si="4"/>
        <v>0.61</v>
      </c>
      <c r="J48" s="1718">
        <f t="shared" si="5"/>
        <v>10.170813997647059</v>
      </c>
      <c r="K48" s="1720">
        <v>1</v>
      </c>
      <c r="L48" s="1722">
        <f t="shared" si="6"/>
        <v>0.61</v>
      </c>
      <c r="M48" s="1721">
        <f t="shared" si="7"/>
        <v>10.170813997647059</v>
      </c>
      <c r="N48" s="1720">
        <v>1</v>
      </c>
      <c r="O48" s="1719">
        <f t="shared" si="8"/>
        <v>0.61</v>
      </c>
      <c r="P48" s="1718">
        <f t="shared" si="9"/>
        <v>10.170813997647059</v>
      </c>
      <c r="Q48" s="38"/>
    </row>
    <row r="49" spans="1:17" s="42" customFormat="1" ht="15" customHeight="1">
      <c r="A49" s="1306"/>
      <c r="B49" s="1726"/>
      <c r="C49" s="4835" t="s">
        <v>450</v>
      </c>
      <c r="D49" s="4836"/>
      <c r="E49" s="1725">
        <f>IF($C49=0,0,VLOOKUP($C49,'SDK3'!$C$24:$O$92,4,FALSE))</f>
        <v>83</v>
      </c>
      <c r="F49" s="1724">
        <f>IF($C49=0,0,VLOOKUP($C49,'SDK3'!$C$24:$O$92,12,FALSE))</f>
        <v>1.19</v>
      </c>
      <c r="G49" s="1723">
        <f>IF($C49=0,0,VLOOKUP($C49,'SDK3'!$C$24:$O$92,13,FALSE))</f>
        <v>23.494563599999999</v>
      </c>
      <c r="H49" s="1720">
        <v>1</v>
      </c>
      <c r="I49" s="1719">
        <f t="shared" si="4"/>
        <v>1.19</v>
      </c>
      <c r="J49" s="1718">
        <f t="shared" si="5"/>
        <v>23.494563599999999</v>
      </c>
      <c r="K49" s="1720">
        <v>1</v>
      </c>
      <c r="L49" s="1722">
        <f t="shared" si="6"/>
        <v>1.19</v>
      </c>
      <c r="M49" s="1721">
        <f t="shared" si="7"/>
        <v>23.494563599999999</v>
      </c>
      <c r="N49" s="1720">
        <v>1</v>
      </c>
      <c r="O49" s="1719">
        <f t="shared" si="8"/>
        <v>1.19</v>
      </c>
      <c r="P49" s="1718">
        <f t="shared" si="9"/>
        <v>23.494563599999999</v>
      </c>
      <c r="Q49" s="38"/>
    </row>
    <row r="50" spans="1:17" s="42" customFormat="1" ht="15" customHeight="1">
      <c r="A50" s="1306"/>
      <c r="B50" s="1726"/>
      <c r="C50" s="4835"/>
      <c r="D50" s="4836"/>
      <c r="E50" s="1725">
        <f>IF($C50=0,0,VLOOKUP($C50,'SDK3'!$C$24:$O$92,4,FALSE))</f>
        <v>0</v>
      </c>
      <c r="F50" s="1724">
        <f>IF($C50=0,0,VLOOKUP($C50,'SDK3'!$C$24:$O$92,12,FALSE))</f>
        <v>0</v>
      </c>
      <c r="G50" s="1723">
        <f>IF($C50=0,0,VLOOKUP($C50,'SDK3'!$C$24:$O$92,13,FALSE))</f>
        <v>0</v>
      </c>
      <c r="H50" s="1720"/>
      <c r="I50" s="1719">
        <f t="shared" si="4"/>
        <v>0</v>
      </c>
      <c r="J50" s="1718">
        <f t="shared" si="5"/>
        <v>0</v>
      </c>
      <c r="K50" s="1720"/>
      <c r="L50" s="1722">
        <f t="shared" si="6"/>
        <v>0</v>
      </c>
      <c r="M50" s="1721">
        <f t="shared" si="7"/>
        <v>0</v>
      </c>
      <c r="N50" s="1720"/>
      <c r="O50" s="1719">
        <f t="shared" si="8"/>
        <v>0</v>
      </c>
      <c r="P50" s="1718">
        <f t="shared" si="9"/>
        <v>0</v>
      </c>
      <c r="Q50" s="38"/>
    </row>
    <row r="51" spans="1:17" s="42" customFormat="1" ht="15" customHeight="1">
      <c r="A51" s="1306"/>
      <c r="B51" s="1726"/>
      <c r="C51" s="4835"/>
      <c r="D51" s="4836"/>
      <c r="E51" s="1725">
        <f>IF($C51=0,0,VLOOKUP($C51,'SDK3'!$C$24:$O$92,4,FALSE))</f>
        <v>0</v>
      </c>
      <c r="F51" s="1724">
        <f>IF($C51=0,0,VLOOKUP($C51,'SDK3'!$C$24:$O$92,12,FALSE))</f>
        <v>0</v>
      </c>
      <c r="G51" s="1723">
        <f>IF($C51=0,0,VLOOKUP($C51,'SDK3'!$C$24:$O$92,13,FALSE))</f>
        <v>0</v>
      </c>
      <c r="H51" s="1720"/>
      <c r="I51" s="1719">
        <f t="shared" si="4"/>
        <v>0</v>
      </c>
      <c r="J51" s="1718">
        <f t="shared" si="5"/>
        <v>0</v>
      </c>
      <c r="K51" s="1720"/>
      <c r="L51" s="1722">
        <f t="shared" si="6"/>
        <v>0</v>
      </c>
      <c r="M51" s="1721">
        <f t="shared" si="7"/>
        <v>0</v>
      </c>
      <c r="N51" s="1720"/>
      <c r="O51" s="1719">
        <f t="shared" si="8"/>
        <v>0</v>
      </c>
      <c r="P51" s="1718">
        <f t="shared" si="9"/>
        <v>0</v>
      </c>
      <c r="Q51" s="38"/>
    </row>
    <row r="52" spans="1:17" s="42" customFormat="1" ht="15" customHeight="1">
      <c r="A52" s="1306"/>
      <c r="B52" s="1726"/>
      <c r="C52" s="4835"/>
      <c r="D52" s="4836"/>
      <c r="E52" s="1725">
        <f>IF($C52=0,0,VLOOKUP($C52,'SDK3'!$C$24:$O$92,4,FALSE))</f>
        <v>0</v>
      </c>
      <c r="F52" s="1724">
        <f>IF($C52=0,0,VLOOKUP($C52,'SDK3'!$C$24:$O$92,12,FALSE))</f>
        <v>0</v>
      </c>
      <c r="G52" s="1723">
        <f>IF($C52=0,0,VLOOKUP($C52,'SDK3'!$C$24:$O$92,13,FALSE))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c r="D53" s="4836"/>
      <c r="E53" s="1725">
        <f>IF($C53=0,0,VLOOKUP($C53,'SDK3'!$C$24:$O$92,4,FALSE))</f>
        <v>0</v>
      </c>
      <c r="F53" s="1724">
        <f>IF($C53=0,0,VLOOKUP($C53,'SDK3'!$C$24:$O$92,12,FALSE))</f>
        <v>0</v>
      </c>
      <c r="G53" s="1723">
        <f>IF($C53=0,0,VLOOKUP($C53,'SDK3'!$C$24:$O$92,13,FALSE))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835"/>
      <c r="D54" s="4836"/>
      <c r="E54" s="1725">
        <f>IF($C54=0,0,VLOOKUP($C54,'SDK3'!$C$24:$O$92,4,FALSE))</f>
        <v>0</v>
      </c>
      <c r="F54" s="1724">
        <f>IF($C54=0,0,VLOOKUP($C54,'SDK3'!$C$24:$O$92,12,FALSE))</f>
        <v>0</v>
      </c>
      <c r="G54" s="1723">
        <f>IF($C54=0,0,VLOOKUP($C54,'SDK3'!$C$24:$O$92,13,FALSE))</f>
        <v>0</v>
      </c>
      <c r="H54" s="1720"/>
      <c r="I54" s="1719">
        <f t="shared" si="4"/>
        <v>0</v>
      </c>
      <c r="J54" s="1718">
        <f t="shared" si="5"/>
        <v>0</v>
      </c>
      <c r="K54" s="1720"/>
      <c r="L54" s="1722">
        <f t="shared" si="6"/>
        <v>0</v>
      </c>
      <c r="M54" s="1721">
        <f t="shared" si="7"/>
        <v>0</v>
      </c>
      <c r="N54" s="1720"/>
      <c r="O54" s="1719">
        <f t="shared" si="8"/>
        <v>0</v>
      </c>
      <c r="P54" s="1718">
        <f t="shared" si="9"/>
        <v>0</v>
      </c>
      <c r="Q54" s="38"/>
    </row>
    <row r="55" spans="1:17" s="42" customFormat="1" ht="15" customHeight="1">
      <c r="A55" s="1306"/>
      <c r="B55" s="1726"/>
      <c r="C55" s="4835"/>
      <c r="D55" s="4836"/>
      <c r="E55" s="1725">
        <f>IF($C55=0,0,VLOOKUP($C55,'SDK3'!$C$24:$O$92,4,FALSE))</f>
        <v>0</v>
      </c>
      <c r="F55" s="1724">
        <f>IF($C55=0,0,VLOOKUP($C55,'SDK3'!$C$24:$O$92,12,FALSE))</f>
        <v>0</v>
      </c>
      <c r="G55" s="1723">
        <f>IF($C55=0,0,VLOOKUP($C55,'SDK3'!$C$24:$O$92,13,FALSE))</f>
        <v>0</v>
      </c>
      <c r="H55" s="1720"/>
      <c r="I55" s="1719">
        <f t="shared" si="4"/>
        <v>0</v>
      </c>
      <c r="J55" s="1718">
        <f t="shared" si="5"/>
        <v>0</v>
      </c>
      <c r="K55" s="1720"/>
      <c r="L55" s="1722">
        <f t="shared" si="6"/>
        <v>0</v>
      </c>
      <c r="M55" s="1721">
        <f t="shared" si="7"/>
        <v>0</v>
      </c>
      <c r="N55" s="1720"/>
      <c r="O55" s="1719">
        <f t="shared" si="8"/>
        <v>0</v>
      </c>
      <c r="P55" s="1718">
        <f t="shared" si="9"/>
        <v>0</v>
      </c>
      <c r="Q55" s="38"/>
    </row>
    <row r="56" spans="1:17" s="42" customFormat="1" ht="15" customHeight="1">
      <c r="A56" s="1306"/>
      <c r="B56" s="1917"/>
      <c r="C56" s="4840"/>
      <c r="D56" s="4841"/>
      <c r="E56" s="1916">
        <f>IF($C56=0,0,VLOOKUP($C56,'SDK3'!$C$24:$O$92,4,FALSE))</f>
        <v>0</v>
      </c>
      <c r="F56" s="1915">
        <f>IF($C56=0,0,VLOOKUP($C56,'SDK3'!$C$24:$O$92,12,FALSE))</f>
        <v>0</v>
      </c>
      <c r="G56" s="1914">
        <f>IF($C56=0,0,VLOOKUP($C56,'SDK3'!$C$24:$O$92,13,FALSE))</f>
        <v>0</v>
      </c>
      <c r="H56" s="1911"/>
      <c r="I56" s="1910">
        <f t="shared" si="4"/>
        <v>0</v>
      </c>
      <c r="J56" s="1909">
        <f t="shared" si="5"/>
        <v>0</v>
      </c>
      <c r="K56" s="1911"/>
      <c r="L56" s="1913">
        <f t="shared" si="6"/>
        <v>0</v>
      </c>
      <c r="M56" s="1912">
        <f t="shared" si="7"/>
        <v>0</v>
      </c>
      <c r="N56" s="1911"/>
      <c r="O56" s="1910">
        <f t="shared" si="8"/>
        <v>0</v>
      </c>
      <c r="P56" s="1909">
        <f t="shared" si="9"/>
        <v>0</v>
      </c>
      <c r="Q56" s="38"/>
    </row>
    <row r="57" spans="1:17" s="42" customFormat="1" ht="47.25" customHeight="1">
      <c r="A57" s="1306"/>
      <c r="B57" s="1657"/>
      <c r="C57" s="4847"/>
      <c r="D57" s="4848"/>
      <c r="E57" s="1708">
        <f>IF($C57=0,0,VLOOKUP($C57,'SDK3'!$C$24:$O$92,4,FALSE))</f>
        <v>0</v>
      </c>
      <c r="F57" s="1707">
        <f>IF($C57=0,0,VLOOKUP($C57,'SDK3'!$C$24:$O$92,12,FALSE))</f>
        <v>0</v>
      </c>
      <c r="G57" s="1706">
        <f>IF($C57=0,0,VLOOKUP($C57,'SDK3'!$C$24:$O$92,13,FALSE))</f>
        <v>0</v>
      </c>
      <c r="H57" s="1704">
        <f>H11/50</f>
        <v>0</v>
      </c>
      <c r="I57" s="1703">
        <f t="shared" si="4"/>
        <v>0</v>
      </c>
      <c r="J57" s="1702">
        <f t="shared" si="5"/>
        <v>0</v>
      </c>
      <c r="K57" s="1704">
        <f>K11/50</f>
        <v>0</v>
      </c>
      <c r="L57" s="1705">
        <f t="shared" si="6"/>
        <v>0</v>
      </c>
      <c r="M57" s="1652">
        <f t="shared" si="7"/>
        <v>0</v>
      </c>
      <c r="N57" s="1704">
        <f>N11/50</f>
        <v>0</v>
      </c>
      <c r="O57" s="1703">
        <f t="shared" si="8"/>
        <v>0</v>
      </c>
      <c r="P57" s="1702">
        <f t="shared" si="9"/>
        <v>0</v>
      </c>
      <c r="Q57" s="38"/>
    </row>
    <row r="58" spans="1:17" s="65" customFormat="1" ht="18.75" customHeight="1">
      <c r="A58" s="1373"/>
      <c r="B58" s="1276" t="s">
        <v>1223</v>
      </c>
      <c r="C58" s="1373"/>
      <c r="D58" s="1373"/>
      <c r="E58" s="1373"/>
      <c r="F58" s="38"/>
      <c r="G58" s="1620"/>
      <c r="H58" s="1697"/>
      <c r="I58" s="1696">
        <f>SUM($I$46:$I$57)</f>
        <v>4.29</v>
      </c>
      <c r="J58" s="1701"/>
      <c r="K58" s="1700"/>
      <c r="L58" s="1699">
        <f>SUM($L$46:$L$57)</f>
        <v>4.29</v>
      </c>
      <c r="M58" s="1698"/>
      <c r="N58" s="1697"/>
      <c r="O58" s="1696">
        <f>SUM($O$46:$O$57)</f>
        <v>4.29</v>
      </c>
      <c r="P58" s="1695"/>
      <c r="Q58" s="38"/>
    </row>
    <row r="59" spans="1:17" s="65" customFormat="1" ht="15" customHeight="1">
      <c r="A59" s="1373"/>
      <c r="B59" s="1694"/>
      <c r="C59" s="353"/>
      <c r="D59" s="280" t="s">
        <v>1222</v>
      </c>
      <c r="E59" s="1693">
        <v>80</v>
      </c>
      <c r="F59" s="353" t="s">
        <v>1221</v>
      </c>
      <c r="G59" s="1692"/>
      <c r="H59" s="1688"/>
      <c r="I59" s="1687">
        <f>IF(I58+SUM($I$46:$I$57)*$E$59%&gt;I58+10,I58+10,I58+SUM($I$46:$I$57)*$E$59%)</f>
        <v>7.7220000000000004</v>
      </c>
      <c r="J59" s="1686"/>
      <c r="K59" s="1691"/>
      <c r="L59" s="1690">
        <f>IF(L58+SUM($L$46:$L$57)*$E$59%&gt;L58+10,L58+10,L58+SUM($L$46:$L$57)*$E$59%)</f>
        <v>7.7220000000000004</v>
      </c>
      <c r="M59" s="1689"/>
      <c r="N59" s="1688"/>
      <c r="O59" s="1687">
        <f>IF(O58+SUM($O$46:$O$57)*$E$59%&gt;O58+10,O58+10,O58+SUM($O$46:$O$57)*$E$59%)</f>
        <v>7.7220000000000004</v>
      </c>
      <c r="P59" s="1686"/>
      <c r="Q59" s="38"/>
    </row>
    <row r="60" spans="1:17" s="42" customFormat="1" ht="18.75" customHeight="1">
      <c r="A60" s="1306"/>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8"/>
    </row>
    <row r="61" spans="1:17" s="42" customFormat="1" ht="13.15" customHeight="1">
      <c r="A61" s="1306"/>
      <c r="B61" s="1613"/>
      <c r="C61" s="1612" t="s">
        <v>1212</v>
      </c>
      <c r="D61" s="1683">
        <f>'SDK1'!$O$11</f>
        <v>0</v>
      </c>
      <c r="E61" s="1610"/>
      <c r="F61" s="1606" t="s">
        <v>249</v>
      </c>
      <c r="G61" s="1682" t="s">
        <v>1211</v>
      </c>
      <c r="H61" s="1677"/>
      <c r="I61" s="1676"/>
      <c r="J61" s="1681"/>
      <c r="K61" s="1680"/>
      <c r="L61" s="1679"/>
      <c r="M61" s="1678"/>
      <c r="N61" s="1677"/>
      <c r="O61" s="1676"/>
      <c r="P61" s="1675"/>
      <c r="Q61" s="38"/>
    </row>
    <row r="62" spans="1:17" s="42" customFormat="1" ht="1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8"/>
    </row>
    <row r="63" spans="1:17" s="42" customFormat="1" ht="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8"/>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8"/>
    </row>
    <row r="65" spans="1:20" s="708" customFormat="1" ht="18.75" customHeight="1">
      <c r="A65" s="1270"/>
      <c r="B65" s="1276" t="s">
        <v>1219</v>
      </c>
      <c r="C65" s="1270"/>
      <c r="D65" s="1270"/>
      <c r="E65" s="1270"/>
      <c r="F65" s="38"/>
      <c r="G65" s="1620"/>
      <c r="H65" s="73"/>
      <c r="I65" s="73"/>
      <c r="J65" s="1614">
        <f>H66*$E66</f>
        <v>0</v>
      </c>
      <c r="K65" s="1629"/>
      <c r="L65" s="1629"/>
      <c r="M65" s="1617">
        <f>K66*$E66</f>
        <v>0</v>
      </c>
      <c r="N65" s="73"/>
      <c r="O65" s="73"/>
      <c r="P65" s="1614">
        <f>N66*$E66</f>
        <v>0</v>
      </c>
      <c r="Q65" s="38"/>
    </row>
    <row r="66" spans="1:20" s="708" customFormat="1" ht="15" customHeight="1">
      <c r="A66" s="1270"/>
      <c r="B66" s="1648"/>
      <c r="C66" s="1377"/>
      <c r="D66" s="280" t="s">
        <v>1060</v>
      </c>
      <c r="E66" s="1647"/>
      <c r="F66" s="1622"/>
      <c r="G66" s="1646" t="s">
        <v>516</v>
      </c>
      <c r="H66" s="1644"/>
      <c r="I66" s="1643"/>
      <c r="J66" s="1632"/>
      <c r="K66" s="1644"/>
      <c r="L66" s="1645"/>
      <c r="M66" s="1635"/>
      <c r="N66" s="1644"/>
      <c r="O66" s="1643"/>
      <c r="P66" s="1632"/>
      <c r="Q66" s="38"/>
    </row>
    <row r="67" spans="1:20" s="708" customFormat="1" ht="22.9" customHeight="1">
      <c r="A67" s="1270"/>
      <c r="B67" s="1276" t="s">
        <v>1218</v>
      </c>
      <c r="C67" s="1270"/>
      <c r="D67" s="1270"/>
      <c r="E67" s="229"/>
      <c r="F67" s="1642"/>
      <c r="G67" s="1620"/>
      <c r="H67" s="1639" t="s">
        <v>1217</v>
      </c>
      <c r="I67" s="1638" t="s">
        <v>1216</v>
      </c>
      <c r="J67" s="1963"/>
      <c r="K67" s="1641" t="s">
        <v>1217</v>
      </c>
      <c r="L67" s="1640" t="s">
        <v>1216</v>
      </c>
      <c r="M67" s="1963"/>
      <c r="N67" s="1639" t="s">
        <v>1217</v>
      </c>
      <c r="O67" s="1638" t="s">
        <v>1216</v>
      </c>
      <c r="P67" s="1963"/>
      <c r="Q67" s="38"/>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8"/>
      <c r="R68" s="1944">
        <f>IF($H$68=0,0,VLOOKUP($H$68,'SD6'!B8:C101,2,FALSE))*(1+'SDK1'!O11/100)</f>
        <v>0</v>
      </c>
      <c r="S68" s="1631">
        <f>IF($K$68=0,0,VLOOKUP($K$68,'SD6'!B8:C101,2,FALSE))*(1+'SDK1'!O11/100)</f>
        <v>0</v>
      </c>
      <c r="T68" s="1944">
        <f>IF($N$68=0,0,VLOOKUP($N$68,'SD6'!B8:C101,2,FALSE))*(1+'SDK1'!O11/100)</f>
        <v>0</v>
      </c>
    </row>
    <row r="69" spans="1:20" s="708" customFormat="1" ht="18.75"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8"/>
    </row>
    <row r="70" spans="1:20" s="708" customFormat="1" ht="15" customHeight="1">
      <c r="A70" s="1270"/>
      <c r="B70" s="1332"/>
      <c r="C70" s="1331" t="s">
        <v>896</v>
      </c>
      <c r="D70" s="353"/>
      <c r="E70" s="280"/>
      <c r="F70" s="1962"/>
      <c r="G70" s="1627" t="s">
        <v>171</v>
      </c>
      <c r="H70" s="1623">
        <f>I9+I10</f>
        <v>0</v>
      </c>
      <c r="I70" s="1622"/>
      <c r="J70" s="1621"/>
      <c r="K70" s="1626">
        <f>L9+L10</f>
        <v>0</v>
      </c>
      <c r="L70" s="1625"/>
      <c r="M70" s="1624"/>
      <c r="N70" s="1623">
        <f>O9+O10</f>
        <v>0</v>
      </c>
      <c r="O70" s="1622"/>
      <c r="P70" s="1621"/>
      <c r="Q70" s="38"/>
    </row>
    <row r="71" spans="1:20" ht="18.75" customHeight="1">
      <c r="A71" s="377"/>
      <c r="B71" s="311" t="s">
        <v>1213</v>
      </c>
      <c r="C71" s="377"/>
      <c r="D71" s="377"/>
      <c r="E71" s="229"/>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8"/>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8"/>
    </row>
    <row r="75" spans="1:20" s="708" customFormat="1" ht="30.4" customHeight="1">
      <c r="A75" s="1270"/>
      <c r="B75" s="4837" t="s">
        <v>1210</v>
      </c>
      <c r="C75" s="4838"/>
      <c r="D75" s="1585" t="s">
        <v>1209</v>
      </c>
      <c r="E75" s="1584">
        <f>'SDK1'!$O$59/100</f>
        <v>1.4999999999999999E-2</v>
      </c>
      <c r="F75" s="1583" t="s">
        <v>1208</v>
      </c>
      <c r="G75" s="1582">
        <v>5</v>
      </c>
      <c r="H75" s="1580"/>
      <c r="I75" s="1581"/>
      <c r="J75" s="1578">
        <f>(J23+J27+J34+J43+J60+J65+J67+J69+J71)*('SDK1'!$O$59%*$G$75/12)</f>
        <v>1.1670523129264705</v>
      </c>
      <c r="K75" s="711"/>
      <c r="L75" s="1056"/>
      <c r="M75" s="1578">
        <f>(M23+M27+M34+M43+M60+M65+M67+M69+M71)*('SDK1'!$O$59%*$G$75/12)</f>
        <v>1.1670523129264705</v>
      </c>
      <c r="N75" s="1580"/>
      <c r="O75" s="1579"/>
      <c r="P75" s="1578">
        <f>(P23+P27+P34+P43+P60+P65+P67+P69+P71)*('SDK1'!$O$59%*$G$75/12)</f>
        <v>1.1670523129264705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23"/>
      <c r="C120" s="15"/>
      <c r="L120" s="15"/>
    </row>
    <row r="121" spans="1:12">
      <c r="A121" s="35"/>
      <c r="B121" s="623"/>
      <c r="C121" s="15"/>
      <c r="L121" s="15"/>
    </row>
    <row r="122" spans="1:12">
      <c r="A122" s="35"/>
      <c r="B122" s="623"/>
      <c r="C122" s="15"/>
      <c r="L122" s="15"/>
    </row>
    <row r="123" spans="1:12">
      <c r="A123" s="35"/>
      <c r="B123" s="623"/>
      <c r="C123" s="15"/>
      <c r="L123" s="15"/>
    </row>
    <row r="124" spans="1:12">
      <c r="A124" s="35"/>
      <c r="B124" s="623"/>
      <c r="C124" s="15"/>
      <c r="L124" s="15"/>
    </row>
    <row r="125" spans="1:12">
      <c r="A125" s="35"/>
      <c r="B125" s="623"/>
      <c r="C125" s="15"/>
      <c r="L125" s="15"/>
    </row>
    <row r="126" spans="1:12">
      <c r="A126" s="35"/>
      <c r="B126" s="623"/>
      <c r="C126" s="15"/>
      <c r="L126" s="15"/>
    </row>
    <row r="127" spans="1:12">
      <c r="A127" s="35"/>
      <c r="B127" s="623"/>
      <c r="C127" s="15"/>
      <c r="L127" s="15"/>
    </row>
    <row r="128" spans="1:12">
      <c r="A128" s="35"/>
      <c r="B128" s="623"/>
      <c r="C128" s="15"/>
      <c r="L128" s="15"/>
    </row>
    <row r="129" spans="1:12">
      <c r="A129" s="35"/>
      <c r="B129" s="623"/>
      <c r="C129" s="15"/>
      <c r="L129" s="15"/>
    </row>
    <row r="130" spans="1:12">
      <c r="A130" s="35"/>
      <c r="B130" s="623"/>
      <c r="C130" s="15"/>
      <c r="L130" s="15"/>
    </row>
    <row r="131" spans="1:12">
      <c r="A131" s="35"/>
      <c r="B131" s="623"/>
      <c r="C131" s="15"/>
      <c r="L131" s="15"/>
    </row>
    <row r="132" spans="1:12">
      <c r="A132" s="35"/>
      <c r="B132" s="623"/>
      <c r="C132" s="15"/>
      <c r="L132" s="15"/>
    </row>
    <row r="133" spans="1:12">
      <c r="A133" s="35"/>
      <c r="B133" s="623"/>
      <c r="C133" s="15"/>
      <c r="L133" s="15"/>
    </row>
    <row r="134" spans="1:12">
      <c r="A134" s="35"/>
      <c r="B134" s="623"/>
      <c r="C134" s="15"/>
      <c r="L134" s="15"/>
    </row>
    <row r="135" spans="1:12">
      <c r="A135" s="35"/>
      <c r="B135" s="623"/>
      <c r="C135" s="15"/>
      <c r="L135" s="15"/>
    </row>
    <row r="136" spans="1:12">
      <c r="A136" s="35"/>
      <c r="B136" s="623"/>
      <c r="C136" s="15"/>
      <c r="L136" s="15"/>
    </row>
    <row r="137" spans="1:12">
      <c r="A137" s="35"/>
      <c r="B137" s="623"/>
      <c r="C137" s="15"/>
      <c r="L137" s="15"/>
    </row>
    <row r="138" spans="1:12">
      <c r="A138" s="35"/>
      <c r="B138" s="623"/>
      <c r="C138" s="15"/>
      <c r="L138" s="15"/>
    </row>
    <row r="139" spans="1:12">
      <c r="A139" s="35"/>
      <c r="B139" s="623"/>
      <c r="C139" s="15"/>
      <c r="L139" s="15"/>
    </row>
    <row r="140" spans="1:12">
      <c r="A140" s="35"/>
      <c r="B140" s="623"/>
      <c r="C140" s="15"/>
      <c r="L140" s="15"/>
    </row>
    <row r="141" spans="1:12">
      <c r="A141" s="35"/>
      <c r="B141" s="623"/>
      <c r="C141" s="15"/>
      <c r="L141" s="15"/>
    </row>
    <row r="142" spans="1:12">
      <c r="A142" s="35"/>
      <c r="B142" s="623"/>
      <c r="C142" s="15"/>
      <c r="L142" s="15"/>
    </row>
    <row r="143" spans="1:12">
      <c r="A143" s="35"/>
      <c r="B143" s="623"/>
      <c r="C143" s="15"/>
      <c r="L143" s="15"/>
    </row>
    <row r="144" spans="1:12">
      <c r="A144" s="35"/>
      <c r="B144" s="623"/>
      <c r="C144" s="15"/>
      <c r="L144" s="15"/>
    </row>
    <row r="145" spans="1:17">
      <c r="A145" s="35"/>
      <c r="B145" s="623"/>
      <c r="C145" s="15"/>
      <c r="L145" s="15"/>
      <c r="M145" s="35"/>
      <c r="N145" s="35"/>
      <c r="O145" s="35"/>
      <c r="P145" s="35"/>
      <c r="Q145" s="35"/>
    </row>
    <row r="146" spans="1:17">
      <c r="A146" s="35"/>
      <c r="B146" s="623"/>
      <c r="C146" s="15"/>
      <c r="L146" s="15"/>
      <c r="M146" s="35"/>
      <c r="N146" s="35"/>
      <c r="O146" s="35"/>
      <c r="P146" s="35"/>
      <c r="Q146" s="35"/>
    </row>
    <row r="147" spans="1:17">
      <c r="A147" s="35"/>
      <c r="B147" s="623"/>
      <c r="C147" s="15"/>
      <c r="L147" s="15"/>
      <c r="M147" s="35"/>
      <c r="N147" s="35"/>
      <c r="O147" s="35"/>
      <c r="P147" s="35"/>
      <c r="Q147" s="35"/>
    </row>
    <row r="148" spans="1:17">
      <c r="A148" s="35"/>
      <c r="B148" s="623"/>
      <c r="C148" s="15"/>
      <c r="L148" s="15"/>
      <c r="M148" s="35"/>
      <c r="N148" s="35"/>
      <c r="O148" s="35"/>
      <c r="P148" s="35"/>
      <c r="Q148" s="35"/>
    </row>
    <row r="149" spans="1:17">
      <c r="A149" s="35"/>
      <c r="B149" s="623"/>
      <c r="C149" s="15"/>
      <c r="M149" s="35"/>
      <c r="N149" s="35"/>
      <c r="O149" s="35"/>
      <c r="P149" s="35"/>
      <c r="Q149" s="35"/>
    </row>
    <row r="150" spans="1:17">
      <c r="A150" s="35"/>
      <c r="B150" s="623"/>
      <c r="C150" s="15"/>
      <c r="M150" s="35"/>
      <c r="N150" s="35"/>
      <c r="O150" s="35"/>
      <c r="P150" s="35"/>
      <c r="Q150" s="35"/>
    </row>
    <row r="151" spans="1:17">
      <c r="A151" s="35"/>
      <c r="B151" s="623"/>
      <c r="C151" s="15"/>
      <c r="M151" s="35"/>
      <c r="N151" s="35"/>
      <c r="O151" s="35"/>
      <c r="P151" s="35"/>
      <c r="Q151" s="35"/>
    </row>
    <row r="152" spans="1:17">
      <c r="A152" s="35"/>
      <c r="B152" s="623"/>
      <c r="C152" s="15"/>
      <c r="M152" s="35"/>
      <c r="N152" s="35"/>
      <c r="O152" s="35"/>
      <c r="P152" s="35"/>
      <c r="Q152" s="35"/>
    </row>
    <row r="153" spans="1:17">
      <c r="A153" s="35"/>
      <c r="B153" s="623"/>
      <c r="C153" s="15"/>
      <c r="M153" s="35"/>
      <c r="N153" s="35"/>
      <c r="O153" s="35"/>
      <c r="P153" s="35"/>
      <c r="Q153" s="35"/>
    </row>
    <row r="154" spans="1:17">
      <c r="A154" s="35"/>
      <c r="B154" s="623"/>
      <c r="C154" s="15"/>
      <c r="M154" s="35"/>
      <c r="N154" s="35"/>
      <c r="O154" s="35"/>
      <c r="P154" s="35"/>
      <c r="Q154" s="35"/>
    </row>
    <row r="155" spans="1:17">
      <c r="A155" s="35"/>
      <c r="B155" s="623"/>
      <c r="C155" s="15"/>
      <c r="M155" s="35"/>
      <c r="N155" s="35"/>
      <c r="O155" s="35"/>
      <c r="P155" s="35"/>
      <c r="Q155" s="35"/>
    </row>
    <row r="156" spans="1:17">
      <c r="A156" s="35"/>
      <c r="B156" s="623"/>
      <c r="C156" s="15"/>
      <c r="D156" s="15"/>
      <c r="F156" s="15"/>
      <c r="G156" s="15"/>
      <c r="H156" s="15"/>
      <c r="I156" s="15"/>
      <c r="J156" s="15"/>
      <c r="K156" s="15"/>
      <c r="M156" s="35"/>
      <c r="N156" s="35"/>
      <c r="O156" s="35"/>
      <c r="P156" s="35"/>
      <c r="Q156" s="35"/>
    </row>
    <row r="157" spans="1:17">
      <c r="A157" s="35"/>
      <c r="B157" s="623"/>
      <c r="C157" s="15"/>
      <c r="D157" s="15"/>
      <c r="F157" s="15"/>
      <c r="G157" s="15"/>
      <c r="H157" s="15"/>
      <c r="I157" s="15"/>
      <c r="J157" s="15"/>
      <c r="K157" s="15"/>
      <c r="M157" s="35"/>
      <c r="N157" s="35"/>
      <c r="O157" s="35"/>
      <c r="P157" s="35"/>
      <c r="Q157" s="35"/>
    </row>
    <row r="158" spans="1:17">
      <c r="A158" s="35"/>
      <c r="B158" s="623"/>
      <c r="C158" s="15"/>
      <c r="D158" s="15"/>
      <c r="F158" s="15"/>
      <c r="G158" s="15"/>
      <c r="H158" s="15"/>
      <c r="I158" s="15"/>
      <c r="J158" s="15"/>
      <c r="K158" s="15"/>
      <c r="M158" s="35"/>
      <c r="N158" s="35"/>
      <c r="O158" s="35"/>
      <c r="P158" s="35"/>
      <c r="Q158" s="35"/>
    </row>
    <row r="159" spans="1:17">
      <c r="A159" s="35"/>
      <c r="B159" s="623"/>
      <c r="C159" s="15"/>
      <c r="M159" s="35"/>
      <c r="N159" s="35"/>
      <c r="O159" s="35"/>
      <c r="P159" s="35"/>
      <c r="Q159" s="35"/>
    </row>
    <row r="160" spans="1:17">
      <c r="A160" s="35"/>
      <c r="B160" s="623"/>
      <c r="C160" s="15"/>
      <c r="M160" s="35"/>
      <c r="N160" s="35"/>
      <c r="O160" s="35"/>
      <c r="P160" s="35"/>
      <c r="Q160" s="35"/>
    </row>
    <row r="161" spans="1:17">
      <c r="A161" s="35"/>
      <c r="B161" s="623"/>
      <c r="C161" s="15"/>
      <c r="F161" s="35"/>
      <c r="G161" s="35"/>
      <c r="H161" s="35"/>
      <c r="I161" s="35"/>
      <c r="J161" s="35"/>
      <c r="K161" s="35"/>
      <c r="L161" s="35"/>
      <c r="M161" s="35"/>
      <c r="N161" s="35"/>
      <c r="O161" s="35"/>
      <c r="P161" s="35"/>
      <c r="Q161" s="35"/>
    </row>
    <row r="162" spans="1:17">
      <c r="A162" s="35"/>
      <c r="B162" s="623"/>
      <c r="C162" s="15"/>
      <c r="F162" s="35"/>
      <c r="G162" s="35"/>
      <c r="H162" s="35"/>
      <c r="I162" s="35"/>
      <c r="J162" s="35"/>
      <c r="K162" s="35"/>
      <c r="L162" s="35"/>
      <c r="M162" s="35"/>
      <c r="N162" s="35"/>
      <c r="O162" s="35"/>
      <c r="P162" s="35"/>
      <c r="Q162" s="35"/>
    </row>
    <row r="163" spans="1:17">
      <c r="A163" s="35"/>
      <c r="B163" s="623"/>
      <c r="C163" s="15"/>
      <c r="F163" s="35"/>
      <c r="G163" s="35"/>
      <c r="H163" s="35"/>
      <c r="I163" s="35"/>
      <c r="J163" s="35"/>
      <c r="K163" s="35"/>
      <c r="L163" s="35"/>
      <c r="M163" s="35"/>
      <c r="N163" s="35"/>
      <c r="O163" s="35"/>
      <c r="P163" s="35"/>
      <c r="Q163" s="35"/>
    </row>
    <row r="164" spans="1:17">
      <c r="A164" s="35"/>
      <c r="B164" s="623"/>
      <c r="C164" s="15"/>
      <c r="F164" s="35"/>
      <c r="G164" s="35"/>
      <c r="H164" s="35"/>
      <c r="I164" s="35"/>
      <c r="J164" s="35"/>
      <c r="K164" s="35"/>
      <c r="L164" s="35"/>
      <c r="M164" s="35"/>
      <c r="N164" s="35"/>
      <c r="O164" s="35"/>
      <c r="P164" s="35"/>
      <c r="Q164" s="35"/>
    </row>
    <row r="165" spans="1:17">
      <c r="A165" s="35"/>
      <c r="B165" s="623"/>
      <c r="C165" s="15"/>
      <c r="F165" s="35"/>
      <c r="G165" s="35"/>
      <c r="H165" s="35"/>
      <c r="I165" s="35"/>
      <c r="J165" s="35"/>
      <c r="K165" s="35"/>
      <c r="L165" s="35"/>
      <c r="M165" s="35"/>
      <c r="N165" s="35"/>
      <c r="O165" s="35"/>
      <c r="P165" s="35"/>
      <c r="Q165" s="35"/>
    </row>
    <row r="166" spans="1:17">
      <c r="A166" s="35"/>
      <c r="B166" s="623"/>
      <c r="C166" s="15"/>
      <c r="F166" s="35"/>
      <c r="G166" s="35"/>
      <c r="H166" s="35"/>
      <c r="I166" s="35"/>
      <c r="J166" s="35"/>
      <c r="K166" s="35"/>
      <c r="L166" s="35"/>
      <c r="M166" s="35"/>
      <c r="N166" s="35"/>
      <c r="O166" s="35"/>
      <c r="P166" s="35"/>
      <c r="Q166" s="35"/>
    </row>
    <row r="167" spans="1:17">
      <c r="A167" s="35"/>
      <c r="B167" s="623"/>
      <c r="C167" s="15"/>
      <c r="F167" s="35"/>
      <c r="G167" s="35"/>
      <c r="H167" s="35"/>
      <c r="I167" s="35"/>
      <c r="J167" s="35"/>
      <c r="K167" s="35"/>
      <c r="L167" s="35"/>
      <c r="M167" s="35"/>
      <c r="N167" s="35"/>
      <c r="O167" s="35"/>
      <c r="P167" s="35"/>
      <c r="Q167" s="35"/>
    </row>
    <row r="168" spans="1:17">
      <c r="A168" s="35"/>
      <c r="B168" s="623"/>
      <c r="C168" s="15"/>
      <c r="F168" s="35"/>
      <c r="G168" s="35"/>
      <c r="H168" s="35"/>
      <c r="I168" s="35"/>
      <c r="J168" s="35"/>
      <c r="K168" s="35"/>
      <c r="L168" s="35"/>
      <c r="M168" s="35"/>
      <c r="N168" s="35"/>
      <c r="O168" s="35"/>
      <c r="P168" s="35"/>
      <c r="Q168" s="35"/>
    </row>
    <row r="169" spans="1:17">
      <c r="A169" s="35"/>
      <c r="B169" s="623"/>
      <c r="C169" s="15"/>
      <c r="F169" s="35"/>
      <c r="G169" s="35"/>
      <c r="H169" s="35"/>
      <c r="I169" s="35"/>
      <c r="J169" s="35"/>
      <c r="K169" s="35"/>
      <c r="L169" s="35"/>
      <c r="M169" s="35"/>
      <c r="N169" s="35"/>
      <c r="O169" s="35"/>
      <c r="P169" s="35"/>
      <c r="Q169" s="35"/>
    </row>
    <row r="170" spans="1:17">
      <c r="A170" s="35"/>
      <c r="B170" s="623"/>
      <c r="C170" s="15"/>
      <c r="F170" s="35"/>
      <c r="G170" s="35"/>
      <c r="H170" s="35"/>
      <c r="I170" s="35"/>
      <c r="J170" s="35"/>
      <c r="K170" s="35"/>
      <c r="L170" s="35"/>
      <c r="M170" s="35"/>
      <c r="N170" s="35"/>
      <c r="O170" s="35"/>
      <c r="P170" s="35"/>
      <c r="Q170" s="35"/>
    </row>
    <row r="171" spans="1:17">
      <c r="A171" s="35"/>
      <c r="B171" s="623"/>
      <c r="C171" s="15"/>
      <c r="F171" s="35"/>
      <c r="G171" s="35"/>
      <c r="H171" s="35"/>
      <c r="I171" s="35"/>
      <c r="J171" s="35"/>
      <c r="K171" s="35"/>
      <c r="L171" s="35"/>
      <c r="M171" s="35"/>
      <c r="N171" s="35"/>
      <c r="O171" s="35"/>
      <c r="P171" s="35"/>
      <c r="Q171" s="35"/>
    </row>
    <row r="172" spans="1:17">
      <c r="A172" s="35"/>
      <c r="B172" s="623"/>
      <c r="C172" s="15"/>
      <c r="F172" s="35"/>
      <c r="G172" s="35"/>
      <c r="H172" s="35"/>
      <c r="I172" s="35"/>
      <c r="J172" s="35"/>
      <c r="K172" s="35"/>
      <c r="L172" s="35"/>
      <c r="M172" s="35"/>
      <c r="N172" s="35"/>
      <c r="O172" s="35"/>
      <c r="P172" s="35"/>
      <c r="Q172" s="35"/>
    </row>
    <row r="173" spans="1:17">
      <c r="A173" s="35"/>
      <c r="B173" s="623"/>
      <c r="C173" s="15"/>
      <c r="F173" s="35"/>
      <c r="G173" s="35"/>
      <c r="H173" s="35"/>
      <c r="I173" s="35"/>
      <c r="J173" s="35"/>
      <c r="K173" s="35"/>
      <c r="L173" s="35"/>
      <c r="M173" s="35"/>
      <c r="N173" s="35"/>
      <c r="O173" s="35"/>
      <c r="P173" s="35"/>
      <c r="Q173" s="35"/>
    </row>
    <row r="174" spans="1:17">
      <c r="A174" s="35"/>
      <c r="B174" s="623"/>
      <c r="C174" s="15"/>
      <c r="F174" s="35"/>
      <c r="G174" s="35"/>
      <c r="H174" s="35"/>
      <c r="I174" s="35"/>
      <c r="J174" s="35"/>
      <c r="K174" s="35"/>
      <c r="L174" s="35"/>
      <c r="M174" s="35"/>
      <c r="N174" s="35"/>
      <c r="O174" s="35"/>
      <c r="P174" s="35"/>
      <c r="Q174" s="35"/>
    </row>
    <row r="175" spans="1:17">
      <c r="A175" s="35"/>
      <c r="B175" s="623"/>
      <c r="C175" s="15"/>
      <c r="F175" s="35"/>
      <c r="G175" s="35"/>
      <c r="H175" s="35"/>
      <c r="I175" s="35"/>
      <c r="J175" s="35"/>
      <c r="K175" s="35"/>
      <c r="L175" s="35"/>
      <c r="M175" s="35"/>
      <c r="N175" s="35"/>
      <c r="O175" s="35"/>
      <c r="P175" s="35"/>
      <c r="Q175" s="35"/>
    </row>
    <row r="176" spans="1:17">
      <c r="A176" s="35"/>
      <c r="B176" s="623"/>
      <c r="C176" s="15"/>
      <c r="F176" s="35"/>
      <c r="G176" s="35"/>
      <c r="H176" s="35"/>
      <c r="I176" s="35"/>
      <c r="J176" s="35"/>
      <c r="K176" s="35"/>
      <c r="L176" s="35"/>
      <c r="M176" s="35"/>
      <c r="N176" s="35"/>
      <c r="O176" s="35"/>
      <c r="P176" s="35"/>
      <c r="Q176" s="35"/>
    </row>
    <row r="177" spans="1:17">
      <c r="A177" s="35"/>
      <c r="B177" s="623"/>
      <c r="C177" s="15"/>
      <c r="F177" s="35"/>
      <c r="G177" s="35"/>
      <c r="H177" s="35"/>
      <c r="I177" s="35"/>
      <c r="J177" s="35"/>
      <c r="K177" s="35"/>
      <c r="L177" s="35"/>
      <c r="M177" s="35"/>
      <c r="N177" s="35"/>
      <c r="O177" s="35"/>
      <c r="P177" s="35"/>
      <c r="Q177" s="35"/>
    </row>
    <row r="178" spans="1:17">
      <c r="A178" s="35"/>
      <c r="B178" s="623"/>
      <c r="C178" s="15"/>
      <c r="F178" s="35"/>
      <c r="G178" s="35"/>
      <c r="H178" s="35"/>
      <c r="I178" s="35"/>
      <c r="J178" s="35"/>
      <c r="K178" s="35"/>
      <c r="L178" s="35"/>
      <c r="M178" s="35"/>
      <c r="N178" s="35"/>
      <c r="O178" s="35"/>
      <c r="P178" s="35"/>
      <c r="Q178" s="35"/>
    </row>
    <row r="179" spans="1:17">
      <c r="A179" s="35"/>
      <c r="B179" s="623"/>
      <c r="C179" s="15"/>
      <c r="F179" s="35"/>
      <c r="G179" s="35"/>
      <c r="H179" s="35"/>
      <c r="I179" s="35"/>
      <c r="J179" s="35"/>
      <c r="K179" s="35"/>
      <c r="L179" s="35"/>
      <c r="M179" s="35"/>
      <c r="N179" s="35"/>
      <c r="O179" s="35"/>
      <c r="P179" s="35"/>
      <c r="Q179" s="35"/>
    </row>
    <row r="180" spans="1:17">
      <c r="A180" s="35"/>
      <c r="B180" s="623"/>
      <c r="C180" s="15"/>
      <c r="F180" s="35"/>
      <c r="G180" s="35"/>
      <c r="H180" s="35"/>
      <c r="I180" s="35"/>
      <c r="J180" s="35"/>
      <c r="K180" s="35"/>
      <c r="L180" s="35"/>
      <c r="M180" s="35"/>
      <c r="N180" s="35"/>
      <c r="O180" s="35"/>
      <c r="P180" s="35"/>
      <c r="Q180" s="35"/>
    </row>
    <row r="181" spans="1:17">
      <c r="A181" s="35"/>
      <c r="B181" s="623"/>
      <c r="C181" s="15"/>
      <c r="F181" s="35"/>
      <c r="G181" s="35"/>
      <c r="H181" s="35"/>
      <c r="I181" s="35"/>
      <c r="J181" s="35"/>
      <c r="K181" s="35"/>
      <c r="L181" s="35"/>
      <c r="M181" s="35"/>
      <c r="N181" s="35"/>
      <c r="O181" s="35"/>
      <c r="P181" s="35"/>
      <c r="Q181" s="35"/>
    </row>
    <row r="182" spans="1:17">
      <c r="A182" s="35"/>
      <c r="B182" s="623"/>
      <c r="C182" s="15"/>
      <c r="F182" s="35"/>
      <c r="G182" s="35"/>
      <c r="H182" s="35"/>
      <c r="I182" s="35"/>
      <c r="J182" s="35"/>
      <c r="K182" s="35"/>
      <c r="L182" s="35"/>
      <c r="M182" s="35"/>
      <c r="N182" s="35"/>
      <c r="O182" s="35"/>
      <c r="P182" s="35"/>
      <c r="Q182" s="35"/>
    </row>
    <row r="183" spans="1:17">
      <c r="A183" s="35"/>
      <c r="B183" s="623"/>
      <c r="C183" s="15"/>
      <c r="F183" s="35"/>
      <c r="G183" s="35"/>
      <c r="H183" s="35"/>
      <c r="I183" s="35"/>
      <c r="J183" s="35"/>
      <c r="K183" s="35"/>
      <c r="L183" s="35"/>
      <c r="M183" s="35"/>
      <c r="N183" s="35"/>
      <c r="O183" s="35"/>
      <c r="P183" s="35"/>
      <c r="Q183" s="35"/>
    </row>
    <row r="184" spans="1:17">
      <c r="A184" s="35"/>
      <c r="B184" s="623"/>
      <c r="C184" s="15"/>
      <c r="F184" s="35"/>
      <c r="G184" s="35"/>
      <c r="H184" s="35"/>
      <c r="I184" s="35"/>
      <c r="J184" s="35"/>
      <c r="K184" s="35"/>
      <c r="L184" s="35"/>
      <c r="M184" s="35"/>
      <c r="N184" s="35"/>
      <c r="O184" s="35"/>
      <c r="P184" s="35"/>
      <c r="Q184" s="35"/>
    </row>
    <row r="185" spans="1:17">
      <c r="A185" s="35"/>
      <c r="B185" s="623"/>
      <c r="C185" s="15"/>
      <c r="F185" s="35"/>
      <c r="G185" s="35"/>
      <c r="H185" s="35"/>
      <c r="I185" s="35"/>
      <c r="J185" s="35"/>
      <c r="K185" s="35"/>
      <c r="L185" s="35"/>
      <c r="M185" s="35"/>
      <c r="N185" s="35"/>
      <c r="O185" s="35"/>
      <c r="P185" s="35"/>
      <c r="Q185" s="35"/>
    </row>
    <row r="186" spans="1:17">
      <c r="A186" s="35"/>
      <c r="B186" s="623"/>
      <c r="C186" s="15"/>
      <c r="F186" s="35"/>
      <c r="G186" s="35"/>
      <c r="H186" s="35"/>
      <c r="I186" s="35"/>
      <c r="J186" s="35"/>
      <c r="K186" s="35"/>
      <c r="L186" s="35"/>
      <c r="M186" s="35"/>
      <c r="N186" s="35"/>
      <c r="O186" s="35"/>
      <c r="P186" s="35"/>
      <c r="Q186" s="35"/>
    </row>
    <row r="187" spans="1:17">
      <c r="A187" s="35"/>
      <c r="B187" s="623"/>
      <c r="C187" s="15"/>
      <c r="F187" s="35"/>
      <c r="G187" s="35"/>
      <c r="H187" s="35"/>
      <c r="I187" s="35"/>
      <c r="J187" s="35"/>
      <c r="K187" s="35"/>
      <c r="L187" s="35"/>
      <c r="M187" s="35"/>
      <c r="N187" s="35"/>
      <c r="O187" s="35"/>
      <c r="P187" s="35"/>
      <c r="Q187" s="35"/>
    </row>
    <row r="188" spans="1:17">
      <c r="A188" s="35"/>
      <c r="B188" s="623"/>
      <c r="C188" s="15"/>
      <c r="F188" s="35"/>
      <c r="G188" s="35"/>
      <c r="H188" s="35"/>
      <c r="I188" s="35"/>
      <c r="J188" s="35"/>
      <c r="K188" s="35"/>
      <c r="L188" s="35"/>
      <c r="M188" s="35"/>
      <c r="N188" s="35"/>
      <c r="O188" s="35"/>
      <c r="P188" s="35"/>
      <c r="Q188" s="35"/>
    </row>
    <row r="189" spans="1:17">
      <c r="A189" s="35"/>
      <c r="B189" s="623"/>
      <c r="C189" s="15"/>
      <c r="F189" s="35"/>
      <c r="G189" s="35"/>
      <c r="H189" s="35"/>
      <c r="I189" s="35"/>
      <c r="J189" s="35"/>
      <c r="K189" s="35"/>
      <c r="L189" s="35"/>
      <c r="M189" s="35"/>
      <c r="N189" s="35"/>
      <c r="O189" s="35"/>
      <c r="P189" s="35"/>
      <c r="Q189" s="35"/>
    </row>
    <row r="190" spans="1:17">
      <c r="A190" s="35"/>
      <c r="B190" s="623"/>
      <c r="C190" s="15"/>
      <c r="F190" s="35"/>
      <c r="G190" s="35"/>
      <c r="H190" s="35"/>
      <c r="I190" s="35"/>
      <c r="J190" s="35"/>
      <c r="K190" s="35"/>
      <c r="L190" s="35"/>
      <c r="M190" s="35"/>
      <c r="N190" s="35"/>
      <c r="O190" s="35"/>
      <c r="P190" s="35"/>
      <c r="Q190" s="35"/>
    </row>
    <row r="191" spans="1:17">
      <c r="A191" s="35"/>
      <c r="B191" s="623"/>
      <c r="C191" s="15"/>
      <c r="F191" s="35"/>
      <c r="G191" s="35"/>
      <c r="H191" s="35"/>
      <c r="I191" s="35"/>
      <c r="J191" s="35"/>
      <c r="K191" s="35"/>
      <c r="L191" s="35"/>
      <c r="M191" s="35"/>
      <c r="N191" s="35"/>
      <c r="O191" s="35"/>
      <c r="P191" s="35"/>
      <c r="Q191" s="35"/>
    </row>
    <row r="192" spans="1:17">
      <c r="A192" s="35"/>
      <c r="B192" s="623"/>
      <c r="C192" s="15"/>
      <c r="F192" s="35"/>
      <c r="G192" s="35"/>
      <c r="H192" s="35"/>
      <c r="I192" s="35"/>
      <c r="J192" s="35"/>
      <c r="K192" s="35"/>
      <c r="L192" s="35"/>
      <c r="M192" s="35"/>
      <c r="N192" s="35"/>
      <c r="O192" s="35"/>
      <c r="P192" s="35"/>
      <c r="Q192" s="35"/>
    </row>
    <row r="193" spans="1:17">
      <c r="A193" s="35"/>
      <c r="B193" s="623"/>
      <c r="C193" s="15"/>
      <c r="F193" s="35"/>
      <c r="G193" s="35"/>
      <c r="H193" s="35"/>
      <c r="I193" s="35"/>
      <c r="J193" s="35"/>
      <c r="K193" s="35"/>
      <c r="L193" s="35"/>
      <c r="M193" s="35"/>
      <c r="N193" s="35"/>
      <c r="O193" s="35"/>
      <c r="P193" s="35"/>
      <c r="Q193" s="35"/>
    </row>
    <row r="194" spans="1:17">
      <c r="A194" s="35"/>
      <c r="B194" s="623"/>
      <c r="C194" s="15"/>
      <c r="F194" s="35"/>
      <c r="G194" s="35"/>
      <c r="H194" s="35"/>
      <c r="I194" s="35"/>
      <c r="J194" s="35"/>
      <c r="K194" s="35"/>
      <c r="L194" s="35"/>
      <c r="M194" s="35"/>
      <c r="N194" s="35"/>
      <c r="O194" s="35"/>
      <c r="P194" s="35"/>
      <c r="Q194" s="35"/>
    </row>
    <row r="195" spans="1:17">
      <c r="A195" s="35"/>
      <c r="B195" s="623"/>
      <c r="C195" s="15"/>
      <c r="F195" s="35"/>
      <c r="G195" s="35"/>
      <c r="H195" s="35"/>
      <c r="I195" s="35"/>
      <c r="J195" s="35"/>
      <c r="K195" s="35"/>
      <c r="L195" s="35"/>
      <c r="M195" s="35"/>
      <c r="N195" s="35"/>
      <c r="O195" s="35"/>
      <c r="P195" s="35"/>
      <c r="Q195" s="35"/>
    </row>
    <row r="196" spans="1:17">
      <c r="A196" s="35"/>
      <c r="B196" s="623"/>
      <c r="C196" s="15"/>
      <c r="F196" s="35"/>
      <c r="G196" s="35"/>
      <c r="H196" s="35"/>
      <c r="I196" s="35"/>
      <c r="J196" s="35"/>
      <c r="K196" s="35"/>
      <c r="L196" s="35"/>
      <c r="M196" s="35"/>
      <c r="N196" s="35"/>
      <c r="O196" s="35"/>
      <c r="P196" s="35"/>
      <c r="Q196" s="35"/>
    </row>
    <row r="197" spans="1:17">
      <c r="A197" s="35"/>
      <c r="B197" s="623"/>
      <c r="C197" s="15"/>
      <c r="F197" s="35"/>
      <c r="G197" s="35"/>
      <c r="H197" s="35"/>
      <c r="I197" s="35"/>
      <c r="J197" s="35"/>
      <c r="K197" s="35"/>
      <c r="L197" s="35"/>
      <c r="M197" s="35"/>
      <c r="N197" s="35"/>
      <c r="O197" s="35"/>
      <c r="P197" s="35"/>
      <c r="Q197" s="35"/>
    </row>
    <row r="198" spans="1:17">
      <c r="A198" s="35"/>
      <c r="B198" s="623"/>
      <c r="C198" s="15"/>
      <c r="F198" s="35"/>
      <c r="G198" s="35"/>
      <c r="H198" s="35"/>
      <c r="I198" s="35"/>
      <c r="J198" s="35"/>
      <c r="K198" s="35"/>
      <c r="L198" s="35"/>
      <c r="M198" s="35"/>
      <c r="N198" s="35"/>
      <c r="O198" s="35"/>
      <c r="P198" s="35"/>
      <c r="Q198" s="35"/>
    </row>
    <row r="199" spans="1:17">
      <c r="A199" s="35"/>
      <c r="B199" s="623"/>
      <c r="C199" s="15"/>
      <c r="F199" s="35"/>
      <c r="G199" s="35"/>
      <c r="H199" s="35"/>
      <c r="I199" s="35"/>
      <c r="J199" s="35"/>
      <c r="K199" s="35"/>
      <c r="L199" s="35"/>
      <c r="M199" s="35"/>
      <c r="N199" s="35"/>
      <c r="O199" s="35"/>
      <c r="P199" s="35"/>
      <c r="Q199" s="35"/>
    </row>
    <row r="200" spans="1:17">
      <c r="A200" s="35"/>
      <c r="B200" s="623"/>
      <c r="C200" s="15"/>
      <c r="F200" s="35"/>
      <c r="G200" s="35"/>
      <c r="H200" s="35"/>
      <c r="I200" s="35"/>
      <c r="J200" s="35"/>
      <c r="K200" s="35"/>
      <c r="L200" s="35"/>
      <c r="M200" s="35"/>
      <c r="N200" s="35"/>
      <c r="O200" s="35"/>
      <c r="P200" s="35"/>
      <c r="Q200" s="35"/>
    </row>
    <row r="201" spans="1:17">
      <c r="A201" s="35"/>
      <c r="B201" s="623"/>
      <c r="C201" s="15"/>
      <c r="F201" s="35"/>
      <c r="G201" s="35"/>
      <c r="H201" s="35"/>
      <c r="I201" s="35"/>
      <c r="J201" s="35"/>
      <c r="K201" s="35"/>
      <c r="L201" s="35"/>
      <c r="M201" s="35"/>
      <c r="N201" s="35"/>
      <c r="O201" s="35"/>
      <c r="P201" s="35"/>
      <c r="Q201" s="35"/>
    </row>
    <row r="202" spans="1:17">
      <c r="A202" s="35"/>
      <c r="B202" s="623"/>
      <c r="C202" s="15"/>
      <c r="F202" s="35"/>
      <c r="G202" s="35"/>
      <c r="H202" s="35"/>
      <c r="I202" s="35"/>
      <c r="J202" s="35"/>
      <c r="K202" s="35"/>
      <c r="L202" s="35"/>
      <c r="M202" s="35"/>
      <c r="N202" s="35"/>
      <c r="O202" s="35"/>
      <c r="P202" s="35"/>
      <c r="Q202" s="35"/>
    </row>
    <row r="203" spans="1:17">
      <c r="A203" s="35"/>
      <c r="B203" s="623"/>
      <c r="C203" s="15"/>
      <c r="F203" s="35"/>
      <c r="G203" s="35"/>
      <c r="H203" s="35"/>
      <c r="I203" s="35"/>
      <c r="J203" s="35"/>
      <c r="K203" s="35"/>
      <c r="L203" s="35"/>
      <c r="M203" s="35"/>
      <c r="N203" s="35"/>
      <c r="O203" s="35"/>
      <c r="P203" s="35"/>
      <c r="Q203" s="35"/>
    </row>
    <row r="204" spans="1:17">
      <c r="A204" s="35"/>
      <c r="B204" s="623"/>
      <c r="C204" s="15"/>
      <c r="F204" s="35"/>
      <c r="G204" s="35"/>
      <c r="H204" s="35"/>
      <c r="I204" s="35"/>
      <c r="J204" s="35"/>
      <c r="K204" s="35"/>
      <c r="L204" s="35"/>
      <c r="M204" s="35"/>
      <c r="N204" s="35"/>
      <c r="O204" s="35"/>
      <c r="P204" s="35"/>
      <c r="Q204" s="35"/>
    </row>
    <row r="205" spans="1:17">
      <c r="A205" s="35"/>
      <c r="B205" s="623"/>
      <c r="C205" s="15"/>
      <c r="F205" s="35"/>
      <c r="G205" s="35"/>
      <c r="H205" s="35"/>
      <c r="I205" s="35"/>
      <c r="J205" s="35"/>
      <c r="K205" s="35"/>
      <c r="L205" s="35"/>
      <c r="M205" s="35"/>
      <c r="N205" s="35"/>
      <c r="O205" s="35"/>
      <c r="P205" s="35"/>
      <c r="Q205" s="35"/>
    </row>
    <row r="206" spans="1:17">
      <c r="A206" s="35"/>
      <c r="B206" s="623"/>
      <c r="C206" s="15"/>
      <c r="F206" s="35"/>
      <c r="G206" s="35"/>
      <c r="H206" s="35"/>
      <c r="I206" s="35"/>
      <c r="J206" s="35"/>
      <c r="K206" s="35"/>
      <c r="L206" s="35"/>
      <c r="M206" s="35"/>
      <c r="N206" s="35"/>
      <c r="O206" s="35"/>
      <c r="P206" s="35"/>
      <c r="Q206" s="35"/>
    </row>
    <row r="207" spans="1:17">
      <c r="A207" s="35"/>
      <c r="B207" s="623"/>
      <c r="C207" s="15"/>
      <c r="F207" s="35"/>
      <c r="G207" s="35"/>
      <c r="H207" s="35"/>
      <c r="I207" s="35"/>
      <c r="J207" s="35"/>
      <c r="K207" s="35"/>
      <c r="L207" s="35"/>
      <c r="M207" s="35"/>
      <c r="N207" s="35"/>
      <c r="O207" s="35"/>
      <c r="P207" s="35"/>
      <c r="Q207" s="35"/>
    </row>
    <row r="208" spans="1:17">
      <c r="A208" s="35"/>
      <c r="B208" s="623"/>
      <c r="C208" s="15"/>
      <c r="F208" s="35"/>
      <c r="G208" s="35"/>
      <c r="H208" s="35"/>
      <c r="I208" s="35"/>
      <c r="J208" s="35"/>
      <c r="K208" s="35"/>
      <c r="L208" s="35"/>
      <c r="M208" s="35"/>
      <c r="N208" s="35"/>
      <c r="O208" s="35"/>
      <c r="P208" s="35"/>
      <c r="Q208" s="35"/>
    </row>
    <row r="209" spans="1:17">
      <c r="A209" s="35"/>
      <c r="B209" s="623"/>
      <c r="C209" s="15"/>
      <c r="F209" s="35"/>
      <c r="G209" s="35"/>
      <c r="H209" s="35"/>
      <c r="I209" s="35"/>
      <c r="J209" s="35"/>
      <c r="K209" s="35"/>
      <c r="L209" s="35"/>
      <c r="M209" s="35"/>
      <c r="N209" s="35"/>
      <c r="O209" s="35"/>
      <c r="P209" s="35"/>
      <c r="Q209" s="35"/>
    </row>
    <row r="210" spans="1:17">
      <c r="A210" s="35"/>
      <c r="B210" s="623"/>
      <c r="C210" s="15"/>
      <c r="F210" s="35"/>
      <c r="G210" s="35"/>
      <c r="H210" s="35"/>
      <c r="I210" s="35"/>
      <c r="J210" s="35"/>
      <c r="K210" s="35"/>
      <c r="L210" s="35"/>
      <c r="M210" s="35"/>
      <c r="N210" s="35"/>
      <c r="O210" s="35"/>
      <c r="P210" s="35"/>
      <c r="Q210" s="35"/>
    </row>
    <row r="211" spans="1:17">
      <c r="A211" s="35"/>
      <c r="B211" s="623"/>
      <c r="C211" s="15"/>
      <c r="F211" s="35"/>
      <c r="G211" s="35"/>
      <c r="H211" s="35"/>
      <c r="I211" s="35"/>
      <c r="J211" s="35"/>
      <c r="K211" s="35"/>
      <c r="L211" s="35"/>
      <c r="M211" s="35"/>
      <c r="N211" s="35"/>
      <c r="O211" s="35"/>
      <c r="P211" s="35"/>
      <c r="Q211" s="35"/>
    </row>
    <row r="212" spans="1:17">
      <c r="A212" s="35"/>
      <c r="B212" s="623"/>
      <c r="C212" s="15"/>
      <c r="F212" s="35"/>
      <c r="G212" s="35"/>
      <c r="H212" s="35"/>
      <c r="I212" s="35"/>
      <c r="J212" s="35"/>
      <c r="K212" s="35"/>
      <c r="L212" s="35"/>
      <c r="M212" s="35"/>
      <c r="N212" s="35"/>
      <c r="O212" s="35"/>
      <c r="P212" s="35"/>
      <c r="Q212" s="35"/>
    </row>
    <row r="213" spans="1:17">
      <c r="A213" s="35"/>
      <c r="B213" s="623"/>
      <c r="C213" s="15"/>
      <c r="F213" s="35"/>
      <c r="G213" s="35"/>
      <c r="H213" s="35"/>
      <c r="I213" s="35"/>
      <c r="J213" s="35"/>
      <c r="K213" s="35"/>
      <c r="L213" s="35"/>
      <c r="M213" s="35"/>
      <c r="N213" s="35"/>
      <c r="O213" s="35"/>
      <c r="P213" s="35"/>
      <c r="Q213" s="35"/>
    </row>
    <row r="214" spans="1:17">
      <c r="A214" s="35"/>
      <c r="B214" s="623"/>
      <c r="C214" s="15"/>
      <c r="F214" s="35"/>
      <c r="G214" s="35"/>
      <c r="H214" s="35"/>
      <c r="I214" s="35"/>
      <c r="J214" s="35"/>
      <c r="K214" s="35"/>
      <c r="L214" s="35"/>
      <c r="M214" s="35"/>
      <c r="N214" s="35"/>
      <c r="O214" s="35"/>
      <c r="P214" s="35"/>
      <c r="Q214" s="35"/>
    </row>
    <row r="215" spans="1:17">
      <c r="A215" s="35"/>
      <c r="B215" s="623"/>
      <c r="C215" s="15"/>
      <c r="F215" s="35"/>
      <c r="G215" s="35"/>
      <c r="H215" s="35"/>
      <c r="I215" s="35"/>
      <c r="J215" s="35"/>
      <c r="K215" s="35"/>
      <c r="L215" s="35"/>
      <c r="M215" s="35"/>
      <c r="N215" s="35"/>
      <c r="O215" s="35"/>
      <c r="P215" s="35"/>
      <c r="Q215" s="35"/>
    </row>
    <row r="216" spans="1:17">
      <c r="A216" s="35"/>
      <c r="B216" s="623"/>
      <c r="C216" s="15"/>
      <c r="F216" s="35"/>
      <c r="G216" s="35"/>
      <c r="H216" s="35"/>
      <c r="I216" s="35"/>
      <c r="J216" s="35"/>
      <c r="K216" s="35"/>
      <c r="L216" s="35"/>
      <c r="M216" s="35"/>
      <c r="N216" s="35"/>
      <c r="O216" s="35"/>
      <c r="P216" s="35"/>
      <c r="Q216" s="35"/>
    </row>
    <row r="217" spans="1:17">
      <c r="A217" s="35"/>
      <c r="B217" s="623"/>
      <c r="C217" s="15"/>
      <c r="F217" s="35"/>
      <c r="G217" s="35"/>
      <c r="H217" s="35"/>
      <c r="I217" s="35"/>
      <c r="J217" s="35"/>
      <c r="K217" s="35"/>
      <c r="L217" s="35"/>
      <c r="M217" s="35"/>
      <c r="N217" s="35"/>
      <c r="O217" s="35"/>
      <c r="P217" s="35"/>
      <c r="Q217" s="35"/>
    </row>
    <row r="218" spans="1:17">
      <c r="A218" s="35"/>
      <c r="B218" s="623"/>
      <c r="C218" s="15"/>
      <c r="F218" s="35"/>
      <c r="G218" s="35"/>
      <c r="H218" s="35"/>
      <c r="I218" s="35"/>
      <c r="J218" s="35"/>
      <c r="K218" s="35"/>
      <c r="L218" s="35"/>
      <c r="M218" s="35"/>
      <c r="N218" s="35"/>
      <c r="O218" s="35"/>
      <c r="P218" s="35"/>
      <c r="Q218" s="35"/>
    </row>
  </sheetData>
  <sheetProtection sheet="1" objects="1" scenarios="1"/>
  <dataConsolidate link="1"/>
  <mergeCells count="47">
    <mergeCell ref="C74:E74"/>
    <mergeCell ref="B75:C75"/>
    <mergeCell ref="C56:D56"/>
    <mergeCell ref="C57:D57"/>
    <mergeCell ref="C62:E62"/>
    <mergeCell ref="C63:E63"/>
    <mergeCell ref="C64:E64"/>
    <mergeCell ref="C68:E68"/>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D26:E26"/>
    <mergeCell ref="C36:E36"/>
    <mergeCell ref="C37:E37"/>
    <mergeCell ref="C38:E38"/>
    <mergeCell ref="C39:E39"/>
    <mergeCell ref="E4:I4"/>
    <mergeCell ref="J4:L4"/>
    <mergeCell ref="C19:F19"/>
    <mergeCell ref="D25:E25"/>
    <mergeCell ref="E22:G22"/>
    <mergeCell ref="F23:G23"/>
    <mergeCell ref="H6:I6"/>
    <mergeCell ref="K6:L6"/>
    <mergeCell ref="E10:F10"/>
    <mergeCell ref="C14:F14"/>
    <mergeCell ref="C15:F15"/>
    <mergeCell ref="C16:F16"/>
    <mergeCell ref="C17:F17"/>
    <mergeCell ref="N6:O6"/>
    <mergeCell ref="N1:O1"/>
    <mergeCell ref="K2:P2"/>
    <mergeCell ref="J3:L3"/>
    <mergeCell ref="N3:O4"/>
    <mergeCell ref="K1:L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'SDK5'!$AF$214:$AF$313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O218"/>
  <sheetViews>
    <sheetView showZeros="0" workbookViewId="0"/>
  </sheetViews>
  <sheetFormatPr baseColWidth="10" defaultColWidth="10.5" defaultRowHeight="12.75"/>
  <cols>
    <col min="1" max="1" width="1.5" style="3130" customWidth="1"/>
    <col min="2" max="2" width="3.25" style="3130" customWidth="1"/>
    <col min="3" max="3" width="13.25" style="3130" customWidth="1"/>
    <col min="4" max="5" width="9.25" style="3130" customWidth="1"/>
    <col min="6" max="6" width="9.625" style="3130" customWidth="1"/>
    <col min="7" max="7" width="9.25" style="3131" customWidth="1"/>
    <col min="8" max="8" width="8.125" style="3130" customWidth="1"/>
    <col min="9" max="10" width="7.25" style="3130" customWidth="1"/>
    <col min="11" max="11" width="8" style="3130" customWidth="1"/>
    <col min="12" max="13" width="7.25" style="3130" customWidth="1"/>
    <col min="14" max="14" width="8" style="3130" customWidth="1"/>
    <col min="15" max="16" width="7.25" style="3130" customWidth="1"/>
    <col min="17" max="17" width="19.75" style="3130" hidden="1" customWidth="1"/>
    <col min="18" max="18" width="12" style="3128" hidden="1" customWidth="1"/>
    <col min="19" max="21" width="0" style="3128" hidden="1" customWidth="1"/>
    <col min="22" max="22" width="12.875" style="3128" hidden="1" customWidth="1"/>
    <col min="23" max="29" width="0" style="3128" hidden="1" customWidth="1"/>
    <col min="30" max="16384" width="10.5" style="3128"/>
  </cols>
  <sheetData>
    <row r="1" spans="1:41" s="3126" customFormat="1" ht="30.4" customHeight="1">
      <c r="A1" s="3123"/>
      <c r="B1" s="326"/>
      <c r="C1" s="1908"/>
      <c r="D1" s="3124"/>
      <c r="E1" s="323"/>
      <c r="F1" s="323"/>
      <c r="G1" s="3125"/>
      <c r="H1" s="1902"/>
      <c r="I1" s="1907" t="s">
        <v>1264</v>
      </c>
      <c r="J1" s="1906">
        <f>(J7+J13+J18+J22+I11+I12)-(J23+J27+J34+J43+J60+J65+J67+J69+J71+J75)</f>
        <v>0</v>
      </c>
      <c r="K1" s="4859">
        <f>M1-J1</f>
        <v>0</v>
      </c>
      <c r="L1" s="4859"/>
      <c r="M1" s="1906">
        <f>(M7+M13+M18+M22+L11+L12)-(M23+M27+M34+M43+M60+M65+M67+M69+M71+M75)</f>
        <v>0</v>
      </c>
      <c r="N1" s="4859">
        <f>P1-M1</f>
        <v>0</v>
      </c>
      <c r="O1" s="4859"/>
      <c r="P1" s="1906">
        <f>(P7+P13+P18+P22+O11+O12)-(P23+P27+P34+P43+P60+P65+P67+P69+P71+P75)</f>
        <v>0</v>
      </c>
      <c r="Q1" s="3123"/>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3126" customFormat="1" ht="24.6" customHeight="1">
      <c r="A2" s="3123"/>
      <c r="B2" s="614" t="s">
        <v>1987</v>
      </c>
      <c r="H2" s="1902"/>
      <c r="K2" s="4898" t="s">
        <v>23</v>
      </c>
      <c r="L2" s="4898"/>
      <c r="M2" s="4898"/>
      <c r="N2" s="4898"/>
      <c r="O2" s="4898"/>
      <c r="P2" s="4898"/>
      <c r="Q2" s="3127">
        <v>0</v>
      </c>
    </row>
    <row r="3" spans="1:41" s="3126" customFormat="1" ht="21.75" customHeight="1">
      <c r="A3" s="3123"/>
      <c r="B3" s="1919"/>
      <c r="H3" s="1902"/>
      <c r="J3" s="4866" t="s">
        <v>1262</v>
      </c>
      <c r="K3" s="4897"/>
      <c r="L3" s="4897"/>
      <c r="M3" s="1901"/>
      <c r="N3" s="4871" t="str">
        <f>IF(AND(T3=TRUE,T4=TRUE),"nur 1 Strohnutzung möglich","")</f>
        <v/>
      </c>
      <c r="O3" s="4899"/>
      <c r="P3" s="1900"/>
      <c r="Q3" s="3123"/>
      <c r="T3" s="1918" t="b">
        <v>0</v>
      </c>
    </row>
    <row r="4" spans="1:41" s="3126" customFormat="1" ht="20.25" customHeight="1">
      <c r="A4" s="3123"/>
      <c r="B4" s="377" t="s">
        <v>1154</v>
      </c>
      <c r="C4" s="3128"/>
      <c r="D4" s="3128"/>
      <c r="E4" s="4830" t="s">
        <v>1268</v>
      </c>
      <c r="F4" s="4830"/>
      <c r="G4" s="4830"/>
      <c r="H4" s="4830"/>
      <c r="I4" s="4830"/>
      <c r="J4" s="4866" t="s">
        <v>1250</v>
      </c>
      <c r="K4" s="4897"/>
      <c r="L4" s="4897"/>
      <c r="M4" s="3129"/>
      <c r="N4" s="4899"/>
      <c r="O4" s="4899"/>
      <c r="P4" s="1896">
        <v>2019</v>
      </c>
      <c r="Q4" s="3123"/>
      <c r="T4" s="1918" t="b">
        <v>0</v>
      </c>
    </row>
    <row r="5" spans="1:41" ht="6" customHeight="1"/>
    <row r="6" spans="1:41" s="1885" customFormat="1" ht="24" customHeight="1">
      <c r="A6" s="48"/>
      <c r="B6" s="1890" t="s">
        <v>1207</v>
      </c>
      <c r="C6" s="1889"/>
      <c r="D6" s="1889"/>
      <c r="E6" s="1889"/>
      <c r="F6" s="1889"/>
      <c r="G6" s="1888"/>
      <c r="H6" s="4864" t="s">
        <v>179</v>
      </c>
      <c r="I6" s="4865"/>
      <c r="J6" s="3132"/>
      <c r="K6" s="4849" t="s">
        <v>152</v>
      </c>
      <c r="L6" s="4850"/>
      <c r="M6" s="3132"/>
      <c r="N6" s="4864" t="s">
        <v>178</v>
      </c>
      <c r="O6" s="4865"/>
      <c r="P6" s="3133"/>
      <c r="Q6" s="70"/>
    </row>
    <row r="7" spans="1:41" s="252" customFormat="1" ht="18.75" customHeight="1">
      <c r="A7" s="47"/>
      <c r="B7" s="311" t="s">
        <v>1258</v>
      </c>
      <c r="C7" s="47"/>
      <c r="D7" s="47"/>
      <c r="E7" s="47"/>
      <c r="F7" s="47"/>
      <c r="G7" s="1884"/>
      <c r="H7" s="1881"/>
      <c r="I7" s="1880"/>
      <c r="J7" s="3134">
        <f>SUM(I9:I10)</f>
        <v>0</v>
      </c>
      <c r="K7" s="1883"/>
      <c r="L7" s="1882"/>
      <c r="M7" s="3135">
        <f>SUM(L9:L10)</f>
        <v>0</v>
      </c>
      <c r="N7" s="1881"/>
      <c r="O7" s="1880"/>
      <c r="P7" s="3134">
        <f>SUM(O9:O10)</f>
        <v>0</v>
      </c>
      <c r="Q7" s="3130"/>
    </row>
    <row r="8" spans="1:41" s="252" customFormat="1" ht="13.15" customHeight="1">
      <c r="A8" s="47"/>
      <c r="B8" s="1799"/>
      <c r="C8" s="1879"/>
      <c r="D8" s="1879"/>
      <c r="E8" s="1879"/>
      <c r="F8" s="1879"/>
      <c r="G8" s="3136" t="s">
        <v>228</v>
      </c>
      <c r="H8" s="3137" t="s">
        <v>172</v>
      </c>
      <c r="I8" s="3138" t="s">
        <v>171</v>
      </c>
      <c r="J8" s="3139"/>
      <c r="K8" s="3140" t="s">
        <v>172</v>
      </c>
      <c r="L8" s="3141" t="s">
        <v>171</v>
      </c>
      <c r="M8" s="3142"/>
      <c r="N8" s="3137" t="s">
        <v>172</v>
      </c>
      <c r="O8" s="3138" t="s">
        <v>171</v>
      </c>
      <c r="P8" s="3139"/>
      <c r="Q8" s="3130"/>
    </row>
    <row r="9" spans="1:41" s="252" customFormat="1" ht="16.5" customHeight="1">
      <c r="A9" s="47"/>
      <c r="B9" s="311"/>
      <c r="C9" s="45" t="s">
        <v>1988</v>
      </c>
      <c r="D9" s="47"/>
      <c r="E9" s="47"/>
      <c r="F9" s="1878"/>
      <c r="G9" s="3143"/>
      <c r="H9" s="1877">
        <f>J6-H10</f>
        <v>0</v>
      </c>
      <c r="I9" s="3144">
        <f>H9*G9</f>
        <v>0</v>
      </c>
      <c r="J9" s="43"/>
      <c r="K9" s="1876">
        <f>M6-K10</f>
        <v>0</v>
      </c>
      <c r="L9" s="3145">
        <f>K9*G9</f>
        <v>0</v>
      </c>
      <c r="M9" s="1854"/>
      <c r="N9" s="1874">
        <f>P6-N10</f>
        <v>0</v>
      </c>
      <c r="O9" s="3144">
        <f>N9*G9</f>
        <v>0</v>
      </c>
      <c r="P9" s="43"/>
      <c r="Q9" s="3130"/>
      <c r="R9" s="935"/>
      <c r="S9" s="265" t="s">
        <v>1265</v>
      </c>
      <c r="T9" s="1872"/>
    </row>
    <row r="10" spans="1:41" s="1842" customFormat="1" ht="15" customHeight="1">
      <c r="A10" s="377"/>
      <c r="B10" s="239"/>
      <c r="C10" s="281" t="s">
        <v>1989</v>
      </c>
      <c r="D10" s="1851"/>
      <c r="E10" s="4873"/>
      <c r="F10" s="4874"/>
      <c r="G10" s="1871"/>
      <c r="H10" s="3146"/>
      <c r="I10" s="3147">
        <f>H10*G10</f>
        <v>0</v>
      </c>
      <c r="J10" s="1870"/>
      <c r="K10" s="3148"/>
      <c r="L10" s="3149">
        <f>K10*G10</f>
        <v>0</v>
      </c>
      <c r="M10" s="1867"/>
      <c r="N10" s="3146"/>
      <c r="O10" s="3147">
        <f>N10*G10</f>
        <v>0</v>
      </c>
      <c r="P10" s="1864"/>
      <c r="Q10" s="3130"/>
      <c r="R10" s="1863">
        <f>I10+I11+I12</f>
        <v>0</v>
      </c>
      <c r="S10" s="1862">
        <f>L10+L11+L12</f>
        <v>0</v>
      </c>
      <c r="T10" s="1861">
        <f>O10+O11+O12</f>
        <v>0</v>
      </c>
      <c r="W10" s="252" t="s">
        <v>1254</v>
      </c>
    </row>
    <row r="11" spans="1:41" s="1842" customFormat="1" ht="15" customHeight="1">
      <c r="A11" s="377"/>
      <c r="B11" s="274"/>
      <c r="C11" s="45" t="s">
        <v>1253</v>
      </c>
      <c r="D11" s="377"/>
      <c r="E11" s="1860">
        <v>0.5</v>
      </c>
      <c r="F11" s="45" t="s">
        <v>1252</v>
      </c>
      <c r="G11" s="1859">
        <v>7.5</v>
      </c>
      <c r="H11" s="3150">
        <f>IF($T$3=FALSE,0,J6*$E$11)</f>
        <v>0</v>
      </c>
      <c r="I11" s="3151">
        <f>H11*$G$11</f>
        <v>0</v>
      </c>
      <c r="J11" s="1857"/>
      <c r="K11" s="3152">
        <f>IF($T$3=FALSE,0,M6*$E$11)</f>
        <v>0</v>
      </c>
      <c r="L11" s="3153">
        <f>K11*$G$11</f>
        <v>0</v>
      </c>
      <c r="M11" s="1854"/>
      <c r="N11" s="3154">
        <f>IF($T$3=FALSE,0,P6*$E$11)</f>
        <v>0</v>
      </c>
      <c r="O11" s="3151">
        <f>N11*$G$11</f>
        <v>0</v>
      </c>
      <c r="P11" s="43"/>
      <c r="Q11" s="3130"/>
      <c r="W11" s="1842" t="s">
        <v>1251</v>
      </c>
    </row>
    <row r="12" spans="1:41" s="1842" customFormat="1" ht="15" customHeight="1">
      <c r="A12" s="377"/>
      <c r="B12" s="239"/>
      <c r="C12" s="281" t="s">
        <v>1250</v>
      </c>
      <c r="D12" s="1851"/>
      <c r="E12" s="1850"/>
      <c r="F12" s="281" t="s">
        <v>1249</v>
      </c>
      <c r="G12" s="1849"/>
      <c r="H12" s="3155"/>
      <c r="I12" s="3156">
        <f>IF(T4=TRUE,L12*(J6/M6),0)</f>
        <v>0</v>
      </c>
      <c r="J12" s="1847"/>
      <c r="K12" s="3157"/>
      <c r="L12" s="3158"/>
      <c r="M12" s="1845">
        <f>IF(AND(L12&gt;0,T4=FALSE),"keine Angabe bei M4 ?",0)</f>
        <v>0</v>
      </c>
      <c r="N12" s="3157"/>
      <c r="O12" s="3156">
        <f>IF(T4=TRUE,L12*(P6/M6),0)</f>
        <v>0</v>
      </c>
      <c r="P12" s="43"/>
      <c r="Q12" s="3130"/>
    </row>
    <row r="13" spans="1:41" s="252" customFormat="1" ht="18.75" customHeight="1">
      <c r="A13" s="47"/>
      <c r="B13" s="266" t="s">
        <v>1248</v>
      </c>
      <c r="C13" s="47"/>
      <c r="D13" s="47"/>
      <c r="E13" s="47"/>
      <c r="F13" s="47"/>
      <c r="G13" s="1841"/>
      <c r="H13" s="3159"/>
      <c r="I13" s="3160"/>
      <c r="J13" s="3134">
        <f>SUM(I14:I17)</f>
        <v>0</v>
      </c>
      <c r="K13" s="3161"/>
      <c r="L13" s="3162"/>
      <c r="M13" s="3135">
        <f>SUM(L14:L17)</f>
        <v>0</v>
      </c>
      <c r="N13" s="3159"/>
      <c r="O13" s="3160"/>
      <c r="P13" s="3134">
        <f>SUM(O14:O17)</f>
        <v>0</v>
      </c>
      <c r="Q13" s="3130"/>
      <c r="R13" s="3124"/>
      <c r="W13" s="1840" t="s">
        <v>1247</v>
      </c>
      <c r="X13" s="1838" t="str">
        <f>IF(OR(T3=TRUE,T4=TRUE),J6*$E$11,"0")</f>
        <v>0</v>
      </c>
      <c r="Y13" s="1839" t="str">
        <f>IF(OR(T3=TRUE,T4=TRUE),M6*$E$11,"0")</f>
        <v>0</v>
      </c>
      <c r="Z13" s="1838" t="str">
        <f>IF(OR(T3=TRUE,T4=TRUE),P6*$E$11,"0")</f>
        <v>0</v>
      </c>
    </row>
    <row r="14" spans="1:41" s="42" customFormat="1" ht="15" customHeight="1">
      <c r="A14" s="45"/>
      <c r="B14" s="1821"/>
      <c r="C14" s="4833" t="s">
        <v>2108</v>
      </c>
      <c r="D14" s="4833"/>
      <c r="E14" s="4833"/>
      <c r="F14" s="4833"/>
      <c r="G14" s="1837"/>
      <c r="H14" s="3163" t="s">
        <v>1246</v>
      </c>
      <c r="I14" s="3965">
        <f>IF(H14="ja",Q14,0)</f>
        <v>0</v>
      </c>
      <c r="J14" s="45"/>
      <c r="K14" s="3163" t="s">
        <v>1246</v>
      </c>
      <c r="L14" s="1671">
        <f>IF(K14="ja",Q14,0)</f>
        <v>0</v>
      </c>
      <c r="M14" s="1589"/>
      <c r="N14" s="3163" t="s">
        <v>1246</v>
      </c>
      <c r="O14" s="1817">
        <f>IF(N14="ja",Q14,0)</f>
        <v>0</v>
      </c>
      <c r="P14" s="1586"/>
      <c r="Q14" s="1835">
        <f>IF(C14=0,0,VLOOKUP(C14,'SD2'!$C$11:$N$49,'SD2'!$N$1,FALSE))</f>
        <v>100</v>
      </c>
      <c r="R14" s="3124"/>
      <c r="S14" s="252"/>
      <c r="T14" s="252"/>
      <c r="W14" s="42" t="s">
        <v>246</v>
      </c>
      <c r="X14" s="1834">
        <f>$X$13*F30</f>
        <v>0</v>
      </c>
      <c r="Y14" s="1834">
        <f>$Y$13*F30</f>
        <v>0</v>
      </c>
      <c r="Z14" s="1834">
        <f>$Z$13*F30</f>
        <v>0</v>
      </c>
    </row>
    <row r="15" spans="1:41" s="42" customFormat="1" ht="15" customHeight="1">
      <c r="A15" s="45"/>
      <c r="B15" s="1821"/>
      <c r="C15" s="4833"/>
      <c r="D15" s="4833"/>
      <c r="E15" s="4833"/>
      <c r="F15" s="4833"/>
      <c r="G15" s="1837"/>
      <c r="H15" s="3163" t="s">
        <v>1246</v>
      </c>
      <c r="I15" s="1817">
        <f>IF(H15="ja",Q15,0)</f>
        <v>0</v>
      </c>
      <c r="J15" s="45"/>
      <c r="K15" s="3163" t="s">
        <v>1246</v>
      </c>
      <c r="L15" s="1671">
        <f>IF(K15="ja",Q15,0)</f>
        <v>0</v>
      </c>
      <c r="M15" s="1589"/>
      <c r="N15" s="3163" t="s">
        <v>1246</v>
      </c>
      <c r="O15" s="1817">
        <f>IF(N15="ja",Q15,0)</f>
        <v>0</v>
      </c>
      <c r="P15" s="1586"/>
      <c r="Q15" s="1835">
        <f>IF(C15=0,0,VLOOKUP(C15,'SD2'!$C$11:$N$49,'SD2'!$N$1,FALSE))</f>
        <v>0</v>
      </c>
      <c r="R15" s="3124"/>
      <c r="S15" s="252"/>
      <c r="T15" s="252"/>
      <c r="W15" s="42" t="s">
        <v>1054</v>
      </c>
      <c r="X15" s="1834">
        <f>$X$13*F31</f>
        <v>0</v>
      </c>
      <c r="Y15" s="1834">
        <f>$Y$13*F31</f>
        <v>0</v>
      </c>
      <c r="Z15" s="1834">
        <f>$Z$13*F31</f>
        <v>0</v>
      </c>
    </row>
    <row r="16" spans="1:41" s="42" customFormat="1" ht="15" customHeight="1">
      <c r="A16" s="45"/>
      <c r="B16" s="1821"/>
      <c r="C16" s="4833"/>
      <c r="D16" s="4833"/>
      <c r="E16" s="4833"/>
      <c r="F16" s="4833"/>
      <c r="G16" s="1837"/>
      <c r="H16" s="3163" t="s">
        <v>1246</v>
      </c>
      <c r="I16" s="1817">
        <f>IF(H16="ja",Q16,0)</f>
        <v>0</v>
      </c>
      <c r="J16" s="45"/>
      <c r="K16" s="3163" t="s">
        <v>1246</v>
      </c>
      <c r="L16" s="1671">
        <f>IF(K16="ja",Q16,0)</f>
        <v>0</v>
      </c>
      <c r="M16" s="1589"/>
      <c r="N16" s="3163" t="s">
        <v>1246</v>
      </c>
      <c r="O16" s="1817">
        <f>IF(N16="ja",Q16,0)</f>
        <v>0</v>
      </c>
      <c r="P16" s="1586"/>
      <c r="Q16" s="1835">
        <f>IF(C16=0,0,VLOOKUP(C16,'SD2'!$C$11:$N$49,'SD2'!$N$1,FALSE))</f>
        <v>0</v>
      </c>
      <c r="R16" s="3124"/>
      <c r="S16" s="252"/>
      <c r="T16" s="252"/>
      <c r="W16" s="42" t="s">
        <v>1053</v>
      </c>
      <c r="X16" s="1834">
        <f>$X$13*F32</f>
        <v>0</v>
      </c>
      <c r="Y16" s="1834">
        <f>$Y$13*F32</f>
        <v>0</v>
      </c>
      <c r="Z16" s="1834">
        <f>$Z$13*F32</f>
        <v>0</v>
      </c>
    </row>
    <row r="17" spans="1:26" s="42" customFormat="1" ht="15" customHeight="1">
      <c r="A17" s="45"/>
      <c r="B17" s="1821"/>
      <c r="C17" s="4833"/>
      <c r="D17" s="4833"/>
      <c r="E17" s="4833"/>
      <c r="F17" s="4833"/>
      <c r="G17" s="1837"/>
      <c r="H17" s="3163" t="s">
        <v>1246</v>
      </c>
      <c r="I17" s="1817">
        <f>IF(H17="ja",Q17,0)</f>
        <v>0</v>
      </c>
      <c r="J17" s="45"/>
      <c r="K17" s="3163" t="s">
        <v>1246</v>
      </c>
      <c r="L17" s="1671">
        <f>IF(K17="ja",Q17,0)</f>
        <v>0</v>
      </c>
      <c r="M17" s="1589"/>
      <c r="N17" s="3163" t="s">
        <v>1246</v>
      </c>
      <c r="O17" s="1817">
        <f>IF(N17="ja",Q17,0)</f>
        <v>0</v>
      </c>
      <c r="P17" s="1586"/>
      <c r="Q17" s="1835">
        <f>IF(C17=0,0,VLOOKUP(C17,'SD2'!$C$11:$N$49,'SD2'!$N$1,FALSE))</f>
        <v>0</v>
      </c>
      <c r="R17" s="3124"/>
      <c r="S17" s="252"/>
      <c r="T17" s="252"/>
      <c r="W17" s="42" t="s">
        <v>240</v>
      </c>
      <c r="X17" s="1834">
        <f>$X$13*F33</f>
        <v>0</v>
      </c>
      <c r="Y17" s="1834">
        <f>$Y$13*F33</f>
        <v>0</v>
      </c>
      <c r="Z17" s="1834">
        <f>$Z$13*F33</f>
        <v>0</v>
      </c>
    </row>
    <row r="18" spans="1:26" s="3109" customFormat="1" ht="18.75" customHeight="1">
      <c r="A18" s="47"/>
      <c r="B18" s="3912" t="s">
        <v>2177</v>
      </c>
      <c r="C18" s="47"/>
      <c r="D18" s="47"/>
      <c r="E18" s="47"/>
      <c r="F18" s="47"/>
      <c r="G18" s="44"/>
      <c r="H18" s="3164"/>
      <c r="I18" s="3160"/>
      <c r="J18" s="3134">
        <f>SUM(I19:I21)</f>
        <v>0</v>
      </c>
      <c r="K18" s="3165"/>
      <c r="L18" s="3162"/>
      <c r="M18" s="3135">
        <f>SUM(L19:L21)</f>
        <v>0</v>
      </c>
      <c r="N18" s="3164"/>
      <c r="O18" s="3160"/>
      <c r="P18" s="3134">
        <f>SUM(O19:O21)</f>
        <v>0</v>
      </c>
      <c r="Q18" s="3130"/>
      <c r="R18" s="715" t="s">
        <v>1245</v>
      </c>
      <c r="S18" s="376"/>
      <c r="T18" s="1822"/>
    </row>
    <row r="19" spans="1:26" s="42" customFormat="1" ht="15.6" customHeight="1">
      <c r="A19" s="45"/>
      <c r="B19" s="1821"/>
      <c r="C19" s="4833" t="s">
        <v>2172</v>
      </c>
      <c r="D19" s="4833"/>
      <c r="E19" s="4833"/>
      <c r="F19" s="4833"/>
      <c r="G19" s="1820"/>
      <c r="H19" s="3166"/>
      <c r="I19" s="3965">
        <f>IF(OR($C19=0,$J$6=0),0,VLOOKUP($C19,'SD2'!C59:N75,12,FALSE))</f>
        <v>0</v>
      </c>
      <c r="J19" s="45"/>
      <c r="K19" s="3167"/>
      <c r="L19" s="3955">
        <f>IF(OR($C19=0,$M$6=0),0,VLOOKUP($C19,'SD2'!$C$59:$N$75,12,FALSE))</f>
        <v>0</v>
      </c>
      <c r="M19" s="1589"/>
      <c r="N19" s="3166"/>
      <c r="O19" s="3965">
        <f>IF(OR($C19=0,$P$6=0),0,VLOOKUP($C19,'SD2'!C59:N75,12,FALSE))</f>
        <v>0</v>
      </c>
      <c r="P19" s="1586"/>
      <c r="Q19" s="3130"/>
      <c r="R19" s="1816">
        <f>J13+J18</f>
        <v>0</v>
      </c>
      <c r="S19" s="1815">
        <f>M13+M18</f>
        <v>0</v>
      </c>
      <c r="T19" s="1814">
        <f>P13+P18</f>
        <v>0</v>
      </c>
    </row>
    <row r="20" spans="1:26" s="42" customFormat="1" ht="15.6" customHeight="1">
      <c r="A20" s="3908"/>
      <c r="B20" s="1821"/>
      <c r="C20" s="4833" t="s">
        <v>2182</v>
      </c>
      <c r="D20" s="4833"/>
      <c r="E20" s="4833"/>
      <c r="F20" s="4833"/>
      <c r="G20" s="1820"/>
      <c r="H20" s="3166"/>
      <c r="I20" s="3965">
        <f>IF(OR($C20=0,$J$6=0),0,VLOOKUP($C20,'SD2'!C60:N76,12,FALSE))</f>
        <v>0</v>
      </c>
      <c r="J20" s="3908"/>
      <c r="K20" s="3167"/>
      <c r="L20" s="3955">
        <f>IF(OR($C20=0,$M$6=0),0,VLOOKUP($C20,'SD2'!$C$59:$N$75,12,FALSE))</f>
        <v>0</v>
      </c>
      <c r="M20" s="3920"/>
      <c r="N20" s="3166"/>
      <c r="O20" s="3965">
        <f>IF(OR($C20=0,$P$6=0),0,VLOOKUP($C20,'SD2'!C60:N76,12,FALSE))</f>
        <v>0</v>
      </c>
      <c r="P20" s="1586"/>
      <c r="Q20" s="3130"/>
      <c r="R20" s="4043"/>
      <c r="S20" s="4043"/>
      <c r="T20" s="4043"/>
    </row>
    <row r="21" spans="1:26" s="42" customFormat="1" ht="15.6" customHeight="1">
      <c r="A21" s="3908"/>
      <c r="B21" s="1821"/>
      <c r="C21" s="4833" t="s">
        <v>2183</v>
      </c>
      <c r="D21" s="4833"/>
      <c r="E21" s="4833"/>
      <c r="F21" s="4833"/>
      <c r="G21" s="1820"/>
      <c r="H21" s="3166"/>
      <c r="I21" s="3965">
        <f>IF(OR($C21=0,$J$6=0),0,VLOOKUP($C21,'SD2'!C61:N77,12,FALSE))</f>
        <v>0</v>
      </c>
      <c r="J21" s="3908"/>
      <c r="K21" s="3167"/>
      <c r="L21" s="3955">
        <f>IF(OR($C21=0,$M$6=0),0,VLOOKUP($C21,'SD2'!$C$59:$N$75,12,FALSE))</f>
        <v>0</v>
      </c>
      <c r="M21" s="3920"/>
      <c r="N21" s="3166"/>
      <c r="O21" s="3965">
        <f>IF(OR($C21=0,$P$6=0),0,VLOOKUP($C21,'SD2'!C61:N77,12,FALSE))</f>
        <v>0</v>
      </c>
      <c r="P21" s="1586"/>
      <c r="Q21" s="3130"/>
      <c r="R21" s="4043"/>
      <c r="S21" s="4043"/>
      <c r="T21" s="4043"/>
    </row>
    <row r="22" spans="1:26" ht="15.6" customHeight="1">
      <c r="A22" s="377"/>
      <c r="B22" s="311" t="s">
        <v>1244</v>
      </c>
      <c r="C22" s="45"/>
      <c r="D22" s="1807"/>
      <c r="E22" s="4868" t="s">
        <v>1243</v>
      </c>
      <c r="F22" s="4868"/>
      <c r="G22" s="4869"/>
      <c r="H22" s="3168"/>
      <c r="I22" s="3169"/>
      <c r="J22" s="3170"/>
      <c r="K22" s="3171"/>
      <c r="L22" s="3172"/>
      <c r="M22" s="3170"/>
      <c r="N22" s="3168"/>
      <c r="O22" s="3169"/>
      <c r="P22" s="3170"/>
      <c r="R22" s="3130"/>
      <c r="S22" s="3130"/>
      <c r="T22" s="3130"/>
    </row>
    <row r="23" spans="1:26" ht="18.75" customHeight="1">
      <c r="A23" s="377"/>
      <c r="B23" s="266" t="s">
        <v>1242</v>
      </c>
      <c r="C23" s="1801"/>
      <c r="D23" s="1801"/>
      <c r="F23" s="4900" t="s">
        <v>1233</v>
      </c>
      <c r="G23" s="4901"/>
      <c r="H23" s="1616"/>
      <c r="I23" s="1615"/>
      <c r="J23" s="3139">
        <f>SUM(I25:I26)</f>
        <v>0</v>
      </c>
      <c r="K23" s="1619"/>
      <c r="L23" s="1618"/>
      <c r="M23" s="3142">
        <f>SUM(L25:L26)</f>
        <v>0</v>
      </c>
      <c r="N23" s="1616"/>
      <c r="O23" s="1615"/>
      <c r="P23" s="3139">
        <f>SUM(O25:O26)</f>
        <v>0</v>
      </c>
    </row>
    <row r="24" spans="1:26" ht="13.15" customHeight="1">
      <c r="A24" s="377"/>
      <c r="B24" s="1799"/>
      <c r="C24" s="1612" t="s">
        <v>1212</v>
      </c>
      <c r="D24" s="1683">
        <v>0</v>
      </c>
      <c r="E24" s="1798"/>
      <c r="F24" s="3136" t="s">
        <v>249</v>
      </c>
      <c r="G24" s="3173" t="s">
        <v>1211</v>
      </c>
      <c r="H24" s="3137" t="s">
        <v>1232</v>
      </c>
      <c r="I24" s="3138" t="s">
        <v>171</v>
      </c>
      <c r="K24" s="3140" t="s">
        <v>1232</v>
      </c>
      <c r="L24" s="3141" t="s">
        <v>171</v>
      </c>
      <c r="M24" s="3174"/>
      <c r="N24" s="3137" t="s">
        <v>1232</v>
      </c>
      <c r="O24" s="3138" t="s">
        <v>171</v>
      </c>
      <c r="P24" s="1758"/>
    </row>
    <row r="25" spans="1:26" s="42" customFormat="1" ht="15" customHeight="1">
      <c r="A25" s="1306"/>
      <c r="B25" s="1796"/>
      <c r="C25" s="1306" t="s">
        <v>1241</v>
      </c>
      <c r="D25" s="4902"/>
      <c r="E25" s="4903"/>
      <c r="F25" s="1795"/>
      <c r="G25" s="1794">
        <f>F25*(100+$D$24)/100</f>
        <v>0</v>
      </c>
      <c r="H25" s="3175"/>
      <c r="I25" s="1754">
        <f>H25*$G25</f>
        <v>0</v>
      </c>
      <c r="J25" s="45"/>
      <c r="K25" s="3175"/>
      <c r="L25" s="1596">
        <f>K25*$G25</f>
        <v>0</v>
      </c>
      <c r="M25" s="1589"/>
      <c r="N25" s="3175"/>
      <c r="O25" s="1754">
        <f>N25*$G25</f>
        <v>0</v>
      </c>
      <c r="P25" s="1718"/>
      <c r="Q25" s="3130"/>
    </row>
    <row r="26" spans="1:26" s="42" customFormat="1" ht="15" customHeight="1">
      <c r="A26" s="1306"/>
      <c r="B26" s="1332"/>
      <c r="C26" s="1792" t="s">
        <v>191</v>
      </c>
      <c r="D26" s="4904"/>
      <c r="E26" s="4905"/>
      <c r="F26" s="1791"/>
      <c r="G26" s="1790">
        <f>F26*(100+$D$24)/100</f>
        <v>0</v>
      </c>
      <c r="H26" s="1935"/>
      <c r="I26" s="1750">
        <f>H26*$G26</f>
        <v>0</v>
      </c>
      <c r="J26" s="45"/>
      <c r="K26" s="1935">
        <f>H26</f>
        <v>0</v>
      </c>
      <c r="L26" s="1590">
        <f>K26*$G26</f>
        <v>0</v>
      </c>
      <c r="M26" s="1589"/>
      <c r="N26" s="1935">
        <f>H26</f>
        <v>0</v>
      </c>
      <c r="O26" s="1750">
        <f>N26*$G26</f>
        <v>0</v>
      </c>
      <c r="P26" s="1749"/>
      <c r="Q26" s="3130"/>
    </row>
    <row r="27" spans="1:26" s="3109" customFormat="1" ht="18.75" customHeight="1">
      <c r="A27" s="1270"/>
      <c r="B27" s="1788" t="s">
        <v>1240</v>
      </c>
      <c r="C27" s="1270"/>
      <c r="D27" s="73"/>
      <c r="E27" s="3130"/>
      <c r="F27" s="3130"/>
      <c r="G27" s="1787"/>
      <c r="H27" s="1746"/>
      <c r="I27" s="1745"/>
      <c r="J27" s="3134">
        <f>SUM(I30:I33)</f>
        <v>0</v>
      </c>
      <c r="K27" s="1748"/>
      <c r="L27" s="1747"/>
      <c r="M27" s="3135">
        <f>SUM(L30:L33)</f>
        <v>0</v>
      </c>
      <c r="N27" s="1746"/>
      <c r="O27" s="1745"/>
      <c r="P27" s="3134">
        <f>SUM(O30:O33)</f>
        <v>0</v>
      </c>
      <c r="Q27" s="3130"/>
    </row>
    <row r="28" spans="1:26" s="3109" customFormat="1" ht="13.7" customHeight="1">
      <c r="A28" s="1270"/>
      <c r="B28" s="1334"/>
      <c r="C28" s="3111"/>
      <c r="D28" s="3176" t="s">
        <v>1075</v>
      </c>
      <c r="E28" s="3176" t="s">
        <v>1239</v>
      </c>
      <c r="F28" s="3176" t="s">
        <v>1239</v>
      </c>
      <c r="G28" s="3177" t="s">
        <v>1238</v>
      </c>
      <c r="H28" s="1745"/>
      <c r="I28" s="3178"/>
      <c r="J28" s="3112"/>
      <c r="K28" s="1748"/>
      <c r="L28" s="3179"/>
      <c r="M28" s="1783"/>
      <c r="N28" s="1746"/>
      <c r="O28" s="3178"/>
      <c r="P28" s="3139"/>
      <c r="Q28" s="3130"/>
    </row>
    <row r="29" spans="1:26" s="3109" customFormat="1" ht="15" customHeight="1">
      <c r="A29" s="1270"/>
      <c r="B29" s="1781"/>
      <c r="C29" s="3180" t="s">
        <v>1237</v>
      </c>
      <c r="D29" s="3181" t="s">
        <v>908</v>
      </c>
      <c r="E29" s="3181" t="s">
        <v>1236</v>
      </c>
      <c r="F29" s="3181" t="s">
        <v>1235</v>
      </c>
      <c r="G29" s="3181" t="s">
        <v>909</v>
      </c>
      <c r="H29" s="3137" t="s">
        <v>909</v>
      </c>
      <c r="I29" s="3138" t="s">
        <v>171</v>
      </c>
      <c r="J29" s="3111"/>
      <c r="K29" s="3140" t="s">
        <v>909</v>
      </c>
      <c r="L29" s="3141" t="s">
        <v>171</v>
      </c>
      <c r="M29" s="1779"/>
      <c r="N29" s="3137" t="s">
        <v>909</v>
      </c>
      <c r="O29" s="3138" t="s">
        <v>171</v>
      </c>
      <c r="P29" s="1777"/>
      <c r="Q29" s="3130"/>
    </row>
    <row r="30" spans="1:26" s="42" customFormat="1" ht="15" customHeight="1">
      <c r="A30" s="1306"/>
      <c r="B30" s="1776"/>
      <c r="C30" s="1775" t="s">
        <v>246</v>
      </c>
      <c r="D30" s="1723">
        <v>1</v>
      </c>
      <c r="E30" s="1774">
        <v>0</v>
      </c>
      <c r="F30" s="1774">
        <v>0</v>
      </c>
      <c r="G30" s="1773"/>
      <c r="H30" s="1771">
        <f>IF(J$6=0,0,(J$6*$E30+$G30+X14))</f>
        <v>0</v>
      </c>
      <c r="I30" s="1754">
        <f>H30*$D30</f>
        <v>0</v>
      </c>
      <c r="J30" s="45"/>
      <c r="K30" s="1772">
        <f>IF(M$6=0,0,(M$6*$E30+$G30+Y14))</f>
        <v>0</v>
      </c>
      <c r="L30" s="1596">
        <f>K30*$D30</f>
        <v>0</v>
      </c>
      <c r="M30" s="1589"/>
      <c r="N30" s="1771">
        <f>IF(P$6=0,0,(P$6*$E30+$G30+Z14))</f>
        <v>0</v>
      </c>
      <c r="O30" s="1754">
        <f>N30*$D30</f>
        <v>0</v>
      </c>
      <c r="P30" s="1718"/>
      <c r="Q30" s="3130"/>
    </row>
    <row r="31" spans="1:26" s="42" customFormat="1" ht="15" customHeight="1">
      <c r="A31" s="1306"/>
      <c r="B31" s="274"/>
      <c r="C31" s="1306" t="s">
        <v>244</v>
      </c>
      <c r="D31" s="1723">
        <v>0.8</v>
      </c>
      <c r="E31" s="1774">
        <v>0</v>
      </c>
      <c r="F31" s="1774">
        <v>0</v>
      </c>
      <c r="G31" s="1773"/>
      <c r="H31" s="1771">
        <f>IF(J$6=0,0,(J$6*$E31+$G31+X15))</f>
        <v>0</v>
      </c>
      <c r="I31" s="1754">
        <f>H31*$D31</f>
        <v>0</v>
      </c>
      <c r="J31" s="45"/>
      <c r="K31" s="1772">
        <f>IF(M$6=0,0,(M$6*$E31+$G31+Y15))</f>
        <v>0</v>
      </c>
      <c r="L31" s="1596">
        <f>K31*$D31</f>
        <v>0</v>
      </c>
      <c r="M31" s="1589"/>
      <c r="N31" s="1771">
        <f>IF(P$6=0,0,(P$6*$E31+$G31+Z15))</f>
        <v>0</v>
      </c>
      <c r="O31" s="1754">
        <f>N31*$D31</f>
        <v>0</v>
      </c>
      <c r="P31" s="1718"/>
      <c r="Q31" s="3130"/>
    </row>
    <row r="32" spans="1:26" s="42" customFormat="1" ht="15" customHeight="1">
      <c r="A32" s="1306"/>
      <c r="B32" s="274"/>
      <c r="C32" s="1306" t="s">
        <v>242</v>
      </c>
      <c r="D32" s="1723">
        <v>0.6</v>
      </c>
      <c r="E32" s="1774">
        <v>0</v>
      </c>
      <c r="F32" s="1774">
        <v>0</v>
      </c>
      <c r="G32" s="1773"/>
      <c r="H32" s="1771">
        <f>IF(J$6=0,0,(J$6*$E32+$G32+X16))</f>
        <v>0</v>
      </c>
      <c r="I32" s="1754">
        <f>H32*$D32</f>
        <v>0</v>
      </c>
      <c r="J32" s="45"/>
      <c r="K32" s="1772">
        <f>IF(M$6=0,0,(M$6*$E32+$G32+Y16))</f>
        <v>0</v>
      </c>
      <c r="L32" s="1596">
        <f>K32*$D32</f>
        <v>0</v>
      </c>
      <c r="M32" s="1589"/>
      <c r="N32" s="1771">
        <f>IF(P$6=0,0,(P$6*$E32+$G32+Z16))</f>
        <v>0</v>
      </c>
      <c r="O32" s="1754">
        <f>N32*$D32</f>
        <v>0</v>
      </c>
      <c r="P32" s="1718"/>
      <c r="Q32" s="3130"/>
    </row>
    <row r="33" spans="1:17" s="42" customFormat="1" ht="15" customHeight="1">
      <c r="A33" s="1306"/>
      <c r="B33" s="239"/>
      <c r="C33" s="1331" t="s">
        <v>240</v>
      </c>
      <c r="D33" s="1706">
        <v>0.5</v>
      </c>
      <c r="E33" s="1770">
        <v>0</v>
      </c>
      <c r="F33" s="1770">
        <v>0</v>
      </c>
      <c r="G33" s="1769"/>
      <c r="H33" s="1767">
        <f>IF(J$6=0,0,(J$6*$E33+$G33+X17))</f>
        <v>0</v>
      </c>
      <c r="I33" s="1750">
        <f>H33*$D33</f>
        <v>0</v>
      </c>
      <c r="J33" s="45"/>
      <c r="K33" s="1768">
        <f>IF(M$6=0,0,(M$6*$E33+$G33+Y17))</f>
        <v>0</v>
      </c>
      <c r="L33" s="1590">
        <f>K33*$D33</f>
        <v>0</v>
      </c>
      <c r="M33" s="1589"/>
      <c r="N33" s="1767">
        <f>IF(P$6=0,0,(P$6*$E33+$G33+Z17))</f>
        <v>0</v>
      </c>
      <c r="O33" s="1750">
        <f>N33*$D33</f>
        <v>0</v>
      </c>
      <c r="P33" s="1749"/>
      <c r="Q33" s="3130"/>
    </row>
    <row r="34" spans="1:17" s="3109" customFormat="1" ht="18.75" customHeight="1">
      <c r="A34" s="1270"/>
      <c r="B34" s="1276" t="s">
        <v>1234</v>
      </c>
      <c r="C34" s="1270"/>
      <c r="D34" s="3111"/>
      <c r="E34" s="3111"/>
      <c r="F34" s="4900" t="s">
        <v>1233</v>
      </c>
      <c r="G34" s="4901"/>
      <c r="H34" s="1764"/>
      <c r="I34" s="1763"/>
      <c r="J34" s="3134">
        <f>SUM(I36:I42)</f>
        <v>0</v>
      </c>
      <c r="K34" s="1766"/>
      <c r="L34" s="1765"/>
      <c r="M34" s="3135">
        <f>SUM(L36:L42)</f>
        <v>0</v>
      </c>
      <c r="N34" s="1764"/>
      <c r="O34" s="1763"/>
      <c r="P34" s="3134">
        <f>SUM(O36:O42)</f>
        <v>0</v>
      </c>
      <c r="Q34" s="3130"/>
    </row>
    <row r="35" spans="1:17" s="3109" customFormat="1" ht="13.15" customHeight="1">
      <c r="A35" s="1270"/>
      <c r="B35" s="1613"/>
      <c r="C35" s="1612" t="s">
        <v>1212</v>
      </c>
      <c r="D35" s="1683">
        <v>0</v>
      </c>
      <c r="E35" s="3182"/>
      <c r="F35" s="3136" t="s">
        <v>249</v>
      </c>
      <c r="G35" s="3173" t="s">
        <v>1211</v>
      </c>
      <c r="H35" s="3183" t="s">
        <v>1232</v>
      </c>
      <c r="I35" s="3138" t="s">
        <v>171</v>
      </c>
      <c r="J35" s="1762"/>
      <c r="K35" s="3184" t="s">
        <v>1232</v>
      </c>
      <c r="L35" s="3141" t="s">
        <v>171</v>
      </c>
      <c r="M35" s="1760"/>
      <c r="N35" s="3183" t="s">
        <v>1232</v>
      </c>
      <c r="O35" s="3138" t="s">
        <v>171</v>
      </c>
      <c r="P35" s="3139"/>
      <c r="Q35" s="3130"/>
    </row>
    <row r="36" spans="1:17" s="42" customFormat="1" ht="15" customHeight="1">
      <c r="A36" s="1306"/>
      <c r="B36" s="1594"/>
      <c r="C36" s="4857"/>
      <c r="D36" s="4857"/>
      <c r="E36" s="4858"/>
      <c r="F36" s="1756">
        <f>IF(C36="",0,VLOOKUP(C36,'SDK5'!C3:AF83,2,FALSE))</f>
        <v>0</v>
      </c>
      <c r="G36" s="1756">
        <f t="shared" ref="G36:G42" si="0">F36*(100+$D$35)/100</f>
        <v>0</v>
      </c>
      <c r="H36" s="3185"/>
      <c r="I36" s="1754">
        <f t="shared" ref="I36:I42" si="1">$G36*H36</f>
        <v>0</v>
      </c>
      <c r="J36" s="45"/>
      <c r="K36" s="3185"/>
      <c r="L36" s="1596">
        <f t="shared" ref="L36:L42" si="2">$G36*K36</f>
        <v>0</v>
      </c>
      <c r="M36" s="1589"/>
      <c r="N36" s="3185"/>
      <c r="O36" s="1754">
        <f t="shared" ref="O36:O42" si="3">$G36*N36</f>
        <v>0</v>
      </c>
      <c r="P36" s="1758"/>
      <c r="Q36" s="3130"/>
    </row>
    <row r="37" spans="1:17" s="42" customFormat="1" ht="15" customHeight="1">
      <c r="A37" s="1306"/>
      <c r="B37" s="1594"/>
      <c r="C37" s="4855"/>
      <c r="D37" s="4855"/>
      <c r="E37" s="4856"/>
      <c r="F37" s="1756">
        <f>IF(C37="",0,VLOOKUP(C37,'SDK5'!C4:AF84,2,FALSE))</f>
        <v>0</v>
      </c>
      <c r="G37" s="1756">
        <f t="shared" si="0"/>
        <v>0</v>
      </c>
      <c r="H37" s="3185"/>
      <c r="I37" s="1754">
        <f t="shared" si="1"/>
        <v>0</v>
      </c>
      <c r="J37" s="45"/>
      <c r="K37" s="3185"/>
      <c r="L37" s="1596">
        <f t="shared" si="2"/>
        <v>0</v>
      </c>
      <c r="M37" s="1589"/>
      <c r="N37" s="3185"/>
      <c r="O37" s="1754">
        <f t="shared" si="3"/>
        <v>0</v>
      </c>
      <c r="P37" s="1718"/>
      <c r="Q37" s="3130"/>
    </row>
    <row r="38" spans="1:17" s="42" customFormat="1" ht="15" customHeight="1">
      <c r="A38" s="1306"/>
      <c r="B38" s="1757"/>
      <c r="C38" s="4855"/>
      <c r="D38" s="4855"/>
      <c r="E38" s="4856"/>
      <c r="F38" s="1756">
        <f>IF(C38="",0,VLOOKUP(C38,'SDK5'!C5:AF85,2,FALSE))</f>
        <v>0</v>
      </c>
      <c r="G38" s="1756">
        <f t="shared" si="0"/>
        <v>0</v>
      </c>
      <c r="H38" s="3185"/>
      <c r="I38" s="1754">
        <f t="shared" si="1"/>
        <v>0</v>
      </c>
      <c r="J38" s="45"/>
      <c r="K38" s="3185"/>
      <c r="L38" s="1596">
        <f t="shared" si="2"/>
        <v>0</v>
      </c>
      <c r="M38" s="1589"/>
      <c r="N38" s="3185"/>
      <c r="O38" s="1754">
        <f t="shared" si="3"/>
        <v>0</v>
      </c>
      <c r="P38" s="1718"/>
      <c r="Q38" s="3130"/>
    </row>
    <row r="39" spans="1:17" s="42" customFormat="1" ht="15" customHeight="1">
      <c r="A39" s="1306"/>
      <c r="B39" s="1594"/>
      <c r="C39" s="4855"/>
      <c r="D39" s="4855"/>
      <c r="E39" s="4856"/>
      <c r="F39" s="1756">
        <f>IF(C39="",0,VLOOKUP(C39,'SDK5'!C6:AF86,2,FALSE))</f>
        <v>0</v>
      </c>
      <c r="G39" s="1756">
        <f t="shared" si="0"/>
        <v>0</v>
      </c>
      <c r="H39" s="3185"/>
      <c r="I39" s="1754">
        <f t="shared" si="1"/>
        <v>0</v>
      </c>
      <c r="J39" s="45"/>
      <c r="K39" s="3185"/>
      <c r="L39" s="1596">
        <f t="shared" si="2"/>
        <v>0</v>
      </c>
      <c r="M39" s="1589"/>
      <c r="N39" s="3185"/>
      <c r="O39" s="1754">
        <f t="shared" si="3"/>
        <v>0</v>
      </c>
      <c r="P39" s="1718"/>
      <c r="Q39" s="3130"/>
    </row>
    <row r="40" spans="1:17" s="42" customFormat="1" ht="15" customHeight="1">
      <c r="A40" s="1306"/>
      <c r="B40" s="1594"/>
      <c r="C40" s="4855"/>
      <c r="D40" s="4855"/>
      <c r="E40" s="4856"/>
      <c r="F40" s="1756">
        <f>IF(C40="",0,VLOOKUP(C40,'SDK5'!C7:AF87,2,FALSE))</f>
        <v>0</v>
      </c>
      <c r="G40" s="1756">
        <f t="shared" si="0"/>
        <v>0</v>
      </c>
      <c r="H40" s="3185"/>
      <c r="I40" s="1754">
        <f t="shared" si="1"/>
        <v>0</v>
      </c>
      <c r="J40" s="45"/>
      <c r="K40" s="3185"/>
      <c r="L40" s="1596">
        <f t="shared" si="2"/>
        <v>0</v>
      </c>
      <c r="M40" s="1589"/>
      <c r="N40" s="3185"/>
      <c r="O40" s="1754">
        <f t="shared" si="3"/>
        <v>0</v>
      </c>
      <c r="P40" s="1718"/>
      <c r="Q40" s="3130"/>
    </row>
    <row r="41" spans="1:17" s="42" customFormat="1" ht="15" customHeight="1">
      <c r="A41" s="1306"/>
      <c r="B41" s="1594"/>
      <c r="C41" s="4855"/>
      <c r="D41" s="4855"/>
      <c r="E41" s="4856"/>
      <c r="F41" s="1756">
        <f>IF(C41="",0,VLOOKUP(C41,'SDK5'!C8:AF88,2,FALSE))</f>
        <v>0</v>
      </c>
      <c r="G41" s="1756">
        <f t="shared" si="0"/>
        <v>0</v>
      </c>
      <c r="H41" s="3185"/>
      <c r="I41" s="1754">
        <f t="shared" si="1"/>
        <v>0</v>
      </c>
      <c r="J41" s="45"/>
      <c r="K41" s="3185"/>
      <c r="L41" s="1596">
        <f t="shared" si="2"/>
        <v>0</v>
      </c>
      <c r="M41" s="1589"/>
      <c r="N41" s="3185"/>
      <c r="O41" s="1754">
        <f t="shared" si="3"/>
        <v>0</v>
      </c>
      <c r="P41" s="1718"/>
      <c r="Q41" s="3130"/>
    </row>
    <row r="42" spans="1:17" s="42" customFormat="1" ht="15" customHeight="1">
      <c r="A42" s="1306"/>
      <c r="B42" s="1753"/>
      <c r="C42" s="4860"/>
      <c r="D42" s="4860"/>
      <c r="E42" s="4861"/>
      <c r="F42" s="1752">
        <f>IF(C42="",0,VLOOKUP(C42,'SDK5'!C9:AF89,2,FALSE))</f>
        <v>0</v>
      </c>
      <c r="G42" s="1752">
        <f t="shared" si="0"/>
        <v>0</v>
      </c>
      <c r="H42" s="3186"/>
      <c r="I42" s="1750">
        <f t="shared" si="1"/>
        <v>0</v>
      </c>
      <c r="J42" s="45"/>
      <c r="K42" s="3186"/>
      <c r="L42" s="1590">
        <f t="shared" si="2"/>
        <v>0</v>
      </c>
      <c r="M42" s="1589"/>
      <c r="N42" s="3186"/>
      <c r="O42" s="1750">
        <f t="shared" si="3"/>
        <v>0</v>
      </c>
      <c r="P42" s="1749"/>
      <c r="Q42" s="3130"/>
    </row>
    <row r="43" spans="1:17" s="3109" customFormat="1" ht="18.75" customHeight="1">
      <c r="A43" s="1270"/>
      <c r="B43" s="1276" t="s">
        <v>1231</v>
      </c>
      <c r="C43" s="1270"/>
      <c r="D43" s="1270"/>
      <c r="E43" s="1270"/>
      <c r="F43" s="1270"/>
      <c r="G43" s="1620"/>
      <c r="H43" s="1746"/>
      <c r="I43" s="1745"/>
      <c r="J43" s="3134">
        <f>SUM(J46:J57)</f>
        <v>0</v>
      </c>
      <c r="K43" s="1748"/>
      <c r="L43" s="1747"/>
      <c r="M43" s="3135">
        <f>SUM(M46:M57)</f>
        <v>0</v>
      </c>
      <c r="N43" s="1746"/>
      <c r="O43" s="1745"/>
      <c r="P43" s="3134">
        <f>SUM(P46:P57)</f>
        <v>0</v>
      </c>
      <c r="Q43" s="3130"/>
    </row>
    <row r="44" spans="1:17" s="42" customFormat="1" ht="15" customHeight="1">
      <c r="A44" s="1306"/>
      <c r="B44" s="1334"/>
      <c r="C44" s="1306" t="s">
        <v>1230</v>
      </c>
      <c r="D44" s="1306"/>
      <c r="E44" s="1744" t="s">
        <v>519</v>
      </c>
      <c r="F44" s="1743" t="s">
        <v>1229</v>
      </c>
      <c r="G44" s="1742"/>
      <c r="H44" s="374" t="s">
        <v>1228</v>
      </c>
      <c r="I44" s="1738" t="s">
        <v>1227</v>
      </c>
      <c r="J44" s="3187"/>
      <c r="K44" s="1741" t="s">
        <v>1228</v>
      </c>
      <c r="L44" s="1740" t="s">
        <v>1227</v>
      </c>
      <c r="M44" s="3188"/>
      <c r="N44" s="374" t="s">
        <v>1228</v>
      </c>
      <c r="O44" s="1738" t="s">
        <v>1227</v>
      </c>
      <c r="P44" s="3187"/>
      <c r="Q44" s="3130"/>
    </row>
    <row r="45" spans="1:17" s="42" customFormat="1" ht="15" customHeight="1">
      <c r="A45" s="1306"/>
      <c r="B45" s="3189"/>
      <c r="C45" s="3190"/>
      <c r="D45" s="1736"/>
      <c r="E45" s="3181" t="s">
        <v>1226</v>
      </c>
      <c r="F45" s="3181" t="s">
        <v>1225</v>
      </c>
      <c r="G45" s="3181" t="s">
        <v>612</v>
      </c>
      <c r="H45" s="1732" t="s">
        <v>1224</v>
      </c>
      <c r="I45" s="3136" t="s">
        <v>114</v>
      </c>
      <c r="J45" s="3191" t="s">
        <v>171</v>
      </c>
      <c r="K45" s="1735" t="s">
        <v>1224</v>
      </c>
      <c r="L45" s="3192" t="s">
        <v>114</v>
      </c>
      <c r="M45" s="3193" t="s">
        <v>171</v>
      </c>
      <c r="N45" s="1732" t="s">
        <v>1224</v>
      </c>
      <c r="O45" s="3136" t="s">
        <v>114</v>
      </c>
      <c r="P45" s="3191" t="s">
        <v>171</v>
      </c>
      <c r="Q45" s="3130"/>
    </row>
    <row r="46" spans="1:17" s="42" customFormat="1" ht="15" customHeight="1">
      <c r="A46" s="1306"/>
      <c r="B46" s="1730"/>
      <c r="C46" s="4862"/>
      <c r="D46" s="4863"/>
      <c r="E46" s="1725">
        <v>0</v>
      </c>
      <c r="F46" s="1724">
        <v>0</v>
      </c>
      <c r="G46" s="1723">
        <v>0</v>
      </c>
      <c r="H46" s="1728"/>
      <c r="I46" s="1727">
        <f t="shared" ref="I46:I56"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130">
        <f>$Q$2*H46</f>
        <v>0</v>
      </c>
    </row>
    <row r="47" spans="1:17" s="42" customFormat="1" ht="15" customHeight="1">
      <c r="A47" s="1306"/>
      <c r="B47" s="1726"/>
      <c r="C47" s="4835"/>
      <c r="D47" s="4836"/>
      <c r="E47" s="1725">
        <v>0</v>
      </c>
      <c r="F47" s="1724">
        <v>0</v>
      </c>
      <c r="G47" s="1723">
        <v>0</v>
      </c>
      <c r="H47" s="1720"/>
      <c r="I47" s="1719">
        <f t="shared" si="4"/>
        <v>0</v>
      </c>
      <c r="J47" s="1718">
        <f t="shared" si="5"/>
        <v>0</v>
      </c>
      <c r="K47" s="1720"/>
      <c r="L47" s="1722">
        <f t="shared" si="6"/>
        <v>0</v>
      </c>
      <c r="M47" s="1721">
        <f t="shared" si="7"/>
        <v>0</v>
      </c>
      <c r="N47" s="1720"/>
      <c r="O47" s="1719">
        <f t="shared" si="8"/>
        <v>0</v>
      </c>
      <c r="P47" s="1718">
        <f t="shared" si="9"/>
        <v>0</v>
      </c>
      <c r="Q47" s="3130"/>
    </row>
    <row r="48" spans="1:17" s="42" customFormat="1" ht="15" customHeight="1">
      <c r="A48" s="1306"/>
      <c r="B48" s="1726"/>
      <c r="C48" s="4835"/>
      <c r="D48" s="4836"/>
      <c r="E48" s="1725">
        <v>0</v>
      </c>
      <c r="F48" s="1724">
        <v>0</v>
      </c>
      <c r="G48" s="1723">
        <v>0</v>
      </c>
      <c r="H48" s="1720"/>
      <c r="I48" s="1719">
        <f t="shared" si="4"/>
        <v>0</v>
      </c>
      <c r="J48" s="1718">
        <f t="shared" si="5"/>
        <v>0</v>
      </c>
      <c r="K48" s="1720"/>
      <c r="L48" s="1722">
        <f t="shared" si="6"/>
        <v>0</v>
      </c>
      <c r="M48" s="1721">
        <f t="shared" si="7"/>
        <v>0</v>
      </c>
      <c r="N48" s="1720"/>
      <c r="O48" s="1719">
        <f t="shared" si="8"/>
        <v>0</v>
      </c>
      <c r="P48" s="1718">
        <f t="shared" si="9"/>
        <v>0</v>
      </c>
      <c r="Q48" s="3130"/>
    </row>
    <row r="49" spans="1:17" s="42" customFormat="1" ht="15" customHeight="1">
      <c r="A49" s="1306"/>
      <c r="B49" s="1726"/>
      <c r="C49" s="4835"/>
      <c r="D49" s="4836"/>
      <c r="E49" s="1725">
        <v>0</v>
      </c>
      <c r="F49" s="1724">
        <v>0</v>
      </c>
      <c r="G49" s="1723">
        <v>0</v>
      </c>
      <c r="H49" s="1720"/>
      <c r="I49" s="1719">
        <f t="shared" si="4"/>
        <v>0</v>
      </c>
      <c r="J49" s="1718">
        <f t="shared" si="5"/>
        <v>0</v>
      </c>
      <c r="K49" s="1720"/>
      <c r="L49" s="1722">
        <f t="shared" si="6"/>
        <v>0</v>
      </c>
      <c r="M49" s="1721">
        <f t="shared" si="7"/>
        <v>0</v>
      </c>
      <c r="N49" s="1720"/>
      <c r="O49" s="1719">
        <f t="shared" si="8"/>
        <v>0</v>
      </c>
      <c r="P49" s="1718">
        <f t="shared" si="9"/>
        <v>0</v>
      </c>
      <c r="Q49" s="3130"/>
    </row>
    <row r="50" spans="1:17" s="42" customFormat="1" ht="15" customHeight="1">
      <c r="A50" s="1306"/>
      <c r="B50" s="1726"/>
      <c r="C50" s="4835"/>
      <c r="D50" s="4836"/>
      <c r="E50" s="1725">
        <v>0</v>
      </c>
      <c r="F50" s="1724">
        <v>0</v>
      </c>
      <c r="G50" s="1723">
        <v>0</v>
      </c>
      <c r="H50" s="1720"/>
      <c r="I50" s="1719">
        <f t="shared" si="4"/>
        <v>0</v>
      </c>
      <c r="J50" s="1718">
        <f t="shared" si="5"/>
        <v>0</v>
      </c>
      <c r="K50" s="1720"/>
      <c r="L50" s="1722">
        <f t="shared" si="6"/>
        <v>0</v>
      </c>
      <c r="M50" s="1721">
        <f t="shared" si="7"/>
        <v>0</v>
      </c>
      <c r="N50" s="1720"/>
      <c r="O50" s="1719">
        <f t="shared" si="8"/>
        <v>0</v>
      </c>
      <c r="P50" s="1718">
        <f t="shared" si="9"/>
        <v>0</v>
      </c>
      <c r="Q50" s="3130"/>
    </row>
    <row r="51" spans="1:17" s="42" customFormat="1" ht="15" customHeight="1">
      <c r="A51" s="1306"/>
      <c r="B51" s="1726"/>
      <c r="C51" s="4835"/>
      <c r="D51" s="4836"/>
      <c r="E51" s="1725">
        <v>0</v>
      </c>
      <c r="F51" s="1724">
        <v>0</v>
      </c>
      <c r="G51" s="1723">
        <v>0</v>
      </c>
      <c r="H51" s="1720"/>
      <c r="I51" s="1719">
        <f t="shared" si="4"/>
        <v>0</v>
      </c>
      <c r="J51" s="1718">
        <f t="shared" si="5"/>
        <v>0</v>
      </c>
      <c r="K51" s="1720"/>
      <c r="L51" s="1722">
        <f t="shared" si="6"/>
        <v>0</v>
      </c>
      <c r="M51" s="1721">
        <f t="shared" si="7"/>
        <v>0</v>
      </c>
      <c r="N51" s="1720"/>
      <c r="O51" s="1719">
        <f t="shared" si="8"/>
        <v>0</v>
      </c>
      <c r="P51" s="1718">
        <f t="shared" si="9"/>
        <v>0</v>
      </c>
      <c r="Q51" s="3130"/>
    </row>
    <row r="52" spans="1:17" s="42" customFormat="1" ht="15" customHeight="1">
      <c r="A52" s="1306"/>
      <c r="B52" s="1726"/>
      <c r="C52" s="4835"/>
      <c r="D52" s="4836"/>
      <c r="E52" s="1725">
        <v>0</v>
      </c>
      <c r="F52" s="1724">
        <v>0</v>
      </c>
      <c r="G52" s="1723">
        <v>0</v>
      </c>
      <c r="H52" s="1720"/>
      <c r="I52" s="1719">
        <f t="shared" si="4"/>
        <v>0</v>
      </c>
      <c r="J52" s="1718">
        <f t="shared" si="5"/>
        <v>0</v>
      </c>
      <c r="K52" s="1720"/>
      <c r="L52" s="1722">
        <f t="shared" si="6"/>
        <v>0</v>
      </c>
      <c r="M52" s="1721">
        <f t="shared" si="7"/>
        <v>0</v>
      </c>
      <c r="N52" s="1720"/>
      <c r="O52" s="1719">
        <f t="shared" si="8"/>
        <v>0</v>
      </c>
      <c r="P52" s="1718">
        <f t="shared" si="9"/>
        <v>0</v>
      </c>
      <c r="Q52" s="3130"/>
    </row>
    <row r="53" spans="1:17" s="42" customFormat="1" ht="15" customHeight="1">
      <c r="A53" s="1306"/>
      <c r="B53" s="1726"/>
      <c r="C53" s="4835"/>
      <c r="D53" s="4836"/>
      <c r="E53" s="1725">
        <v>0</v>
      </c>
      <c r="F53" s="1724">
        <v>0</v>
      </c>
      <c r="G53" s="1723">
        <v>0</v>
      </c>
      <c r="H53" s="1720"/>
      <c r="I53" s="1719">
        <f t="shared" si="4"/>
        <v>0</v>
      </c>
      <c r="J53" s="1718">
        <f t="shared" si="5"/>
        <v>0</v>
      </c>
      <c r="K53" s="1720"/>
      <c r="L53" s="1722">
        <f t="shared" si="6"/>
        <v>0</v>
      </c>
      <c r="M53" s="1721">
        <f t="shared" si="7"/>
        <v>0</v>
      </c>
      <c r="N53" s="1720"/>
      <c r="O53" s="1719">
        <f t="shared" si="8"/>
        <v>0</v>
      </c>
      <c r="P53" s="1718">
        <f t="shared" si="9"/>
        <v>0</v>
      </c>
      <c r="Q53" s="3130"/>
    </row>
    <row r="54" spans="1:17" s="42" customFormat="1" ht="15" customHeight="1">
      <c r="A54" s="1306"/>
      <c r="B54" s="1726"/>
      <c r="C54" s="4835"/>
      <c r="D54" s="4836"/>
      <c r="E54" s="1725">
        <v>0</v>
      </c>
      <c r="F54" s="1724">
        <v>0</v>
      </c>
      <c r="G54" s="1723">
        <v>0</v>
      </c>
      <c r="H54" s="1720"/>
      <c r="I54" s="1719">
        <f t="shared" si="4"/>
        <v>0</v>
      </c>
      <c r="J54" s="1718">
        <f t="shared" si="5"/>
        <v>0</v>
      </c>
      <c r="K54" s="1720"/>
      <c r="L54" s="1722">
        <f t="shared" si="6"/>
        <v>0</v>
      </c>
      <c r="M54" s="1721">
        <f t="shared" si="7"/>
        <v>0</v>
      </c>
      <c r="N54" s="1720"/>
      <c r="O54" s="1719">
        <f t="shared" si="8"/>
        <v>0</v>
      </c>
      <c r="P54" s="1718">
        <f t="shared" si="9"/>
        <v>0</v>
      </c>
      <c r="Q54" s="3130"/>
    </row>
    <row r="55" spans="1:17" s="42" customFormat="1" ht="15" customHeight="1">
      <c r="A55" s="1306"/>
      <c r="B55" s="1726"/>
      <c r="C55" s="4835"/>
      <c r="D55" s="4836"/>
      <c r="E55" s="1725">
        <v>0</v>
      </c>
      <c r="F55" s="1724">
        <v>0</v>
      </c>
      <c r="G55" s="1723">
        <v>0</v>
      </c>
      <c r="H55" s="1720"/>
      <c r="I55" s="1719">
        <f t="shared" si="4"/>
        <v>0</v>
      </c>
      <c r="J55" s="1718">
        <f t="shared" si="5"/>
        <v>0</v>
      </c>
      <c r="K55" s="1720"/>
      <c r="L55" s="1722">
        <f t="shared" si="6"/>
        <v>0</v>
      </c>
      <c r="M55" s="1721">
        <f t="shared" si="7"/>
        <v>0</v>
      </c>
      <c r="N55" s="1720"/>
      <c r="O55" s="1719">
        <f t="shared" si="8"/>
        <v>0</v>
      </c>
      <c r="P55" s="1718">
        <f t="shared" si="9"/>
        <v>0</v>
      </c>
      <c r="Q55" s="3130"/>
    </row>
    <row r="56" spans="1:17" s="42" customFormat="1" ht="15" customHeight="1">
      <c r="A56" s="1306"/>
      <c r="B56" s="1917"/>
      <c r="C56" s="4840"/>
      <c r="D56" s="4841"/>
      <c r="E56" s="1916">
        <v>0</v>
      </c>
      <c r="F56" s="1915">
        <v>0</v>
      </c>
      <c r="G56" s="1914">
        <v>0</v>
      </c>
      <c r="H56" s="1911"/>
      <c r="I56" s="1910">
        <f t="shared" si="4"/>
        <v>0</v>
      </c>
      <c r="J56" s="1909">
        <f t="shared" si="5"/>
        <v>0</v>
      </c>
      <c r="K56" s="1911"/>
      <c r="L56" s="1913">
        <f t="shared" si="6"/>
        <v>0</v>
      </c>
      <c r="M56" s="1912">
        <f t="shared" si="7"/>
        <v>0</v>
      </c>
      <c r="N56" s="1911"/>
      <c r="O56" s="1910">
        <f t="shared" si="8"/>
        <v>0</v>
      </c>
      <c r="P56" s="1909">
        <f t="shared" si="9"/>
        <v>0</v>
      </c>
      <c r="Q56" s="3130"/>
    </row>
    <row r="57" spans="1:17" s="42" customFormat="1" ht="47.25" customHeight="1">
      <c r="A57" s="1306"/>
      <c r="B57" s="1657"/>
      <c r="C57" s="4887" t="s">
        <v>425</v>
      </c>
      <c r="D57" s="4888"/>
      <c r="E57" s="1708">
        <v>83</v>
      </c>
      <c r="F57" s="1707">
        <v>1</v>
      </c>
      <c r="G57" s="1706">
        <v>14.188926823529412</v>
      </c>
      <c r="H57" s="1704">
        <f>H11/50</f>
        <v>0</v>
      </c>
      <c r="I57" s="1703">
        <f>$F57*H57</f>
        <v>0</v>
      </c>
      <c r="J57" s="3194">
        <f t="shared" si="5"/>
        <v>0</v>
      </c>
      <c r="K57" s="1704">
        <f>K11/50</f>
        <v>0</v>
      </c>
      <c r="L57" s="1705">
        <f t="shared" si="6"/>
        <v>0</v>
      </c>
      <c r="M57" s="3195">
        <f t="shared" si="7"/>
        <v>0</v>
      </c>
      <c r="N57" s="1704">
        <f>N11/50</f>
        <v>0</v>
      </c>
      <c r="O57" s="1703">
        <f t="shared" si="8"/>
        <v>0</v>
      </c>
      <c r="P57" s="3194">
        <f t="shared" si="9"/>
        <v>0</v>
      </c>
      <c r="Q57" s="3130"/>
    </row>
    <row r="58" spans="1:17" s="65" customFormat="1" ht="18.75" customHeight="1">
      <c r="A58" s="1373"/>
      <c r="B58" s="1276" t="s">
        <v>1223</v>
      </c>
      <c r="C58" s="1373"/>
      <c r="D58" s="1373"/>
      <c r="E58" s="1373"/>
      <c r="F58" s="3130"/>
      <c r="G58" s="1620"/>
      <c r="H58" s="1697"/>
      <c r="I58" s="3196">
        <f>SUM($I$46:$I$57)</f>
        <v>0</v>
      </c>
      <c r="J58" s="3197"/>
      <c r="K58" s="1700"/>
      <c r="L58" s="3198">
        <f>SUM($L$46:$L$57)</f>
        <v>0</v>
      </c>
      <c r="M58" s="3199"/>
      <c r="N58" s="1697"/>
      <c r="O58" s="3196">
        <f>SUM($O$46:$O$57)</f>
        <v>0</v>
      </c>
      <c r="P58" s="3200"/>
      <c r="Q58" s="3130"/>
    </row>
    <row r="59" spans="1:17" s="65" customFormat="1" ht="15" customHeight="1">
      <c r="A59" s="1373"/>
      <c r="B59" s="1694"/>
      <c r="C59" s="3201"/>
      <c r="D59" s="280" t="s">
        <v>1222</v>
      </c>
      <c r="E59" s="1693">
        <v>80</v>
      </c>
      <c r="F59" s="3201" t="s">
        <v>1221</v>
      </c>
      <c r="G59" s="3202"/>
      <c r="H59" s="1688"/>
      <c r="I59" s="3203">
        <f>IF(I58+SUM($I$46:$I$57)*$E$59%&gt;I58+10,I58+10,I58+SUM($I$46:$I$57)*$E$59%)</f>
        <v>0</v>
      </c>
      <c r="J59" s="1686"/>
      <c r="K59" s="1691"/>
      <c r="L59" s="3204">
        <f>IF(L58+SUM($L$46:$L$57)*$E$59%&gt;L58+10,L58+10,L58+SUM($L$46:$L$57)*$E$59%)</f>
        <v>0</v>
      </c>
      <c r="M59" s="1689"/>
      <c r="N59" s="1688"/>
      <c r="O59" s="3203">
        <f>IF(O58+SUM($O$46:$O$57)*$E$59%&gt;O58+10,O58+10,O58+SUM($O$46:$O$57)*$E$59%)</f>
        <v>0</v>
      </c>
      <c r="P59" s="1686"/>
      <c r="Q59" s="3130"/>
    </row>
    <row r="60" spans="1:17" s="42" customFormat="1" ht="18.75" customHeight="1">
      <c r="A60" s="1306"/>
      <c r="B60" s="1276" t="s">
        <v>1220</v>
      </c>
      <c r="C60" s="1373"/>
      <c r="D60" s="1373"/>
      <c r="E60" s="45"/>
      <c r="F60" s="45"/>
      <c r="G60" s="1685"/>
      <c r="H60" s="1677"/>
      <c r="I60" s="1676"/>
      <c r="J60" s="3205">
        <f>IF(J6=0,0,SUM(I62:I64))</f>
        <v>0</v>
      </c>
      <c r="K60" s="1680"/>
      <c r="L60" s="1679"/>
      <c r="M60" s="3135">
        <f>IF(M6=0,0,SUM(L62:L64))</f>
        <v>0</v>
      </c>
      <c r="N60" s="1677"/>
      <c r="O60" s="1676"/>
      <c r="P60" s="3205">
        <f>IF(P6=0,0,SUM(O62:O64))</f>
        <v>0</v>
      </c>
      <c r="Q60" s="3130"/>
    </row>
    <row r="61" spans="1:17" s="42" customFormat="1" ht="13.15" customHeight="1">
      <c r="A61" s="1306"/>
      <c r="B61" s="1613"/>
      <c r="C61" s="1612" t="s">
        <v>1212</v>
      </c>
      <c r="D61" s="1683">
        <v>0</v>
      </c>
      <c r="E61" s="3182"/>
      <c r="F61" s="3136" t="s">
        <v>249</v>
      </c>
      <c r="G61" s="3173" t="s">
        <v>1211</v>
      </c>
      <c r="H61" s="1677"/>
      <c r="I61" s="1676"/>
      <c r="J61" s="3206"/>
      <c r="K61" s="1680"/>
      <c r="L61" s="1679"/>
      <c r="M61" s="3179"/>
      <c r="N61" s="1677"/>
      <c r="O61" s="1676"/>
      <c r="P61" s="3207"/>
      <c r="Q61" s="3130"/>
    </row>
    <row r="62" spans="1:17" s="42" customFormat="1" ht="15" customHeight="1">
      <c r="A62" s="1306"/>
      <c r="B62" s="1594"/>
      <c r="C62" s="4833"/>
      <c r="D62" s="4833"/>
      <c r="E62" s="4833"/>
      <c r="F62" s="1674">
        <v>0</v>
      </c>
      <c r="G62" s="1673">
        <f>(100+$D$61)/100*F62</f>
        <v>0</v>
      </c>
      <c r="H62" s="227"/>
      <c r="I62" s="1669">
        <f>$G$62</f>
        <v>0</v>
      </c>
      <c r="J62" s="227"/>
      <c r="K62" s="1672"/>
      <c r="L62" s="1671">
        <f>$G$62</f>
        <v>0</v>
      </c>
      <c r="M62" s="1589"/>
      <c r="N62" s="1670"/>
      <c r="O62" s="1669">
        <f>$G$62</f>
        <v>0</v>
      </c>
      <c r="P62" s="1668"/>
      <c r="Q62" s="3130"/>
    </row>
    <row r="63" spans="1:17" s="42" customFormat="1" ht="15" customHeight="1">
      <c r="A63" s="1306"/>
      <c r="B63" s="1667"/>
      <c r="C63" s="4843"/>
      <c r="D63" s="4843"/>
      <c r="E63" s="4844"/>
      <c r="F63" s="1666">
        <v>0</v>
      </c>
      <c r="G63" s="1665">
        <f>(100+$D$61)/100*F63</f>
        <v>0</v>
      </c>
      <c r="H63" s="1664"/>
      <c r="I63" s="1659">
        <f>$G$63</f>
        <v>0</v>
      </c>
      <c r="J63" s="1664"/>
      <c r="K63" s="1663"/>
      <c r="L63" s="1662">
        <f>$G$63</f>
        <v>0</v>
      </c>
      <c r="M63" s="1661"/>
      <c r="N63" s="1660"/>
      <c r="O63" s="1659">
        <f>$G$63</f>
        <v>0</v>
      </c>
      <c r="P63" s="1658"/>
      <c r="Q63" s="3130"/>
    </row>
    <row r="64" spans="1:17" s="42" customFormat="1" ht="15" customHeight="1">
      <c r="A64" s="1306"/>
      <c r="B64" s="1657"/>
      <c r="C64" s="4842"/>
      <c r="D64" s="4842"/>
      <c r="E64" s="4842"/>
      <c r="F64" s="1656">
        <v>0</v>
      </c>
      <c r="G64" s="1655">
        <f>(100+$D$61)/100*F64</f>
        <v>0</v>
      </c>
      <c r="H64" s="1651"/>
      <c r="I64" s="1650">
        <f>H11*$G$64</f>
        <v>0</v>
      </c>
      <c r="J64" s="227"/>
      <c r="K64" s="1654"/>
      <c r="L64" s="1653">
        <f>K11*$G$64</f>
        <v>0</v>
      </c>
      <c r="M64" s="3195"/>
      <c r="N64" s="1651"/>
      <c r="O64" s="1650">
        <f>N11*$G$64</f>
        <v>0</v>
      </c>
      <c r="P64" s="1649"/>
      <c r="Q64" s="3130"/>
    </row>
    <row r="65" spans="1:20" s="3109" customFormat="1" ht="18.75" customHeight="1">
      <c r="A65" s="1270"/>
      <c r="B65" s="1276" t="s">
        <v>1219</v>
      </c>
      <c r="C65" s="1270"/>
      <c r="D65" s="1270"/>
      <c r="E65" s="1270"/>
      <c r="F65" s="3130"/>
      <c r="G65" s="1620"/>
      <c r="H65" s="73"/>
      <c r="I65" s="73"/>
      <c r="J65" s="3134">
        <f>H66*$E66</f>
        <v>0</v>
      </c>
      <c r="K65" s="1629"/>
      <c r="L65" s="1629"/>
      <c r="M65" s="3135">
        <f>K66*$E66</f>
        <v>0</v>
      </c>
      <c r="N65" s="73"/>
      <c r="O65" s="73"/>
      <c r="P65" s="3134">
        <f>N66*$E66</f>
        <v>0</v>
      </c>
      <c r="Q65" s="3130"/>
    </row>
    <row r="66" spans="1:20" s="3109" customFormat="1" ht="15" customHeight="1">
      <c r="A66" s="1270"/>
      <c r="B66" s="1648"/>
      <c r="C66" s="1377"/>
      <c r="D66" s="280" t="s">
        <v>1060</v>
      </c>
      <c r="E66" s="1647"/>
      <c r="F66" s="1622"/>
      <c r="G66" s="1646" t="s">
        <v>516</v>
      </c>
      <c r="H66" s="1644"/>
      <c r="I66" s="1643"/>
      <c r="J66" s="1632"/>
      <c r="K66" s="1644"/>
      <c r="L66" s="1645"/>
      <c r="M66" s="1635"/>
      <c r="N66" s="1644"/>
      <c r="O66" s="1643"/>
      <c r="P66" s="1632"/>
      <c r="Q66" s="3130"/>
    </row>
    <row r="67" spans="1:20" s="3109" customFormat="1" ht="22.9" customHeight="1">
      <c r="A67" s="1270"/>
      <c r="B67" s="1276" t="s">
        <v>1218</v>
      </c>
      <c r="C67" s="1270"/>
      <c r="D67" s="1270"/>
      <c r="E67" s="229"/>
      <c r="F67" s="1642"/>
      <c r="G67" s="1620"/>
      <c r="H67" s="3208" t="s">
        <v>1217</v>
      </c>
      <c r="I67" s="1638" t="s">
        <v>1216</v>
      </c>
      <c r="J67" s="3209">
        <f>R68*(H9+H10)*I68%+F68</f>
        <v>0</v>
      </c>
      <c r="K67" s="3210" t="s">
        <v>1217</v>
      </c>
      <c r="L67" s="1640" t="s">
        <v>1216</v>
      </c>
      <c r="M67" s="3209">
        <f>S68*(K9+K10)*L68%+F68</f>
        <v>0</v>
      </c>
      <c r="N67" s="3208" t="s">
        <v>1217</v>
      </c>
      <c r="O67" s="1638" t="s">
        <v>1216</v>
      </c>
      <c r="P67" s="3209">
        <f>T68*(N9+N10)*O68%+F68</f>
        <v>0</v>
      </c>
      <c r="Q67" s="3130"/>
    </row>
    <row r="68" spans="1:20" s="3109" customFormat="1" ht="15" customHeight="1">
      <c r="A68" s="1270"/>
      <c r="B68" s="3211"/>
      <c r="C68" s="4839" t="s">
        <v>1215</v>
      </c>
      <c r="D68" s="4839"/>
      <c r="E68" s="4906"/>
      <c r="F68" s="1636"/>
      <c r="G68" s="1627" t="s">
        <v>171</v>
      </c>
      <c r="H68" s="1634"/>
      <c r="I68" s="1633"/>
      <c r="J68" s="1632"/>
      <c r="K68" s="1634"/>
      <c r="L68" s="1633"/>
      <c r="M68" s="1635"/>
      <c r="N68" s="1634"/>
      <c r="O68" s="1633"/>
      <c r="P68" s="1632"/>
      <c r="Q68" s="3130"/>
      <c r="R68" s="3212">
        <v>0</v>
      </c>
      <c r="S68" s="3213">
        <v>0</v>
      </c>
      <c r="T68" s="3212">
        <v>0</v>
      </c>
    </row>
    <row r="69" spans="1:20" s="3109" customFormat="1" ht="18.75" customHeight="1">
      <c r="A69" s="1270"/>
      <c r="B69" s="1276" t="s">
        <v>1214</v>
      </c>
      <c r="C69" s="1270"/>
      <c r="D69" s="1270"/>
      <c r="E69" s="3130"/>
      <c r="F69" s="3130"/>
      <c r="G69" s="1620"/>
      <c r="H69" s="44"/>
      <c r="I69" s="73"/>
      <c r="J69" s="3134">
        <f>H70*$F70/1000</f>
        <v>0</v>
      </c>
      <c r="K69" s="1630"/>
      <c r="L69" s="1629"/>
      <c r="M69" s="3135">
        <f>K70*$F70/1000</f>
        <v>0</v>
      </c>
      <c r="N69" s="44"/>
      <c r="O69" s="73"/>
      <c r="P69" s="3134">
        <f>N70*$F70/1000</f>
        <v>0</v>
      </c>
      <c r="Q69" s="3130"/>
    </row>
    <row r="70" spans="1:20" s="3109" customFormat="1" ht="15" customHeight="1">
      <c r="A70" s="1270"/>
      <c r="B70" s="1332"/>
      <c r="C70" s="1331" t="s">
        <v>896</v>
      </c>
      <c r="D70" s="3201"/>
      <c r="E70" s="280"/>
      <c r="F70" s="1962"/>
      <c r="G70" s="1627" t="s">
        <v>171</v>
      </c>
      <c r="H70" s="1623">
        <f>I9+I10</f>
        <v>0</v>
      </c>
      <c r="I70" s="1622"/>
      <c r="J70" s="3214"/>
      <c r="K70" s="1626">
        <f>L9+L10</f>
        <v>0</v>
      </c>
      <c r="L70" s="1625"/>
      <c r="M70" s="3215"/>
      <c r="N70" s="1623">
        <f>O9+O10</f>
        <v>0</v>
      </c>
      <c r="O70" s="1622"/>
      <c r="P70" s="3214"/>
      <c r="Q70" s="3130"/>
    </row>
    <row r="71" spans="1:20" ht="18.75" customHeight="1">
      <c r="A71" s="377"/>
      <c r="B71" s="311" t="s">
        <v>1213</v>
      </c>
      <c r="C71" s="377"/>
      <c r="D71" s="377"/>
      <c r="E71" s="229"/>
      <c r="G71" s="1620"/>
      <c r="H71" s="1616"/>
      <c r="I71" s="1615"/>
      <c r="J71" s="3134">
        <f>SUM(I73:I74)</f>
        <v>0</v>
      </c>
      <c r="K71" s="1619"/>
      <c r="L71" s="1618"/>
      <c r="M71" s="3135">
        <f>SUM(L73:L74)</f>
        <v>0</v>
      </c>
      <c r="N71" s="1616"/>
      <c r="O71" s="1615"/>
      <c r="P71" s="3134">
        <f>SUM(O73:O74)</f>
        <v>0</v>
      </c>
    </row>
    <row r="72" spans="1:20" ht="13.15" customHeight="1">
      <c r="A72" s="377"/>
      <c r="B72" s="1613"/>
      <c r="C72" s="1612" t="s">
        <v>1212</v>
      </c>
      <c r="D72" s="1611">
        <v>0</v>
      </c>
      <c r="E72" s="3182"/>
      <c r="F72" s="1609"/>
      <c r="G72" s="1608"/>
      <c r="H72" s="3181" t="s">
        <v>249</v>
      </c>
      <c r="I72" s="3136" t="s">
        <v>1211</v>
      </c>
      <c r="J72" s="3216"/>
      <c r="K72" s="3217" t="s">
        <v>249</v>
      </c>
      <c r="L72" s="3141" t="s">
        <v>1211</v>
      </c>
      <c r="M72" s="3218"/>
      <c r="N72" s="3219" t="s">
        <v>249</v>
      </c>
      <c r="O72" s="3138" t="s">
        <v>1211</v>
      </c>
      <c r="P72" s="313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130"/>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130"/>
    </row>
    <row r="75" spans="1:20" s="3109" customFormat="1" ht="30.4" customHeight="1">
      <c r="A75" s="1270"/>
      <c r="B75" s="4837" t="s">
        <v>1210</v>
      </c>
      <c r="C75" s="4838"/>
      <c r="D75" s="1585" t="s">
        <v>1209</v>
      </c>
      <c r="E75" s="3220">
        <v>1.4999999999999999E-2</v>
      </c>
      <c r="F75" s="1583" t="s">
        <v>1208</v>
      </c>
      <c r="G75" s="1582">
        <v>7</v>
      </c>
      <c r="H75" s="1580"/>
      <c r="I75" s="1581"/>
      <c r="J75" s="3221">
        <v>0</v>
      </c>
      <c r="K75" s="3110"/>
      <c r="L75" s="3222"/>
      <c r="M75" s="3221">
        <v>0</v>
      </c>
      <c r="N75" s="1580"/>
      <c r="O75" s="1579"/>
      <c r="P75" s="3221">
        <v>0</v>
      </c>
      <c r="Q75" s="3130"/>
    </row>
    <row r="78" spans="1:20">
      <c r="L78" s="3223"/>
    </row>
    <row r="79" spans="1:20">
      <c r="L79" s="3223"/>
    </row>
    <row r="80" spans="1:20">
      <c r="L80" s="3223"/>
    </row>
    <row r="81" spans="1:12">
      <c r="A81" s="3128"/>
      <c r="L81" s="3223"/>
    </row>
    <row r="82" spans="1:12">
      <c r="A82" s="3128"/>
      <c r="L82" s="3223"/>
    </row>
    <row r="83" spans="1:12">
      <c r="A83" s="3128"/>
      <c r="L83" s="3223"/>
    </row>
    <row r="84" spans="1:12">
      <c r="A84" s="3128"/>
      <c r="L84" s="3223"/>
    </row>
    <row r="85" spans="1:12">
      <c r="A85" s="3128"/>
      <c r="L85" s="3223"/>
    </row>
    <row r="86" spans="1:12">
      <c r="A86" s="3128"/>
      <c r="L86" s="3223"/>
    </row>
    <row r="87" spans="1:12">
      <c r="A87" s="3128"/>
      <c r="L87" s="3223"/>
    </row>
    <row r="88" spans="1:12">
      <c r="A88" s="3128"/>
      <c r="L88" s="3223"/>
    </row>
    <row r="89" spans="1:12">
      <c r="A89" s="3128"/>
      <c r="L89" s="3223"/>
    </row>
    <row r="90" spans="1:12">
      <c r="A90" s="3128"/>
      <c r="L90" s="3223"/>
    </row>
    <row r="91" spans="1:12">
      <c r="A91" s="3128"/>
      <c r="L91" s="3223"/>
    </row>
    <row r="92" spans="1:12">
      <c r="A92" s="3128"/>
      <c r="L92" s="3223"/>
    </row>
    <row r="93" spans="1:12">
      <c r="A93" s="3128"/>
      <c r="L93" s="3223"/>
    </row>
    <row r="94" spans="1:12">
      <c r="A94" s="3128"/>
      <c r="L94" s="3223"/>
    </row>
    <row r="95" spans="1:12">
      <c r="A95" s="3128"/>
      <c r="L95" s="3223"/>
    </row>
    <row r="96" spans="1:12">
      <c r="A96" s="3128"/>
      <c r="L96" s="3223"/>
    </row>
    <row r="97" spans="1:12">
      <c r="A97" s="3128"/>
      <c r="L97" s="3223"/>
    </row>
    <row r="98" spans="1:12">
      <c r="A98" s="3128"/>
      <c r="L98" s="3223"/>
    </row>
    <row r="99" spans="1:12">
      <c r="A99" s="3128"/>
      <c r="L99" s="3223"/>
    </row>
    <row r="100" spans="1:12">
      <c r="A100" s="3128"/>
      <c r="L100" s="3223"/>
    </row>
    <row r="101" spans="1:12">
      <c r="A101" s="3128"/>
      <c r="B101" s="3128"/>
      <c r="L101" s="3223"/>
    </row>
    <row r="102" spans="1:12">
      <c r="A102" s="3128"/>
      <c r="B102" s="3128"/>
      <c r="C102" s="3224"/>
      <c r="L102" s="3223"/>
    </row>
    <row r="103" spans="1:12">
      <c r="A103" s="3128"/>
      <c r="B103" s="3128"/>
      <c r="C103" s="3225" t="s">
        <v>1705</v>
      </c>
      <c r="L103" s="3223"/>
    </row>
    <row r="104" spans="1:12">
      <c r="A104" s="3128"/>
      <c r="B104" s="3128"/>
      <c r="C104" s="3225" t="s">
        <v>897</v>
      </c>
      <c r="L104" s="3223"/>
    </row>
    <row r="105" spans="1:12">
      <c r="A105" s="3128"/>
      <c r="B105" s="3128"/>
      <c r="C105" s="3225"/>
      <c r="L105" s="3223"/>
    </row>
    <row r="106" spans="1:12">
      <c r="A106" s="3128"/>
      <c r="B106" s="3128"/>
      <c r="C106" s="3225"/>
      <c r="L106" s="3223"/>
    </row>
    <row r="107" spans="1:12">
      <c r="A107" s="3128"/>
      <c r="B107" s="3128"/>
      <c r="C107" s="3226"/>
      <c r="L107" s="3223"/>
    </row>
    <row r="108" spans="1:12">
      <c r="A108" s="3128"/>
      <c r="B108" s="3128"/>
      <c r="L108" s="3223"/>
    </row>
    <row r="109" spans="1:12">
      <c r="A109" s="3128"/>
      <c r="B109" s="3128"/>
      <c r="L109" s="3223"/>
    </row>
    <row r="110" spans="1:12">
      <c r="A110" s="3128"/>
      <c r="B110" s="3128"/>
      <c r="L110" s="3223"/>
    </row>
    <row r="111" spans="1:12">
      <c r="A111" s="3128"/>
      <c r="B111" s="3128"/>
      <c r="L111" s="3223"/>
    </row>
    <row r="112" spans="1:12">
      <c r="A112" s="3128"/>
      <c r="B112" s="3128"/>
      <c r="L112" s="3223"/>
    </row>
    <row r="113" spans="1:12">
      <c r="A113" s="3128"/>
      <c r="L113" s="3223"/>
    </row>
    <row r="114" spans="1:12">
      <c r="A114" s="3128"/>
      <c r="L114" s="3223"/>
    </row>
    <row r="115" spans="1:12">
      <c r="A115" s="3128"/>
      <c r="L115" s="3223"/>
    </row>
    <row r="116" spans="1:12">
      <c r="A116" s="3128"/>
      <c r="L116" s="3223"/>
    </row>
    <row r="117" spans="1:12">
      <c r="A117" s="3128"/>
      <c r="L117" s="3223"/>
    </row>
    <row r="118" spans="1:12">
      <c r="A118" s="3128"/>
      <c r="L118" s="3223"/>
    </row>
    <row r="119" spans="1:12">
      <c r="A119" s="3128"/>
      <c r="L119" s="3223"/>
    </row>
    <row r="120" spans="1:12">
      <c r="A120" s="3128"/>
      <c r="B120" s="623">
        <v>1</v>
      </c>
      <c r="C120" s="3223" t="s">
        <v>1967</v>
      </c>
      <c r="E120" s="3130" t="s">
        <v>682</v>
      </c>
      <c r="L120" s="3223"/>
    </row>
    <row r="121" spans="1:12">
      <c r="A121" s="3128"/>
      <c r="B121" s="623">
        <v>2</v>
      </c>
      <c r="C121" s="3223" t="s">
        <v>730</v>
      </c>
      <c r="E121" s="3130" t="s">
        <v>657</v>
      </c>
      <c r="L121" s="3223"/>
    </row>
    <row r="122" spans="1:12">
      <c r="A122" s="3128"/>
      <c r="B122" s="623">
        <v>3</v>
      </c>
      <c r="C122" s="3223" t="s">
        <v>728</v>
      </c>
      <c r="E122" s="3130">
        <v>0</v>
      </c>
      <c r="L122" s="3223"/>
    </row>
    <row r="123" spans="1:12">
      <c r="A123" s="3128"/>
      <c r="B123" s="623">
        <v>4</v>
      </c>
      <c r="C123" s="3223" t="s">
        <v>726</v>
      </c>
      <c r="E123" s="3130">
        <v>0</v>
      </c>
      <c r="L123" s="3223"/>
    </row>
    <row r="124" spans="1:12">
      <c r="A124" s="3128"/>
      <c r="B124" s="623">
        <v>5</v>
      </c>
      <c r="C124" s="3223" t="s">
        <v>1968</v>
      </c>
      <c r="E124" s="3130">
        <v>0</v>
      </c>
      <c r="L124" s="3223"/>
    </row>
    <row r="125" spans="1:12">
      <c r="A125" s="3128"/>
      <c r="B125" s="623">
        <v>6</v>
      </c>
      <c r="C125" s="3223" t="s">
        <v>724</v>
      </c>
      <c r="E125" s="3130">
        <v>0</v>
      </c>
      <c r="L125" s="3223"/>
    </row>
    <row r="126" spans="1:12">
      <c r="A126" s="3128"/>
      <c r="B126" s="623">
        <v>7</v>
      </c>
      <c r="C126" s="3223" t="s">
        <v>722</v>
      </c>
      <c r="E126" s="3130">
        <v>0</v>
      </c>
      <c r="L126" s="3223"/>
    </row>
    <row r="127" spans="1:12">
      <c r="A127" s="3128"/>
      <c r="B127" s="623">
        <v>8</v>
      </c>
      <c r="C127" s="3223" t="s">
        <v>719</v>
      </c>
      <c r="E127" s="3130">
        <v>0</v>
      </c>
      <c r="L127" s="3223"/>
    </row>
    <row r="128" spans="1:12">
      <c r="A128" s="3128"/>
      <c r="B128" s="623">
        <v>9</v>
      </c>
      <c r="C128" s="3223" t="s">
        <v>718</v>
      </c>
      <c r="E128" s="3130">
        <v>0</v>
      </c>
      <c r="L128" s="3223"/>
    </row>
    <row r="129" spans="1:12">
      <c r="A129" s="3128"/>
      <c r="B129" s="623">
        <v>10</v>
      </c>
      <c r="C129" s="3223" t="s">
        <v>716</v>
      </c>
      <c r="E129" s="3130">
        <v>0</v>
      </c>
      <c r="L129" s="3223"/>
    </row>
    <row r="130" spans="1:12">
      <c r="A130" s="3128"/>
      <c r="B130" s="623">
        <v>11</v>
      </c>
      <c r="C130" s="3223" t="s">
        <v>715</v>
      </c>
      <c r="E130" s="3130">
        <v>0</v>
      </c>
      <c r="L130" s="3223"/>
    </row>
    <row r="131" spans="1:12">
      <c r="A131" s="3128"/>
      <c r="B131" s="623">
        <v>12</v>
      </c>
      <c r="C131" s="3223" t="s">
        <v>714</v>
      </c>
      <c r="E131" s="3130">
        <v>0</v>
      </c>
      <c r="L131" s="3223"/>
    </row>
    <row r="132" spans="1:12">
      <c r="A132" s="3128"/>
      <c r="B132" s="623">
        <v>13</v>
      </c>
      <c r="C132" s="3223" t="s">
        <v>713</v>
      </c>
      <c r="E132" s="3130">
        <v>0</v>
      </c>
      <c r="L132" s="3223"/>
    </row>
    <row r="133" spans="1:12">
      <c r="A133" s="3128"/>
      <c r="B133" s="623">
        <v>14</v>
      </c>
      <c r="C133" s="3223" t="s">
        <v>712</v>
      </c>
      <c r="E133" s="3130">
        <v>0</v>
      </c>
      <c r="L133" s="3223"/>
    </row>
    <row r="134" spans="1:12">
      <c r="A134" s="3128"/>
      <c r="B134" s="623">
        <v>15</v>
      </c>
      <c r="C134" s="3223" t="s">
        <v>711</v>
      </c>
      <c r="E134" s="3130">
        <v>0</v>
      </c>
      <c r="L134" s="3223"/>
    </row>
    <row r="135" spans="1:12">
      <c r="A135" s="3128"/>
      <c r="B135" s="623">
        <v>16</v>
      </c>
      <c r="C135" s="3223" t="s">
        <v>710</v>
      </c>
      <c r="E135" s="3130">
        <v>0</v>
      </c>
      <c r="L135" s="3223"/>
    </row>
    <row r="136" spans="1:12">
      <c r="A136" s="3128"/>
      <c r="B136" s="623">
        <v>17</v>
      </c>
      <c r="C136" s="3223" t="s">
        <v>709</v>
      </c>
      <c r="E136" s="3130">
        <v>0</v>
      </c>
      <c r="L136" s="3223"/>
    </row>
    <row r="137" spans="1:12">
      <c r="A137" s="3128"/>
      <c r="B137" s="623">
        <v>18</v>
      </c>
      <c r="C137" s="3223" t="s">
        <v>708</v>
      </c>
      <c r="E137" s="3130">
        <v>0</v>
      </c>
      <c r="L137" s="3223"/>
    </row>
    <row r="138" spans="1:12">
      <c r="A138" s="3128"/>
      <c r="B138" s="623">
        <v>19</v>
      </c>
      <c r="C138" s="3223" t="s">
        <v>707</v>
      </c>
      <c r="E138" s="3130">
        <v>0</v>
      </c>
      <c r="L138" s="3223"/>
    </row>
    <row r="139" spans="1:12">
      <c r="A139" s="3128"/>
      <c r="B139" s="623">
        <v>20</v>
      </c>
      <c r="C139" s="3223" t="s">
        <v>1969</v>
      </c>
      <c r="E139" s="3130">
        <v>0</v>
      </c>
      <c r="L139" s="3223"/>
    </row>
    <row r="140" spans="1:12">
      <c r="A140" s="3128"/>
      <c r="B140" s="623">
        <v>21</v>
      </c>
      <c r="C140" s="3223" t="s">
        <v>706</v>
      </c>
      <c r="E140" s="3130">
        <v>0</v>
      </c>
      <c r="L140" s="3223"/>
    </row>
    <row r="141" spans="1:12">
      <c r="A141" s="3128"/>
      <c r="B141" s="623">
        <v>22</v>
      </c>
      <c r="C141" s="3223" t="s">
        <v>705</v>
      </c>
      <c r="E141" s="3130">
        <v>0</v>
      </c>
      <c r="L141" s="3223"/>
    </row>
    <row r="142" spans="1:12">
      <c r="A142" s="3128"/>
      <c r="B142" s="623">
        <v>23</v>
      </c>
      <c r="C142" s="3223" t="s">
        <v>704</v>
      </c>
      <c r="E142" s="3130">
        <v>0</v>
      </c>
      <c r="L142" s="3223"/>
    </row>
    <row r="143" spans="1:12">
      <c r="A143" s="3128"/>
      <c r="B143" s="623">
        <v>24</v>
      </c>
      <c r="C143" s="3223" t="s">
        <v>703</v>
      </c>
      <c r="E143" s="3130">
        <v>0</v>
      </c>
      <c r="L143" s="3223"/>
    </row>
    <row r="144" spans="1:12">
      <c r="A144" s="3128"/>
      <c r="B144" s="623">
        <v>25</v>
      </c>
      <c r="C144" s="3223" t="s">
        <v>702</v>
      </c>
      <c r="E144" s="3130">
        <v>0</v>
      </c>
      <c r="L144" s="3223"/>
    </row>
    <row r="145" spans="1:17">
      <c r="A145" s="3128"/>
      <c r="B145" s="623">
        <v>26</v>
      </c>
      <c r="C145" s="3223" t="s">
        <v>1970</v>
      </c>
      <c r="E145" s="3130">
        <v>0</v>
      </c>
      <c r="L145" s="3223"/>
      <c r="M145" s="3128"/>
      <c r="N145" s="3128"/>
      <c r="O145" s="3128"/>
      <c r="P145" s="3128"/>
      <c r="Q145" s="3128"/>
    </row>
    <row r="146" spans="1:17">
      <c r="A146" s="3128"/>
      <c r="B146" s="623">
        <v>27</v>
      </c>
      <c r="C146" s="3223" t="s">
        <v>701</v>
      </c>
      <c r="E146" s="3130">
        <v>0</v>
      </c>
      <c r="L146" s="3223"/>
      <c r="M146" s="3128"/>
      <c r="N146" s="3128"/>
      <c r="O146" s="3128"/>
      <c r="P146" s="3128"/>
      <c r="Q146" s="3128"/>
    </row>
    <row r="147" spans="1:17">
      <c r="A147" s="3128"/>
      <c r="B147" s="623">
        <v>28</v>
      </c>
      <c r="C147" s="3223" t="s">
        <v>700</v>
      </c>
      <c r="E147" s="3130">
        <v>0</v>
      </c>
      <c r="L147" s="3223"/>
      <c r="M147" s="3128"/>
      <c r="N147" s="3128"/>
      <c r="O147" s="3128"/>
      <c r="P147" s="3128"/>
      <c r="Q147" s="3128"/>
    </row>
    <row r="148" spans="1:17">
      <c r="A148" s="3128"/>
      <c r="B148" s="623">
        <v>29</v>
      </c>
      <c r="C148" s="3223" t="s">
        <v>699</v>
      </c>
      <c r="E148" s="3130">
        <v>0</v>
      </c>
      <c r="L148" s="3223"/>
      <c r="M148" s="3128"/>
      <c r="N148" s="3128"/>
      <c r="O148" s="3128"/>
      <c r="P148" s="3128"/>
      <c r="Q148" s="3128"/>
    </row>
    <row r="149" spans="1:17">
      <c r="A149" s="3128"/>
      <c r="B149" s="623">
        <v>30</v>
      </c>
      <c r="C149" s="3223" t="s">
        <v>698</v>
      </c>
      <c r="E149" s="3130">
        <v>0</v>
      </c>
      <c r="M149" s="3128"/>
      <c r="N149" s="3128"/>
      <c r="O149" s="3128"/>
      <c r="P149" s="3128"/>
      <c r="Q149" s="3128"/>
    </row>
    <row r="150" spans="1:17">
      <c r="A150" s="3128"/>
      <c r="B150" s="623">
        <v>31</v>
      </c>
      <c r="C150" s="3223" t="s">
        <v>1971</v>
      </c>
      <c r="E150" s="3130">
        <v>0</v>
      </c>
      <c r="M150" s="3128"/>
      <c r="N150" s="3128"/>
      <c r="O150" s="3128"/>
      <c r="P150" s="3128"/>
      <c r="Q150" s="3128"/>
    </row>
    <row r="151" spans="1:17">
      <c r="A151" s="3128"/>
      <c r="B151" s="623">
        <v>32</v>
      </c>
      <c r="C151" s="3223" t="s">
        <v>697</v>
      </c>
      <c r="E151" s="3130">
        <v>0</v>
      </c>
      <c r="M151" s="3128"/>
      <c r="N151" s="3128"/>
      <c r="O151" s="3128"/>
      <c r="P151" s="3128"/>
      <c r="Q151" s="3128"/>
    </row>
    <row r="152" spans="1:17">
      <c r="A152" s="3128"/>
      <c r="B152" s="623">
        <v>33</v>
      </c>
      <c r="C152" s="3223" t="s">
        <v>696</v>
      </c>
      <c r="E152" s="3130">
        <v>0</v>
      </c>
      <c r="M152" s="3128"/>
      <c r="N152" s="3128"/>
      <c r="O152" s="3128"/>
      <c r="P152" s="3128"/>
      <c r="Q152" s="3128"/>
    </row>
    <row r="153" spans="1:17">
      <c r="A153" s="3128"/>
      <c r="B153" s="623">
        <v>34</v>
      </c>
      <c r="C153" s="3223" t="s">
        <v>1972</v>
      </c>
      <c r="E153" s="3130">
        <v>0</v>
      </c>
      <c r="M153" s="3128"/>
      <c r="N153" s="3128"/>
      <c r="O153" s="3128"/>
      <c r="P153" s="3128"/>
      <c r="Q153" s="3128"/>
    </row>
    <row r="154" spans="1:17">
      <c r="A154" s="3128"/>
      <c r="B154" s="623">
        <v>35</v>
      </c>
      <c r="C154" s="3223" t="s">
        <v>695</v>
      </c>
      <c r="E154" s="3130">
        <v>0</v>
      </c>
      <c r="M154" s="3128"/>
      <c r="N154" s="3128"/>
      <c r="O154" s="3128"/>
      <c r="P154" s="3128"/>
      <c r="Q154" s="3128"/>
    </row>
    <row r="155" spans="1:17">
      <c r="A155" s="3128"/>
      <c r="B155" s="623">
        <v>36</v>
      </c>
      <c r="C155" s="3223" t="s">
        <v>1973</v>
      </c>
      <c r="E155" s="3130">
        <v>0</v>
      </c>
      <c r="M155" s="3128"/>
      <c r="N155" s="3128"/>
      <c r="O155" s="3128"/>
      <c r="P155" s="3128"/>
      <c r="Q155" s="3128"/>
    </row>
    <row r="156" spans="1:17">
      <c r="A156" s="3128"/>
      <c r="B156" s="623">
        <v>37</v>
      </c>
      <c r="C156" s="3223" t="s">
        <v>694</v>
      </c>
      <c r="D156" s="3223"/>
      <c r="E156" s="3130">
        <v>0</v>
      </c>
      <c r="F156" s="3223"/>
      <c r="G156" s="3223"/>
      <c r="H156" s="3223"/>
      <c r="I156" s="3223"/>
      <c r="J156" s="3223"/>
      <c r="K156" s="3223"/>
      <c r="M156" s="3128"/>
      <c r="N156" s="3128"/>
      <c r="O156" s="3128"/>
      <c r="P156" s="3128"/>
      <c r="Q156" s="3128"/>
    </row>
    <row r="157" spans="1:17">
      <c r="A157" s="3128"/>
      <c r="B157" s="623">
        <v>38</v>
      </c>
      <c r="C157" s="3223" t="s">
        <v>1974</v>
      </c>
      <c r="D157" s="3223"/>
      <c r="E157" s="3130">
        <v>0</v>
      </c>
      <c r="F157" s="3223"/>
      <c r="G157" s="3223"/>
      <c r="H157" s="3223"/>
      <c r="I157" s="3223"/>
      <c r="J157" s="3223"/>
      <c r="K157" s="3223"/>
      <c r="M157" s="3128"/>
      <c r="N157" s="3128"/>
      <c r="O157" s="3128"/>
      <c r="P157" s="3128"/>
      <c r="Q157" s="3128"/>
    </row>
    <row r="158" spans="1:17">
      <c r="A158" s="3128"/>
      <c r="B158" s="623">
        <v>39</v>
      </c>
      <c r="C158" s="3223" t="s">
        <v>1975</v>
      </c>
      <c r="D158" s="3223"/>
      <c r="E158" s="3130">
        <v>0</v>
      </c>
      <c r="F158" s="3223"/>
      <c r="G158" s="3223"/>
      <c r="H158" s="3223"/>
      <c r="I158" s="3223"/>
      <c r="J158" s="3223"/>
      <c r="K158" s="3223"/>
      <c r="M158" s="3128"/>
      <c r="N158" s="3128"/>
      <c r="O158" s="3128"/>
      <c r="P158" s="3128"/>
      <c r="Q158" s="3128"/>
    </row>
    <row r="159" spans="1:17">
      <c r="A159" s="3128"/>
      <c r="B159" s="623">
        <v>40</v>
      </c>
      <c r="C159" s="3223" t="s">
        <v>1976</v>
      </c>
      <c r="E159" s="3130">
        <v>0</v>
      </c>
      <c r="M159" s="3128"/>
      <c r="N159" s="3128"/>
      <c r="O159" s="3128"/>
      <c r="P159" s="3128"/>
      <c r="Q159" s="3128"/>
    </row>
    <row r="160" spans="1:17">
      <c r="A160" s="3128"/>
      <c r="B160" s="623">
        <v>41</v>
      </c>
      <c r="C160" s="3223" t="s">
        <v>693</v>
      </c>
      <c r="E160" s="3130">
        <v>0</v>
      </c>
      <c r="M160" s="3128"/>
      <c r="N160" s="3128"/>
      <c r="O160" s="3128"/>
      <c r="P160" s="3128"/>
      <c r="Q160" s="3128"/>
    </row>
    <row r="161" spans="1:17">
      <c r="A161" s="3128"/>
      <c r="B161" s="623">
        <v>42</v>
      </c>
      <c r="C161" s="3223" t="s">
        <v>692</v>
      </c>
      <c r="E161" s="3130">
        <v>0</v>
      </c>
      <c r="F161" s="3128"/>
      <c r="G161" s="3128"/>
      <c r="H161" s="3128"/>
      <c r="I161" s="3128"/>
      <c r="J161" s="3128"/>
      <c r="K161" s="3128"/>
      <c r="L161" s="3128"/>
      <c r="M161" s="3128"/>
      <c r="N161" s="3128"/>
      <c r="O161" s="3128"/>
      <c r="P161" s="3128"/>
      <c r="Q161" s="3128"/>
    </row>
    <row r="162" spans="1:17">
      <c r="A162" s="3128"/>
      <c r="B162" s="623">
        <v>43</v>
      </c>
      <c r="C162" s="3223" t="s">
        <v>691</v>
      </c>
      <c r="E162" s="3130">
        <v>0</v>
      </c>
      <c r="F162" s="3128"/>
      <c r="G162" s="3128"/>
      <c r="H162" s="3128"/>
      <c r="I162" s="3128"/>
      <c r="J162" s="3128"/>
      <c r="K162" s="3128"/>
      <c r="L162" s="3128"/>
      <c r="M162" s="3128"/>
      <c r="N162" s="3128"/>
      <c r="O162" s="3128"/>
      <c r="P162" s="3128"/>
      <c r="Q162" s="3128"/>
    </row>
    <row r="163" spans="1:17">
      <c r="A163" s="3128"/>
      <c r="B163" s="623">
        <v>44</v>
      </c>
      <c r="C163" s="3223" t="s">
        <v>1977</v>
      </c>
      <c r="E163" s="3130">
        <v>0</v>
      </c>
      <c r="F163" s="3128"/>
      <c r="G163" s="3128"/>
      <c r="H163" s="3128"/>
      <c r="I163" s="3128"/>
      <c r="J163" s="3128"/>
      <c r="K163" s="3128"/>
      <c r="L163" s="3128"/>
      <c r="M163" s="3128"/>
      <c r="N163" s="3128"/>
      <c r="O163" s="3128"/>
      <c r="P163" s="3128"/>
      <c r="Q163" s="3128"/>
    </row>
    <row r="164" spans="1:17">
      <c r="A164" s="3128"/>
      <c r="B164" s="623">
        <v>45</v>
      </c>
      <c r="C164" s="3223" t="s">
        <v>690</v>
      </c>
      <c r="E164" s="3130">
        <v>0</v>
      </c>
      <c r="F164" s="3128"/>
      <c r="G164" s="3128"/>
      <c r="H164" s="3128"/>
      <c r="I164" s="3128"/>
      <c r="J164" s="3128"/>
      <c r="K164" s="3128"/>
      <c r="L164" s="3128"/>
      <c r="M164" s="3128"/>
      <c r="N164" s="3128"/>
      <c r="O164" s="3128"/>
      <c r="P164" s="3128"/>
      <c r="Q164" s="3128"/>
    </row>
    <row r="165" spans="1:17">
      <c r="A165" s="3128"/>
      <c r="B165" s="623">
        <v>46</v>
      </c>
      <c r="C165" s="3223" t="s">
        <v>689</v>
      </c>
      <c r="E165" s="3130">
        <v>0</v>
      </c>
      <c r="F165" s="3128"/>
      <c r="G165" s="3128"/>
      <c r="H165" s="3128"/>
      <c r="I165" s="3128"/>
      <c r="J165" s="3128"/>
      <c r="K165" s="3128"/>
      <c r="L165" s="3128"/>
      <c r="M165" s="3128"/>
      <c r="N165" s="3128"/>
      <c r="O165" s="3128"/>
      <c r="P165" s="3128"/>
      <c r="Q165" s="3128"/>
    </row>
    <row r="166" spans="1:17">
      <c r="A166" s="3128"/>
      <c r="B166" s="623">
        <v>47</v>
      </c>
      <c r="C166" s="3223" t="s">
        <v>688</v>
      </c>
      <c r="E166" s="3130">
        <v>0</v>
      </c>
      <c r="F166" s="3128"/>
      <c r="G166" s="3128"/>
      <c r="H166" s="3128"/>
      <c r="I166" s="3128"/>
      <c r="J166" s="3128"/>
      <c r="K166" s="3128"/>
      <c r="L166" s="3128"/>
      <c r="M166" s="3128"/>
      <c r="N166" s="3128"/>
      <c r="O166" s="3128"/>
      <c r="P166" s="3128"/>
      <c r="Q166" s="3128"/>
    </row>
    <row r="167" spans="1:17">
      <c r="A167" s="3128"/>
      <c r="B167" s="623">
        <v>48</v>
      </c>
      <c r="C167" s="3223" t="s">
        <v>687</v>
      </c>
      <c r="E167" s="3130">
        <v>0</v>
      </c>
      <c r="F167" s="3128"/>
      <c r="G167" s="3128"/>
      <c r="H167" s="3128"/>
      <c r="I167" s="3128"/>
      <c r="J167" s="3128"/>
      <c r="K167" s="3128"/>
      <c r="L167" s="3128"/>
      <c r="M167" s="3128"/>
      <c r="N167" s="3128"/>
      <c r="O167" s="3128"/>
      <c r="P167" s="3128"/>
      <c r="Q167" s="3128"/>
    </row>
    <row r="168" spans="1:17">
      <c r="A168" s="3128"/>
      <c r="B168" s="623">
        <v>49</v>
      </c>
      <c r="C168" s="3223" t="s">
        <v>686</v>
      </c>
      <c r="E168" s="3130">
        <v>0</v>
      </c>
      <c r="F168" s="3128"/>
      <c r="G168" s="3128"/>
      <c r="H168" s="3128"/>
      <c r="I168" s="3128"/>
      <c r="J168" s="3128"/>
      <c r="K168" s="3128"/>
      <c r="L168" s="3128"/>
      <c r="M168" s="3128"/>
      <c r="N168" s="3128"/>
      <c r="O168" s="3128"/>
      <c r="P168" s="3128"/>
      <c r="Q168" s="3128"/>
    </row>
    <row r="169" spans="1:17">
      <c r="A169" s="3128"/>
      <c r="B169" s="623">
        <v>50</v>
      </c>
      <c r="C169" s="3223" t="s">
        <v>685</v>
      </c>
      <c r="E169" s="3130">
        <v>0</v>
      </c>
      <c r="F169" s="3128"/>
      <c r="G169" s="3128"/>
      <c r="H169" s="3128"/>
      <c r="I169" s="3128"/>
      <c r="J169" s="3128"/>
      <c r="K169" s="3128"/>
      <c r="L169" s="3128"/>
      <c r="M169" s="3128"/>
      <c r="N169" s="3128"/>
      <c r="O169" s="3128"/>
      <c r="P169" s="3128"/>
      <c r="Q169" s="3128"/>
    </row>
    <row r="170" spans="1:17">
      <c r="A170" s="3128"/>
      <c r="B170" s="623">
        <v>51</v>
      </c>
      <c r="C170" s="3223" t="s">
        <v>684</v>
      </c>
      <c r="E170" s="3130">
        <v>0</v>
      </c>
      <c r="F170" s="3128"/>
      <c r="G170" s="3128"/>
      <c r="H170" s="3128"/>
      <c r="I170" s="3128"/>
      <c r="J170" s="3128"/>
      <c r="K170" s="3128"/>
      <c r="L170" s="3128"/>
      <c r="M170" s="3128"/>
      <c r="N170" s="3128"/>
      <c r="O170" s="3128"/>
      <c r="P170" s="3128"/>
      <c r="Q170" s="3128"/>
    </row>
    <row r="171" spans="1:17">
      <c r="A171" s="3128"/>
      <c r="B171" s="623">
        <v>52</v>
      </c>
      <c r="C171" s="3223" t="s">
        <v>683</v>
      </c>
      <c r="E171" s="3130">
        <v>0</v>
      </c>
      <c r="F171" s="3128"/>
      <c r="G171" s="3128"/>
      <c r="H171" s="3128"/>
      <c r="I171" s="3128"/>
      <c r="J171" s="3128"/>
      <c r="K171" s="3128"/>
      <c r="L171" s="3128"/>
      <c r="M171" s="3128"/>
      <c r="N171" s="3128"/>
      <c r="O171" s="3128"/>
      <c r="P171" s="3128"/>
      <c r="Q171" s="3128"/>
    </row>
    <row r="172" spans="1:17">
      <c r="A172" s="3128"/>
      <c r="B172" s="623">
        <v>53</v>
      </c>
      <c r="C172" s="3223" t="s">
        <v>1978</v>
      </c>
      <c r="E172" s="3130">
        <v>0</v>
      </c>
      <c r="F172" s="3128"/>
      <c r="G172" s="3128"/>
      <c r="H172" s="3128"/>
      <c r="I172" s="3128"/>
      <c r="J172" s="3128"/>
      <c r="K172" s="3128"/>
      <c r="L172" s="3128"/>
      <c r="M172" s="3128"/>
      <c r="N172" s="3128"/>
      <c r="O172" s="3128"/>
      <c r="P172" s="3128"/>
      <c r="Q172" s="3128"/>
    </row>
    <row r="173" spans="1:17">
      <c r="A173" s="3128"/>
      <c r="B173" s="623">
        <v>54</v>
      </c>
      <c r="C173" s="3223" t="s">
        <v>682</v>
      </c>
      <c r="E173" s="3130">
        <v>0</v>
      </c>
      <c r="F173" s="3128"/>
      <c r="G173" s="3128"/>
      <c r="H173" s="3128"/>
      <c r="I173" s="3128"/>
      <c r="J173" s="3128"/>
      <c r="K173" s="3128"/>
      <c r="L173" s="3128"/>
      <c r="M173" s="3128"/>
      <c r="N173" s="3128"/>
      <c r="O173" s="3128"/>
      <c r="P173" s="3128"/>
      <c r="Q173" s="3128"/>
    </row>
    <row r="174" spans="1:17">
      <c r="A174" s="3128"/>
      <c r="B174" s="623">
        <v>55</v>
      </c>
      <c r="C174" s="3223" t="s">
        <v>1979</v>
      </c>
      <c r="E174" s="3130">
        <v>0</v>
      </c>
      <c r="F174" s="3128"/>
      <c r="G174" s="3128"/>
      <c r="H174" s="3128"/>
      <c r="I174" s="3128"/>
      <c r="J174" s="3128"/>
      <c r="K174" s="3128"/>
      <c r="L174" s="3128"/>
      <c r="M174" s="3128"/>
      <c r="N174" s="3128"/>
      <c r="O174" s="3128"/>
      <c r="P174" s="3128"/>
      <c r="Q174" s="3128"/>
    </row>
    <row r="175" spans="1:17">
      <c r="A175" s="3128"/>
      <c r="B175" s="623">
        <v>56</v>
      </c>
      <c r="C175" s="3223" t="s">
        <v>681</v>
      </c>
      <c r="E175" s="3130">
        <v>0</v>
      </c>
      <c r="F175" s="3128"/>
      <c r="G175" s="3128"/>
      <c r="H175" s="3128"/>
      <c r="I175" s="3128"/>
      <c r="J175" s="3128"/>
      <c r="K175" s="3128"/>
      <c r="L175" s="3128"/>
      <c r="M175" s="3128"/>
      <c r="N175" s="3128"/>
      <c r="O175" s="3128"/>
      <c r="P175" s="3128"/>
      <c r="Q175" s="3128"/>
    </row>
    <row r="176" spans="1:17">
      <c r="A176" s="3128"/>
      <c r="B176" s="623">
        <v>57</v>
      </c>
      <c r="C176" s="3223" t="s">
        <v>680</v>
      </c>
      <c r="E176" s="3130">
        <v>0</v>
      </c>
      <c r="F176" s="3128"/>
      <c r="G176" s="3128"/>
      <c r="H176" s="3128"/>
      <c r="I176" s="3128"/>
      <c r="J176" s="3128"/>
      <c r="K176" s="3128"/>
      <c r="L176" s="3128"/>
      <c r="M176" s="3128"/>
      <c r="N176" s="3128"/>
      <c r="O176" s="3128"/>
      <c r="P176" s="3128"/>
      <c r="Q176" s="3128"/>
    </row>
    <row r="177" spans="1:17">
      <c r="A177" s="3128"/>
      <c r="B177" s="623">
        <v>58</v>
      </c>
      <c r="C177" s="3223" t="s">
        <v>679</v>
      </c>
      <c r="E177" s="3130">
        <v>0</v>
      </c>
      <c r="F177" s="3128"/>
      <c r="G177" s="3128"/>
      <c r="H177" s="3128"/>
      <c r="I177" s="3128"/>
      <c r="J177" s="3128"/>
      <c r="K177" s="3128"/>
      <c r="L177" s="3128"/>
      <c r="M177" s="3128"/>
      <c r="N177" s="3128"/>
      <c r="O177" s="3128"/>
      <c r="P177" s="3128"/>
      <c r="Q177" s="3128"/>
    </row>
    <row r="178" spans="1:17">
      <c r="A178" s="3128"/>
      <c r="B178" s="623">
        <v>59</v>
      </c>
      <c r="C178" s="3223" t="s">
        <v>678</v>
      </c>
      <c r="E178" s="3130">
        <v>0</v>
      </c>
      <c r="F178" s="3128"/>
      <c r="G178" s="3128"/>
      <c r="H178" s="3128"/>
      <c r="I178" s="3128"/>
      <c r="J178" s="3128"/>
      <c r="K178" s="3128"/>
      <c r="L178" s="3128"/>
      <c r="M178" s="3128"/>
      <c r="N178" s="3128"/>
      <c r="O178" s="3128"/>
      <c r="P178" s="3128"/>
      <c r="Q178" s="3128"/>
    </row>
    <row r="179" spans="1:17">
      <c r="A179" s="3128"/>
      <c r="B179" s="623">
        <v>60</v>
      </c>
      <c r="C179" s="3223" t="s">
        <v>676</v>
      </c>
      <c r="E179" s="3130">
        <v>0</v>
      </c>
      <c r="F179" s="3128"/>
      <c r="G179" s="3128"/>
      <c r="H179" s="3128"/>
      <c r="I179" s="3128"/>
      <c r="J179" s="3128"/>
      <c r="K179" s="3128"/>
      <c r="L179" s="3128"/>
      <c r="M179" s="3128"/>
      <c r="N179" s="3128"/>
      <c r="O179" s="3128"/>
      <c r="P179" s="3128"/>
      <c r="Q179" s="3128"/>
    </row>
    <row r="180" spans="1:17">
      <c r="A180" s="3128"/>
      <c r="B180" s="623">
        <v>61</v>
      </c>
      <c r="C180" s="3223" t="s">
        <v>675</v>
      </c>
      <c r="E180" s="3130">
        <v>0</v>
      </c>
      <c r="F180" s="3128"/>
      <c r="G180" s="3128"/>
      <c r="H180" s="3128"/>
      <c r="I180" s="3128"/>
      <c r="J180" s="3128"/>
      <c r="K180" s="3128"/>
      <c r="L180" s="3128"/>
      <c r="M180" s="3128"/>
      <c r="N180" s="3128"/>
      <c r="O180" s="3128"/>
      <c r="P180" s="3128"/>
      <c r="Q180" s="3128"/>
    </row>
    <row r="181" spans="1:17">
      <c r="A181" s="3128"/>
      <c r="B181" s="623">
        <v>62</v>
      </c>
      <c r="C181" s="3223" t="s">
        <v>1980</v>
      </c>
      <c r="E181" s="3130">
        <v>0</v>
      </c>
      <c r="F181" s="3128"/>
      <c r="G181" s="3128"/>
      <c r="H181" s="3128"/>
      <c r="I181" s="3128"/>
      <c r="J181" s="3128"/>
      <c r="K181" s="3128"/>
      <c r="L181" s="3128"/>
      <c r="M181" s="3128"/>
      <c r="N181" s="3128"/>
      <c r="O181" s="3128"/>
      <c r="P181" s="3128"/>
      <c r="Q181" s="3128"/>
    </row>
    <row r="182" spans="1:17">
      <c r="A182" s="3128"/>
      <c r="B182" s="623">
        <v>63</v>
      </c>
      <c r="C182" s="3223" t="s">
        <v>674</v>
      </c>
      <c r="E182" s="3130">
        <v>0</v>
      </c>
      <c r="F182" s="3128"/>
      <c r="G182" s="3128"/>
      <c r="H182" s="3128"/>
      <c r="I182" s="3128"/>
      <c r="J182" s="3128"/>
      <c r="K182" s="3128"/>
      <c r="L182" s="3128"/>
      <c r="M182" s="3128"/>
      <c r="N182" s="3128"/>
      <c r="O182" s="3128"/>
      <c r="P182" s="3128"/>
      <c r="Q182" s="3128"/>
    </row>
    <row r="183" spans="1:17">
      <c r="A183" s="3128"/>
      <c r="B183" s="623">
        <v>64</v>
      </c>
      <c r="C183" s="3223" t="s">
        <v>673</v>
      </c>
      <c r="E183" s="3130">
        <v>0</v>
      </c>
      <c r="F183" s="3128"/>
      <c r="G183" s="3128"/>
      <c r="H183" s="3128"/>
      <c r="I183" s="3128"/>
      <c r="J183" s="3128"/>
      <c r="K183" s="3128"/>
      <c r="L183" s="3128"/>
      <c r="M183" s="3128"/>
      <c r="N183" s="3128"/>
      <c r="O183" s="3128"/>
      <c r="P183" s="3128"/>
      <c r="Q183" s="3128"/>
    </row>
    <row r="184" spans="1:17">
      <c r="A184" s="3128"/>
      <c r="B184" s="623">
        <v>65</v>
      </c>
      <c r="C184" s="3223" t="s">
        <v>1981</v>
      </c>
      <c r="E184" s="3130">
        <v>0</v>
      </c>
      <c r="F184" s="3128"/>
      <c r="G184" s="3128"/>
      <c r="H184" s="3128"/>
      <c r="I184" s="3128"/>
      <c r="J184" s="3128"/>
      <c r="K184" s="3128"/>
      <c r="L184" s="3128"/>
      <c r="M184" s="3128"/>
      <c r="N184" s="3128"/>
      <c r="O184" s="3128"/>
      <c r="P184" s="3128"/>
      <c r="Q184" s="3128"/>
    </row>
    <row r="185" spans="1:17">
      <c r="A185" s="3128"/>
      <c r="B185" s="623">
        <v>66</v>
      </c>
      <c r="C185" s="3223" t="s">
        <v>672</v>
      </c>
      <c r="E185" s="3130">
        <v>0</v>
      </c>
      <c r="F185" s="3128"/>
      <c r="G185" s="3128"/>
      <c r="H185" s="3128"/>
      <c r="I185" s="3128"/>
      <c r="J185" s="3128"/>
      <c r="K185" s="3128"/>
      <c r="L185" s="3128"/>
      <c r="M185" s="3128"/>
      <c r="N185" s="3128"/>
      <c r="O185" s="3128"/>
      <c r="P185" s="3128"/>
      <c r="Q185" s="3128"/>
    </row>
    <row r="186" spans="1:17">
      <c r="A186" s="3128"/>
      <c r="B186" s="623">
        <v>67</v>
      </c>
      <c r="C186" s="3223" t="s">
        <v>671</v>
      </c>
      <c r="E186" s="3130">
        <v>0</v>
      </c>
      <c r="F186" s="3128"/>
      <c r="G186" s="3128"/>
      <c r="H186" s="3128"/>
      <c r="I186" s="3128"/>
      <c r="J186" s="3128"/>
      <c r="K186" s="3128"/>
      <c r="L186" s="3128"/>
      <c r="M186" s="3128"/>
      <c r="N186" s="3128"/>
      <c r="O186" s="3128"/>
      <c r="P186" s="3128"/>
      <c r="Q186" s="3128"/>
    </row>
    <row r="187" spans="1:17">
      <c r="A187" s="3128"/>
      <c r="B187" s="623">
        <v>68</v>
      </c>
      <c r="C187" s="3223" t="s">
        <v>670</v>
      </c>
      <c r="E187" s="3130">
        <v>0</v>
      </c>
      <c r="F187" s="3128"/>
      <c r="G187" s="3128"/>
      <c r="H187" s="3128"/>
      <c r="I187" s="3128"/>
      <c r="J187" s="3128"/>
      <c r="K187" s="3128"/>
      <c r="L187" s="3128"/>
      <c r="M187" s="3128"/>
      <c r="N187" s="3128"/>
      <c r="O187" s="3128"/>
      <c r="P187" s="3128"/>
      <c r="Q187" s="3128"/>
    </row>
    <row r="188" spans="1:17">
      <c r="A188" s="3128"/>
      <c r="B188" s="623">
        <v>69</v>
      </c>
      <c r="C188" s="3223" t="s">
        <v>669</v>
      </c>
      <c r="E188" s="3130">
        <v>0</v>
      </c>
      <c r="F188" s="3128"/>
      <c r="G188" s="3128"/>
      <c r="H188" s="3128"/>
      <c r="I188" s="3128"/>
      <c r="J188" s="3128"/>
      <c r="K188" s="3128"/>
      <c r="L188" s="3128"/>
      <c r="M188" s="3128"/>
      <c r="N188" s="3128"/>
      <c r="O188" s="3128"/>
      <c r="P188" s="3128"/>
      <c r="Q188" s="3128"/>
    </row>
    <row r="189" spans="1:17">
      <c r="A189" s="3128"/>
      <c r="B189" s="623">
        <v>70</v>
      </c>
      <c r="C189" s="3223" t="s">
        <v>668</v>
      </c>
      <c r="E189" s="3130">
        <v>0</v>
      </c>
      <c r="F189" s="3128"/>
      <c r="G189" s="3128"/>
      <c r="H189" s="3128"/>
      <c r="I189" s="3128"/>
      <c r="J189" s="3128"/>
      <c r="K189" s="3128"/>
      <c r="L189" s="3128"/>
      <c r="M189" s="3128"/>
      <c r="N189" s="3128"/>
      <c r="O189" s="3128"/>
      <c r="P189" s="3128"/>
      <c r="Q189" s="3128"/>
    </row>
    <row r="190" spans="1:17">
      <c r="A190" s="3128"/>
      <c r="B190" s="623">
        <v>71</v>
      </c>
      <c r="C190" s="3223" t="s">
        <v>1982</v>
      </c>
      <c r="E190" s="3130">
        <v>0</v>
      </c>
      <c r="F190" s="3128"/>
      <c r="G190" s="3128"/>
      <c r="H190" s="3128"/>
      <c r="I190" s="3128"/>
      <c r="J190" s="3128"/>
      <c r="K190" s="3128"/>
      <c r="L190" s="3128"/>
      <c r="M190" s="3128"/>
      <c r="N190" s="3128"/>
      <c r="O190" s="3128"/>
      <c r="P190" s="3128"/>
      <c r="Q190" s="3128"/>
    </row>
    <row r="191" spans="1:17">
      <c r="A191" s="3128"/>
      <c r="B191" s="623">
        <v>72</v>
      </c>
      <c r="C191" s="3223" t="s">
        <v>667</v>
      </c>
      <c r="E191" s="3130">
        <v>0</v>
      </c>
      <c r="F191" s="3128"/>
      <c r="G191" s="3128"/>
      <c r="H191" s="3128"/>
      <c r="I191" s="3128"/>
      <c r="J191" s="3128"/>
      <c r="K191" s="3128"/>
      <c r="L191" s="3128"/>
      <c r="M191" s="3128"/>
      <c r="N191" s="3128"/>
      <c r="O191" s="3128"/>
      <c r="P191" s="3128"/>
      <c r="Q191" s="3128"/>
    </row>
    <row r="192" spans="1:17">
      <c r="A192" s="3128"/>
      <c r="B192" s="623">
        <v>73</v>
      </c>
      <c r="C192" s="3223" t="s">
        <v>666</v>
      </c>
      <c r="E192" s="3130">
        <v>0</v>
      </c>
      <c r="F192" s="3128"/>
      <c r="G192" s="3128"/>
      <c r="H192" s="3128"/>
      <c r="I192" s="3128"/>
      <c r="J192" s="3128"/>
      <c r="K192" s="3128"/>
      <c r="L192" s="3128"/>
      <c r="M192" s="3128"/>
      <c r="N192" s="3128"/>
      <c r="O192" s="3128"/>
      <c r="P192" s="3128"/>
      <c r="Q192" s="3128"/>
    </row>
    <row r="193" spans="1:17">
      <c r="A193" s="3128"/>
      <c r="B193" s="623">
        <v>74</v>
      </c>
      <c r="C193" s="3223" t="s">
        <v>665</v>
      </c>
      <c r="E193" s="3130">
        <v>0</v>
      </c>
      <c r="F193" s="3128"/>
      <c r="G193" s="3128"/>
      <c r="H193" s="3128"/>
      <c r="I193" s="3128"/>
      <c r="J193" s="3128"/>
      <c r="K193" s="3128"/>
      <c r="L193" s="3128"/>
      <c r="M193" s="3128"/>
      <c r="N193" s="3128"/>
      <c r="O193" s="3128"/>
      <c r="P193" s="3128"/>
      <c r="Q193" s="3128"/>
    </row>
    <row r="194" spans="1:17">
      <c r="A194" s="3128"/>
      <c r="B194" s="623">
        <v>75</v>
      </c>
      <c r="C194" s="3223" t="s">
        <v>664</v>
      </c>
      <c r="E194" s="3130">
        <v>0</v>
      </c>
      <c r="F194" s="3128"/>
      <c r="G194" s="3128"/>
      <c r="H194" s="3128"/>
      <c r="I194" s="3128"/>
      <c r="J194" s="3128"/>
      <c r="K194" s="3128"/>
      <c r="L194" s="3128"/>
      <c r="M194" s="3128"/>
      <c r="N194" s="3128"/>
      <c r="O194" s="3128"/>
      <c r="P194" s="3128"/>
      <c r="Q194" s="3128"/>
    </row>
    <row r="195" spans="1:17">
      <c r="A195" s="3128"/>
      <c r="B195" s="623">
        <v>76</v>
      </c>
      <c r="C195" s="3223" t="s">
        <v>663</v>
      </c>
      <c r="E195" s="3130">
        <v>0</v>
      </c>
      <c r="F195" s="3128"/>
      <c r="G195" s="3128"/>
      <c r="H195" s="3128"/>
      <c r="I195" s="3128"/>
      <c r="J195" s="3128"/>
      <c r="K195" s="3128"/>
      <c r="L195" s="3128"/>
      <c r="M195" s="3128"/>
      <c r="N195" s="3128"/>
      <c r="O195" s="3128"/>
      <c r="P195" s="3128"/>
      <c r="Q195" s="3128"/>
    </row>
    <row r="196" spans="1:17">
      <c r="A196" s="3128"/>
      <c r="B196" s="623">
        <v>77</v>
      </c>
      <c r="C196" s="3223" t="s">
        <v>662</v>
      </c>
      <c r="E196" s="3130">
        <v>0</v>
      </c>
      <c r="F196" s="3128"/>
      <c r="G196" s="3128"/>
      <c r="H196" s="3128"/>
      <c r="I196" s="3128"/>
      <c r="J196" s="3128"/>
      <c r="K196" s="3128"/>
      <c r="L196" s="3128"/>
      <c r="M196" s="3128"/>
      <c r="N196" s="3128"/>
      <c r="O196" s="3128"/>
      <c r="P196" s="3128"/>
      <c r="Q196" s="3128"/>
    </row>
    <row r="197" spans="1:17">
      <c r="A197" s="3128"/>
      <c r="B197" s="623">
        <v>78</v>
      </c>
      <c r="C197" s="3223" t="s">
        <v>661</v>
      </c>
      <c r="E197" s="3130">
        <v>0</v>
      </c>
      <c r="F197" s="3128"/>
      <c r="G197" s="3128"/>
      <c r="H197" s="3128"/>
      <c r="I197" s="3128"/>
      <c r="J197" s="3128"/>
      <c r="K197" s="3128"/>
      <c r="L197" s="3128"/>
      <c r="M197" s="3128"/>
      <c r="N197" s="3128"/>
      <c r="O197" s="3128"/>
      <c r="P197" s="3128"/>
      <c r="Q197" s="3128"/>
    </row>
    <row r="198" spans="1:17">
      <c r="A198" s="3128"/>
      <c r="B198" s="623">
        <v>79</v>
      </c>
      <c r="C198" s="3223" t="s">
        <v>660</v>
      </c>
      <c r="E198" s="3130">
        <v>0</v>
      </c>
      <c r="F198" s="3128"/>
      <c r="G198" s="3128"/>
      <c r="H198" s="3128"/>
      <c r="I198" s="3128"/>
      <c r="J198" s="3128"/>
      <c r="K198" s="3128"/>
      <c r="L198" s="3128"/>
      <c r="M198" s="3128"/>
      <c r="N198" s="3128"/>
      <c r="O198" s="3128"/>
      <c r="P198" s="3128"/>
      <c r="Q198" s="3128"/>
    </row>
    <row r="199" spans="1:17">
      <c r="A199" s="3128"/>
      <c r="B199" s="623">
        <v>80</v>
      </c>
      <c r="C199" s="3223" t="s">
        <v>1983</v>
      </c>
      <c r="E199" s="3130">
        <v>0</v>
      </c>
      <c r="F199" s="3128"/>
      <c r="G199" s="3128"/>
      <c r="H199" s="3128"/>
      <c r="I199" s="3128"/>
      <c r="J199" s="3128"/>
      <c r="K199" s="3128"/>
      <c r="L199" s="3128"/>
      <c r="M199" s="3128"/>
      <c r="N199" s="3128"/>
      <c r="O199" s="3128"/>
      <c r="P199" s="3128"/>
      <c r="Q199" s="3128"/>
    </row>
    <row r="200" spans="1:17">
      <c r="A200" s="3128"/>
      <c r="B200" s="623">
        <v>81</v>
      </c>
      <c r="C200" s="3223" t="s">
        <v>1984</v>
      </c>
      <c r="E200" s="3130">
        <v>0</v>
      </c>
      <c r="F200" s="3128"/>
      <c r="G200" s="3128"/>
      <c r="H200" s="3128"/>
      <c r="I200" s="3128"/>
      <c r="J200" s="3128"/>
      <c r="K200" s="3128"/>
      <c r="L200" s="3128"/>
      <c r="M200" s="3128"/>
      <c r="N200" s="3128"/>
      <c r="O200" s="3128"/>
      <c r="P200" s="3128"/>
      <c r="Q200" s="3128"/>
    </row>
    <row r="201" spans="1:17">
      <c r="A201" s="3128"/>
      <c r="B201" s="623">
        <v>82</v>
      </c>
      <c r="C201" s="3223" t="s">
        <v>659</v>
      </c>
      <c r="E201" s="3130">
        <v>0</v>
      </c>
      <c r="F201" s="3128"/>
      <c r="G201" s="3128"/>
      <c r="H201" s="3128"/>
      <c r="I201" s="3128"/>
      <c r="J201" s="3128"/>
      <c r="K201" s="3128"/>
      <c r="L201" s="3128"/>
      <c r="M201" s="3128"/>
      <c r="N201" s="3128"/>
      <c r="O201" s="3128"/>
      <c r="P201" s="3128"/>
      <c r="Q201" s="3128"/>
    </row>
    <row r="202" spans="1:17">
      <c r="A202" s="3128"/>
      <c r="B202" s="623">
        <v>83</v>
      </c>
      <c r="C202" s="3223" t="s">
        <v>658</v>
      </c>
      <c r="E202" s="3130">
        <v>0</v>
      </c>
      <c r="F202" s="3128"/>
      <c r="G202" s="3128"/>
      <c r="H202" s="3128"/>
      <c r="I202" s="3128"/>
      <c r="J202" s="3128"/>
      <c r="K202" s="3128"/>
      <c r="L202" s="3128"/>
      <c r="M202" s="3128"/>
      <c r="N202" s="3128"/>
      <c r="O202" s="3128"/>
      <c r="P202" s="3128"/>
      <c r="Q202" s="3128"/>
    </row>
    <row r="203" spans="1:17">
      <c r="A203" s="3128"/>
      <c r="B203" s="623">
        <v>84</v>
      </c>
      <c r="C203" s="3223" t="s">
        <v>657</v>
      </c>
      <c r="E203" s="3130">
        <v>0</v>
      </c>
      <c r="F203" s="3128"/>
      <c r="G203" s="3128"/>
      <c r="H203" s="3128"/>
      <c r="I203" s="3128"/>
      <c r="J203" s="3128"/>
      <c r="K203" s="3128"/>
      <c r="L203" s="3128"/>
      <c r="M203" s="3128"/>
      <c r="N203" s="3128"/>
      <c r="O203" s="3128"/>
      <c r="P203" s="3128"/>
      <c r="Q203" s="3128"/>
    </row>
    <row r="204" spans="1:17">
      <c r="A204" s="3128"/>
      <c r="B204" s="623">
        <v>85</v>
      </c>
      <c r="C204" s="3223" t="s">
        <v>656</v>
      </c>
      <c r="E204" s="3130">
        <v>0</v>
      </c>
      <c r="F204" s="3128"/>
      <c r="G204" s="3128"/>
      <c r="H204" s="3128"/>
      <c r="I204" s="3128"/>
      <c r="J204" s="3128"/>
      <c r="K204" s="3128"/>
      <c r="L204" s="3128"/>
      <c r="M204" s="3128"/>
      <c r="N204" s="3128"/>
      <c r="O204" s="3128"/>
      <c r="P204" s="3128"/>
      <c r="Q204" s="3128"/>
    </row>
    <row r="205" spans="1:17">
      <c r="A205" s="3128"/>
      <c r="B205" s="623">
        <v>86</v>
      </c>
      <c r="C205" s="3223" t="s">
        <v>655</v>
      </c>
      <c r="E205" s="3130">
        <v>0</v>
      </c>
      <c r="F205" s="3128"/>
      <c r="G205" s="3128"/>
      <c r="H205" s="3128"/>
      <c r="I205" s="3128"/>
      <c r="J205" s="3128"/>
      <c r="K205" s="3128"/>
      <c r="L205" s="3128"/>
      <c r="M205" s="3128"/>
      <c r="N205" s="3128"/>
      <c r="O205" s="3128"/>
      <c r="P205" s="3128"/>
      <c r="Q205" s="3128"/>
    </row>
    <row r="206" spans="1:17">
      <c r="A206" s="3128"/>
      <c r="B206" s="623">
        <v>87</v>
      </c>
      <c r="C206" s="3223" t="s">
        <v>653</v>
      </c>
      <c r="E206" s="3130">
        <v>0</v>
      </c>
      <c r="F206" s="3128"/>
      <c r="G206" s="3128"/>
      <c r="H206" s="3128"/>
      <c r="I206" s="3128"/>
      <c r="J206" s="3128"/>
      <c r="K206" s="3128"/>
      <c r="L206" s="3128"/>
      <c r="M206" s="3128"/>
      <c r="N206" s="3128"/>
      <c r="O206" s="3128"/>
      <c r="P206" s="3128"/>
      <c r="Q206" s="3128"/>
    </row>
    <row r="207" spans="1:17">
      <c r="A207" s="3128"/>
      <c r="B207" s="623">
        <v>88</v>
      </c>
      <c r="C207" s="3223" t="s">
        <v>651</v>
      </c>
      <c r="E207" s="3130">
        <v>0</v>
      </c>
      <c r="F207" s="3128"/>
      <c r="G207" s="3128"/>
      <c r="H207" s="3128"/>
      <c r="I207" s="3128"/>
      <c r="J207" s="3128"/>
      <c r="K207" s="3128"/>
      <c r="L207" s="3128"/>
      <c r="M207" s="3128"/>
      <c r="N207" s="3128"/>
      <c r="O207" s="3128"/>
      <c r="P207" s="3128"/>
      <c r="Q207" s="3128"/>
    </row>
    <row r="208" spans="1:17">
      <c r="A208" s="3128"/>
      <c r="B208" s="623">
        <v>89</v>
      </c>
      <c r="C208" s="3223" t="s">
        <v>650</v>
      </c>
      <c r="E208" s="3130">
        <v>0</v>
      </c>
      <c r="F208" s="3128"/>
      <c r="G208" s="3128"/>
      <c r="H208" s="3128"/>
      <c r="I208" s="3128"/>
      <c r="J208" s="3128"/>
      <c r="K208" s="3128"/>
      <c r="L208" s="3128"/>
      <c r="M208" s="3128"/>
      <c r="N208" s="3128"/>
      <c r="O208" s="3128"/>
      <c r="P208" s="3128"/>
      <c r="Q208" s="3128"/>
    </row>
    <row r="209" spans="1:17">
      <c r="A209" s="3128"/>
      <c r="B209" s="623">
        <v>90</v>
      </c>
      <c r="C209" s="3223">
        <v>0</v>
      </c>
      <c r="E209" s="3130">
        <v>0</v>
      </c>
      <c r="F209" s="3128"/>
      <c r="G209" s="3128"/>
      <c r="H209" s="3128"/>
      <c r="I209" s="3128"/>
      <c r="J209" s="3128"/>
      <c r="K209" s="3128"/>
      <c r="L209" s="3128"/>
      <c r="M209" s="3128"/>
      <c r="N209" s="3128"/>
      <c r="O209" s="3128"/>
      <c r="P209" s="3128"/>
      <c r="Q209" s="3128"/>
    </row>
    <row r="210" spans="1:17">
      <c r="A210" s="3128"/>
      <c r="B210" s="623">
        <v>91</v>
      </c>
      <c r="C210" s="3223">
        <v>0</v>
      </c>
      <c r="E210" s="3130">
        <v>0</v>
      </c>
      <c r="F210" s="3128"/>
      <c r="G210" s="3128"/>
      <c r="H210" s="3128"/>
      <c r="I210" s="3128"/>
      <c r="J210" s="3128"/>
      <c r="K210" s="3128"/>
      <c r="L210" s="3128"/>
      <c r="M210" s="3128"/>
      <c r="N210" s="3128"/>
      <c r="O210" s="3128"/>
      <c r="P210" s="3128"/>
      <c r="Q210" s="3128"/>
    </row>
    <row r="211" spans="1:17">
      <c r="A211" s="3128"/>
      <c r="B211" s="623">
        <v>92</v>
      </c>
      <c r="C211" s="3223">
        <v>0</v>
      </c>
      <c r="E211" s="3130">
        <v>0</v>
      </c>
      <c r="F211" s="3128"/>
      <c r="G211" s="3128"/>
      <c r="H211" s="3128"/>
      <c r="I211" s="3128"/>
      <c r="J211" s="3128"/>
      <c r="K211" s="3128"/>
      <c r="L211" s="3128"/>
      <c r="M211" s="3128"/>
      <c r="N211" s="3128"/>
      <c r="O211" s="3128"/>
      <c r="P211" s="3128"/>
      <c r="Q211" s="3128"/>
    </row>
    <row r="212" spans="1:17">
      <c r="A212" s="3128"/>
      <c r="B212" s="623">
        <v>93</v>
      </c>
      <c r="C212" s="3223">
        <v>0</v>
      </c>
      <c r="E212" s="3130">
        <v>0</v>
      </c>
      <c r="F212" s="3128"/>
      <c r="G212" s="3128"/>
      <c r="H212" s="3128"/>
      <c r="I212" s="3128"/>
      <c r="J212" s="3128"/>
      <c r="K212" s="3128"/>
      <c r="L212" s="3128"/>
      <c r="M212" s="3128"/>
      <c r="N212" s="3128"/>
      <c r="O212" s="3128"/>
      <c r="P212" s="3128"/>
      <c r="Q212" s="3128"/>
    </row>
    <row r="213" spans="1:17">
      <c r="A213" s="3128"/>
      <c r="B213" s="623">
        <v>94</v>
      </c>
      <c r="C213" s="3223">
        <v>0</v>
      </c>
      <c r="E213" s="3130">
        <v>0</v>
      </c>
      <c r="F213" s="3128"/>
      <c r="G213" s="3128"/>
      <c r="H213" s="3128"/>
      <c r="I213" s="3128"/>
      <c r="J213" s="3128"/>
      <c r="K213" s="3128"/>
      <c r="L213" s="3128"/>
      <c r="M213" s="3128"/>
      <c r="N213" s="3128"/>
      <c r="O213" s="3128"/>
      <c r="P213" s="3128"/>
      <c r="Q213" s="3128"/>
    </row>
    <row r="214" spans="1:17">
      <c r="A214" s="3128"/>
      <c r="B214" s="623">
        <v>95</v>
      </c>
      <c r="C214" s="3223">
        <v>0</v>
      </c>
      <c r="E214" s="3130">
        <v>0</v>
      </c>
      <c r="F214" s="3128"/>
      <c r="G214" s="3128"/>
      <c r="H214" s="3128"/>
      <c r="I214" s="3128"/>
      <c r="J214" s="3128"/>
      <c r="K214" s="3128"/>
      <c r="L214" s="3128"/>
      <c r="M214" s="3128"/>
      <c r="N214" s="3128"/>
      <c r="O214" s="3128"/>
      <c r="P214" s="3128"/>
      <c r="Q214" s="3128"/>
    </row>
    <row r="215" spans="1:17">
      <c r="A215" s="3128"/>
      <c r="B215" s="623">
        <v>96</v>
      </c>
      <c r="C215" s="3223">
        <v>0</v>
      </c>
      <c r="E215" s="3130">
        <v>0</v>
      </c>
      <c r="F215" s="3128"/>
      <c r="G215" s="3128"/>
      <c r="H215" s="3128"/>
      <c r="I215" s="3128"/>
      <c r="J215" s="3128"/>
      <c r="K215" s="3128"/>
      <c r="L215" s="3128"/>
      <c r="M215" s="3128"/>
      <c r="N215" s="3128"/>
      <c r="O215" s="3128"/>
      <c r="P215" s="3128"/>
      <c r="Q215" s="3128"/>
    </row>
    <row r="216" spans="1:17">
      <c r="A216" s="3128"/>
      <c r="B216" s="623">
        <v>97</v>
      </c>
      <c r="C216" s="3223">
        <v>0</v>
      </c>
      <c r="E216" s="3130">
        <v>0</v>
      </c>
      <c r="F216" s="3128"/>
      <c r="G216" s="3128"/>
      <c r="H216" s="3128"/>
      <c r="I216" s="3128"/>
      <c r="J216" s="3128"/>
      <c r="K216" s="3128"/>
      <c r="L216" s="3128"/>
      <c r="M216" s="3128"/>
      <c r="N216" s="3128"/>
      <c r="O216" s="3128"/>
      <c r="P216" s="3128"/>
      <c r="Q216" s="3128"/>
    </row>
    <row r="217" spans="1:17">
      <c r="A217" s="3128"/>
      <c r="B217" s="623">
        <v>98</v>
      </c>
      <c r="C217" s="3223">
        <v>0</v>
      </c>
      <c r="E217" s="3130">
        <v>0</v>
      </c>
      <c r="F217" s="3128"/>
      <c r="G217" s="3128"/>
      <c r="H217" s="3128"/>
      <c r="I217" s="3128"/>
      <c r="J217" s="3128"/>
      <c r="K217" s="3128"/>
      <c r="L217" s="3128"/>
      <c r="M217" s="3128"/>
      <c r="N217" s="3128"/>
      <c r="O217" s="3128"/>
      <c r="P217" s="3128"/>
      <c r="Q217" s="3128"/>
    </row>
    <row r="218" spans="1:17">
      <c r="A218" s="3128"/>
      <c r="B218" s="623">
        <v>99</v>
      </c>
      <c r="C218" s="3223">
        <v>0</v>
      </c>
      <c r="E218" s="3130">
        <v>0</v>
      </c>
      <c r="F218" s="3128"/>
      <c r="G218" s="3128"/>
      <c r="H218" s="3128"/>
      <c r="I218" s="3128"/>
      <c r="J218" s="3128"/>
      <c r="K218" s="3128"/>
      <c r="L218" s="3128"/>
      <c r="M218" s="3128"/>
      <c r="N218" s="3128"/>
      <c r="O218" s="3128"/>
      <c r="P218" s="3128"/>
      <c r="Q218" s="3128"/>
    </row>
  </sheetData>
  <sheetProtection sheet="1" objects="1" scenarios="1"/>
  <mergeCells count="49">
    <mergeCell ref="C64:E64"/>
    <mergeCell ref="C68:E68"/>
    <mergeCell ref="C73:E73"/>
    <mergeCell ref="C74:E74"/>
    <mergeCell ref="B75:C75"/>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19:F19"/>
    <mergeCell ref="E22:G22"/>
    <mergeCell ref="C20:F20"/>
    <mergeCell ref="C21:F21"/>
    <mergeCell ref="E4:I4"/>
    <mergeCell ref="J4:L4"/>
    <mergeCell ref="K1:L1"/>
    <mergeCell ref="N1:O1"/>
    <mergeCell ref="K2:P2"/>
    <mergeCell ref="J3:L3"/>
    <mergeCell ref="N3:O4"/>
  </mergeCells>
  <dataValidations count="3">
    <dataValidation type="list" showInputMessage="1" showErrorMessage="1" sqref="K14:K17 H14:H17 N14: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1"/>
  <headerFooter alignWithMargins="0">
    <oddFooter>&amp;L&amp;11LEL Schwäbisch Gmünd&amp;C87&amp;R&amp;11&amp;F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1489" r:id="rId4" name="Check Box 1">
              <controlPr defaultSize="0" print="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91490" r:id="rId5" name="Check Box 2">
              <controlPr defaultSize="0" print="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Lohnmaschinen" error="Bitte aus Dropdownliste auswählen.">
          <x14:formula1>
            <xm:f>'SDK3'!#REF!</xm:f>
          </x14:formula1>
          <xm:sqref>C62:E64</xm:sqref>
        </x14:dataValidation>
        <x14:dataValidation type="list" allowBlank="1" showInputMessage="1" showErrorMessage="1" errorTitle="Arbeitsgänge" error="Bitte aus Dropdownliste auswählen.">
          <x14:formula1>
            <xm:f>'SDK3'!#REF!</xm:f>
          </x14:formula1>
          <xm:sqref>C46:D57</xm:sqref>
        </x14:dataValidation>
        <x14:dataValidation type="list" allowBlank="1" showInputMessage="1" showErrorMessage="1" errorTitle="Pflanzenschutzmittel" error="Bitte aus Dropdownliste auswählen.">
          <x14:formula1>
            <xm:f>'SDK5'!$AD$214:$AD$313</xm:f>
          </x14:formula1>
          <xm:sqref>C36:E42</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FF0000"/>
    <pageSetUpPr fitToPage="1"/>
  </sheetPr>
  <dimension ref="A1:L80"/>
  <sheetViews>
    <sheetView workbookViewId="0"/>
  </sheetViews>
  <sheetFormatPr baseColWidth="10" defaultColWidth="11.25" defaultRowHeight="12.75"/>
  <cols>
    <col min="1" max="1" width="1.5" style="33" customWidth="1"/>
    <col min="2" max="2" width="11.25" style="33"/>
    <col min="3" max="3" width="10.5" style="33" bestFit="1" customWidth="1"/>
    <col min="4" max="12" width="11.25" style="33"/>
    <col min="13" max="13" width="4.375" style="33" bestFit="1" customWidth="1"/>
    <col min="14" max="16384" width="11.25" style="33"/>
  </cols>
  <sheetData>
    <row r="1" spans="1:12">
      <c r="A1" s="1969"/>
    </row>
    <row r="2" spans="1:12" ht="24.75" customHeight="1">
      <c r="D2" s="134" t="s">
        <v>1304</v>
      </c>
      <c r="L2" s="3006">
        <f>SDÖ1!O3</f>
        <v>0</v>
      </c>
    </row>
    <row r="3" spans="1:12" ht="2.1" customHeight="1">
      <c r="B3" s="1971"/>
      <c r="C3" s="1970"/>
      <c r="K3" s="128"/>
    </row>
    <row r="4" spans="1:12" ht="13.7" customHeight="1"/>
    <row r="30" spans="1:1">
      <c r="A30" s="1969"/>
    </row>
    <row r="55" spans="1:1">
      <c r="A55" s="1969"/>
    </row>
    <row r="80" spans="1:1">
      <c r="A80" s="1969"/>
    </row>
  </sheetData>
  <sheetProtection selectLockedCells="1"/>
  <printOptions horizontalCentered="1"/>
  <pageMargins left="0.59055118110236227" right="0.57999999999999996" top="0.59055118110236227" bottom="0.59055118110236227" header="0.39370078740157483" footer="0.39370078740157483"/>
  <pageSetup paperSize="9" scale="75" firstPageNumber="85" orientation="portrait" r:id="rId1"/>
  <headerFooter alignWithMargins="0">
    <oddFooter>&amp;L&amp;11LEL Schwäbisch Gmünd&amp;R&amp;11&amp;F</oddFooter>
  </headerFooter>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5">
    <tabColor rgb="FF00B050"/>
    <pageSetUpPr fitToPage="1"/>
  </sheetPr>
  <dimension ref="A1:AO208"/>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7.375" style="32" hidden="1" customWidth="1"/>
    <col min="18" max="34" width="7.375" style="31" hidden="1" customWidth="1"/>
    <col min="35" max="16384" width="10.5" style="31"/>
  </cols>
  <sheetData>
    <row r="1" spans="1:41" s="276" customFormat="1" ht="30.2" customHeight="1">
      <c r="A1" s="2507"/>
      <c r="B1" s="326"/>
      <c r="C1" s="1908"/>
      <c r="D1" s="136"/>
      <c r="E1" s="323"/>
      <c r="F1" s="323"/>
      <c r="G1" s="4908" t="s">
        <v>1694</v>
      </c>
      <c r="H1" s="4908"/>
      <c r="I1" s="4908"/>
      <c r="J1" s="1906">
        <f>(J7+J13+J18+J22+I11+I12)-(J23+J27+J34+J43+J60+J65+J67+J69+J71+J75)</f>
        <v>537.37767393866761</v>
      </c>
      <c r="K1" s="4859">
        <f>M1-J1</f>
        <v>182.92000000000007</v>
      </c>
      <c r="L1" s="4859"/>
      <c r="M1" s="1906">
        <f>(M7+M13+M18+M22+L11+L12)-(M23+M27+M34+M43+M60+M65+M67+M69+M71+M75)</f>
        <v>720.29767393866769</v>
      </c>
      <c r="N1" s="4859">
        <f>P1-M1</f>
        <v>182.91999999999996</v>
      </c>
      <c r="O1" s="4859"/>
      <c r="P1" s="1906">
        <f>(P7+P13+P18+P22+O11+O12)-(P23+P27+P34+P43+P60+P65+P67+P69+P71+P75)</f>
        <v>903.21767393866764</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1345</v>
      </c>
      <c r="L2" s="4870"/>
      <c r="M2" s="4870"/>
      <c r="N2" s="4870"/>
      <c r="O2" s="4870"/>
      <c r="P2" s="4870"/>
      <c r="Q2" s="2507"/>
    </row>
    <row r="3" spans="1:41" s="276" customFormat="1" ht="21.75" customHeight="1">
      <c r="A3" s="2507"/>
      <c r="B3" s="1903" t="s">
        <v>1693</v>
      </c>
      <c r="G3" s="1891"/>
      <c r="H3" s="1902"/>
      <c r="J3" s="33"/>
      <c r="K3" s="33"/>
      <c r="L3" s="33"/>
      <c r="M3" s="33"/>
      <c r="O3" s="33"/>
      <c r="P3" s="1900"/>
      <c r="Q3" s="4907"/>
      <c r="R3" s="4907"/>
      <c r="S3" s="4907"/>
      <c r="T3" s="1918" t="b">
        <v>0</v>
      </c>
    </row>
    <row r="4" spans="1:41" s="276" customFormat="1" ht="20.25" customHeight="1">
      <c r="A4" s="2507"/>
      <c r="B4" s="377" t="s">
        <v>1154</v>
      </c>
      <c r="C4" s="31"/>
      <c r="D4" s="31"/>
      <c r="E4" s="4830" t="s">
        <v>2044</v>
      </c>
      <c r="F4" s="4830"/>
      <c r="G4" s="4830"/>
      <c r="H4" s="4830"/>
      <c r="I4" s="4830"/>
      <c r="J4" s="33"/>
      <c r="K4" s="33"/>
      <c r="L4" s="33"/>
      <c r="M4" s="33"/>
      <c r="O4" s="33"/>
      <c r="P4" s="1896">
        <f>SDÖ1!O3</f>
        <v>0</v>
      </c>
      <c r="Q4" s="4907"/>
      <c r="R4" s="4907"/>
      <c r="S4" s="4907"/>
      <c r="T4" s="1918" t="b">
        <v>0</v>
      </c>
    </row>
    <row r="5" spans="1:41" ht="6" customHeight="1">
      <c r="Q5" s="4907"/>
      <c r="R5" s="4907"/>
      <c r="S5" s="4907"/>
    </row>
    <row r="6" spans="1:41" s="1885" customFormat="1" ht="24" customHeight="1">
      <c r="A6" s="48"/>
      <c r="B6" s="1890" t="s">
        <v>1207</v>
      </c>
      <c r="C6" s="1889"/>
      <c r="D6" s="1889"/>
      <c r="E6" s="3099" t="s">
        <v>1692</v>
      </c>
      <c r="F6" s="1889"/>
      <c r="G6" s="1888"/>
      <c r="H6" s="4864" t="s">
        <v>179</v>
      </c>
      <c r="I6" s="4865"/>
      <c r="J6" s="1887">
        <v>300</v>
      </c>
      <c r="K6" s="4849" t="s">
        <v>152</v>
      </c>
      <c r="L6" s="4850"/>
      <c r="M6" s="1887">
        <v>400</v>
      </c>
      <c r="N6" s="4864" t="s">
        <v>178</v>
      </c>
      <c r="O6" s="4865"/>
      <c r="P6" s="1886">
        <v>500</v>
      </c>
      <c r="Q6" s="4907"/>
      <c r="R6" s="4907"/>
      <c r="S6" s="4907"/>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c r="G9" s="1794"/>
      <c r="H9" s="1877">
        <f>J6-H10</f>
        <v>300</v>
      </c>
      <c r="I9" s="1873">
        <f>H9*G9</f>
        <v>0</v>
      </c>
      <c r="J9" s="43"/>
      <c r="K9" s="1876">
        <f>M6-K10</f>
        <v>400</v>
      </c>
      <c r="L9" s="1875">
        <f>K9*G9</f>
        <v>0</v>
      </c>
      <c r="M9" s="1854"/>
      <c r="N9" s="1874">
        <f>P6-N10</f>
        <v>500</v>
      </c>
      <c r="O9" s="1873">
        <f>N9*G9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100</v>
      </c>
      <c r="K13" s="1826"/>
      <c r="L13" s="1825"/>
      <c r="M13" s="1617">
        <f>SUM(L14:L17)</f>
        <v>100</v>
      </c>
      <c r="N13" s="1824"/>
      <c r="O13" s="1823"/>
      <c r="P13" s="1614">
        <f>SUM(O14:O16)</f>
        <v>100</v>
      </c>
      <c r="Q13" s="32"/>
      <c r="R13" s="136"/>
      <c r="U13" s="42"/>
      <c r="V13" s="42"/>
      <c r="W13" s="42" t="s">
        <v>246</v>
      </c>
      <c r="X13" s="1834">
        <f>$X$12*F30</f>
        <v>0</v>
      </c>
      <c r="Y13" s="1834">
        <f>$Y$12*F30</f>
        <v>0</v>
      </c>
      <c r="Z13" s="1834">
        <f>$Z$12*F30</f>
        <v>0</v>
      </c>
      <c r="AI13" s="4090"/>
    </row>
    <row r="14" spans="1:41" s="42" customFormat="1" ht="15" customHeight="1">
      <c r="A14" s="45"/>
      <c r="B14" s="1821"/>
      <c r="C14" s="4833" t="s">
        <v>2108</v>
      </c>
      <c r="D14" s="4833"/>
      <c r="E14" s="4833"/>
      <c r="F14" s="4833"/>
      <c r="G14" s="1837"/>
      <c r="H14" s="1967" t="s">
        <v>1299</v>
      </c>
      <c r="I14" s="1817">
        <f>IF(H14="ja",Q14,0)</f>
        <v>100</v>
      </c>
      <c r="J14" s="45"/>
      <c r="K14" s="1836" t="s">
        <v>1299</v>
      </c>
      <c r="L14" s="1671">
        <f>IF(K14="ja",Q14,0)</f>
        <v>100</v>
      </c>
      <c r="M14" s="1589"/>
      <c r="N14" s="1836" t="s">
        <v>1299</v>
      </c>
      <c r="O14" s="1817">
        <f>IF(N14="ja",Q14,0)</f>
        <v>100</v>
      </c>
      <c r="P14" s="1586"/>
      <c r="Q14" s="1835">
        <f>IF(C14=0,0,VLOOKUP(C14,'SD2'!$C$11:$N$49,'SD2'!$N$1,FALSE))</f>
        <v>100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967" t="s">
        <v>1246</v>
      </c>
      <c r="I15" s="1817">
        <f>IF(H15="ja",Q15,0)</f>
        <v>0</v>
      </c>
      <c r="J15" s="45"/>
      <c r="K15" s="1967" t="s">
        <v>1246</v>
      </c>
      <c r="L15" s="1671">
        <f>IF(K15="ja",Q15,0)</f>
        <v>0</v>
      </c>
      <c r="M15" s="1589"/>
      <c r="N15" s="1967"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4100"/>
      <c r="H19" s="1818"/>
      <c r="I19" s="3965">
        <f>IF(OR($C19=0,$J$6=0),0,VLOOKUP($C19,'SD2'!C59:N75,12,FALSE))</f>
        <v>158</v>
      </c>
      <c r="J19" s="45"/>
      <c r="K19" s="1819"/>
      <c r="L19" s="1671">
        <f>IF(OR($C19=0,$M$6=0),0,VLOOKUP($C19,'SD2'!$C$59:$N$75,12,FALSE))</f>
        <v>158</v>
      </c>
      <c r="M19" s="1589"/>
      <c r="N19" s="1818"/>
      <c r="O19" s="1817">
        <f>IF(OR($C19=0,$P$6=0),0,VLOOKUP($C19,'SD2'!C59:N75,12,FALSE))</f>
        <v>158</v>
      </c>
      <c r="P19" s="1586"/>
      <c r="R19" s="1816">
        <f>J13+J18</f>
        <v>455.4</v>
      </c>
      <c r="S19" s="1816">
        <f>M13+M18</f>
        <v>455.4</v>
      </c>
      <c r="T19" s="1816">
        <f>P13+P18</f>
        <v>455.4</v>
      </c>
    </row>
    <row r="20" spans="1:20" s="4056" customFormat="1" ht="15.6" customHeight="1">
      <c r="A20" s="3913"/>
      <c r="B20" s="1821"/>
      <c r="C20" s="4058" t="s">
        <v>2182</v>
      </c>
      <c r="D20" s="4058"/>
      <c r="E20" s="4058"/>
      <c r="F20" s="4058"/>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58"/>
      <c r="E21" s="4058"/>
      <c r="F21" s="4058"/>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200</v>
      </c>
      <c r="K23" s="1619"/>
      <c r="L23" s="1618"/>
      <c r="M23" s="1800">
        <f>SUM(L25:L26)</f>
        <v>200</v>
      </c>
      <c r="N23" s="1616"/>
      <c r="O23" s="1615"/>
      <c r="P23" s="1599">
        <f>SUM(O25:O26)</f>
        <v>200</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5</v>
      </c>
      <c r="G25" s="1794">
        <f>F25*(100+$D$24)/100</f>
        <v>5</v>
      </c>
      <c r="H25" s="1793">
        <v>40</v>
      </c>
      <c r="I25" s="1754">
        <f>H25*$G25</f>
        <v>200</v>
      </c>
      <c r="J25" s="45"/>
      <c r="K25" s="1793">
        <f>H25</f>
        <v>40</v>
      </c>
      <c r="L25" s="1596">
        <f>K25*$G25</f>
        <v>200</v>
      </c>
      <c r="M25" s="1589"/>
      <c r="N25" s="1793">
        <f>H25</f>
        <v>40</v>
      </c>
      <c r="O25" s="1754">
        <f>N25*$G25</f>
        <v>200</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-453.33333333333331</v>
      </c>
      <c r="K27" s="1748"/>
      <c r="L27" s="1747"/>
      <c r="M27" s="1617">
        <f>SUM(L30:L33)</f>
        <v>-634.66666666666663</v>
      </c>
      <c r="N27" s="1746"/>
      <c r="O27" s="1745"/>
      <c r="P27" s="1614">
        <f>SUM(O30:O33)</f>
        <v>-816</v>
      </c>
      <c r="Q27" s="32"/>
    </row>
    <row r="28" spans="1:20" s="42" customFormat="1" ht="15" customHeight="1">
      <c r="A28" s="1306"/>
      <c r="B28" s="1334"/>
      <c r="C28" s="3064"/>
      <c r="D28" s="1786" t="s">
        <v>1075</v>
      </c>
      <c r="E28" s="1786" t="s">
        <v>1239</v>
      </c>
      <c r="F28" s="1786" t="s">
        <v>1239</v>
      </c>
      <c r="G28" s="1785" t="s">
        <v>1238</v>
      </c>
      <c r="H28" s="1745"/>
      <c r="I28" s="1782"/>
      <c r="J28" s="3065"/>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64"/>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VLOOKUP($K$2,'SD8'!$B$9:$K$44,3,FALSE)</f>
        <v>-2</v>
      </c>
      <c r="F30" s="1774"/>
      <c r="G30" s="1773">
        <v>20</v>
      </c>
      <c r="H30" s="1771">
        <f>IF(J$6=0,0,(J$6*0.2*$E30+$G30+X13))</f>
        <v>-100</v>
      </c>
      <c r="I30" s="1754">
        <f>H30*$D30</f>
        <v>-453.33333333333331</v>
      </c>
      <c r="J30" s="45"/>
      <c r="K30" s="1772">
        <f>IF(M$6=0,0,(M$6*0.2*$E30+$G30+AA13))</f>
        <v>-140</v>
      </c>
      <c r="L30" s="1596">
        <f>K30*$D30</f>
        <v>-634.66666666666663</v>
      </c>
      <c r="M30" s="1589"/>
      <c r="N30" s="1771">
        <f>IF(P$6=0,0,(P$6*0.2*$E30+$G30+AD13))</f>
        <v>-180</v>
      </c>
      <c r="O30" s="1754">
        <f>N30*$D30</f>
        <v>-816</v>
      </c>
      <c r="P30" s="1718"/>
      <c r="Q30" s="32"/>
    </row>
    <row r="31" spans="1:20" s="42" customFormat="1" ht="15" customHeight="1">
      <c r="A31" s="1306"/>
      <c r="B31" s="274"/>
      <c r="C31" s="1306" t="s">
        <v>244</v>
      </c>
      <c r="D31" s="1723">
        <f>IF(SDÖ1!$U$17=TRUE,SDÖ1!O56,0)</f>
        <v>1.3999999999999997</v>
      </c>
      <c r="E31" s="1774">
        <v>0</v>
      </c>
      <c r="F31" s="1774"/>
      <c r="G31" s="1773"/>
      <c r="H31" s="1771">
        <f>IF(J$6=0,0,(J$6*0.2*$E31+$G31+X14))</f>
        <v>0</v>
      </c>
      <c r="I31" s="1754">
        <f>H31*$D31</f>
        <v>0</v>
      </c>
      <c r="J31" s="45"/>
      <c r="K31" s="1772">
        <f>IF(M$6=0,0,(M$6*0.2*$E31+$G31+AA14))</f>
        <v>0</v>
      </c>
      <c r="L31" s="1596">
        <f>K31*$D31</f>
        <v>0</v>
      </c>
      <c r="M31" s="1589"/>
      <c r="N31" s="1771">
        <f>IF(P$6=0,0,(P$6*0.2*$E31+$G31+AD14))</f>
        <v>0</v>
      </c>
      <c r="O31" s="1754">
        <f>N31*$D31</f>
        <v>0</v>
      </c>
      <c r="P31" s="1718"/>
      <c r="Q31" s="32"/>
    </row>
    <row r="32" spans="1:20" s="708" customFormat="1" ht="18.75" customHeight="1">
      <c r="A32" s="1270"/>
      <c r="B32" s="274"/>
      <c r="C32" s="1306" t="s">
        <v>242</v>
      </c>
      <c r="D32" s="1723">
        <f>IF(SDÖ1!$U$17=TRUE,SDÖ1!O57,0)</f>
        <v>1.3999999999999997</v>
      </c>
      <c r="E32" s="1774">
        <v>0</v>
      </c>
      <c r="F32" s="1774"/>
      <c r="G32" s="1773"/>
      <c r="H32" s="1771">
        <f>IF(J$6=0,0,(J$6*0.2*$E32+$G32+X15))</f>
        <v>0</v>
      </c>
      <c r="I32" s="1754">
        <f>H32*$D32</f>
        <v>0</v>
      </c>
      <c r="J32" s="45"/>
      <c r="K32" s="1772">
        <f>IF(M$6=0,0,(M$6*0.2*$E32+$G32+AA15))</f>
        <v>0</v>
      </c>
      <c r="L32" s="1596">
        <f>K32*$D32</f>
        <v>0</v>
      </c>
      <c r="M32" s="1589"/>
      <c r="N32" s="1771">
        <f>IF(P$6=0,0,(P$6*0.2*$E32+$G32+AD15))</f>
        <v>0</v>
      </c>
      <c r="O32" s="1754">
        <f>N32*$D32</f>
        <v>0</v>
      </c>
      <c r="P32" s="1718"/>
      <c r="Q32" s="32"/>
    </row>
    <row r="33" spans="1:17" s="708" customFormat="1" ht="13.15" customHeight="1">
      <c r="A33" s="1270"/>
      <c r="B33" s="239"/>
      <c r="C33" s="1331" t="s">
        <v>240</v>
      </c>
      <c r="D33" s="1706">
        <f>IF(SDÖ1!$U$17=TRUE,SDÖ1!O58,0)</f>
        <v>0.5</v>
      </c>
      <c r="E33" s="3643">
        <v>0</v>
      </c>
      <c r="F33" s="1770"/>
      <c r="G33" s="1769"/>
      <c r="H33" s="1767">
        <f>IF(J$6=0,0,(J$6*0.2*$E33+$G33+X16))</f>
        <v>0</v>
      </c>
      <c r="I33" s="1750">
        <f>H33*$D33</f>
        <v>0</v>
      </c>
      <c r="J33" s="45"/>
      <c r="K33" s="1768">
        <f>IF(M$6=0,0,(M$6*0.2*$E33+$G33+AA16))</f>
        <v>0</v>
      </c>
      <c r="L33" s="1590">
        <f>K33*$D33</f>
        <v>0</v>
      </c>
      <c r="M33" s="1589"/>
      <c r="N33" s="1767">
        <f>IF(P$6=0,0,(P$6*0.2*$E33+$G33+AD16))</f>
        <v>0</v>
      </c>
      <c r="O33" s="1750">
        <f>N33*$D33</f>
        <v>0</v>
      </c>
      <c r="P33" s="1749"/>
      <c r="Q33" s="32"/>
    </row>
    <row r="34" spans="1:17" s="42" customFormat="1" ht="15" customHeight="1">
      <c r="A34" s="1306"/>
      <c r="B34" s="1276" t="s">
        <v>1685</v>
      </c>
      <c r="C34" s="1270"/>
      <c r="D34" s="3064"/>
      <c r="E34" s="3064"/>
      <c r="F34" s="4831"/>
      <c r="G34" s="4832" t="s">
        <v>171</v>
      </c>
      <c r="H34" s="1764"/>
      <c r="I34" s="1763"/>
      <c r="J34" s="1614">
        <f>SUM(I36:I42)</f>
        <v>0</v>
      </c>
      <c r="K34" s="1766"/>
      <c r="L34" s="1765"/>
      <c r="M34" s="1617">
        <f>SUM(L36:L42)</f>
        <v>0</v>
      </c>
      <c r="N34" s="1764"/>
      <c r="O34" s="1763"/>
      <c r="P34" s="1614">
        <f>SUM(O36:O42)</f>
        <v>0</v>
      </c>
      <c r="Q34" s="38"/>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172.0667420682353</v>
      </c>
      <c r="K43" s="1748"/>
      <c r="L43" s="1747"/>
      <c r="M43" s="1617">
        <f>SUM(M46:M57)</f>
        <v>172.0667420682353</v>
      </c>
      <c r="N43" s="1746"/>
      <c r="O43" s="1745"/>
      <c r="P43" s="1614">
        <f>SUM(P46:P57)</f>
        <v>172.0667420682353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t="s">
        <v>515</v>
      </c>
      <c r="D46" s="4863"/>
      <c r="E46" s="1725">
        <f>IF($C46=0,0,VLOOKUP($C46,SDÖ3!$C$24:$O$99,4,FALSE))</f>
        <v>120</v>
      </c>
      <c r="F46" s="1724">
        <f>IF($C46=0,0,VLOOKUP($C46,SDÖ3!$C$24:$O$99,12,FALSE))</f>
        <v>1.46</v>
      </c>
      <c r="G46" s="1723">
        <f>IF($C46=0,0,VLOOKUP($C46,SDÖ3!$C$24:$O$99,13,FALSE))</f>
        <v>56.986584941176474</v>
      </c>
      <c r="H46" s="1728">
        <v>1</v>
      </c>
      <c r="I46" s="1727">
        <f t="shared" ref="I46:I57" si="4">$F46*H46</f>
        <v>1.46</v>
      </c>
      <c r="J46" s="1718">
        <f t="shared" ref="J46:J57" si="5">H46*$G46</f>
        <v>56.986584941176474</v>
      </c>
      <c r="K46" s="1728">
        <v>1</v>
      </c>
      <c r="L46" s="1729">
        <f t="shared" ref="L46:L57" si="6">$F46*K46</f>
        <v>1.46</v>
      </c>
      <c r="M46" s="1721">
        <f t="shared" ref="M46:M57" si="7">K46*$G46</f>
        <v>56.986584941176474</v>
      </c>
      <c r="N46" s="1728">
        <v>1</v>
      </c>
      <c r="O46" s="1727">
        <f t="shared" ref="O46:O57" si="8">$F46*N46</f>
        <v>1.46</v>
      </c>
      <c r="P46" s="1718">
        <f t="shared" ref="P46:P57" si="9">N46*$G46</f>
        <v>56.986584941176474</v>
      </c>
      <c r="Q46" s="38"/>
    </row>
    <row r="47" spans="1:17" s="42" customFormat="1" ht="15" customHeight="1">
      <c r="A47" s="1306"/>
      <c r="B47" s="1726"/>
      <c r="C47" s="4835" t="s">
        <v>512</v>
      </c>
      <c r="D47" s="4836"/>
      <c r="E47" s="1725">
        <f>IF($C47=0,0,VLOOKUP($C47,SDÖ3!$C$24:$O$99,4,FALSE))</f>
        <v>102</v>
      </c>
      <c r="F47" s="1724">
        <f>IF($C47=0,0,VLOOKUP($C47,SDÖ3!$C$24:$O$99,12,FALSE))</f>
        <v>0.93</v>
      </c>
      <c r="G47" s="1723">
        <f>IF($C47=0,0,VLOOKUP($C47,SDÖ3!$C$24:$O$99,13,FALSE))</f>
        <v>23.733808400000004</v>
      </c>
      <c r="H47" s="1720">
        <v>1</v>
      </c>
      <c r="I47" s="1719">
        <f t="shared" si="4"/>
        <v>0.93</v>
      </c>
      <c r="J47" s="1718">
        <f t="shared" si="5"/>
        <v>23.733808400000004</v>
      </c>
      <c r="K47" s="1720">
        <v>1</v>
      </c>
      <c r="L47" s="1722">
        <f t="shared" si="6"/>
        <v>0.93</v>
      </c>
      <c r="M47" s="1721">
        <f t="shared" si="7"/>
        <v>23.733808400000004</v>
      </c>
      <c r="N47" s="1720">
        <v>1</v>
      </c>
      <c r="O47" s="1719">
        <f t="shared" si="8"/>
        <v>0.93</v>
      </c>
      <c r="P47" s="1718">
        <f t="shared" si="9"/>
        <v>23.733808400000004</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2"/>
    </row>
    <row r="49" spans="1:17" s="42" customFormat="1" ht="15" customHeight="1">
      <c r="A49" s="1306"/>
      <c r="B49" s="1726"/>
      <c r="C49" s="4835" t="s">
        <v>497</v>
      </c>
      <c r="D49" s="4836"/>
      <c r="E49" s="1725">
        <f>IF($C49=0,0,VLOOKUP($C49,SDÖ3!$C$24:$O$99,4,FALSE))</f>
        <v>83</v>
      </c>
      <c r="F49" s="1724">
        <f>IF($C49=0,0,VLOOKUP($C49,SDÖ3!$C$24:$O$99,12,FALSE))</f>
        <v>0.61</v>
      </c>
      <c r="G49" s="1723">
        <f>IF($C49=0,0,VLOOKUP($C49,SDÖ3!$C$24:$O$99,13,FALSE))</f>
        <v>10.780813997647058</v>
      </c>
      <c r="H49" s="1720">
        <v>1</v>
      </c>
      <c r="I49" s="1719">
        <f t="shared" si="4"/>
        <v>0.61</v>
      </c>
      <c r="J49" s="1718">
        <f t="shared" si="5"/>
        <v>10.780813997647058</v>
      </c>
      <c r="K49" s="1720">
        <v>1</v>
      </c>
      <c r="L49" s="1722">
        <f t="shared" si="6"/>
        <v>0.61</v>
      </c>
      <c r="M49" s="1721">
        <f t="shared" si="7"/>
        <v>10.780813997647058</v>
      </c>
      <c r="N49" s="1720">
        <v>1</v>
      </c>
      <c r="O49" s="1719">
        <f t="shared" si="8"/>
        <v>0.61</v>
      </c>
      <c r="P49" s="1718">
        <f t="shared" si="9"/>
        <v>10.780813997647058</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t="s">
        <v>450</v>
      </c>
      <c r="D51" s="4836"/>
      <c r="E51" s="1725">
        <f>IF($C51=0,0,VLOOKUP($C51,SDÖ3!$C$24:$O$99,4,FALSE))</f>
        <v>83</v>
      </c>
      <c r="F51" s="1724">
        <f>IF($C51=0,0,VLOOKUP($C51,SDÖ3!$C$24:$O$99,12,FALSE))</f>
        <v>1.19</v>
      </c>
      <c r="G51" s="1723">
        <f>IF($C51=0,0,VLOOKUP($C51,SDÖ3!$C$24:$O$99,13,FALSE))</f>
        <v>23.494563599999999</v>
      </c>
      <c r="H51" s="1720">
        <v>2</v>
      </c>
      <c r="I51" s="1719">
        <f t="shared" si="4"/>
        <v>2.38</v>
      </c>
      <c r="J51" s="1718">
        <f t="shared" si="5"/>
        <v>46.989127199999999</v>
      </c>
      <c r="K51" s="1720">
        <v>2</v>
      </c>
      <c r="L51" s="1722">
        <f t="shared" si="6"/>
        <v>2.38</v>
      </c>
      <c r="M51" s="1721">
        <f t="shared" si="7"/>
        <v>46.989127199999999</v>
      </c>
      <c r="N51" s="1720">
        <v>2</v>
      </c>
      <c r="O51" s="1719">
        <f t="shared" si="8"/>
        <v>2.38</v>
      </c>
      <c r="P51" s="1718">
        <f t="shared" si="9"/>
        <v>46.989127199999999</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35.450000000000003" customHeight="1">
      <c r="A57" s="1306"/>
      <c r="B57" s="1657"/>
      <c r="C57" s="4847"/>
      <c r="D57" s="4848"/>
      <c r="E57" s="3617">
        <f>IF($C57=0,0,VLOOKUP($C57,SDÖ3!$C$24:$O$99,4,FALSE))</f>
        <v>0</v>
      </c>
      <c r="F57" s="3618">
        <f>IF($C57=0,0,VLOOKUP($C57,SDÖ3!$C$24:$O$99,12,FALSE))</f>
        <v>0</v>
      </c>
      <c r="G57" s="3619">
        <f>IF($C57=0,0,VLOOKUP($C57,SDÖ3!$C$24:$O$99,13,FALSE))</f>
        <v>0</v>
      </c>
      <c r="H57" s="1704"/>
      <c r="I57" s="1703">
        <f t="shared" si="4"/>
        <v>0</v>
      </c>
      <c r="J57" s="1702">
        <f t="shared" si="5"/>
        <v>0</v>
      </c>
      <c r="K57" s="1704"/>
      <c r="L57" s="1705">
        <f t="shared" si="6"/>
        <v>0</v>
      </c>
      <c r="M57" s="1652">
        <f t="shared" si="7"/>
        <v>0</v>
      </c>
      <c r="N57" s="1704"/>
      <c r="O57" s="1703">
        <f t="shared" si="8"/>
        <v>0</v>
      </c>
      <c r="P57" s="1702">
        <f t="shared" si="9"/>
        <v>0</v>
      </c>
      <c r="Q57" s="32"/>
    </row>
    <row r="58" spans="1:17" s="708" customFormat="1" ht="18.75" customHeight="1">
      <c r="A58" s="1270"/>
      <c r="B58" s="1276" t="s">
        <v>1223</v>
      </c>
      <c r="C58" s="1373"/>
      <c r="D58" s="1373"/>
      <c r="E58" s="1373"/>
      <c r="F58" s="38"/>
      <c r="G58" s="1620"/>
      <c r="H58" s="1697"/>
      <c r="I58" s="1696">
        <f>SUM($I$46:$I$57)</f>
        <v>6.41</v>
      </c>
      <c r="J58" s="1701"/>
      <c r="K58" s="1700"/>
      <c r="L58" s="1699">
        <f>SUM($L$46:$L$57)</f>
        <v>6.41</v>
      </c>
      <c r="M58" s="1698"/>
      <c r="N58" s="1697"/>
      <c r="O58" s="1696">
        <f>SUM($O$46:$O$57)</f>
        <v>6.41</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11.538</v>
      </c>
      <c r="J59" s="1686"/>
      <c r="K59" s="1691"/>
      <c r="L59" s="1690">
        <f>IF(L58+SUM($L$46:$L$57)*$E$59%&gt;L58+10,L58+10,L58+SUM($L$46:$L$57)*$E$59%)</f>
        <v>11.538</v>
      </c>
      <c r="M59" s="1689"/>
      <c r="N59" s="1688"/>
      <c r="O59" s="1687">
        <f>IF(O58+SUM($O$46:$O$57)*$E$59%&gt;O58+10,O58+10,O58+SUM($O$46:$O$57)*$E$59%)</f>
        <v>11.538</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IF($C62=0,0,VLOOKUP($C62,SDÖ3!$C$137:$D$162,2,FALSE))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2431">
        <f>IF($C63=0,0,VLOOKUP($C63,SDÖ3!$C$137:$D$162,2,FALSE))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3641">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4.4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15.6"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6" customHeight="1">
      <c r="A68" s="1270"/>
      <c r="B68" s="1637"/>
      <c r="C68" s="4839" t="s">
        <v>1215</v>
      </c>
      <c r="D68" s="4839"/>
      <c r="E68" s="4839"/>
      <c r="F68" s="1636"/>
      <c r="G68" s="1627" t="s">
        <v>171</v>
      </c>
      <c r="H68" s="1634"/>
      <c r="I68" s="1633">
        <v>50</v>
      </c>
      <c r="J68" s="1632"/>
      <c r="K68" s="1634"/>
      <c r="L68" s="1633">
        <v>50</v>
      </c>
      <c r="M68" s="1635"/>
      <c r="N68" s="1634"/>
      <c r="O68" s="1633">
        <v>50</v>
      </c>
      <c r="P68" s="1632"/>
      <c r="Q68" s="32"/>
      <c r="R68" s="1944">
        <f>IF($H$68=0,0,VLOOKUP($H$68,'SD6'!B8:C101,'SD6'!C1,FALSE))*(1+'SDK1'!O11/100)</f>
        <v>0</v>
      </c>
      <c r="S68" s="1944">
        <f>IF($H$68=0,0,VLOOKUP($H$68,'SD6'!C8:D101,'SD6'!D1,FALSE))*(1+'SDK1'!P11/100)</f>
        <v>0</v>
      </c>
      <c r="T68" s="1944">
        <f>IF($H$68=0,0,VLOOKUP($H$68,'SD6'!D8:E101,'SD6'!E1,FALSE))*(1+'SDK1'!Q11/100)</f>
        <v>0</v>
      </c>
    </row>
    <row r="69" spans="1:20" s="708" customFormat="1" ht="13.9"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3.9"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4.9" customHeight="1">
      <c r="A75" s="1270"/>
      <c r="B75" s="4837" t="s">
        <v>1210</v>
      </c>
      <c r="C75" s="4838"/>
      <c r="D75" s="1585" t="s">
        <v>1209</v>
      </c>
      <c r="E75" s="1584">
        <f>'SDK1'!$O$59/100</f>
        <v>1.4999999999999999E-2</v>
      </c>
      <c r="F75" s="1583" t="s">
        <v>1208</v>
      </c>
      <c r="G75" s="1582">
        <v>7</v>
      </c>
      <c r="H75" s="1580"/>
      <c r="I75" s="1581"/>
      <c r="J75" s="1578">
        <f>(J23+J27+J34+J43+J60+J65+J67+J69+J71)*('SDK1'!$O$59%*$G$75/12)</f>
        <v>-0.71108267356960753</v>
      </c>
      <c r="K75" s="3063"/>
      <c r="L75" s="1056"/>
      <c r="M75" s="1578">
        <f>(M23+M27+M34+M43+M60+M65+M67+M69+M71)*('SDK1'!$O$59%*$G$75/12)</f>
        <v>-2.2977493402362743</v>
      </c>
      <c r="N75" s="1580"/>
      <c r="O75" s="1579"/>
      <c r="P75" s="1578">
        <f>(P23+P27+P34+P43+P60+P65+P67+P69+P71)*('SDK1'!$O$59%*$G$75/12)</f>
        <v>-3.8844160069029408</v>
      </c>
      <c r="Q75" s="32"/>
    </row>
    <row r="77" spans="1:20" ht="15.6" customHeight="1">
      <c r="F77" s="32" t="s">
        <v>1270</v>
      </c>
    </row>
    <row r="78" spans="1:20" ht="13.9" customHeight="1">
      <c r="C78" s="3095" t="s">
        <v>1946</v>
      </c>
      <c r="D78" s="3096"/>
      <c r="E78" s="3096"/>
      <c r="F78" s="3097"/>
      <c r="G78" s="3636"/>
      <c r="H78" s="3636"/>
      <c r="I78" s="3636"/>
      <c r="J78" s="3636"/>
      <c r="K78" s="3636"/>
      <c r="L78" s="3636"/>
      <c r="M78" s="3636"/>
      <c r="N78" s="3636"/>
      <c r="O78" s="3636"/>
      <c r="P78" s="3636"/>
    </row>
    <row r="79" spans="1:20">
      <c r="C79" s="3088" t="s">
        <v>295</v>
      </c>
      <c r="D79" s="3077"/>
      <c r="E79" s="3077"/>
      <c r="F79" s="3079"/>
      <c r="G79" s="3636"/>
      <c r="H79" s="3636"/>
      <c r="I79" s="3636"/>
      <c r="J79" s="3636"/>
      <c r="K79" s="3636"/>
      <c r="L79" s="3636"/>
      <c r="M79" s="3636"/>
      <c r="N79" s="3636"/>
      <c r="O79" s="3636"/>
      <c r="P79" s="3636"/>
    </row>
    <row r="80" spans="1:20" ht="13.9" customHeight="1">
      <c r="C80" s="3085" t="s">
        <v>1942</v>
      </c>
      <c r="D80" s="3086"/>
      <c r="E80" s="3086"/>
      <c r="F80" s="3087"/>
      <c r="G80" s="3636"/>
      <c r="H80" s="3636"/>
      <c r="I80" s="3636"/>
      <c r="J80" s="3636"/>
      <c r="K80" s="3636"/>
      <c r="L80" s="3636"/>
      <c r="M80" s="3636"/>
      <c r="N80" s="3636"/>
      <c r="O80" s="3636"/>
      <c r="P80" s="3636"/>
    </row>
    <row r="81" spans="3:16" ht="13.9" customHeight="1">
      <c r="C81" s="3085" t="s">
        <v>1943</v>
      </c>
      <c r="D81" s="3086"/>
      <c r="E81" s="3086"/>
      <c r="F81" s="3087"/>
      <c r="G81" s="3636"/>
      <c r="H81" s="3636"/>
      <c r="I81" s="3636"/>
      <c r="J81" s="3636"/>
      <c r="K81" s="3636"/>
      <c r="L81" s="3636"/>
      <c r="M81" s="3636"/>
      <c r="N81" s="3636"/>
      <c r="O81" s="3636"/>
      <c r="P81" s="3636"/>
    </row>
    <row r="82" spans="3:16">
      <c r="C82" s="3088" t="s">
        <v>294</v>
      </c>
      <c r="D82" s="3089"/>
      <c r="E82" s="3089"/>
      <c r="F82" s="3090"/>
      <c r="G82" s="3636"/>
      <c r="H82" s="3636"/>
      <c r="I82" s="3636"/>
      <c r="J82" s="3636"/>
      <c r="K82" s="3636"/>
      <c r="L82" s="3636"/>
      <c r="M82" s="3636"/>
      <c r="N82" s="3636"/>
      <c r="O82" s="3636"/>
      <c r="P82" s="3636"/>
    </row>
    <row r="83" spans="3:16" ht="13.9" customHeight="1">
      <c r="C83" s="3074" t="s">
        <v>1944</v>
      </c>
      <c r="D83" s="3075"/>
      <c r="E83" s="3075"/>
      <c r="F83" s="3076"/>
      <c r="G83" s="3636"/>
      <c r="H83" s="3636"/>
      <c r="I83" s="3636"/>
      <c r="J83" s="3636"/>
      <c r="K83" s="3636"/>
      <c r="L83" s="3636"/>
      <c r="M83" s="3636"/>
      <c r="N83" s="3636"/>
      <c r="O83" s="3636"/>
      <c r="P83" s="3636"/>
    </row>
    <row r="84" spans="3:16" ht="13.9" customHeight="1">
      <c r="C84" s="3074" t="s">
        <v>1945</v>
      </c>
      <c r="D84" s="3075"/>
      <c r="E84" s="3075"/>
      <c r="F84" s="3076"/>
      <c r="G84" s="3636"/>
      <c r="H84" s="3636"/>
      <c r="I84" s="3636"/>
      <c r="J84" s="3636"/>
      <c r="K84" s="3636"/>
      <c r="L84" s="3636"/>
      <c r="M84" s="3636"/>
      <c r="N84" s="3636"/>
      <c r="O84" s="3636"/>
      <c r="P84" s="3636"/>
    </row>
    <row r="85" spans="3:16">
      <c r="C85" s="3088" t="s">
        <v>293</v>
      </c>
      <c r="D85" s="3089"/>
      <c r="E85" s="3089"/>
      <c r="F85" s="3090"/>
      <c r="G85" s="3636"/>
      <c r="H85" s="3636"/>
      <c r="I85" s="3636"/>
      <c r="J85" s="3636"/>
      <c r="K85" s="3636"/>
      <c r="L85" s="3636"/>
      <c r="M85" s="3636"/>
      <c r="N85" s="3636"/>
      <c r="O85" s="3636"/>
      <c r="P85" s="3636"/>
    </row>
    <row r="86" spans="3:16">
      <c r="C86" s="3088" t="s">
        <v>292</v>
      </c>
      <c r="D86" s="3089"/>
      <c r="E86" s="3089"/>
      <c r="F86" s="3090"/>
      <c r="G86" s="3636"/>
      <c r="H86" s="3636"/>
      <c r="I86" s="3636"/>
      <c r="J86" s="3636"/>
      <c r="K86" s="3636"/>
      <c r="L86" s="3636"/>
      <c r="M86" s="3636"/>
      <c r="N86" s="3636"/>
      <c r="O86" s="3636"/>
      <c r="P86" s="3636"/>
    </row>
    <row r="87" spans="3:16" ht="15.6" customHeight="1">
      <c r="C87" s="3088" t="s">
        <v>291</v>
      </c>
      <c r="D87" s="3089"/>
      <c r="E87" s="3089"/>
      <c r="F87" s="3090"/>
      <c r="G87" s="3636"/>
      <c r="H87" s="3636"/>
      <c r="I87" s="3636"/>
      <c r="J87" s="3636"/>
      <c r="K87" s="3636"/>
      <c r="L87" s="3636"/>
      <c r="M87" s="3636"/>
      <c r="N87" s="3636"/>
      <c r="O87" s="3636"/>
      <c r="P87" s="3636"/>
    </row>
    <row r="88" spans="3:16">
      <c r="C88" s="3088" t="s">
        <v>290</v>
      </c>
      <c r="D88" s="3077"/>
      <c r="E88" s="3077"/>
      <c r="F88" s="3079"/>
      <c r="G88" s="3636"/>
      <c r="H88" s="3636"/>
      <c r="I88" s="3636"/>
      <c r="J88" s="3636"/>
      <c r="K88" s="3636"/>
      <c r="L88" s="3636"/>
      <c r="M88" s="3636"/>
      <c r="N88" s="3636"/>
      <c r="O88" s="3636"/>
      <c r="P88" s="3636"/>
    </row>
    <row r="89" spans="3:16">
      <c r="C89" s="3088" t="s">
        <v>289</v>
      </c>
      <c r="D89" s="3077"/>
      <c r="E89" s="3077"/>
      <c r="F89" s="3079"/>
      <c r="G89" s="3636"/>
      <c r="H89" s="3636"/>
      <c r="I89" s="3636"/>
      <c r="J89" s="3636"/>
      <c r="K89" s="3636"/>
      <c r="L89" s="3636"/>
      <c r="M89" s="3636"/>
      <c r="N89" s="3636"/>
      <c r="O89" s="3636"/>
      <c r="P89" s="3636"/>
    </row>
    <row r="90" spans="3:16" ht="13.15" customHeight="1">
      <c r="C90" s="3092" t="s">
        <v>288</v>
      </c>
      <c r="D90" s="3093"/>
      <c r="E90" s="3093"/>
      <c r="F90" s="3094"/>
      <c r="G90" s="3636"/>
      <c r="H90" s="3636"/>
      <c r="I90" s="3636"/>
      <c r="J90" s="3636"/>
      <c r="K90" s="3636"/>
      <c r="L90" s="3636"/>
      <c r="M90" s="3636"/>
      <c r="N90" s="3636"/>
      <c r="O90" s="3636"/>
      <c r="P90" s="3636"/>
    </row>
    <row r="91" spans="3:16">
      <c r="C91" s="272"/>
      <c r="D91" s="272"/>
      <c r="E91" s="272"/>
      <c r="F91" s="3078"/>
      <c r="G91" s="3636"/>
      <c r="H91" s="3636"/>
      <c r="I91" s="3636"/>
      <c r="J91" s="3636"/>
      <c r="K91" s="3636"/>
      <c r="L91" s="3636"/>
      <c r="M91" s="3636"/>
      <c r="N91" s="3636"/>
      <c r="O91" s="3636"/>
      <c r="P91" s="3636"/>
    </row>
    <row r="92" spans="3:16">
      <c r="C92" s="3078"/>
      <c r="D92" s="3078"/>
      <c r="E92" s="3078"/>
      <c r="F92" s="3078"/>
      <c r="G92" s="3636"/>
      <c r="H92" s="3636"/>
      <c r="I92" s="3636"/>
      <c r="J92" s="3636"/>
      <c r="K92" s="3636"/>
      <c r="L92" s="3636"/>
      <c r="M92" s="3636"/>
      <c r="N92" s="3636"/>
      <c r="O92" s="3636"/>
      <c r="P92" s="3636"/>
    </row>
    <row r="93" spans="3:16">
      <c r="C93" s="2538"/>
      <c r="D93" s="2538"/>
      <c r="E93" s="2538"/>
      <c r="G93" s="3636"/>
      <c r="H93" s="3636"/>
      <c r="I93" s="3636"/>
      <c r="J93" s="3636"/>
      <c r="K93" s="3636"/>
      <c r="L93" s="3636"/>
      <c r="M93" s="3636"/>
      <c r="N93" s="3636"/>
      <c r="O93" s="3636"/>
      <c r="P93" s="3636"/>
    </row>
    <row r="94" spans="3:16">
      <c r="C94" s="2538"/>
      <c r="D94" s="2538"/>
      <c r="E94" s="2538"/>
      <c r="G94" s="3636"/>
      <c r="H94" s="3636"/>
      <c r="I94" s="3636"/>
      <c r="J94" s="3636"/>
      <c r="K94" s="3636"/>
      <c r="L94" s="3636"/>
      <c r="M94" s="3636"/>
      <c r="N94" s="3636"/>
      <c r="O94" s="3636"/>
      <c r="P94" s="3636"/>
    </row>
    <row r="95" spans="3:16">
      <c r="C95" s="2538"/>
      <c r="D95" s="2538"/>
      <c r="E95" s="2538"/>
      <c r="G95" s="3636"/>
      <c r="H95" s="3636"/>
      <c r="I95" s="3636"/>
      <c r="J95" s="3636"/>
      <c r="K95" s="3636"/>
      <c r="L95" s="3636"/>
      <c r="M95" s="3636"/>
      <c r="N95" s="3636"/>
      <c r="O95" s="3636"/>
      <c r="P95" s="3636"/>
    </row>
    <row r="96" spans="3:16">
      <c r="C96" s="2538"/>
      <c r="D96" s="2538"/>
      <c r="E96" s="2538"/>
      <c r="G96" s="3636"/>
      <c r="H96" s="3636"/>
      <c r="I96" s="3636"/>
      <c r="J96" s="3636"/>
      <c r="K96" s="3636"/>
      <c r="L96" s="3636"/>
      <c r="M96" s="3636"/>
      <c r="N96" s="3636"/>
      <c r="O96" s="3636"/>
      <c r="P96" s="3636"/>
    </row>
    <row r="97" spans="2:16">
      <c r="B97" s="33"/>
      <c r="C97" s="631"/>
      <c r="D97" s="631"/>
      <c r="E97" s="631"/>
      <c r="F97" s="33"/>
      <c r="G97" s="3636"/>
      <c r="H97" s="3636"/>
      <c r="I97" s="3636"/>
      <c r="J97" s="3636"/>
      <c r="K97" s="3636"/>
      <c r="L97" s="3636"/>
      <c r="M97" s="3636"/>
      <c r="N97" s="3636"/>
      <c r="O97" s="3636"/>
      <c r="P97" s="3636"/>
    </row>
    <row r="98" spans="2:16">
      <c r="B98" s="33"/>
      <c r="C98" s="631"/>
      <c r="D98" s="631"/>
      <c r="E98" s="631"/>
      <c r="F98" s="33"/>
      <c r="G98" s="3636"/>
      <c r="H98" s="3636"/>
      <c r="I98" s="3636"/>
      <c r="J98" s="3636"/>
      <c r="K98" s="3636"/>
      <c r="L98" s="3636"/>
      <c r="M98" s="3636"/>
      <c r="N98" s="3636"/>
      <c r="O98" s="3636"/>
      <c r="P98" s="3636"/>
    </row>
    <row r="99" spans="2:16">
      <c r="B99" s="33"/>
      <c r="C99" s="33"/>
      <c r="D99" s="33"/>
      <c r="E99" s="33"/>
      <c r="F99" s="33"/>
      <c r="G99" s="3636"/>
      <c r="H99" s="3636"/>
      <c r="I99" s="3636"/>
      <c r="J99" s="3636"/>
      <c r="K99" s="3636"/>
      <c r="L99" s="3636"/>
      <c r="M99" s="3636"/>
      <c r="N99" s="3636"/>
      <c r="O99" s="3636"/>
      <c r="P99" s="3636"/>
    </row>
    <row r="100" spans="2:16">
      <c r="G100" s="3636"/>
      <c r="H100" s="3636"/>
      <c r="I100" s="3636"/>
      <c r="J100" s="3636"/>
      <c r="K100" s="3636"/>
      <c r="L100" s="3636"/>
      <c r="M100" s="3636"/>
      <c r="N100" s="3636"/>
      <c r="O100" s="3636"/>
      <c r="P100" s="3636"/>
    </row>
    <row r="101" spans="2:16">
      <c r="B101" s="33"/>
      <c r="C101" s="33"/>
      <c r="D101" s="33"/>
      <c r="G101" s="3636"/>
      <c r="H101" s="3636"/>
      <c r="I101" s="3636"/>
      <c r="J101" s="3636"/>
      <c r="K101" s="3636"/>
      <c r="L101" s="3636"/>
      <c r="M101" s="3636"/>
      <c r="N101" s="3636"/>
      <c r="O101" s="3636"/>
      <c r="P101" s="3636"/>
    </row>
    <row r="102" spans="2:16">
      <c r="B102" s="33"/>
      <c r="C102" s="33"/>
      <c r="D102" s="33"/>
      <c r="G102" s="3636"/>
      <c r="H102" s="3636"/>
      <c r="I102" s="3636"/>
      <c r="J102" s="3636"/>
      <c r="K102" s="3636"/>
      <c r="L102" s="3636"/>
      <c r="M102" s="3636"/>
      <c r="N102" s="3636"/>
      <c r="O102" s="3636"/>
      <c r="P102" s="3636"/>
    </row>
    <row r="103" spans="2:16">
      <c r="B103" s="33"/>
      <c r="C103" s="33"/>
      <c r="D103" s="33"/>
      <c r="G103" s="3636"/>
      <c r="H103" s="3636"/>
      <c r="I103" s="3636"/>
      <c r="J103" s="3636"/>
      <c r="K103" s="3636"/>
      <c r="L103" s="3636"/>
      <c r="M103" s="3636"/>
      <c r="N103" s="3636"/>
      <c r="O103" s="3636"/>
      <c r="P103" s="3636"/>
    </row>
    <row r="104" spans="2:16">
      <c r="B104" s="33"/>
      <c r="C104" s="33"/>
      <c r="D104" s="33"/>
      <c r="G104" s="3636"/>
      <c r="H104" s="3636"/>
      <c r="I104" s="3636"/>
      <c r="J104" s="3636"/>
      <c r="K104" s="3636"/>
      <c r="L104" s="3636"/>
      <c r="M104" s="3636"/>
      <c r="N104" s="3636"/>
      <c r="O104" s="3636"/>
      <c r="P104" s="3636"/>
    </row>
    <row r="105" spans="2:16">
      <c r="B105" s="33"/>
      <c r="C105" s="33"/>
      <c r="D105" s="33"/>
      <c r="G105" s="3636"/>
      <c r="H105" s="3636"/>
      <c r="I105" s="3636"/>
      <c r="J105" s="3636"/>
      <c r="K105" s="3636"/>
      <c r="L105" s="3636"/>
      <c r="M105" s="3636"/>
      <c r="N105" s="3636"/>
      <c r="O105" s="3636"/>
      <c r="P105" s="3636"/>
    </row>
    <row r="106" spans="2:16">
      <c r="B106" s="33"/>
      <c r="C106" s="33"/>
      <c r="D106" s="33"/>
      <c r="G106" s="3636"/>
      <c r="H106" s="3636"/>
      <c r="I106" s="3636"/>
      <c r="J106" s="3636"/>
      <c r="K106" s="3636"/>
      <c r="L106" s="3636"/>
      <c r="M106" s="3636"/>
      <c r="N106" s="3636"/>
      <c r="O106" s="3636"/>
      <c r="P106" s="3636"/>
    </row>
    <row r="107" spans="2:16">
      <c r="B107" s="33"/>
      <c r="C107" s="33"/>
      <c r="D107" s="33"/>
      <c r="G107" s="3636"/>
      <c r="H107" s="3636"/>
      <c r="I107" s="3636"/>
      <c r="J107" s="3636"/>
      <c r="K107" s="3636"/>
      <c r="L107" s="3636"/>
      <c r="M107" s="3636"/>
      <c r="N107" s="3636"/>
      <c r="O107" s="3636"/>
      <c r="P107" s="3636"/>
    </row>
    <row r="108" spans="2:16">
      <c r="B108" s="33"/>
      <c r="C108" s="33"/>
      <c r="D108" s="33"/>
      <c r="G108" s="3636"/>
      <c r="H108" s="3636"/>
      <c r="I108" s="3636"/>
      <c r="J108" s="3636"/>
      <c r="K108" s="3636"/>
      <c r="L108" s="3636"/>
      <c r="M108" s="3636"/>
      <c r="N108" s="3636"/>
      <c r="O108" s="3636"/>
      <c r="P108" s="3636"/>
    </row>
    <row r="109" spans="2:16">
      <c r="B109" s="33"/>
      <c r="C109" s="33"/>
      <c r="D109" s="33"/>
      <c r="G109" s="3636"/>
      <c r="H109" s="3636"/>
      <c r="I109" s="3636"/>
      <c r="J109" s="3636"/>
      <c r="K109" s="3636"/>
      <c r="L109" s="3636"/>
      <c r="M109" s="3636"/>
      <c r="N109" s="3636"/>
      <c r="O109" s="3636"/>
      <c r="P109" s="3636"/>
    </row>
    <row r="110" spans="2:16">
      <c r="G110" s="3636"/>
      <c r="H110" s="3636"/>
      <c r="I110" s="3636"/>
      <c r="J110" s="3636"/>
      <c r="K110" s="3636"/>
      <c r="L110" s="3636"/>
      <c r="M110" s="3636"/>
      <c r="N110" s="3636"/>
      <c r="O110" s="3636"/>
      <c r="P110" s="3636"/>
    </row>
    <row r="111" spans="2:16">
      <c r="G111" s="3636"/>
      <c r="H111" s="3636"/>
      <c r="I111" s="3636"/>
      <c r="J111" s="3636"/>
      <c r="K111" s="3636"/>
      <c r="L111" s="3636"/>
      <c r="M111" s="3636"/>
      <c r="N111" s="3636"/>
      <c r="O111" s="3636"/>
      <c r="P111" s="3636"/>
    </row>
    <row r="112" spans="2:16">
      <c r="G112" s="3636"/>
      <c r="H112" s="3636"/>
      <c r="I112" s="3636"/>
      <c r="J112" s="3636"/>
      <c r="K112" s="3636"/>
      <c r="L112" s="3636"/>
      <c r="M112" s="3636"/>
      <c r="N112" s="3636"/>
      <c r="O112" s="3636"/>
      <c r="P112" s="3636"/>
    </row>
    <row r="113" spans="2:17">
      <c r="G113" s="3636"/>
      <c r="H113" s="3636"/>
      <c r="I113" s="3636"/>
      <c r="J113" s="3636"/>
      <c r="K113" s="3636"/>
      <c r="L113" s="3636"/>
      <c r="M113" s="3636"/>
      <c r="N113" s="3636"/>
      <c r="O113" s="3636"/>
      <c r="P113" s="3636"/>
    </row>
    <row r="114" spans="2:17">
      <c r="G114" s="3636"/>
      <c r="H114" s="3636"/>
      <c r="I114" s="3636"/>
      <c r="J114" s="3636"/>
      <c r="K114" s="3636"/>
      <c r="L114" s="3636"/>
      <c r="M114" s="3636"/>
      <c r="N114" s="3636"/>
      <c r="O114" s="3636"/>
      <c r="P114" s="3636"/>
    </row>
    <row r="115" spans="2:17">
      <c r="G115" s="3636"/>
      <c r="H115" s="3636"/>
      <c r="I115" s="3636"/>
      <c r="J115" s="3636"/>
      <c r="K115" s="3636"/>
      <c r="L115" s="3636"/>
      <c r="M115" s="3636"/>
      <c r="N115" s="3636"/>
      <c r="O115" s="3636"/>
      <c r="P115" s="3636"/>
    </row>
    <row r="116" spans="2:17">
      <c r="G116" s="3636"/>
      <c r="H116" s="3636"/>
      <c r="I116" s="3636"/>
      <c r="J116" s="3636"/>
      <c r="K116" s="3636"/>
      <c r="L116" s="3636"/>
      <c r="M116" s="3636"/>
      <c r="N116" s="3636"/>
      <c r="O116" s="3636"/>
      <c r="P116" s="3636"/>
    </row>
    <row r="117" spans="2:17">
      <c r="G117" s="3636"/>
      <c r="H117" s="3636"/>
      <c r="I117" s="3636"/>
      <c r="J117" s="3636"/>
      <c r="K117" s="3636"/>
      <c r="L117" s="3636"/>
      <c r="M117" s="3636"/>
      <c r="N117" s="3636"/>
      <c r="O117" s="3636"/>
      <c r="P117" s="3636"/>
    </row>
    <row r="118" spans="2:17">
      <c r="G118" s="3636"/>
      <c r="H118" s="3636"/>
      <c r="I118" s="3636"/>
      <c r="J118" s="3636"/>
      <c r="K118" s="3636"/>
      <c r="L118" s="3636"/>
      <c r="M118" s="3636"/>
      <c r="N118" s="3636"/>
      <c r="O118" s="3636"/>
      <c r="P118" s="3636"/>
    </row>
    <row r="119" spans="2:17">
      <c r="G119" s="3636"/>
      <c r="H119" s="3636"/>
      <c r="I119" s="3636"/>
      <c r="J119" s="3636"/>
      <c r="K119" s="3636"/>
      <c r="L119" s="3636"/>
      <c r="M119" s="3636"/>
      <c r="N119" s="3636"/>
      <c r="O119" s="3636"/>
      <c r="P119" s="3636"/>
      <c r="Q119" s="31"/>
    </row>
    <row r="120" spans="2:17">
      <c r="B120" s="622"/>
      <c r="C120" s="33"/>
      <c r="G120" s="3636"/>
      <c r="H120" s="3636"/>
      <c r="I120" s="3636"/>
      <c r="J120" s="3636"/>
      <c r="K120" s="3636"/>
      <c r="L120" s="3636"/>
      <c r="M120" s="3636"/>
      <c r="N120" s="3636"/>
      <c r="O120" s="3636"/>
      <c r="P120" s="3636"/>
    </row>
    <row r="121" spans="2:17">
      <c r="B121" s="622"/>
      <c r="C121" s="33"/>
      <c r="G121" s="3636"/>
      <c r="H121" s="3636"/>
      <c r="I121" s="3636"/>
      <c r="J121" s="3636"/>
      <c r="K121" s="3636"/>
      <c r="L121" s="3636"/>
      <c r="M121" s="3636"/>
      <c r="N121" s="3636"/>
      <c r="O121" s="3636"/>
      <c r="P121" s="3636"/>
    </row>
    <row r="122" spans="2:17">
      <c r="B122" s="622"/>
      <c r="C122" s="33"/>
      <c r="G122" s="3636"/>
      <c r="H122" s="3636"/>
      <c r="I122" s="3636"/>
      <c r="J122" s="3636"/>
      <c r="K122" s="3636"/>
      <c r="L122" s="3636"/>
      <c r="M122" s="3636"/>
      <c r="N122" s="3636"/>
      <c r="O122" s="3636"/>
      <c r="P122" s="3636"/>
    </row>
    <row r="123" spans="2:17">
      <c r="B123" s="622"/>
      <c r="C123" s="33"/>
      <c r="G123" s="3636"/>
      <c r="H123" s="3636"/>
      <c r="I123" s="3636"/>
      <c r="J123" s="3636"/>
      <c r="K123" s="3636"/>
      <c r="L123" s="3636"/>
      <c r="M123" s="3636"/>
      <c r="N123" s="3636"/>
      <c r="O123" s="3636"/>
      <c r="P123" s="3636"/>
    </row>
    <row r="124" spans="2:17">
      <c r="B124" s="622"/>
      <c r="C124" s="33"/>
      <c r="G124" s="3636"/>
      <c r="H124" s="3636"/>
      <c r="I124" s="3636"/>
      <c r="J124" s="3636"/>
      <c r="K124" s="3636"/>
      <c r="L124" s="3636"/>
      <c r="M124" s="3636"/>
      <c r="N124" s="3636"/>
      <c r="O124" s="3636"/>
      <c r="P124" s="3636"/>
    </row>
    <row r="125" spans="2:17">
      <c r="B125" s="622"/>
      <c r="C125" s="33"/>
      <c r="G125" s="3636"/>
      <c r="H125" s="3636"/>
      <c r="I125" s="3636"/>
      <c r="J125" s="3636"/>
      <c r="K125" s="3636"/>
      <c r="L125" s="3636"/>
      <c r="M125" s="3636"/>
      <c r="N125" s="3636"/>
      <c r="O125" s="3636"/>
      <c r="P125" s="3636"/>
    </row>
    <row r="126" spans="2:17">
      <c r="B126" s="622"/>
      <c r="C126" s="33"/>
      <c r="G126" s="3636"/>
      <c r="H126" s="3636"/>
      <c r="I126" s="3636"/>
      <c r="J126" s="3636"/>
      <c r="K126" s="3636"/>
      <c r="L126" s="3636"/>
      <c r="M126" s="3636"/>
      <c r="N126" s="3636"/>
      <c r="O126" s="3636"/>
      <c r="P126" s="3636"/>
    </row>
    <row r="127" spans="2:17">
      <c r="B127" s="622"/>
      <c r="C127" s="33"/>
      <c r="G127" s="3636"/>
      <c r="H127" s="3636"/>
      <c r="I127" s="3636"/>
      <c r="J127" s="3636"/>
      <c r="K127" s="3636"/>
      <c r="L127" s="3636"/>
      <c r="M127" s="3636"/>
      <c r="N127" s="3636"/>
      <c r="O127" s="3636"/>
      <c r="P127" s="3636"/>
    </row>
    <row r="128" spans="2:17">
      <c r="B128" s="622"/>
      <c r="C128" s="33"/>
      <c r="G128" s="3636"/>
      <c r="H128" s="3636"/>
      <c r="I128" s="3636"/>
      <c r="J128" s="3636"/>
      <c r="K128" s="3636"/>
      <c r="L128" s="3636"/>
      <c r="M128" s="3636"/>
      <c r="N128" s="3636"/>
      <c r="O128" s="3636"/>
      <c r="P128" s="3636"/>
    </row>
    <row r="129" spans="2:16">
      <c r="B129" s="622"/>
      <c r="C129" s="33"/>
      <c r="G129" s="3636"/>
      <c r="H129" s="3636"/>
      <c r="I129" s="3636"/>
      <c r="J129" s="3636"/>
      <c r="K129" s="3636"/>
      <c r="L129" s="3636"/>
      <c r="M129" s="3636"/>
      <c r="N129" s="3636"/>
      <c r="O129" s="3636"/>
      <c r="P129" s="3636"/>
    </row>
    <row r="130" spans="2:16">
      <c r="B130" s="622"/>
      <c r="C130" s="33"/>
      <c r="G130" s="3636"/>
      <c r="H130" s="3636"/>
      <c r="I130" s="3636"/>
      <c r="J130" s="3636"/>
      <c r="K130" s="3636"/>
      <c r="L130" s="3636"/>
      <c r="M130" s="3636"/>
      <c r="N130" s="3636"/>
      <c r="O130" s="3636"/>
      <c r="P130" s="3636"/>
    </row>
    <row r="131" spans="2:16">
      <c r="B131" s="622"/>
      <c r="C131" s="33"/>
      <c r="G131" s="3636"/>
      <c r="H131" s="3636"/>
      <c r="I131" s="3636"/>
      <c r="J131" s="3636"/>
      <c r="K131" s="3636"/>
      <c r="L131" s="3636"/>
      <c r="M131" s="3636"/>
      <c r="N131" s="3636"/>
      <c r="O131" s="3636"/>
      <c r="P131" s="3636"/>
    </row>
    <row r="132" spans="2:16">
      <c r="B132" s="622"/>
      <c r="C132" s="33"/>
      <c r="G132" s="3636"/>
      <c r="H132" s="3636"/>
      <c r="I132" s="3636"/>
      <c r="J132" s="3636"/>
      <c r="K132" s="3636"/>
      <c r="L132" s="3636"/>
      <c r="M132" s="3636"/>
      <c r="N132" s="3636"/>
      <c r="O132" s="3636"/>
      <c r="P132" s="3636"/>
    </row>
    <row r="133" spans="2:16">
      <c r="B133" s="622"/>
      <c r="C133" s="33"/>
      <c r="G133" s="3636"/>
      <c r="H133" s="3636"/>
      <c r="I133" s="3636"/>
      <c r="J133" s="3636"/>
      <c r="K133" s="3636"/>
      <c r="L133" s="3636"/>
      <c r="M133" s="3636"/>
      <c r="N133" s="3636"/>
      <c r="O133" s="3636"/>
      <c r="P133" s="3636"/>
    </row>
    <row r="134" spans="2:16">
      <c r="B134" s="622"/>
      <c r="C134" s="33"/>
      <c r="G134" s="3636"/>
      <c r="H134" s="3636"/>
      <c r="I134" s="3636"/>
      <c r="J134" s="3636"/>
      <c r="K134" s="3636"/>
      <c r="L134" s="3636"/>
      <c r="M134" s="3636"/>
      <c r="N134" s="3636"/>
      <c r="O134" s="3636"/>
      <c r="P134" s="3636"/>
    </row>
    <row r="135" spans="2:16">
      <c r="B135" s="622"/>
      <c r="C135" s="33"/>
      <c r="G135" s="3636"/>
      <c r="H135" s="3636"/>
      <c r="I135" s="3636"/>
      <c r="J135" s="3636"/>
      <c r="K135" s="3636"/>
      <c r="L135" s="3636"/>
      <c r="M135" s="3636"/>
      <c r="N135" s="3636"/>
      <c r="O135" s="3636"/>
      <c r="P135" s="3636"/>
    </row>
    <row r="136" spans="2:16">
      <c r="B136" s="622"/>
      <c r="C136" s="33"/>
      <c r="G136" s="3636"/>
      <c r="H136" s="3636"/>
      <c r="I136" s="3636"/>
      <c r="J136" s="3636"/>
      <c r="K136" s="3636"/>
      <c r="L136" s="3636"/>
      <c r="M136" s="3636"/>
      <c r="N136" s="3636"/>
      <c r="O136" s="3636"/>
      <c r="P136" s="3636"/>
    </row>
    <row r="137" spans="2:16">
      <c r="B137" s="622"/>
      <c r="C137" s="33"/>
      <c r="G137" s="3636"/>
      <c r="H137" s="3636"/>
      <c r="I137" s="3636"/>
      <c r="J137" s="3636"/>
      <c r="K137" s="3636"/>
      <c r="L137" s="3636"/>
      <c r="M137" s="3636"/>
      <c r="N137" s="3636"/>
      <c r="O137" s="3636"/>
      <c r="P137" s="3636"/>
    </row>
    <row r="138" spans="2:16">
      <c r="B138" s="622"/>
      <c r="C138" s="33"/>
      <c r="G138" s="3636"/>
      <c r="H138" s="3636"/>
      <c r="I138" s="3636"/>
      <c r="J138" s="3636"/>
      <c r="K138" s="3636"/>
      <c r="L138" s="3636"/>
      <c r="M138" s="3636"/>
      <c r="N138" s="3636"/>
      <c r="O138" s="3636"/>
      <c r="P138" s="3636"/>
    </row>
    <row r="139" spans="2:16">
      <c r="B139" s="622"/>
      <c r="C139" s="33"/>
      <c r="G139" s="3636"/>
      <c r="H139" s="3636"/>
      <c r="I139" s="3636"/>
      <c r="J139" s="3636"/>
      <c r="K139" s="3636"/>
      <c r="L139" s="3636"/>
      <c r="M139" s="3636"/>
      <c r="N139" s="3636"/>
      <c r="O139" s="3636"/>
      <c r="P139" s="3636"/>
    </row>
    <row r="140" spans="2:16">
      <c r="B140" s="622"/>
      <c r="C140" s="33"/>
      <c r="G140" s="3636"/>
      <c r="H140" s="3636"/>
      <c r="I140" s="3636"/>
      <c r="J140" s="3636"/>
      <c r="K140" s="3636"/>
      <c r="L140" s="3636"/>
      <c r="M140" s="3636"/>
      <c r="N140" s="3636"/>
      <c r="O140" s="3636"/>
      <c r="P140" s="3636"/>
    </row>
    <row r="141" spans="2:16">
      <c r="B141" s="622"/>
      <c r="C141" s="33"/>
      <c r="L141" s="33"/>
    </row>
    <row r="142" spans="2:16">
      <c r="B142" s="622"/>
      <c r="C142" s="33"/>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row>
    <row r="150" spans="2:12">
      <c r="B150" s="622"/>
      <c r="C150" s="33"/>
    </row>
    <row r="151" spans="2:12">
      <c r="B151" s="622"/>
      <c r="C151" s="33"/>
      <c r="I151" s="2389"/>
    </row>
    <row r="152" spans="2:12">
      <c r="B152" s="622"/>
      <c r="C152" s="33"/>
      <c r="I152" s="2389"/>
    </row>
    <row r="153" spans="2:12">
      <c r="B153" s="622"/>
      <c r="C153" s="33"/>
      <c r="I153" s="2389"/>
    </row>
    <row r="154" spans="2:12">
      <c r="B154" s="622"/>
      <c r="C154" s="33"/>
      <c r="I154" s="2389"/>
    </row>
    <row r="155" spans="2:12">
      <c r="B155" s="622"/>
      <c r="C155" s="33"/>
      <c r="I155" s="2389"/>
    </row>
    <row r="156" spans="2:12">
      <c r="B156" s="622"/>
      <c r="C156" s="33"/>
      <c r="D156" s="33"/>
      <c r="F156" s="33"/>
      <c r="G156" s="33"/>
      <c r="H156" s="33"/>
      <c r="I156" s="33"/>
      <c r="J156" s="33"/>
      <c r="K156" s="33"/>
    </row>
    <row r="157" spans="2:12">
      <c r="B157" s="622"/>
      <c r="C157" s="33"/>
      <c r="D157" s="33"/>
      <c r="F157" s="33"/>
      <c r="G157" s="33"/>
      <c r="H157" s="33"/>
      <c r="I157" s="33"/>
      <c r="J157" s="33"/>
      <c r="K157" s="33"/>
    </row>
    <row r="158" spans="2:12">
      <c r="B158" s="622"/>
      <c r="C158" s="33"/>
      <c r="D158" s="33"/>
      <c r="F158" s="33"/>
      <c r="G158" s="33"/>
      <c r="H158" s="33"/>
      <c r="I158" s="33"/>
      <c r="J158" s="33"/>
      <c r="K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sheetData>
  <sheetProtection sheet="1" selectLockedCells="1"/>
  <dataConsolidate link="1"/>
  <mergeCells count="46">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 ref="C19:F19"/>
    <mergeCell ref="C17:F17"/>
    <mergeCell ref="F23:G23"/>
    <mergeCell ref="C73:E73"/>
    <mergeCell ref="E22:G22"/>
    <mergeCell ref="C63:E63"/>
    <mergeCell ref="C68:E68"/>
    <mergeCell ref="C50:D50"/>
    <mergeCell ref="C48:D48"/>
    <mergeCell ref="C37:E37"/>
    <mergeCell ref="C39:E39"/>
    <mergeCell ref="C38:E38"/>
    <mergeCell ref="C40:E40"/>
    <mergeCell ref="C46:D46"/>
    <mergeCell ref="Q3:S6"/>
    <mergeCell ref="K1:L1"/>
    <mergeCell ref="N1:O1"/>
    <mergeCell ref="C16:F16"/>
    <mergeCell ref="C36:E36"/>
    <mergeCell ref="H6:I6"/>
    <mergeCell ref="G1:I1"/>
    <mergeCell ref="K2:P2"/>
    <mergeCell ref="D25:E25"/>
    <mergeCell ref="D26:E26"/>
    <mergeCell ref="C14:F14"/>
    <mergeCell ref="C15:F15"/>
    <mergeCell ref="N6:O6"/>
    <mergeCell ref="E10:F10"/>
    <mergeCell ref="K6:L6"/>
    <mergeCell ref="E4:I4"/>
  </mergeCells>
  <dataValidations disablePrompts="1" count="5">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Organisationsabh. Ausgleichsl." error="Bitte aus Dropdownliste auswählen." sqref="C18:F18">
      <formula1>$G$78:$G$79</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sqref="K16:K17 H16:H17 N16:N17">
      <formula1>"ja,nein"</formula1>
    </dataValidation>
    <dataValidation type="list" showInputMessage="1" showErrorMessage="1" sqref="H14:H15 K14:K15 N14:N15">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Gmünd&amp;R&amp;11&amp;F</oddFooter>
  </headerFooter>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 C5</xm:sqref>
        </x14:dataValidation>
        <x14:dataValidation type="list" allowBlank="1" showInputMessage="1" showErrorMessage="1" errorTitle="Lohnmaschinen" error="Bitte aus Dropdownliste auswählen.">
          <x14:formula1>
            <xm:f>SDÖ3!$C$138:$C$162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6">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0" width="0" style="31" hidden="1" customWidth="1"/>
    <col min="31" max="16384" width="10.5" style="31"/>
  </cols>
  <sheetData>
    <row r="1" spans="1:41" s="276" customFormat="1" ht="30.2" customHeight="1">
      <c r="A1" s="2507"/>
      <c r="B1" s="326"/>
      <c r="C1" s="1908"/>
      <c r="D1" s="136"/>
      <c r="E1" s="323"/>
      <c r="F1" s="323"/>
      <c r="G1" s="4908" t="s">
        <v>1694</v>
      </c>
      <c r="H1" s="4908"/>
      <c r="I1" s="4908"/>
      <c r="J1" s="1906">
        <f>(J7+J13+J18+J22+I11+I12)-(J23+J27+J34+J43+J60+J65+J67+J69+J71+J75)</f>
        <v>900.25862287777056</v>
      </c>
      <c r="K1" s="4859">
        <f>M1-J1</f>
        <v>125.75750000000005</v>
      </c>
      <c r="L1" s="4859"/>
      <c r="M1" s="1906">
        <f>(M7+M13+M18+M22+L11+L12)-(M23+M27+M34+M43+M60+M65+M67+M69+M71+M75)</f>
        <v>1026.0161228777706</v>
      </c>
      <c r="N1" s="4859">
        <f>P1-M1</f>
        <v>125.75749999999994</v>
      </c>
      <c r="O1" s="4859"/>
      <c r="P1" s="1906">
        <f>(P7+P13+P18+P22+O11+O12)-(P23+P27+P34+P43+P60+P65+P67+P69+P71+P75)</f>
        <v>1151.7736228777705</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1347</v>
      </c>
      <c r="L2" s="4870"/>
      <c r="M2" s="4870"/>
      <c r="N2" s="4870"/>
      <c r="O2" s="4870"/>
      <c r="P2" s="4870"/>
      <c r="Q2" s="2507"/>
    </row>
    <row r="3" spans="1:41" s="276" customFormat="1" ht="21.75" customHeight="1">
      <c r="A3" s="2507"/>
      <c r="B3" s="1903" t="s">
        <v>1693</v>
      </c>
      <c r="G3" s="1891"/>
      <c r="H3" s="1902"/>
      <c r="J3" s="33"/>
      <c r="K3" s="33"/>
      <c r="L3" s="33"/>
      <c r="M3" s="33"/>
      <c r="N3" s="4909" t="str">
        <f>IF(AND(T3=TRUE,T4=TRUE),"nur 1 Strohnutzung möglich","")</f>
        <v/>
      </c>
      <c r="O3" s="4872"/>
      <c r="P3" s="1900"/>
      <c r="Q3" s="2507"/>
      <c r="T3" s="1918"/>
    </row>
    <row r="4" spans="1:41" s="276" customFormat="1" ht="20.25" customHeight="1">
      <c r="A4" s="2507"/>
      <c r="B4" s="377" t="s">
        <v>1154</v>
      </c>
      <c r="C4" s="31"/>
      <c r="D4" s="31"/>
      <c r="E4" s="4830" t="s">
        <v>1695</v>
      </c>
      <c r="F4" s="4830"/>
      <c r="G4" s="4830"/>
      <c r="H4" s="4830"/>
      <c r="I4" s="4830"/>
      <c r="J4" s="33"/>
      <c r="K4" s="33"/>
      <c r="L4" s="33"/>
      <c r="M4" s="33"/>
      <c r="N4" s="4872"/>
      <c r="O4" s="4872"/>
      <c r="P4" s="1896">
        <f>SDÖ1!O3</f>
        <v>0</v>
      </c>
      <c r="Q4" s="2507"/>
      <c r="T4" s="1918"/>
    </row>
    <row r="5" spans="1:41" ht="6" customHeight="1"/>
    <row r="6" spans="1:41" s="1885" customFormat="1" ht="24" customHeight="1">
      <c r="A6" s="48"/>
      <c r="B6" s="1890" t="s">
        <v>1207</v>
      </c>
      <c r="C6" s="1889"/>
      <c r="D6" s="1889"/>
      <c r="E6" s="1889" t="s">
        <v>1692</v>
      </c>
      <c r="F6" s="1889"/>
      <c r="G6" s="1888"/>
      <c r="H6" s="4864" t="s">
        <v>179</v>
      </c>
      <c r="I6" s="4865"/>
      <c r="J6" s="1887">
        <v>400</v>
      </c>
      <c r="K6" s="4849" t="s">
        <v>152</v>
      </c>
      <c r="L6" s="4850"/>
      <c r="M6" s="1887">
        <v>500</v>
      </c>
      <c r="N6" s="4864" t="s">
        <v>178</v>
      </c>
      <c r="O6" s="4865"/>
      <c r="P6" s="1886">
        <v>600</v>
      </c>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c r="G9" s="1794"/>
      <c r="H9" s="1877">
        <f>J6-H10</f>
        <v>400</v>
      </c>
      <c r="I9" s="1873">
        <f>H9*G9</f>
        <v>0</v>
      </c>
      <c r="J9" s="43"/>
      <c r="K9" s="1876">
        <f>M6-K10</f>
        <v>500</v>
      </c>
      <c r="L9" s="1875">
        <f>K9*G9</f>
        <v>0</v>
      </c>
      <c r="M9" s="1854"/>
      <c r="N9" s="1874">
        <f>P6-N10</f>
        <v>600</v>
      </c>
      <c r="O9" s="1873">
        <f>N9*G9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340</v>
      </c>
      <c r="K13" s="1826"/>
      <c r="L13" s="1825"/>
      <c r="M13" s="1617">
        <f>SUM(L14:L16)</f>
        <v>340</v>
      </c>
      <c r="N13" s="1824"/>
      <c r="O13" s="1823"/>
      <c r="P13" s="1614">
        <f>SUM(O14:O16)</f>
        <v>340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t="s">
        <v>2108</v>
      </c>
      <c r="D15" s="4833"/>
      <c r="E15" s="4833"/>
      <c r="F15" s="4833"/>
      <c r="G15" s="1837"/>
      <c r="H15" s="1836" t="s">
        <v>1299</v>
      </c>
      <c r="I15" s="1817">
        <f>IF(H15="ja",Q15,0)</f>
        <v>100</v>
      </c>
      <c r="J15" s="45"/>
      <c r="K15" s="1836" t="s">
        <v>1299</v>
      </c>
      <c r="L15" s="1671">
        <f>IF(K15="ja",Q15,0)</f>
        <v>100</v>
      </c>
      <c r="M15" s="1589"/>
      <c r="N15" s="1836" t="s">
        <v>1299</v>
      </c>
      <c r="O15" s="1817">
        <f>IF(N15="ja",Q15,0)</f>
        <v>100</v>
      </c>
      <c r="P15" s="1586"/>
      <c r="Q15" s="1835">
        <f>IF(C15=0,0,VLOOKUP(C15,'SD2'!$C$11:$N$49,'SD2'!$N$1,FALSE))</f>
        <v>100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4100"/>
      <c r="H19" s="1818"/>
      <c r="I19" s="3965">
        <f>IF(OR($C19=0,$J$6=0),0,VLOOKUP($C19,'SD2'!C59:N75,12,FALSE))</f>
        <v>158</v>
      </c>
      <c r="J19" s="45"/>
      <c r="K19" s="1819"/>
      <c r="L19" s="1671">
        <f>IF(OR($C19=0,$M$6=0),0,VLOOKUP($C19,'SD2'!$C$59:$N$75,12,FALSE))</f>
        <v>158</v>
      </c>
      <c r="M19" s="1589"/>
      <c r="N19" s="1818"/>
      <c r="O19" s="1817">
        <f>IF(OR($C19=0,$P$6=0),0,VLOOKUP($C19,'SD2'!C59:N75,12,FALSE))</f>
        <v>158</v>
      </c>
      <c r="P19" s="1586"/>
      <c r="Q19" s="3015"/>
      <c r="R19" s="1816">
        <f>J13+J18</f>
        <v>695.4</v>
      </c>
      <c r="S19" s="1816">
        <f>M13+M18</f>
        <v>695.4</v>
      </c>
      <c r="T19" s="1816">
        <f>P13+P18</f>
        <v>695.4</v>
      </c>
    </row>
    <row r="20" spans="1:20" s="4056" customFormat="1" ht="15.6" customHeight="1">
      <c r="A20" s="3913"/>
      <c r="B20" s="1821"/>
      <c r="C20" s="4058" t="s">
        <v>2182</v>
      </c>
      <c r="D20" s="4058"/>
      <c r="E20" s="4058"/>
      <c r="F20" s="4058"/>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90</v>
      </c>
      <c r="K23" s="1619"/>
      <c r="L23" s="1618"/>
      <c r="M23" s="1800">
        <f>SUM(L25:L26)</f>
        <v>90</v>
      </c>
      <c r="N23" s="1616"/>
      <c r="O23" s="1615"/>
      <c r="P23" s="1599">
        <f>SUM(O25:O26)</f>
        <v>90</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4.5</v>
      </c>
      <c r="G25" s="1794">
        <f>F25*(100+$D$24)/100</f>
        <v>4.5</v>
      </c>
      <c r="H25" s="1793">
        <v>20</v>
      </c>
      <c r="I25" s="1754">
        <f>H25*$G25</f>
        <v>90</v>
      </c>
      <c r="J25" s="45"/>
      <c r="K25" s="1793">
        <f>H25</f>
        <v>20</v>
      </c>
      <c r="L25" s="1596">
        <f>K25*$G25</f>
        <v>90</v>
      </c>
      <c r="M25" s="1589"/>
      <c r="N25" s="1793">
        <f>H25</f>
        <v>20</v>
      </c>
      <c r="O25" s="1754">
        <f>N25*$G25</f>
        <v>90</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-408</v>
      </c>
      <c r="K27" s="1748"/>
      <c r="L27" s="1747"/>
      <c r="M27" s="1617">
        <f>SUM(L30:L33)</f>
        <v>-532.66666666666663</v>
      </c>
      <c r="N27" s="1746"/>
      <c r="O27" s="1745"/>
      <c r="P27" s="1614">
        <f>SUM(O30:O33)</f>
        <v>-657.33333333333337</v>
      </c>
      <c r="Q27" s="32"/>
    </row>
    <row r="28" spans="1:20" s="42" customFormat="1" ht="15" customHeight="1">
      <c r="A28" s="1306"/>
      <c r="B28" s="1334"/>
      <c r="C28" s="3064"/>
      <c r="D28" s="1786" t="s">
        <v>1075</v>
      </c>
      <c r="E28" s="1786" t="s">
        <v>1239</v>
      </c>
      <c r="F28" s="1786" t="s">
        <v>1239</v>
      </c>
      <c r="G28" s="1785" t="s">
        <v>1238</v>
      </c>
      <c r="H28" s="1745"/>
      <c r="I28" s="1782"/>
      <c r="J28" s="3065"/>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64"/>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VLOOKUP($K$2,'SD8'!$B$9:$K$44,3,FALSE)</f>
        <v>-1.375</v>
      </c>
      <c r="F30" s="1774"/>
      <c r="G30" s="1773">
        <v>20</v>
      </c>
      <c r="H30" s="1771">
        <f>IF(J$6=0,0,(J$6*0.2*$E30+$G30+X13))</f>
        <v>-90</v>
      </c>
      <c r="I30" s="1754">
        <f>H30*$D30</f>
        <v>-408</v>
      </c>
      <c r="J30" s="45"/>
      <c r="K30" s="1772">
        <f>IF(M$6=0,0,(M$6*0.2*$E30+$G30+AA13))</f>
        <v>-117.5</v>
      </c>
      <c r="L30" s="1596">
        <f>K30*$D30</f>
        <v>-532.66666666666663</v>
      </c>
      <c r="M30" s="1589"/>
      <c r="N30" s="1771">
        <f>IF(P$6=0,0,(P$6*0.2*$E30+$G30+AD13))</f>
        <v>-145</v>
      </c>
      <c r="O30" s="1754">
        <f>N30*$D30</f>
        <v>-657.33333333333337</v>
      </c>
      <c r="P30" s="1718"/>
      <c r="Q30" s="32"/>
    </row>
    <row r="31" spans="1:20" s="42" customFormat="1" ht="15" customHeight="1">
      <c r="A31" s="1306"/>
      <c r="B31" s="274"/>
      <c r="C31" s="1306" t="s">
        <v>244</v>
      </c>
      <c r="D31" s="1723">
        <f>IF(SDÖ1!$U$17=TRUE,SDÖ1!O56,0)</f>
        <v>1.3999999999999997</v>
      </c>
      <c r="E31" s="1774">
        <v>0</v>
      </c>
      <c r="F31" s="1774"/>
      <c r="G31" s="1773"/>
      <c r="H31" s="1771">
        <f>IF(J$6=0,0,(J$6*0.2*$E31+$G31+X14))</f>
        <v>0</v>
      </c>
      <c r="I31" s="1754">
        <f>H31*$D31</f>
        <v>0</v>
      </c>
      <c r="J31" s="45"/>
      <c r="K31" s="1772">
        <f>IF(M$6=0,0,(M$6*0.2*$E31+$G31+AA14))</f>
        <v>0</v>
      </c>
      <c r="L31" s="1596">
        <f>K31*$D31</f>
        <v>0</v>
      </c>
      <c r="M31" s="1589"/>
      <c r="N31" s="1771">
        <f>IF(P$6=0,0,(P$6*0.2*$E31+$G31+AD14))</f>
        <v>0</v>
      </c>
      <c r="O31" s="1754">
        <f>N31*$D31</f>
        <v>0</v>
      </c>
      <c r="P31" s="1718"/>
      <c r="Q31" s="32"/>
    </row>
    <row r="32" spans="1:20" s="708" customFormat="1" ht="18.75" customHeight="1">
      <c r="A32" s="1270"/>
      <c r="B32" s="274"/>
      <c r="C32" s="1306" t="s">
        <v>242</v>
      </c>
      <c r="D32" s="1723">
        <f>IF(SDÖ1!$U$17=TRUE,SDÖ1!O57,0)</f>
        <v>1.3999999999999997</v>
      </c>
      <c r="E32" s="1774">
        <v>0</v>
      </c>
      <c r="F32" s="1774"/>
      <c r="G32" s="1773"/>
      <c r="H32" s="1771">
        <f>IF(J$6=0,0,(J$6*0.2*$E32+$G32+X15))</f>
        <v>0</v>
      </c>
      <c r="I32" s="1754">
        <f>H32*$D32</f>
        <v>0</v>
      </c>
      <c r="J32" s="45"/>
      <c r="K32" s="1772">
        <f>IF(M$6=0,0,(M$6*0.2*$E32+$G32+AA15))</f>
        <v>0</v>
      </c>
      <c r="L32" s="1596">
        <f>K32*$D32</f>
        <v>0</v>
      </c>
      <c r="M32" s="1589"/>
      <c r="N32" s="1771">
        <f>IF(P$6=0,0,(P$6*0.2*$E32+$G32+AD15))</f>
        <v>0</v>
      </c>
      <c r="O32" s="1754">
        <f>N32*$D32</f>
        <v>0</v>
      </c>
      <c r="P32" s="1718"/>
      <c r="Q32" s="32"/>
    </row>
    <row r="33" spans="1:17" s="708" customFormat="1" ht="13.15" customHeight="1">
      <c r="A33" s="1270"/>
      <c r="B33" s="239"/>
      <c r="C33" s="1331" t="s">
        <v>240</v>
      </c>
      <c r="D33" s="1706">
        <f>IF(SDÖ1!$U$17=TRUE,SDÖ1!O58,0)</f>
        <v>0.5</v>
      </c>
      <c r="E33" s="3643">
        <v>0</v>
      </c>
      <c r="F33" s="1770"/>
      <c r="G33" s="1769"/>
      <c r="H33" s="1771">
        <f>IF(J$6=0,0,(J$6*0.2*$E33+$G33+X16))</f>
        <v>0</v>
      </c>
      <c r="I33" s="1754">
        <f>H33*$D33</f>
        <v>0</v>
      </c>
      <c r="J33" s="45"/>
      <c r="K33" s="1768">
        <f>IF(M$6=0,0,(M$6*0.2*$E33+$G33+AA16))</f>
        <v>0</v>
      </c>
      <c r="L33" s="1596">
        <f>K33*$D33</f>
        <v>0</v>
      </c>
      <c r="M33" s="1589"/>
      <c r="N33" s="1767">
        <f>IF(P$6=0,0,(P$6*0.2*$E33+$G33+AD16))</f>
        <v>0</v>
      </c>
      <c r="O33" s="1754">
        <f>N33*$D33</f>
        <v>0</v>
      </c>
      <c r="P33" s="1718"/>
      <c r="Q33" s="32"/>
    </row>
    <row r="34" spans="1:17" s="42" customFormat="1" ht="15" customHeight="1">
      <c r="A34" s="1306"/>
      <c r="B34" s="1276" t="s">
        <v>1685</v>
      </c>
      <c r="C34" s="1270"/>
      <c r="D34" s="3064"/>
      <c r="E34" s="3064"/>
      <c r="F34" s="4831"/>
      <c r="G34" s="4832" t="s">
        <v>171</v>
      </c>
      <c r="H34" s="3105"/>
      <c r="I34" s="3106"/>
      <c r="J34" s="1614">
        <f>SUM(I36:I42)</f>
        <v>0</v>
      </c>
      <c r="K34" s="3107"/>
      <c r="L34" s="3108"/>
      <c r="M34" s="1617">
        <f>SUM(L36:L42)</f>
        <v>0</v>
      </c>
      <c r="N34" s="3105"/>
      <c r="O34" s="3106"/>
      <c r="P34" s="1614">
        <f>SUM(O36:O42)</f>
        <v>0</v>
      </c>
      <c r="Q34" s="38"/>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8"/>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IF(C40=0,0,VLOOKUP(C40,SDÖ5!$C$6:$D$33,2,FALSE))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IF(C41=0,0,VLOOKUP(C41,SDÖ5!$C$6:$D$33,2,FALSE))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IF(C42=0,0,VLOOKUP(C42,SDÖ5!$C$6:$D$33,2,FALSE))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114.91834163294118</v>
      </c>
      <c r="K43" s="1748"/>
      <c r="L43" s="1747"/>
      <c r="M43" s="1617">
        <f>SUM(M46:M57)</f>
        <v>114.91834163294118</v>
      </c>
      <c r="N43" s="1746"/>
      <c r="O43" s="1745"/>
      <c r="P43" s="1614">
        <f>SUM(P46:P57)</f>
        <v>114.91834163294118</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t="s">
        <v>515</v>
      </c>
      <c r="D46" s="4863"/>
      <c r="E46" s="1725">
        <f>IF($C46=0,0,VLOOKUP($C46,SDÖ3!$C$24:$O$99,4,FALSE))</f>
        <v>120</v>
      </c>
      <c r="F46" s="1724">
        <f>IF($C46=0,0,VLOOKUP($C46,SDÖ3!$C$24:$O$99,12,FALSE))</f>
        <v>1.46</v>
      </c>
      <c r="G46" s="1723">
        <f>IF($C46=0,0,VLOOKUP($C46,SDÖ3!$C$24:$O$99,13,FALSE))</f>
        <v>56.986584941176474</v>
      </c>
      <c r="H46" s="1728">
        <v>0.5</v>
      </c>
      <c r="I46" s="1727">
        <f t="shared" ref="I46:I57" si="4">$F46*H46</f>
        <v>0.73</v>
      </c>
      <c r="J46" s="1718">
        <f t="shared" ref="J46:J57" si="5">H46*$G46</f>
        <v>28.493292470588237</v>
      </c>
      <c r="K46" s="1728">
        <v>0.5</v>
      </c>
      <c r="L46" s="1729">
        <f t="shared" ref="L46:L57" si="6">$F46*K46</f>
        <v>0.73</v>
      </c>
      <c r="M46" s="1721">
        <f t="shared" ref="M46:M57" si="7">K46*$G46</f>
        <v>28.493292470588237</v>
      </c>
      <c r="N46" s="1728">
        <v>0.5</v>
      </c>
      <c r="O46" s="1727">
        <f t="shared" ref="O46:O57" si="8">$F46*N46</f>
        <v>0.73</v>
      </c>
      <c r="P46" s="1718">
        <f t="shared" ref="P46:P57" si="9">N46*$G46</f>
        <v>28.493292470588237</v>
      </c>
      <c r="Q46" s="38"/>
    </row>
    <row r="47" spans="1:17" s="42" customFormat="1" ht="15" customHeight="1">
      <c r="A47" s="1306"/>
      <c r="B47" s="1726"/>
      <c r="C47" s="4835" t="s">
        <v>512</v>
      </c>
      <c r="D47" s="4836"/>
      <c r="E47" s="1725">
        <f>IF($C47=0,0,VLOOKUP($C47,SDÖ3!$C$24:$O$99,4,FALSE))</f>
        <v>102</v>
      </c>
      <c r="F47" s="1724">
        <f>IF($C47=0,0,VLOOKUP($C47,SDÖ3!$C$24:$O$99,12,FALSE))</f>
        <v>0.93</v>
      </c>
      <c r="G47" s="1723">
        <f>IF($C47=0,0,VLOOKUP($C47,SDÖ3!$C$24:$O$99,13,FALSE))</f>
        <v>23.733808400000004</v>
      </c>
      <c r="H47" s="1720">
        <v>0.5</v>
      </c>
      <c r="I47" s="1719">
        <f t="shared" si="4"/>
        <v>0.46500000000000002</v>
      </c>
      <c r="J47" s="1718">
        <f t="shared" si="5"/>
        <v>11.866904200000002</v>
      </c>
      <c r="K47" s="1720">
        <v>0.5</v>
      </c>
      <c r="L47" s="1722">
        <f t="shared" si="6"/>
        <v>0.46500000000000002</v>
      </c>
      <c r="M47" s="1721">
        <f t="shared" si="7"/>
        <v>11.866904200000002</v>
      </c>
      <c r="N47" s="1720">
        <v>0.5</v>
      </c>
      <c r="O47" s="1719">
        <f t="shared" si="8"/>
        <v>0.46500000000000002</v>
      </c>
      <c r="P47" s="1718">
        <f t="shared" si="9"/>
        <v>11.866904200000002</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0.5</v>
      </c>
      <c r="I48" s="1719">
        <f t="shared" si="4"/>
        <v>0.51500000000000001</v>
      </c>
      <c r="J48" s="1718">
        <f t="shared" si="5"/>
        <v>16.788203764705884</v>
      </c>
      <c r="K48" s="1720">
        <v>0.5</v>
      </c>
      <c r="L48" s="1722">
        <f t="shared" si="6"/>
        <v>0.51500000000000001</v>
      </c>
      <c r="M48" s="1721">
        <f t="shared" si="7"/>
        <v>16.788203764705884</v>
      </c>
      <c r="N48" s="1720">
        <v>0.5</v>
      </c>
      <c r="O48" s="1719">
        <f t="shared" si="8"/>
        <v>0.51500000000000001</v>
      </c>
      <c r="P48" s="1718">
        <f t="shared" si="9"/>
        <v>16.788203764705884</v>
      </c>
      <c r="Q48" s="32"/>
    </row>
    <row r="49" spans="1:17" s="42" customFormat="1" ht="15" customHeight="1">
      <c r="A49" s="1306"/>
      <c r="B49" s="1726"/>
      <c r="C49" s="4835" t="s">
        <v>497</v>
      </c>
      <c r="D49" s="4836"/>
      <c r="E49" s="1725">
        <f>IF($C49=0,0,VLOOKUP($C49,SDÖ3!$C$24:$O$99,4,FALSE))</f>
        <v>83</v>
      </c>
      <c r="F49" s="1724">
        <f>IF($C49=0,0,VLOOKUP($C49,SDÖ3!$C$24:$O$99,12,FALSE))</f>
        <v>0.61</v>
      </c>
      <c r="G49" s="1723">
        <f>IF($C49=0,0,VLOOKUP($C49,SDÖ3!$C$24:$O$99,13,FALSE))</f>
        <v>10.780813997647058</v>
      </c>
      <c r="H49" s="1720">
        <v>1</v>
      </c>
      <c r="I49" s="1719">
        <f t="shared" si="4"/>
        <v>0.61</v>
      </c>
      <c r="J49" s="1718">
        <f t="shared" si="5"/>
        <v>10.780813997647058</v>
      </c>
      <c r="K49" s="1720">
        <v>1</v>
      </c>
      <c r="L49" s="1722">
        <f t="shared" si="6"/>
        <v>0.61</v>
      </c>
      <c r="M49" s="1721">
        <f t="shared" si="7"/>
        <v>10.780813997647058</v>
      </c>
      <c r="N49" s="1720">
        <v>1</v>
      </c>
      <c r="O49" s="1719">
        <f t="shared" si="8"/>
        <v>0.61</v>
      </c>
      <c r="P49" s="1718">
        <f t="shared" si="9"/>
        <v>10.780813997647058</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t="s">
        <v>450</v>
      </c>
      <c r="D51" s="4836"/>
      <c r="E51" s="1725">
        <f>IF($C51=0,0,VLOOKUP($C51,SDÖ3!$C$24:$O$99,4,FALSE))</f>
        <v>83</v>
      </c>
      <c r="F51" s="1724">
        <f>IF($C51=0,0,VLOOKUP($C51,SDÖ3!$C$24:$O$99,12,FALSE))</f>
        <v>1.19</v>
      </c>
      <c r="G51" s="1723">
        <f>IF($C51=0,0,VLOOKUP($C51,SDÖ3!$C$24:$O$99,13,FALSE))</f>
        <v>23.494563599999999</v>
      </c>
      <c r="H51" s="1720">
        <v>2</v>
      </c>
      <c r="I51" s="1719">
        <f t="shared" si="4"/>
        <v>2.38</v>
      </c>
      <c r="J51" s="1718">
        <f t="shared" si="5"/>
        <v>46.989127199999999</v>
      </c>
      <c r="K51" s="1720">
        <v>2</v>
      </c>
      <c r="L51" s="1722">
        <f t="shared" si="6"/>
        <v>2.38</v>
      </c>
      <c r="M51" s="1721">
        <f t="shared" si="7"/>
        <v>46.989127199999999</v>
      </c>
      <c r="N51" s="1720">
        <v>2</v>
      </c>
      <c r="O51" s="1719">
        <f t="shared" si="8"/>
        <v>2.38</v>
      </c>
      <c r="P51" s="1718">
        <f t="shared" si="9"/>
        <v>46.989127199999999</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35.450000000000003" customHeight="1">
      <c r="A57" s="1306"/>
      <c r="B57" s="1657"/>
      <c r="C57" s="4847"/>
      <c r="D57" s="4848"/>
      <c r="E57" s="3617">
        <f>IF($C57=0,0,VLOOKUP($C57,SDÖ3!$C$24:$O$99,4,FALSE))</f>
        <v>0</v>
      </c>
      <c r="F57" s="3618">
        <f>IF($C57=0,0,VLOOKUP($C57,SDÖ3!$C$24:$O$99,12,FALSE))</f>
        <v>0</v>
      </c>
      <c r="G57" s="3619">
        <f>IF($C57=0,0,VLOOKUP($C57,SDÖ3!$C$24:$O$99,13,FALSE))</f>
        <v>0</v>
      </c>
      <c r="H57" s="1704"/>
      <c r="I57" s="1703">
        <f t="shared" si="4"/>
        <v>0</v>
      </c>
      <c r="J57" s="1702">
        <f t="shared" si="5"/>
        <v>0</v>
      </c>
      <c r="K57" s="1704"/>
      <c r="L57" s="1705">
        <f t="shared" si="6"/>
        <v>0</v>
      </c>
      <c r="M57" s="1652">
        <f t="shared" si="7"/>
        <v>0</v>
      </c>
      <c r="N57" s="1704"/>
      <c r="O57" s="1703">
        <f t="shared" si="8"/>
        <v>0</v>
      </c>
      <c r="P57" s="1702">
        <f t="shared" si="9"/>
        <v>0</v>
      </c>
      <c r="Q57" s="32"/>
    </row>
    <row r="58" spans="1:17" s="708" customFormat="1" ht="18.75" customHeight="1">
      <c r="A58" s="1270"/>
      <c r="B58" s="1276" t="s">
        <v>1223</v>
      </c>
      <c r="C58" s="1373"/>
      <c r="D58" s="1373"/>
      <c r="E58" s="1373"/>
      <c r="F58" s="38"/>
      <c r="G58" s="1620"/>
      <c r="H58" s="1697"/>
      <c r="I58" s="1696">
        <f>SUM($I$46:$I$57)</f>
        <v>4.6999999999999993</v>
      </c>
      <c r="J58" s="1701"/>
      <c r="K58" s="1700"/>
      <c r="L58" s="1699">
        <f>SUM($L$46:$L$57)</f>
        <v>4.6999999999999993</v>
      </c>
      <c r="M58" s="1698"/>
      <c r="N58" s="1697"/>
      <c r="O58" s="1696">
        <f>SUM($O$46:$O$57)</f>
        <v>4.6999999999999993</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8.4599999999999991</v>
      </c>
      <c r="J59" s="1686"/>
      <c r="K59" s="1691"/>
      <c r="L59" s="1690">
        <f>IF(L58+SUM($L$46:$L$57)*$E$59%&gt;L58+10,L58+10,L58+SUM($L$46:$L$57)*$E$59%)</f>
        <v>8.4599999999999991</v>
      </c>
      <c r="M59" s="1689"/>
      <c r="N59" s="1688"/>
      <c r="O59" s="1687">
        <f>IF(O58+SUM($O$46:$O$57)*$E$59%&gt;O58+10,O58+10,O58+SUM($O$46:$O$57)*$E$59%)</f>
        <v>8.4599999999999991</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4.4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15.6"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6" customHeight="1">
      <c r="A68" s="1270"/>
      <c r="B68" s="1637"/>
      <c r="C68" s="4839" t="s">
        <v>1215</v>
      </c>
      <c r="D68" s="4839"/>
      <c r="E68" s="4839"/>
      <c r="F68" s="1636"/>
      <c r="G68" s="1627" t="s">
        <v>171</v>
      </c>
      <c r="H68" s="1634"/>
      <c r="I68" s="1633">
        <v>50</v>
      </c>
      <c r="J68" s="1632"/>
      <c r="K68" s="1634"/>
      <c r="L68" s="1633">
        <v>50</v>
      </c>
      <c r="M68" s="1635"/>
      <c r="N68" s="1634"/>
      <c r="O68" s="1633">
        <v>50</v>
      </c>
      <c r="P68" s="1632"/>
      <c r="Q68" s="32"/>
      <c r="R68" s="1944">
        <f>IF($H$68=0,0,VLOOKUP($H$68,'SD6'!B8:C101,'SD6'!C1,FALSE))*(1+'SDK1'!O11/100)</f>
        <v>0</v>
      </c>
      <c r="S68" s="1944">
        <f>IF($H$68=0,0,VLOOKUP($H$68,'SD6'!C8:D101,'SD6'!D1,FALSE))*(1+'SDK1'!P11/100)</f>
        <v>0</v>
      </c>
      <c r="T68" s="1944">
        <f>IF($H$68=0,0,VLOOKUP($H$68,'SD6'!D8:E101,'SD6'!E1,FALSE))*(1+'SDK1'!Q11/100)</f>
        <v>0</v>
      </c>
    </row>
    <row r="69" spans="1:20" s="708" customFormat="1" ht="15.75" hidden="1"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75" hidden="1"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-1.7769645107117644</v>
      </c>
      <c r="K75" s="3063"/>
      <c r="L75" s="1056"/>
      <c r="M75" s="1578">
        <f>(M23+M27+M34+M43+M60+M65+M67+M69+M71)*('SDK1'!$O$59%*$G$75/12)</f>
        <v>-2.8677978440450973</v>
      </c>
      <c r="N75" s="1580"/>
      <c r="O75" s="1579"/>
      <c r="P75" s="1578">
        <f>(P23+P27+P34+P43+P60+P65+P67+P69+P71)*('SDK1'!$O$59%*$G$75/12)</f>
        <v>-3.9586311773784311</v>
      </c>
      <c r="Q75" s="32"/>
    </row>
    <row r="78" spans="1:20" ht="14.25">
      <c r="C78" s="3102" t="s">
        <v>1946</v>
      </c>
      <c r="D78" s="3103"/>
      <c r="E78" s="3103"/>
      <c r="F78" s="3104"/>
      <c r="G78" s="3635"/>
      <c r="H78" s="3635"/>
      <c r="I78" s="3635"/>
      <c r="L78" s="33"/>
      <c r="M78" s="3635"/>
      <c r="N78" s="3635"/>
      <c r="O78" s="3635"/>
      <c r="P78" s="3635"/>
      <c r="Q78" s="3635"/>
    </row>
    <row r="79" spans="1:20">
      <c r="C79" s="3088" t="s">
        <v>295</v>
      </c>
      <c r="D79" s="3077"/>
      <c r="E79" s="3077"/>
      <c r="F79" s="3079"/>
      <c r="G79" s="3635"/>
      <c r="H79" s="3635"/>
      <c r="I79" s="3635"/>
      <c r="L79" s="33"/>
      <c r="M79" s="3635"/>
      <c r="N79" s="3635"/>
      <c r="O79" s="3635"/>
      <c r="P79" s="3635"/>
      <c r="Q79" s="3635"/>
    </row>
    <row r="80" spans="1:20" ht="14.25">
      <c r="B80" s="3078"/>
      <c r="C80" s="3074" t="s">
        <v>1942</v>
      </c>
      <c r="D80" s="3075"/>
      <c r="E80" s="3075"/>
      <c r="F80" s="3076"/>
      <c r="G80" s="3635"/>
      <c r="H80" s="3635"/>
      <c r="I80" s="3635"/>
      <c r="J80" s="3078"/>
      <c r="K80" s="3078"/>
      <c r="L80" s="33"/>
      <c r="M80" s="3635"/>
      <c r="N80" s="3635"/>
      <c r="O80" s="3635"/>
      <c r="P80" s="3635"/>
      <c r="Q80" s="3635"/>
    </row>
    <row r="81" spans="2:17" ht="14.25">
      <c r="B81" s="3078"/>
      <c r="C81" s="3074" t="s">
        <v>1943</v>
      </c>
      <c r="D81" s="3075"/>
      <c r="E81" s="3075"/>
      <c r="F81" s="3076"/>
      <c r="G81" s="33"/>
      <c r="H81" s="33"/>
      <c r="I81" s="33"/>
      <c r="J81" s="3078"/>
      <c r="K81" s="3078"/>
      <c r="L81" s="33"/>
      <c r="M81" s="3635"/>
      <c r="N81" s="3635"/>
      <c r="O81" s="3635"/>
      <c r="P81" s="3635"/>
      <c r="Q81" s="3635"/>
    </row>
    <row r="82" spans="2:17">
      <c r="B82" s="3078"/>
      <c r="C82" s="3066" t="s">
        <v>294</v>
      </c>
      <c r="D82" s="3067"/>
      <c r="E82" s="3067"/>
      <c r="F82" s="3068"/>
      <c r="G82" s="33"/>
      <c r="H82" s="33"/>
      <c r="I82" s="33"/>
      <c r="J82" s="3635"/>
      <c r="K82" s="3078"/>
      <c r="L82" s="33"/>
      <c r="M82" s="3635"/>
      <c r="N82" s="3635"/>
      <c r="O82" s="3635"/>
      <c r="P82" s="3635"/>
      <c r="Q82" s="3635"/>
    </row>
    <row r="83" spans="2:17" ht="14.25">
      <c r="B83" s="3078"/>
      <c r="C83" s="3074" t="s">
        <v>1944</v>
      </c>
      <c r="D83" s="3075"/>
      <c r="E83" s="3075"/>
      <c r="F83" s="3076"/>
      <c r="G83" s="33"/>
      <c r="H83" s="33"/>
      <c r="I83" s="33"/>
      <c r="J83" s="3078"/>
      <c r="K83" s="3078"/>
      <c r="L83" s="33"/>
      <c r="M83" s="3635"/>
      <c r="N83" s="3635"/>
      <c r="O83" s="3635"/>
      <c r="P83" s="3635"/>
      <c r="Q83" s="3635"/>
    </row>
    <row r="84" spans="2:17" ht="14.25">
      <c r="B84" s="3078"/>
      <c r="C84" s="3074" t="s">
        <v>1945</v>
      </c>
      <c r="D84" s="3075"/>
      <c r="E84" s="3075"/>
      <c r="F84" s="3076"/>
      <c r="G84" s="33"/>
      <c r="H84" s="33"/>
      <c r="I84" s="33"/>
      <c r="J84" s="3078"/>
      <c r="K84" s="3078"/>
      <c r="L84" s="33"/>
      <c r="M84" s="3635"/>
      <c r="N84" s="3635"/>
      <c r="O84" s="3635"/>
      <c r="P84" s="3635"/>
      <c r="Q84" s="3635"/>
    </row>
    <row r="85" spans="2:17">
      <c r="B85" s="3078"/>
      <c r="C85" s="3066" t="s">
        <v>293</v>
      </c>
      <c r="D85" s="3067"/>
      <c r="E85" s="3067"/>
      <c r="F85" s="3068"/>
      <c r="G85" s="33"/>
      <c r="H85" s="33"/>
      <c r="I85" s="33"/>
      <c r="J85" s="3078"/>
      <c r="K85" s="3078"/>
      <c r="L85" s="33"/>
      <c r="M85" s="3635"/>
      <c r="N85" s="3635"/>
      <c r="O85" s="3635"/>
      <c r="P85" s="3635"/>
      <c r="Q85" s="3635"/>
    </row>
    <row r="86" spans="2:17">
      <c r="B86" s="3078"/>
      <c r="C86" s="3066" t="s">
        <v>292</v>
      </c>
      <c r="D86" s="3067"/>
      <c r="E86" s="3067"/>
      <c r="F86" s="3068"/>
      <c r="G86" s="33"/>
      <c r="H86" s="33"/>
      <c r="I86" s="33"/>
      <c r="J86" s="3078"/>
      <c r="K86" s="3078"/>
      <c r="L86" s="33"/>
      <c r="M86" s="3635"/>
      <c r="N86" s="3635"/>
      <c r="O86" s="3635"/>
      <c r="P86" s="3635"/>
      <c r="Q86" s="3635"/>
    </row>
    <row r="87" spans="2:17" ht="14.25">
      <c r="B87" s="3078"/>
      <c r="C87" s="3066" t="s">
        <v>291</v>
      </c>
      <c r="D87" s="3067"/>
      <c r="E87" s="3067"/>
      <c r="F87" s="3068"/>
      <c r="G87" s="33"/>
      <c r="H87" s="33"/>
      <c r="I87" s="33"/>
      <c r="J87" s="3078"/>
      <c r="K87" s="3078"/>
      <c r="L87" s="33"/>
      <c r="M87" s="3635"/>
      <c r="N87" s="3635"/>
      <c r="O87" s="3635"/>
      <c r="P87" s="3635"/>
      <c r="Q87" s="3635"/>
    </row>
    <row r="88" spans="2:17" ht="13.15" customHeight="1">
      <c r="B88" s="3078"/>
      <c r="C88" s="3066" t="s">
        <v>290</v>
      </c>
      <c r="D88" s="3069"/>
      <c r="E88" s="3069"/>
      <c r="F88" s="3070"/>
      <c r="G88" s="33"/>
      <c r="H88" s="33"/>
      <c r="I88" s="33"/>
      <c r="J88" s="3078"/>
      <c r="K88" s="3078"/>
      <c r="L88" s="33"/>
      <c r="M88" s="3635"/>
      <c r="N88" s="3635"/>
      <c r="O88" s="3635"/>
      <c r="P88" s="3635"/>
      <c r="Q88" s="3635"/>
    </row>
    <row r="89" spans="2:17">
      <c r="B89" s="3078"/>
      <c r="C89" s="3066" t="s">
        <v>289</v>
      </c>
      <c r="D89" s="3069"/>
      <c r="E89" s="3069"/>
      <c r="F89" s="3070"/>
      <c r="G89" s="33"/>
      <c r="H89" s="33"/>
      <c r="I89" s="33"/>
      <c r="J89" s="3078"/>
      <c r="K89" s="3078"/>
      <c r="L89" s="33"/>
      <c r="M89" s="3635"/>
      <c r="N89" s="3635"/>
      <c r="O89" s="3635"/>
      <c r="P89" s="3635"/>
      <c r="Q89" s="3635"/>
    </row>
    <row r="90" spans="2:17" ht="13.9" customHeight="1">
      <c r="B90" s="3078"/>
      <c r="C90" s="3098" t="s">
        <v>288</v>
      </c>
      <c r="D90" s="3072"/>
      <c r="E90" s="3072"/>
      <c r="F90" s="3073"/>
      <c r="H90" s="3078"/>
      <c r="I90" s="3078"/>
      <c r="J90" s="3078"/>
      <c r="K90" s="3078"/>
      <c r="L90" s="33"/>
      <c r="M90" s="3635"/>
      <c r="N90" s="3635"/>
      <c r="O90" s="3635"/>
      <c r="P90" s="3635"/>
      <c r="Q90" s="3635"/>
    </row>
    <row r="91" spans="2:17">
      <c r="B91" s="3078"/>
      <c r="C91" s="33"/>
      <c r="D91" s="33"/>
      <c r="E91" s="33"/>
      <c r="F91" s="3078"/>
      <c r="G91" s="3635"/>
      <c r="H91" s="3635"/>
      <c r="I91" s="3635"/>
      <c r="J91" s="3078"/>
      <c r="K91" s="3078"/>
      <c r="L91" s="33"/>
      <c r="M91" s="3635"/>
      <c r="N91" s="3635"/>
      <c r="O91" s="3635"/>
      <c r="P91" s="3635"/>
      <c r="Q91" s="3635"/>
    </row>
    <row r="92" spans="2:17" ht="13.15" customHeight="1">
      <c r="B92" s="3078"/>
      <c r="C92" s="33"/>
      <c r="D92" s="33"/>
      <c r="E92" s="33"/>
      <c r="F92" s="3078"/>
      <c r="G92" s="3635"/>
      <c r="H92" s="3635"/>
      <c r="I92" s="3635"/>
      <c r="J92" s="3078"/>
      <c r="K92" s="3078"/>
      <c r="L92" s="33"/>
      <c r="M92" s="3635"/>
      <c r="N92" s="3635"/>
      <c r="O92" s="3635"/>
      <c r="P92" s="3635"/>
      <c r="Q92" s="3635"/>
    </row>
    <row r="93" spans="2:17">
      <c r="B93" s="3078"/>
      <c r="C93" s="33"/>
      <c r="D93" s="33"/>
      <c r="E93" s="33"/>
      <c r="F93" s="3078"/>
      <c r="G93" s="3635"/>
      <c r="H93" s="3635"/>
      <c r="I93" s="3635"/>
      <c r="J93" s="3078"/>
      <c r="K93" s="3078"/>
      <c r="L93" s="33"/>
      <c r="M93" s="3635"/>
      <c r="N93" s="3635"/>
      <c r="O93" s="3635"/>
      <c r="P93" s="3635"/>
      <c r="Q93" s="3635"/>
    </row>
    <row r="94" spans="2:17">
      <c r="B94" s="3078"/>
      <c r="C94" s="33"/>
      <c r="D94" s="33"/>
      <c r="E94" s="33"/>
      <c r="F94" s="3078"/>
      <c r="G94" s="3635"/>
      <c r="H94" s="3635"/>
      <c r="I94" s="3635"/>
      <c r="J94" s="3078"/>
      <c r="K94" s="3078"/>
      <c r="L94" s="33"/>
      <c r="M94" s="3635"/>
      <c r="N94" s="3635"/>
      <c r="O94" s="3635"/>
      <c r="P94" s="3635"/>
      <c r="Q94" s="3635"/>
    </row>
    <row r="95" spans="2:17">
      <c r="B95" s="3078"/>
      <c r="C95" s="33"/>
      <c r="D95" s="33"/>
      <c r="E95" s="33"/>
      <c r="F95" s="3078"/>
      <c r="G95" s="3635"/>
      <c r="H95" s="3635"/>
      <c r="I95" s="3635"/>
      <c r="J95" s="3078"/>
      <c r="K95" s="3078"/>
      <c r="L95" s="33"/>
      <c r="M95" s="3635"/>
      <c r="N95" s="3635"/>
      <c r="O95" s="3635"/>
      <c r="P95" s="3635"/>
      <c r="Q95" s="3635"/>
    </row>
    <row r="96" spans="2:17">
      <c r="B96" s="3078"/>
      <c r="C96" s="33"/>
      <c r="D96" s="33"/>
      <c r="E96" s="33"/>
      <c r="F96" s="3078"/>
      <c r="G96" s="3635"/>
      <c r="H96" s="3635"/>
      <c r="I96" s="3635"/>
      <c r="J96" s="3078"/>
      <c r="K96" s="3078"/>
      <c r="L96" s="33"/>
      <c r="M96" s="3635"/>
      <c r="N96" s="3635"/>
      <c r="O96" s="3635"/>
      <c r="P96" s="3635"/>
      <c r="Q96" s="3635"/>
    </row>
    <row r="97" spans="2:17">
      <c r="B97" s="3078"/>
      <c r="C97" s="33"/>
      <c r="D97" s="33"/>
      <c r="E97" s="33"/>
      <c r="F97" s="3078"/>
      <c r="G97" s="3635"/>
      <c r="H97" s="3635"/>
      <c r="I97" s="3635"/>
      <c r="J97" s="3078"/>
      <c r="K97" s="3078"/>
      <c r="L97" s="33"/>
      <c r="M97" s="3635"/>
      <c r="N97" s="3635"/>
      <c r="O97" s="3635"/>
      <c r="P97" s="3635"/>
      <c r="Q97" s="3635"/>
    </row>
    <row r="98" spans="2:17">
      <c r="B98" s="3078"/>
      <c r="C98" s="33"/>
      <c r="D98" s="33"/>
      <c r="E98" s="33"/>
      <c r="F98" s="3078"/>
      <c r="G98" s="3635"/>
      <c r="H98" s="3635"/>
      <c r="I98" s="3635"/>
      <c r="J98" s="3078"/>
      <c r="K98" s="3078"/>
      <c r="L98" s="33"/>
      <c r="M98" s="3635"/>
      <c r="N98" s="3635"/>
      <c r="O98" s="3635"/>
      <c r="P98" s="3635"/>
      <c r="Q98" s="3635"/>
    </row>
    <row r="99" spans="2:17">
      <c r="B99" s="3078"/>
      <c r="C99" s="33"/>
      <c r="D99" s="33"/>
      <c r="E99" s="33"/>
      <c r="F99" s="3078"/>
      <c r="G99" s="3635"/>
      <c r="H99" s="3635"/>
      <c r="I99" s="3635"/>
      <c r="J99" s="3078"/>
      <c r="K99" s="3078"/>
      <c r="L99" s="33"/>
      <c r="M99" s="3635"/>
      <c r="N99" s="3635"/>
      <c r="O99" s="3635"/>
      <c r="P99" s="3635"/>
      <c r="Q99" s="3635"/>
    </row>
    <row r="100" spans="2:17">
      <c r="B100" s="3078"/>
      <c r="C100" s="33"/>
      <c r="D100" s="33"/>
      <c r="E100" s="33"/>
      <c r="F100" s="3078"/>
      <c r="G100" s="3635"/>
      <c r="H100" s="3635"/>
      <c r="I100" s="3635"/>
      <c r="J100" s="3078"/>
      <c r="K100" s="3078"/>
      <c r="L100" s="33"/>
      <c r="M100" s="3635"/>
      <c r="N100" s="3635"/>
      <c r="O100" s="3635"/>
      <c r="P100" s="3635"/>
      <c r="Q100" s="3635"/>
    </row>
    <row r="101" spans="2:17">
      <c r="B101" s="33"/>
      <c r="C101" s="33"/>
      <c r="D101" s="33"/>
      <c r="E101" s="33"/>
      <c r="F101" s="3078"/>
      <c r="G101" s="3635"/>
      <c r="H101" s="3635"/>
      <c r="I101" s="3635"/>
      <c r="J101" s="3078"/>
      <c r="K101" s="3078"/>
      <c r="L101" s="33"/>
      <c r="M101" s="3635"/>
      <c r="N101" s="3635"/>
      <c r="O101" s="3635"/>
      <c r="P101" s="3635"/>
      <c r="Q101" s="3635"/>
    </row>
    <row r="102" spans="2:17">
      <c r="B102" s="33"/>
      <c r="C102" s="33"/>
      <c r="D102" s="33"/>
      <c r="E102" s="33"/>
      <c r="F102" s="3078"/>
      <c r="G102" s="3635"/>
      <c r="H102" s="3635"/>
      <c r="I102" s="3635"/>
      <c r="J102" s="3078"/>
      <c r="K102" s="3078"/>
      <c r="L102" s="33"/>
      <c r="M102" s="3635"/>
      <c r="N102" s="3635"/>
      <c r="O102" s="3635"/>
      <c r="P102" s="3635"/>
      <c r="Q102" s="3635"/>
    </row>
    <row r="103" spans="2:17">
      <c r="B103" s="33"/>
      <c r="C103" s="33"/>
      <c r="D103" s="33"/>
      <c r="E103" s="3078"/>
      <c r="F103" s="3078"/>
      <c r="G103" s="3635"/>
      <c r="H103" s="3635"/>
      <c r="I103" s="3635"/>
      <c r="J103" s="3078"/>
      <c r="K103" s="3078"/>
      <c r="L103" s="33"/>
      <c r="M103" s="3635"/>
      <c r="N103" s="3635"/>
      <c r="O103" s="3635"/>
      <c r="P103" s="3635"/>
      <c r="Q103" s="3635"/>
    </row>
    <row r="104" spans="2:17">
      <c r="B104" s="33"/>
      <c r="C104" s="33"/>
      <c r="D104" s="33"/>
      <c r="E104" s="3078"/>
      <c r="F104" s="3078"/>
      <c r="G104" s="3635"/>
      <c r="H104" s="3635"/>
      <c r="I104" s="3635"/>
      <c r="J104" s="3078"/>
      <c r="K104" s="3078"/>
      <c r="L104" s="33"/>
      <c r="M104" s="3635"/>
      <c r="N104" s="3635"/>
      <c r="O104" s="3635"/>
      <c r="P104" s="3635"/>
      <c r="Q104" s="3635"/>
    </row>
    <row r="105" spans="2:17">
      <c r="B105" s="33"/>
      <c r="C105" s="33"/>
      <c r="D105" s="33"/>
      <c r="E105" s="3078"/>
      <c r="F105" s="3078"/>
      <c r="G105" s="3635"/>
      <c r="H105" s="3635"/>
      <c r="I105" s="3635"/>
      <c r="J105" s="3078"/>
      <c r="K105" s="3078"/>
      <c r="L105" s="33"/>
      <c r="M105" s="3635"/>
      <c r="N105" s="3635"/>
      <c r="O105" s="3635"/>
      <c r="P105" s="3635"/>
      <c r="Q105" s="3635"/>
    </row>
    <row r="106" spans="2:17">
      <c r="B106" s="33"/>
      <c r="C106" s="33"/>
      <c r="D106" s="33"/>
      <c r="E106" s="3078"/>
      <c r="F106" s="3078"/>
      <c r="G106" s="3635"/>
      <c r="H106" s="3635"/>
      <c r="I106" s="3635"/>
      <c r="J106" s="3078"/>
      <c r="K106" s="3078"/>
      <c r="L106" s="33"/>
      <c r="M106" s="3635"/>
      <c r="N106" s="3635"/>
      <c r="O106" s="3635"/>
      <c r="P106" s="3635"/>
      <c r="Q106" s="3635"/>
    </row>
    <row r="107" spans="2:17">
      <c r="B107" s="33"/>
      <c r="C107" s="33"/>
      <c r="D107" s="33"/>
      <c r="E107" s="3078"/>
      <c r="F107" s="3078"/>
      <c r="G107" s="3635"/>
      <c r="H107" s="3635"/>
      <c r="I107" s="3635"/>
      <c r="J107" s="3078"/>
      <c r="K107" s="3078"/>
      <c r="L107" s="33"/>
      <c r="M107" s="3635"/>
      <c r="N107" s="3635"/>
      <c r="O107" s="3635"/>
      <c r="P107" s="3635"/>
      <c r="Q107" s="3635"/>
    </row>
    <row r="108" spans="2:17">
      <c r="B108" s="33"/>
      <c r="C108" s="33"/>
      <c r="D108" s="33"/>
      <c r="E108" s="3078"/>
      <c r="F108" s="3078"/>
      <c r="G108" s="3635"/>
      <c r="H108" s="3635"/>
      <c r="I108" s="3635"/>
      <c r="J108" s="3078"/>
      <c r="K108" s="3078"/>
      <c r="L108" s="33"/>
      <c r="M108" s="3635"/>
      <c r="N108" s="3635"/>
      <c r="O108" s="3635"/>
      <c r="P108" s="3635"/>
      <c r="Q108" s="3635"/>
    </row>
    <row r="109" spans="2:17">
      <c r="B109" s="33"/>
      <c r="C109" s="33"/>
      <c r="D109" s="33"/>
      <c r="E109" s="3078"/>
      <c r="F109" s="3078"/>
      <c r="G109" s="3635"/>
      <c r="H109" s="3635"/>
      <c r="I109" s="3635"/>
      <c r="J109" s="3078"/>
      <c r="K109" s="3078"/>
      <c r="L109" s="33"/>
      <c r="M109" s="3635"/>
      <c r="N109" s="3635"/>
      <c r="O109" s="3635"/>
      <c r="P109" s="3635"/>
      <c r="Q109" s="3635"/>
    </row>
    <row r="110" spans="2:17">
      <c r="B110" s="3078"/>
      <c r="C110" s="3078"/>
      <c r="D110" s="3078"/>
      <c r="E110" s="3078"/>
      <c r="F110" s="3078"/>
      <c r="G110" s="3635"/>
      <c r="H110" s="3635"/>
      <c r="I110" s="3635"/>
      <c r="J110" s="3078"/>
      <c r="K110" s="3078"/>
      <c r="L110" s="33"/>
      <c r="M110" s="3635"/>
      <c r="N110" s="3635"/>
      <c r="O110" s="3635"/>
      <c r="P110" s="3635"/>
      <c r="Q110" s="3635"/>
    </row>
    <row r="111" spans="2:17">
      <c r="B111" s="3078"/>
      <c r="C111" s="3078"/>
      <c r="D111" s="3078"/>
      <c r="E111" s="3078"/>
      <c r="F111" s="3078"/>
      <c r="G111" s="3635"/>
      <c r="H111" s="3635"/>
      <c r="I111" s="3635"/>
      <c r="J111" s="3078"/>
      <c r="K111" s="3078"/>
      <c r="L111" s="33"/>
      <c r="M111" s="3635"/>
      <c r="N111" s="3635"/>
      <c r="O111" s="3635"/>
      <c r="P111" s="3635"/>
      <c r="Q111" s="3635"/>
    </row>
    <row r="112" spans="2:17">
      <c r="B112" s="3078"/>
      <c r="C112" s="3078"/>
      <c r="D112" s="3078"/>
      <c r="E112" s="3078"/>
      <c r="F112" s="3078"/>
      <c r="G112" s="3635"/>
      <c r="H112" s="3635"/>
      <c r="I112" s="3635"/>
      <c r="J112" s="3078"/>
      <c r="K112" s="3078"/>
      <c r="L112" s="33"/>
      <c r="M112" s="3635"/>
      <c r="N112" s="3635"/>
      <c r="O112" s="3635"/>
      <c r="P112" s="3635"/>
      <c r="Q112" s="3635"/>
    </row>
    <row r="113" spans="2:17">
      <c r="B113" s="3078"/>
      <c r="C113" s="3078"/>
      <c r="D113" s="3078"/>
      <c r="E113" s="3078"/>
      <c r="F113" s="3078"/>
      <c r="G113" s="3635"/>
      <c r="H113" s="3635"/>
      <c r="I113" s="3635"/>
      <c r="J113" s="3078"/>
      <c r="K113" s="3078"/>
      <c r="L113" s="33"/>
      <c r="M113" s="3635"/>
      <c r="N113" s="3635"/>
      <c r="O113" s="3635"/>
      <c r="P113" s="3635"/>
      <c r="Q113" s="3635"/>
    </row>
    <row r="114" spans="2:17">
      <c r="B114" s="3078"/>
      <c r="C114" s="3078"/>
      <c r="D114" s="3078"/>
      <c r="E114" s="3078"/>
      <c r="F114" s="3078"/>
      <c r="G114" s="3635"/>
      <c r="H114" s="3635"/>
      <c r="I114" s="3635"/>
      <c r="J114" s="3078"/>
      <c r="K114" s="3078"/>
      <c r="L114" s="33"/>
      <c r="M114" s="3635"/>
      <c r="N114" s="3635"/>
      <c r="O114" s="3635"/>
      <c r="P114" s="3635"/>
      <c r="Q114" s="3635"/>
    </row>
    <row r="115" spans="2:17">
      <c r="B115" s="3078"/>
      <c r="C115" s="3078"/>
      <c r="D115" s="3078"/>
      <c r="E115" s="3078"/>
      <c r="F115" s="3078"/>
      <c r="G115" s="3635"/>
      <c r="H115" s="3635"/>
      <c r="I115" s="3635"/>
      <c r="J115" s="3078"/>
      <c r="K115" s="3078"/>
      <c r="L115" s="33"/>
      <c r="M115" s="3635"/>
      <c r="N115" s="3635"/>
      <c r="O115" s="3635"/>
      <c r="P115" s="3635"/>
      <c r="Q115" s="3635"/>
    </row>
    <row r="116" spans="2:17">
      <c r="B116" s="3078"/>
      <c r="C116" s="3078"/>
      <c r="D116" s="3078"/>
      <c r="E116" s="3078"/>
      <c r="F116" s="3078"/>
      <c r="G116" s="3635"/>
      <c r="H116" s="3635"/>
      <c r="I116" s="3635"/>
      <c r="J116" s="3078"/>
      <c r="K116" s="3078"/>
      <c r="L116" s="33"/>
      <c r="M116" s="3635"/>
      <c r="N116" s="3635"/>
      <c r="O116" s="3635"/>
      <c r="P116" s="3635"/>
      <c r="Q116" s="3635"/>
    </row>
    <row r="117" spans="2:17">
      <c r="B117" s="3078"/>
      <c r="C117" s="3078"/>
      <c r="D117" s="3078"/>
      <c r="E117" s="3078"/>
      <c r="F117" s="3078"/>
      <c r="G117" s="3635"/>
      <c r="H117" s="3635"/>
      <c r="I117" s="3635"/>
      <c r="J117" s="3078"/>
      <c r="K117" s="3078"/>
      <c r="L117" s="33"/>
      <c r="M117" s="3635"/>
      <c r="N117" s="3635"/>
      <c r="O117" s="3635"/>
      <c r="P117" s="3635"/>
      <c r="Q117" s="3635"/>
    </row>
    <row r="118" spans="2:17">
      <c r="B118" s="3078"/>
      <c r="C118" s="3078"/>
      <c r="D118" s="3078"/>
      <c r="E118" s="3078"/>
      <c r="F118" s="3078"/>
      <c r="G118" s="3635"/>
      <c r="H118" s="3635"/>
      <c r="I118" s="3635"/>
      <c r="J118" s="3078"/>
      <c r="K118" s="3078"/>
      <c r="L118" s="33"/>
      <c r="M118" s="3635"/>
      <c r="N118" s="3635"/>
      <c r="O118" s="3635"/>
      <c r="P118" s="3635"/>
      <c r="Q118" s="3635"/>
    </row>
    <row r="119" spans="2:17">
      <c r="B119" s="3078"/>
      <c r="C119" s="3078"/>
      <c r="D119" s="3078"/>
      <c r="E119" s="3078"/>
      <c r="F119" s="3078"/>
      <c r="H119" s="3078"/>
      <c r="I119" s="3078"/>
      <c r="J119" s="3078"/>
      <c r="K119" s="3078"/>
      <c r="L119" s="33"/>
      <c r="M119" s="3635"/>
      <c r="N119" s="3635"/>
      <c r="O119" s="3635"/>
      <c r="P119" s="3635"/>
      <c r="Q119" s="3635"/>
    </row>
    <row r="120" spans="2:17">
      <c r="B120" s="622"/>
      <c r="C120" s="33"/>
      <c r="D120" s="3078"/>
      <c r="E120" s="3078"/>
      <c r="F120" s="3078"/>
      <c r="H120" s="3078"/>
      <c r="I120" s="3078"/>
      <c r="J120" s="3078"/>
      <c r="K120" s="3078"/>
      <c r="L120" s="33"/>
      <c r="M120" s="3635"/>
      <c r="N120" s="3635"/>
      <c r="O120" s="3635"/>
      <c r="P120" s="3635"/>
      <c r="Q120" s="3635"/>
    </row>
    <row r="121" spans="2:17">
      <c r="B121" s="622"/>
      <c r="C121" s="33"/>
      <c r="D121" s="3078"/>
      <c r="E121" s="3078"/>
      <c r="F121" s="3078"/>
      <c r="H121" s="3078"/>
      <c r="I121" s="3078"/>
      <c r="J121" s="3078"/>
      <c r="K121" s="3078"/>
      <c r="L121" s="33"/>
      <c r="M121" s="3635"/>
      <c r="N121" s="3635"/>
      <c r="O121" s="3635"/>
      <c r="P121" s="3635"/>
      <c r="Q121" s="3635"/>
    </row>
    <row r="122" spans="2:17">
      <c r="B122" s="622"/>
      <c r="C122" s="33"/>
      <c r="D122" s="3078"/>
      <c r="E122" s="3078"/>
      <c r="F122" s="3078"/>
      <c r="H122" s="3078"/>
      <c r="I122" s="3078"/>
      <c r="J122" s="3078"/>
      <c r="K122" s="3078"/>
      <c r="L122" s="33"/>
      <c r="M122" s="3635"/>
      <c r="N122" s="3635"/>
      <c r="O122" s="3635"/>
      <c r="P122" s="3635"/>
      <c r="Q122" s="3635"/>
    </row>
    <row r="123" spans="2:17">
      <c r="B123" s="622"/>
      <c r="C123" s="33"/>
      <c r="D123" s="3078"/>
      <c r="E123" s="3078"/>
      <c r="F123" s="3078"/>
      <c r="H123" s="3078"/>
      <c r="I123" s="3078"/>
      <c r="J123" s="3078"/>
      <c r="K123" s="3078"/>
      <c r="L123" s="33"/>
      <c r="M123" s="3635"/>
      <c r="N123" s="3635"/>
      <c r="O123" s="3635"/>
      <c r="P123" s="3635"/>
      <c r="Q123" s="3635"/>
    </row>
    <row r="124" spans="2:17">
      <c r="B124" s="622"/>
      <c r="C124" s="33"/>
      <c r="D124" s="3078"/>
      <c r="E124" s="3078"/>
      <c r="F124" s="3078"/>
      <c r="H124" s="3078"/>
      <c r="I124" s="3078"/>
      <c r="J124" s="3078"/>
      <c r="K124" s="3078"/>
      <c r="L124" s="33"/>
      <c r="M124" s="3635"/>
      <c r="N124" s="3635"/>
      <c r="O124" s="3635"/>
      <c r="P124" s="3635"/>
      <c r="Q124" s="3635"/>
    </row>
    <row r="125" spans="2:17">
      <c r="B125" s="622"/>
      <c r="C125" s="33"/>
      <c r="D125" s="3078"/>
      <c r="E125" s="3078"/>
      <c r="F125" s="3078"/>
      <c r="H125" s="3078"/>
      <c r="I125" s="3078"/>
      <c r="J125" s="3078"/>
      <c r="K125" s="3078"/>
      <c r="L125" s="33"/>
      <c r="M125" s="3635"/>
      <c r="N125" s="3635"/>
      <c r="O125" s="3635"/>
      <c r="P125" s="3635"/>
      <c r="Q125" s="3635"/>
    </row>
    <row r="126" spans="2:17">
      <c r="B126" s="622"/>
      <c r="C126" s="33"/>
      <c r="D126" s="3078"/>
      <c r="E126" s="3078"/>
      <c r="F126" s="3078"/>
      <c r="H126" s="3078"/>
      <c r="I126" s="3078"/>
      <c r="J126" s="3078"/>
      <c r="K126" s="3078"/>
      <c r="L126" s="33"/>
      <c r="M126" s="3635"/>
      <c r="N126" s="3635"/>
      <c r="O126" s="3635"/>
      <c r="P126" s="3635"/>
      <c r="Q126" s="3635"/>
    </row>
    <row r="127" spans="2:17">
      <c r="B127" s="622"/>
      <c r="C127" s="33"/>
      <c r="D127" s="3078"/>
      <c r="E127" s="3078"/>
      <c r="F127" s="3078"/>
      <c r="H127" s="3078"/>
      <c r="I127" s="3078"/>
      <c r="J127" s="3078"/>
      <c r="K127" s="3078"/>
      <c r="L127" s="33"/>
      <c r="M127" s="3635"/>
      <c r="N127" s="3635"/>
      <c r="O127" s="3635"/>
      <c r="P127" s="3635"/>
      <c r="Q127" s="3635"/>
    </row>
    <row r="128" spans="2:17">
      <c r="B128" s="622"/>
      <c r="C128" s="33"/>
      <c r="D128" s="3078"/>
      <c r="E128" s="3078"/>
      <c r="F128" s="3078"/>
      <c r="H128" s="3078"/>
      <c r="I128" s="3078"/>
      <c r="J128" s="3078"/>
      <c r="K128" s="3078"/>
      <c r="L128" s="33"/>
      <c r="M128" s="3635"/>
      <c r="N128" s="3635"/>
      <c r="O128" s="3635"/>
      <c r="P128" s="3635"/>
      <c r="Q128" s="3635"/>
    </row>
    <row r="129" spans="2:17">
      <c r="B129" s="622"/>
      <c r="C129" s="33"/>
      <c r="D129" s="3078"/>
      <c r="E129" s="3078"/>
      <c r="F129" s="3078"/>
      <c r="H129" s="3078"/>
      <c r="I129" s="3078"/>
      <c r="J129" s="3078"/>
      <c r="K129" s="3078"/>
      <c r="L129" s="33"/>
      <c r="M129" s="3635"/>
      <c r="N129" s="3635"/>
      <c r="O129" s="3635"/>
      <c r="P129" s="3635"/>
      <c r="Q129" s="3635"/>
    </row>
    <row r="130" spans="2:17">
      <c r="B130" s="622"/>
      <c r="C130" s="33"/>
      <c r="D130" s="3078"/>
      <c r="E130" s="3078"/>
      <c r="F130" s="3078"/>
      <c r="H130" s="3078"/>
      <c r="I130" s="3078"/>
      <c r="J130" s="3078"/>
      <c r="K130" s="3078"/>
      <c r="L130" s="33"/>
      <c r="M130" s="3635"/>
      <c r="N130" s="3635"/>
      <c r="O130" s="3635"/>
      <c r="P130" s="3635"/>
      <c r="Q130" s="3635"/>
    </row>
    <row r="131" spans="2:17">
      <c r="B131" s="622"/>
      <c r="C131" s="33"/>
      <c r="D131" s="3078"/>
      <c r="E131" s="3078"/>
      <c r="F131" s="3078"/>
      <c r="H131" s="3078"/>
      <c r="I131" s="3078"/>
      <c r="J131" s="3078"/>
      <c r="K131" s="3078"/>
      <c r="L131" s="33"/>
      <c r="M131" s="3635"/>
      <c r="N131" s="3635"/>
      <c r="O131" s="3635"/>
      <c r="P131" s="3635"/>
      <c r="Q131" s="3635"/>
    </row>
    <row r="132" spans="2:17">
      <c r="B132" s="622"/>
      <c r="C132" s="33"/>
      <c r="D132" s="3078"/>
      <c r="E132" s="3078"/>
      <c r="F132" s="3078"/>
      <c r="H132" s="3078"/>
      <c r="I132" s="3078"/>
      <c r="J132" s="3078"/>
      <c r="K132" s="3078"/>
      <c r="L132" s="33"/>
      <c r="M132" s="3635"/>
      <c r="N132" s="3635"/>
      <c r="O132" s="3635"/>
      <c r="P132" s="3635"/>
      <c r="Q132" s="3635"/>
    </row>
    <row r="133" spans="2:17">
      <c r="B133" s="622"/>
      <c r="C133" s="33"/>
      <c r="D133" s="3078"/>
      <c r="E133" s="3078"/>
      <c r="F133" s="3078"/>
      <c r="H133" s="3078"/>
      <c r="I133" s="3078"/>
      <c r="J133" s="3078"/>
      <c r="K133" s="3078"/>
      <c r="L133" s="33"/>
      <c r="M133" s="3635"/>
      <c r="N133" s="3635"/>
      <c r="O133" s="3635"/>
      <c r="P133" s="3635"/>
      <c r="Q133" s="3635"/>
    </row>
    <row r="134" spans="2:17">
      <c r="B134" s="622"/>
      <c r="C134" s="33"/>
      <c r="D134" s="3078"/>
      <c r="E134" s="3078"/>
      <c r="F134" s="3078"/>
      <c r="H134" s="3078"/>
      <c r="I134" s="3078"/>
      <c r="J134" s="3078"/>
      <c r="K134" s="3078"/>
      <c r="L134" s="33"/>
      <c r="M134" s="3635"/>
      <c r="N134" s="3635"/>
      <c r="O134" s="3635"/>
      <c r="P134" s="3635"/>
      <c r="Q134" s="3635"/>
    </row>
    <row r="135" spans="2:17">
      <c r="B135" s="622"/>
      <c r="C135" s="33"/>
      <c r="D135" s="3078"/>
      <c r="E135" s="3078"/>
      <c r="F135" s="3078"/>
      <c r="H135" s="3078"/>
      <c r="I135" s="3078"/>
      <c r="J135" s="3078"/>
      <c r="K135" s="3078"/>
      <c r="L135" s="33"/>
      <c r="M135" s="3635"/>
      <c r="N135" s="3635"/>
      <c r="O135" s="3635"/>
      <c r="P135" s="3635"/>
      <c r="Q135" s="3635"/>
    </row>
    <row r="136" spans="2:17">
      <c r="B136" s="622"/>
      <c r="C136" s="33"/>
      <c r="D136" s="3078"/>
      <c r="E136" s="3078"/>
      <c r="F136" s="3078"/>
      <c r="H136" s="3078"/>
      <c r="I136" s="3078"/>
      <c r="J136" s="3078"/>
      <c r="K136" s="3078"/>
      <c r="L136" s="33"/>
      <c r="M136" s="3635"/>
      <c r="N136" s="3635"/>
      <c r="O136" s="3635"/>
      <c r="P136" s="3635"/>
      <c r="Q136" s="3635"/>
    </row>
    <row r="137" spans="2:17">
      <c r="B137" s="622"/>
      <c r="C137" s="33"/>
      <c r="D137" s="3078"/>
      <c r="E137" s="3078"/>
      <c r="F137" s="3078"/>
      <c r="H137" s="3078"/>
      <c r="I137" s="3078"/>
      <c r="J137" s="3078"/>
      <c r="K137" s="3078"/>
      <c r="L137" s="33"/>
      <c r="M137" s="3635"/>
      <c r="N137" s="3635"/>
      <c r="O137" s="3635"/>
      <c r="P137" s="3635"/>
      <c r="Q137" s="3635"/>
    </row>
    <row r="138" spans="2:17">
      <c r="B138" s="622"/>
      <c r="C138" s="33"/>
      <c r="D138" s="3078"/>
      <c r="E138" s="3078"/>
      <c r="F138" s="3078"/>
      <c r="H138" s="3078"/>
      <c r="I138" s="3078"/>
      <c r="J138" s="3078"/>
      <c r="K138" s="3078"/>
      <c r="L138" s="33"/>
      <c r="M138" s="3635"/>
      <c r="N138" s="3635"/>
      <c r="O138" s="3635"/>
      <c r="P138" s="3635"/>
    </row>
    <row r="139" spans="2:17">
      <c r="B139" s="622"/>
      <c r="C139" s="33"/>
      <c r="D139" s="3078"/>
      <c r="E139" s="3078"/>
      <c r="F139" s="3078"/>
      <c r="H139" s="3078"/>
      <c r="I139" s="3078"/>
      <c r="J139" s="3078"/>
      <c r="K139" s="3078"/>
      <c r="L139" s="33"/>
      <c r="M139" s="3635"/>
      <c r="N139" s="3635"/>
      <c r="O139" s="3635"/>
      <c r="P139" s="3635"/>
    </row>
    <row r="140" spans="2:17">
      <c r="B140" s="622"/>
      <c r="C140" s="33"/>
      <c r="D140" s="3078"/>
      <c r="E140" s="3078"/>
      <c r="F140" s="3078"/>
      <c r="H140" s="3078"/>
      <c r="I140" s="3078"/>
      <c r="J140" s="3078"/>
      <c r="K140" s="3078"/>
      <c r="L140" s="33"/>
      <c r="M140" s="3635"/>
      <c r="N140" s="3635"/>
      <c r="O140" s="3635"/>
      <c r="P140" s="3635"/>
    </row>
    <row r="141" spans="2:17">
      <c r="B141" s="622"/>
      <c r="C141" s="33"/>
      <c r="D141" s="3078"/>
      <c r="E141" s="3078"/>
      <c r="F141" s="3078"/>
      <c r="H141" s="3078"/>
      <c r="I141" s="3078"/>
      <c r="J141" s="3078"/>
      <c r="K141" s="3078"/>
      <c r="L141" s="33"/>
      <c r="M141" s="3635"/>
      <c r="N141" s="3635"/>
      <c r="O141" s="3635"/>
      <c r="P141" s="3635"/>
    </row>
    <row r="142" spans="2:17">
      <c r="B142" s="622"/>
      <c r="C142" s="33"/>
      <c r="D142" s="3078"/>
      <c r="E142" s="3078"/>
      <c r="F142" s="3078"/>
      <c r="H142" s="3078"/>
      <c r="I142" s="3078"/>
      <c r="J142" s="3078"/>
      <c r="K142" s="3078"/>
      <c r="L142" s="33"/>
      <c r="M142" s="3635"/>
      <c r="N142" s="3635"/>
      <c r="O142" s="3635"/>
      <c r="P142" s="3635"/>
    </row>
    <row r="143" spans="2:17">
      <c r="B143" s="622"/>
      <c r="C143" s="33"/>
      <c r="D143" s="3078"/>
      <c r="E143" s="3078"/>
      <c r="F143" s="3078"/>
      <c r="H143" s="3078"/>
      <c r="I143" s="3078"/>
      <c r="J143" s="3078"/>
      <c r="K143" s="3078"/>
      <c r="L143" s="33"/>
      <c r="M143" s="3078"/>
      <c r="N143" s="3078"/>
      <c r="O143" s="3078"/>
      <c r="P143" s="3078"/>
    </row>
    <row r="144" spans="2:17">
      <c r="B144" s="622"/>
      <c r="C144" s="33"/>
      <c r="D144" s="3078"/>
      <c r="E144" s="3078"/>
      <c r="F144" s="3078"/>
      <c r="H144" s="3078"/>
      <c r="I144" s="3078"/>
      <c r="J144" s="3078"/>
      <c r="K144" s="3078"/>
      <c r="L144" s="33"/>
      <c r="M144" s="3078"/>
      <c r="N144" s="3078"/>
      <c r="O144" s="3078"/>
      <c r="P144" s="3078"/>
    </row>
    <row r="145" spans="2:16">
      <c r="B145" s="622"/>
      <c r="C145" s="33"/>
      <c r="D145" s="3078"/>
      <c r="E145" s="3078"/>
      <c r="F145" s="3078"/>
      <c r="H145" s="3078"/>
      <c r="I145" s="3078"/>
      <c r="J145" s="3078"/>
      <c r="K145" s="3078"/>
      <c r="L145" s="33"/>
      <c r="M145" s="3078"/>
      <c r="N145" s="3078"/>
      <c r="O145" s="3078"/>
      <c r="P145" s="3078"/>
    </row>
    <row r="146" spans="2:16">
      <c r="B146" s="622"/>
      <c r="C146" s="33"/>
      <c r="D146" s="3078"/>
      <c r="E146" s="3078"/>
      <c r="F146" s="3078"/>
      <c r="H146" s="3078"/>
      <c r="I146" s="3078"/>
      <c r="J146" s="3078"/>
      <c r="K146" s="3078"/>
      <c r="L146" s="33"/>
      <c r="M146" s="3078"/>
      <c r="N146" s="3078"/>
      <c r="O146" s="3078"/>
      <c r="P146" s="3078"/>
    </row>
    <row r="147" spans="2:16">
      <c r="B147" s="622"/>
      <c r="C147" s="33"/>
      <c r="D147" s="3078"/>
      <c r="E147" s="3078"/>
      <c r="F147" s="3078"/>
      <c r="H147" s="3078"/>
      <c r="I147" s="3078"/>
      <c r="J147" s="3078"/>
      <c r="K147" s="3078"/>
      <c r="L147" s="33"/>
      <c r="M147" s="3078"/>
      <c r="N147" s="3078"/>
      <c r="O147" s="3078"/>
      <c r="P147" s="3078"/>
    </row>
    <row r="148" spans="2:16">
      <c r="B148" s="622"/>
      <c r="C148" s="33"/>
      <c r="D148" s="3078"/>
      <c r="E148" s="3078"/>
      <c r="F148" s="3078"/>
      <c r="H148" s="3078"/>
      <c r="I148" s="3078"/>
      <c r="J148" s="3078"/>
      <c r="K148" s="3078"/>
      <c r="L148" s="33"/>
      <c r="M148" s="3078"/>
      <c r="N148" s="3078"/>
      <c r="O148" s="3078"/>
      <c r="P148" s="3078"/>
    </row>
    <row r="149" spans="2:16">
      <c r="B149" s="622"/>
      <c r="C149" s="33"/>
      <c r="D149" s="3078"/>
      <c r="E149" s="3078"/>
      <c r="F149" s="3078"/>
      <c r="H149" s="3078"/>
      <c r="I149" s="3078"/>
      <c r="J149" s="3078"/>
      <c r="K149" s="3078"/>
      <c r="L149" s="3078"/>
      <c r="M149" s="3078"/>
      <c r="N149" s="3078"/>
      <c r="O149" s="3078"/>
      <c r="P149" s="3078"/>
    </row>
    <row r="150" spans="2:16">
      <c r="B150" s="622"/>
      <c r="C150" s="33"/>
      <c r="I150" s="2389"/>
    </row>
    <row r="151" spans="2:16">
      <c r="B151" s="622"/>
      <c r="C151" s="33"/>
      <c r="I151" s="2389"/>
    </row>
    <row r="152" spans="2:16">
      <c r="B152" s="622"/>
      <c r="C152" s="33"/>
      <c r="I152" s="2389"/>
    </row>
    <row r="153" spans="2:16">
      <c r="B153" s="622"/>
      <c r="C153" s="33"/>
      <c r="I153" s="2389"/>
    </row>
    <row r="154" spans="2:16">
      <c r="B154" s="622"/>
      <c r="C154" s="33"/>
      <c r="D154" s="33"/>
      <c r="F154" s="33"/>
      <c r="G154" s="33"/>
      <c r="H154" s="33"/>
      <c r="I154" s="33"/>
      <c r="J154" s="33"/>
      <c r="K154" s="33"/>
    </row>
    <row r="155" spans="2:16">
      <c r="B155" s="622"/>
      <c r="C155" s="33"/>
      <c r="D155" s="33"/>
      <c r="F155" s="33"/>
      <c r="G155" s="33"/>
      <c r="H155" s="33"/>
      <c r="I155" s="33"/>
      <c r="J155" s="33"/>
      <c r="K155" s="33"/>
    </row>
    <row r="156" spans="2:16">
      <c r="B156" s="622"/>
      <c r="C156" s="33"/>
      <c r="D156" s="33"/>
      <c r="F156" s="33"/>
      <c r="G156" s="33"/>
      <c r="H156" s="33"/>
      <c r="I156" s="33"/>
      <c r="J156" s="33"/>
      <c r="K156" s="33"/>
    </row>
    <row r="157" spans="2:16">
      <c r="B157" s="622"/>
      <c r="C157" s="33"/>
    </row>
    <row r="158" spans="2:16">
      <c r="B158" s="622"/>
      <c r="C158" s="33"/>
    </row>
    <row r="159" spans="2:16">
      <c r="B159" s="622"/>
      <c r="C159" s="33"/>
    </row>
    <row r="160" spans="2:16">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6">
    <mergeCell ref="C36:E36"/>
    <mergeCell ref="C55:D55"/>
    <mergeCell ref="C62:E62"/>
    <mergeCell ref="C63:E63"/>
    <mergeCell ref="C68:E68"/>
    <mergeCell ref="C39:E39"/>
    <mergeCell ref="C48:D48"/>
    <mergeCell ref="C46:D46"/>
    <mergeCell ref="C49:D49"/>
    <mergeCell ref="C50:D50"/>
    <mergeCell ref="C47:D47"/>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19:F19"/>
    <mergeCell ref="F23:G23"/>
    <mergeCell ref="D25:E25"/>
    <mergeCell ref="D26:E26"/>
    <mergeCell ref="E22:G22"/>
    <mergeCell ref="N1:O1"/>
    <mergeCell ref="K2:P2"/>
    <mergeCell ref="N3:O4"/>
    <mergeCell ref="E4:I4"/>
    <mergeCell ref="H6:I6"/>
    <mergeCell ref="K6:L6"/>
    <mergeCell ref="N6:O6"/>
    <mergeCell ref="G1:I1"/>
    <mergeCell ref="K1:L1"/>
    <mergeCell ref="E10:F10"/>
    <mergeCell ref="C14:F14"/>
    <mergeCell ref="C15:F15"/>
    <mergeCell ref="C16:F16"/>
    <mergeCell ref="C17:F17"/>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Verfahrensabh. Ausgleichsleist." error="Bitte aus Dropdownliste auswählen." sqref="C16:F17">
      <formula1>$C$77:$C$90</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Gmünd&amp;C14&amp;R&amp;11&amp;F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5" style="32" hidden="1" customWidth="1"/>
    <col min="18" max="35" width="15" style="31" hidden="1" customWidth="1"/>
    <col min="36" max="36" width="10.5" style="31" customWidth="1"/>
    <col min="37" max="16384" width="10.5" style="31"/>
  </cols>
  <sheetData>
    <row r="1" spans="1:41" s="276" customFormat="1" ht="30.2" customHeight="1">
      <c r="A1" s="2507"/>
      <c r="B1" s="326"/>
      <c r="C1" s="1908"/>
      <c r="D1" s="136"/>
      <c r="E1" s="323"/>
      <c r="F1" s="323"/>
      <c r="G1" s="4908" t="s">
        <v>1694</v>
      </c>
      <c r="H1" s="4908"/>
      <c r="I1" s="4908"/>
      <c r="J1" s="1906">
        <f>(J7+J13+J18+J22+I11+I12)-(J23+J27+J34+J43+J60+J65+J67+J69+J71+J75)</f>
        <v>812.68392393866759</v>
      </c>
      <c r="K1" s="4859">
        <f>M1-J1</f>
        <v>182.91999999999996</v>
      </c>
      <c r="L1" s="4859"/>
      <c r="M1" s="1906">
        <f>(M7+M13+M18+M22+L11+L12)-(M23+M27+M34+M43+M60+M65+M67+M69+M71+M75)</f>
        <v>995.60392393866755</v>
      </c>
      <c r="N1" s="4859">
        <f>P1-M1</f>
        <v>182.92000000000007</v>
      </c>
      <c r="O1" s="4859"/>
      <c r="P1" s="1906">
        <f>(P7+P13+P18+P22+O11+O12)-(P23+P27+P34+P43+P60+P65+P67+P69+P71+P75)</f>
        <v>1178.5239239386676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1348</v>
      </c>
      <c r="L2" s="4870"/>
      <c r="M2" s="4870"/>
      <c r="N2" s="4870"/>
      <c r="O2" s="4870"/>
      <c r="P2" s="4870"/>
      <c r="Q2" s="2507"/>
    </row>
    <row r="3" spans="1:41" s="276" customFormat="1" ht="21.75" customHeight="1">
      <c r="A3" s="2507"/>
      <c r="B3" s="1903" t="s">
        <v>1693</v>
      </c>
      <c r="G3" s="1891"/>
      <c r="H3" s="1902"/>
      <c r="J3" s="4866"/>
      <c r="K3" s="4916"/>
      <c r="L3" s="4916"/>
      <c r="M3" s="33"/>
      <c r="N3" s="4909"/>
      <c r="O3" s="4872"/>
      <c r="P3" s="1900"/>
      <c r="Q3" s="2507"/>
      <c r="T3" s="1918" t="b">
        <v>0</v>
      </c>
    </row>
    <row r="4" spans="1:41" s="276" customFormat="1" ht="20.25" customHeight="1">
      <c r="A4" s="2507"/>
      <c r="B4" s="377" t="s">
        <v>1154</v>
      </c>
      <c r="C4" s="31"/>
      <c r="D4" s="31"/>
      <c r="E4" s="4830" t="s">
        <v>2045</v>
      </c>
      <c r="F4" s="4830"/>
      <c r="G4" s="4830"/>
      <c r="H4" s="4830"/>
      <c r="I4" s="4830"/>
      <c r="J4" s="4866"/>
      <c r="K4" s="4916"/>
      <c r="L4" s="4916"/>
      <c r="M4" s="33"/>
      <c r="N4" s="4872"/>
      <c r="O4" s="4872"/>
      <c r="P4" s="1896">
        <f>SDÖ1!O3</f>
        <v>0</v>
      </c>
      <c r="Q4" s="2507"/>
      <c r="T4" s="1918" t="b">
        <v>1</v>
      </c>
    </row>
    <row r="5" spans="1:41" ht="6" customHeight="1"/>
    <row r="6" spans="1:41" s="1885" customFormat="1" ht="24" customHeight="1">
      <c r="A6" s="48"/>
      <c r="B6" s="1890" t="s">
        <v>1207</v>
      </c>
      <c r="C6" s="1889"/>
      <c r="D6" s="1889"/>
      <c r="E6" s="1889" t="s">
        <v>1692</v>
      </c>
      <c r="F6" s="1889"/>
      <c r="G6" s="1888"/>
      <c r="H6" s="4864" t="s">
        <v>179</v>
      </c>
      <c r="I6" s="4865"/>
      <c r="J6" s="1887">
        <v>300</v>
      </c>
      <c r="K6" s="4849" t="s">
        <v>152</v>
      </c>
      <c r="L6" s="4850"/>
      <c r="M6" s="1887">
        <v>400</v>
      </c>
      <c r="N6" s="4864" t="s">
        <v>178</v>
      </c>
      <c r="O6" s="4865"/>
      <c r="P6" s="1886">
        <v>500</v>
      </c>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c r="G9" s="1794"/>
      <c r="H9" s="1877">
        <f>J6-H10</f>
        <v>300</v>
      </c>
      <c r="I9" s="1873">
        <f>H9*G9</f>
        <v>0</v>
      </c>
      <c r="J9" s="43"/>
      <c r="K9" s="1876">
        <f>M6-K10</f>
        <v>400</v>
      </c>
      <c r="L9" s="1875">
        <f>K9*G9</f>
        <v>0</v>
      </c>
      <c r="M9" s="1854"/>
      <c r="N9" s="1874">
        <f>P6-N10</f>
        <v>500</v>
      </c>
      <c r="O9" s="1873">
        <f>N9*G9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0</v>
      </c>
      <c r="Y12" s="1839">
        <f>IF(OR(T3=TRUE,T4=TRUE),M6*$E$11,"0")</f>
        <v>0</v>
      </c>
      <c r="Z12" s="1838">
        <f>IF(OR(T3=TRUE,T4=TRUE),P6*$E$11,"0")</f>
        <v>0</v>
      </c>
    </row>
    <row r="13" spans="1:41" s="252" customFormat="1" ht="18.75" customHeight="1">
      <c r="A13" s="47"/>
      <c r="B13" s="266" t="s">
        <v>1688</v>
      </c>
      <c r="C13" s="47"/>
      <c r="D13" s="47"/>
      <c r="E13" s="47"/>
      <c r="F13" s="47"/>
      <c r="G13" s="1841" t="s">
        <v>171</v>
      </c>
      <c r="H13" s="1824"/>
      <c r="I13" s="1823"/>
      <c r="J13" s="1614">
        <f>SUM(I14:I17)</f>
        <v>340</v>
      </c>
      <c r="K13" s="1826"/>
      <c r="L13" s="1825"/>
      <c r="M13" s="1617">
        <f>SUM(L14:L16)</f>
        <v>340</v>
      </c>
      <c r="N13" s="1824"/>
      <c r="O13" s="1823"/>
      <c r="P13" s="1614">
        <f>SUM(O14:O16)</f>
        <v>340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t="s">
        <v>2108</v>
      </c>
      <c r="D15" s="4833"/>
      <c r="E15" s="4833"/>
      <c r="F15" s="4833"/>
      <c r="G15" s="1837"/>
      <c r="H15" s="1836" t="s">
        <v>1299</v>
      </c>
      <c r="I15" s="1817">
        <f>IF(H15="ja",Q15,0)</f>
        <v>100</v>
      </c>
      <c r="J15" s="45"/>
      <c r="K15" s="1836" t="s">
        <v>1299</v>
      </c>
      <c r="L15" s="1671">
        <f>IF(K15="ja",Q15,0)</f>
        <v>100</v>
      </c>
      <c r="M15" s="1589"/>
      <c r="N15" s="1836" t="s">
        <v>1299</v>
      </c>
      <c r="O15" s="1817">
        <f>IF(N15="ja",Q15,0)</f>
        <v>100</v>
      </c>
      <c r="P15" s="1586"/>
      <c r="Q15" s="1835">
        <f>IF(C15=0,0,VLOOKUP(C15,'SD2'!$C$11:$N$49,'SD2'!$N$1,FALSE))</f>
        <v>100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c r="H19" s="1818"/>
      <c r="I19" s="3965">
        <f>IF(OR($C19=0,$J$6=0),0,VLOOKUP($C19,'SD2'!C59:N75,12,FALSE))</f>
        <v>158</v>
      </c>
      <c r="J19" s="45"/>
      <c r="K19" s="1819"/>
      <c r="L19" s="1671">
        <f>IF(OR($C19=0,$M$6=0),0,VLOOKUP($C19,'SD2'!$C$59:$N$75,12,FALSE))</f>
        <v>158</v>
      </c>
      <c r="M19" s="1589"/>
      <c r="N19" s="1818"/>
      <c r="O19" s="1817">
        <f>IF(OR($C19=0,$P$6=0),0,VLOOKUP($C19,'SD2'!C59:N75,12,FALSE))</f>
        <v>158</v>
      </c>
      <c r="P19" s="1586"/>
      <c r="R19" s="1816">
        <f>J13+J18</f>
        <v>695.4</v>
      </c>
      <c r="S19" s="1816">
        <f>M13+M18</f>
        <v>695.4</v>
      </c>
      <c r="T19" s="1816">
        <f>P13+P18</f>
        <v>695.4</v>
      </c>
    </row>
    <row r="20" spans="1:20" s="4056" customFormat="1" ht="15.6" customHeight="1">
      <c r="A20" s="3913"/>
      <c r="B20" s="1821"/>
      <c r="C20" s="4058" t="s">
        <v>2182</v>
      </c>
      <c r="D20" s="4058"/>
      <c r="E20" s="4058"/>
      <c r="F20" s="4058"/>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58"/>
      <c r="E21" s="4058"/>
      <c r="F21" s="4058"/>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165</v>
      </c>
      <c r="K23" s="1619"/>
      <c r="L23" s="1618"/>
      <c r="M23" s="1800">
        <f>SUM(L25:L26)</f>
        <v>165</v>
      </c>
      <c r="N23" s="1616"/>
      <c r="O23" s="1615"/>
      <c r="P23" s="1599">
        <f>SUM(O25:O26)</f>
        <v>165</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5.5</v>
      </c>
      <c r="G25" s="1794">
        <f>F25*(100+$D$24)/100</f>
        <v>5.5</v>
      </c>
      <c r="H25" s="1793">
        <v>30</v>
      </c>
      <c r="I25" s="1754">
        <f>H25*$G25</f>
        <v>165</v>
      </c>
      <c r="J25" s="45"/>
      <c r="K25" s="1793">
        <f>H25</f>
        <v>30</v>
      </c>
      <c r="L25" s="1596">
        <f>K25*$G25</f>
        <v>165</v>
      </c>
      <c r="M25" s="1589"/>
      <c r="N25" s="1793">
        <f>H25</f>
        <v>30</v>
      </c>
      <c r="O25" s="1754">
        <f>N25*$G25</f>
        <v>165</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-453.33333333333331</v>
      </c>
      <c r="K27" s="1748"/>
      <c r="L27" s="1747"/>
      <c r="M27" s="1617">
        <f>SUM(L30:L33)</f>
        <v>-634.66666666666663</v>
      </c>
      <c r="N27" s="1746"/>
      <c r="O27" s="1745"/>
      <c r="P27" s="1614">
        <f>SUM(O30:O33)</f>
        <v>-816</v>
      </c>
      <c r="Q27" s="32"/>
    </row>
    <row r="28" spans="1:20" s="42" customFormat="1" ht="15" customHeight="1">
      <c r="A28" s="1306"/>
      <c r="B28" s="1334"/>
      <c r="C28" s="3064"/>
      <c r="D28" s="1786" t="s">
        <v>1075</v>
      </c>
      <c r="E28" s="1786" t="s">
        <v>1239</v>
      </c>
      <c r="F28" s="1786" t="s">
        <v>1239</v>
      </c>
      <c r="G28" s="1785" t="s">
        <v>1238</v>
      </c>
      <c r="H28" s="1745"/>
      <c r="I28" s="1782"/>
      <c r="J28" s="3065"/>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64"/>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VLOOKUP($K$2,'SD8'!$B$9:$K$44,3,FALSE)</f>
        <v>-2</v>
      </c>
      <c r="F30" s="1774"/>
      <c r="G30" s="1773">
        <v>20</v>
      </c>
      <c r="H30" s="1771">
        <f>IF(J$6=0,0,(J$6*0.2*$E30+$G30+X13))</f>
        <v>-100</v>
      </c>
      <c r="I30" s="1754">
        <f>H30*$D30</f>
        <v>-453.33333333333331</v>
      </c>
      <c r="J30" s="45"/>
      <c r="K30" s="1772">
        <f>IF(M$6=0,0,(M$6*0.2*$E30+$G30+AA13))</f>
        <v>-140</v>
      </c>
      <c r="L30" s="1596">
        <f>K30*$D30</f>
        <v>-634.66666666666663</v>
      </c>
      <c r="M30" s="1589"/>
      <c r="N30" s="1771">
        <f>IF(P$6=0,0,(P$6*0.2*$E30+$G30+AD13))</f>
        <v>-180</v>
      </c>
      <c r="O30" s="1754">
        <f>N30*$D30</f>
        <v>-816</v>
      </c>
      <c r="P30" s="1718"/>
      <c r="Q30" s="32"/>
    </row>
    <row r="31" spans="1:20" s="42" customFormat="1" ht="15" customHeight="1">
      <c r="A31" s="1306"/>
      <c r="B31" s="274"/>
      <c r="C31" s="1306" t="s">
        <v>244</v>
      </c>
      <c r="D31" s="1723">
        <f>IF(SDÖ1!$U$17=TRUE,SDÖ1!O56,0)</f>
        <v>1.3999999999999997</v>
      </c>
      <c r="E31" s="1774">
        <v>0</v>
      </c>
      <c r="F31" s="1774"/>
      <c r="G31" s="1773"/>
      <c r="H31" s="1771">
        <f>IF(J$6=0,0,(J$6*0.2*$E31+$G31+X14))</f>
        <v>0</v>
      </c>
      <c r="I31" s="1754">
        <f>H31*$D31</f>
        <v>0</v>
      </c>
      <c r="J31" s="45"/>
      <c r="K31" s="1772">
        <f>IF(M$6=0,0,(M$6*0.2*$E31+$G31+AA14))</f>
        <v>0</v>
      </c>
      <c r="L31" s="1596">
        <f>K31*$D31</f>
        <v>0</v>
      </c>
      <c r="M31" s="1589"/>
      <c r="N31" s="1771">
        <f>IF(P$6=0,0,(P$6*0.2*$E31+$G31+AD14))</f>
        <v>0</v>
      </c>
      <c r="O31" s="1754">
        <f>N31*$D31</f>
        <v>0</v>
      </c>
      <c r="P31" s="1718"/>
      <c r="Q31" s="32"/>
    </row>
    <row r="32" spans="1:20" s="708" customFormat="1" ht="18.75" customHeight="1">
      <c r="A32" s="1270"/>
      <c r="B32" s="274"/>
      <c r="C32" s="1306" t="s">
        <v>242</v>
      </c>
      <c r="D32" s="1723">
        <f>IF(SDÖ1!$U$17=TRUE,SDÖ1!O57,0)</f>
        <v>1.3999999999999997</v>
      </c>
      <c r="E32" s="1774">
        <v>0</v>
      </c>
      <c r="F32" s="1774"/>
      <c r="G32" s="1773"/>
      <c r="H32" s="1771">
        <f>IF(J$6=0,0,(J$6*0.2*$E32+$G32+X15))</f>
        <v>0</v>
      </c>
      <c r="I32" s="1754">
        <f>H32*$D32</f>
        <v>0</v>
      </c>
      <c r="J32" s="45"/>
      <c r="K32" s="1772">
        <f>IF(M$6=0,0,(M$6*0.2*$E32+$G32+AA15))</f>
        <v>0</v>
      </c>
      <c r="L32" s="1596">
        <f>K32*$D32</f>
        <v>0</v>
      </c>
      <c r="M32" s="1589"/>
      <c r="N32" s="1771">
        <f>IF(P$6=0,0,(P$6*0.2*$E32+$G32+AD15))</f>
        <v>0</v>
      </c>
      <c r="O32" s="1754">
        <f>N32*$D32</f>
        <v>0</v>
      </c>
      <c r="P32" s="1718"/>
      <c r="Q32" s="32"/>
    </row>
    <row r="33" spans="1:17" s="708" customFormat="1" ht="13.15" customHeight="1">
      <c r="A33" s="1270"/>
      <c r="B33" s="239"/>
      <c r="C33" s="1331" t="s">
        <v>240</v>
      </c>
      <c r="D33" s="1706">
        <f>IF(SDÖ1!$U$17=TRUE,SDÖ1!O58,0)</f>
        <v>0.5</v>
      </c>
      <c r="E33" s="3643">
        <v>0</v>
      </c>
      <c r="F33" s="1774"/>
      <c r="G33" s="1773"/>
      <c r="H33" s="1771">
        <f>IF(J$6=0,0,(J$6*0.2*$E33+$G33+X16))</f>
        <v>0</v>
      </c>
      <c r="I33" s="1754">
        <f>H33*$D33</f>
        <v>0</v>
      </c>
      <c r="J33" s="45"/>
      <c r="K33" s="1768">
        <f>IF(M$6=0,0,(M$6*0.2*$E33+$G33+AA16))</f>
        <v>0</v>
      </c>
      <c r="L33" s="1596">
        <f>K33*$D33</f>
        <v>0</v>
      </c>
      <c r="M33" s="1589"/>
      <c r="N33" s="1767">
        <f>IF(P$6=0,0,(P$6*0.2*$E33+$G33+AD16))</f>
        <v>0</v>
      </c>
      <c r="O33" s="1754">
        <f>N33*$D33</f>
        <v>0</v>
      </c>
      <c r="P33" s="1718"/>
      <c r="Q33" s="32"/>
    </row>
    <row r="34" spans="1:17" s="42" customFormat="1" ht="15" customHeight="1">
      <c r="A34" s="1306"/>
      <c r="B34" s="1276" t="s">
        <v>1685</v>
      </c>
      <c r="C34" s="1270"/>
      <c r="D34" s="3064"/>
      <c r="E34" s="3064"/>
      <c r="F34" s="4831"/>
      <c r="G34" s="4832" t="s">
        <v>171</v>
      </c>
      <c r="H34" s="3105"/>
      <c r="I34" s="3106"/>
      <c r="J34" s="1614">
        <f>SUM(I36:I42)</f>
        <v>0</v>
      </c>
      <c r="K34" s="3107"/>
      <c r="L34" s="3108"/>
      <c r="M34" s="1617">
        <f>SUM(L36:L42)</f>
        <v>0</v>
      </c>
      <c r="N34" s="3105"/>
      <c r="O34" s="3106"/>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IF(C40=0,0,VLOOKUP(C40,SDÖ5!$C$6:$D$33,2,FALSE))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IF(C41=0,0,VLOOKUP(C41,SDÖ5!$C$6:$D$33,2,FALSE))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IF(C42=0,0,VLOOKUP(C42,SDÖ5!$C$6:$D$33,2,FALSE))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172.0667420682353</v>
      </c>
      <c r="K43" s="1748"/>
      <c r="L43" s="1747"/>
      <c r="M43" s="1617">
        <f>SUM(M46:M57)</f>
        <v>172.0667420682353</v>
      </c>
      <c r="N43" s="1746"/>
      <c r="O43" s="1745"/>
      <c r="P43" s="1614">
        <f>SUM(P46:P57)</f>
        <v>172.0667420682353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c r="K45" s="1735" t="s">
        <v>1224</v>
      </c>
      <c r="L45" s="1734" t="s">
        <v>114</v>
      </c>
      <c r="M45" s="1733"/>
      <c r="N45" s="1732" t="s">
        <v>1224</v>
      </c>
      <c r="O45" s="1606" t="s">
        <v>114</v>
      </c>
      <c r="P45" s="1731"/>
      <c r="Q45" s="32"/>
    </row>
    <row r="46" spans="1:17" s="42" customFormat="1" ht="15" customHeight="1">
      <c r="A46" s="1306"/>
      <c r="B46" s="1726"/>
      <c r="C46" s="4862" t="s">
        <v>515</v>
      </c>
      <c r="D46" s="4863"/>
      <c r="E46" s="1725">
        <f>IF($C46=0,0,VLOOKUP($C46,SDÖ3!$C$24:$O$99,4,FALSE))</f>
        <v>120</v>
      </c>
      <c r="F46" s="1724">
        <f>IF($C46=0,0,VLOOKUP($C46,SDÖ3!$C$24:$O$99,12,FALSE))</f>
        <v>1.46</v>
      </c>
      <c r="G46" s="1723">
        <f>IF($C46=0,0,VLOOKUP($C46,SDÖ3!$C$24:$O$99,13,FALSE))</f>
        <v>56.986584941176474</v>
      </c>
      <c r="H46" s="1720">
        <v>1</v>
      </c>
      <c r="I46" s="1719">
        <f t="shared" ref="I46:I56" si="4">$F46*H46</f>
        <v>1.46</v>
      </c>
      <c r="J46" s="1718">
        <f t="shared" ref="J46:J56" si="5">H46*$G46</f>
        <v>56.986584941176474</v>
      </c>
      <c r="K46" s="1720">
        <v>1</v>
      </c>
      <c r="L46" s="1722">
        <f t="shared" ref="L46:L56" si="6">$F46*K46</f>
        <v>1.46</v>
      </c>
      <c r="M46" s="1721">
        <f t="shared" ref="M46:M56" si="7">K46*$G46</f>
        <v>56.986584941176474</v>
      </c>
      <c r="N46" s="1720">
        <v>1</v>
      </c>
      <c r="O46" s="1719">
        <f t="shared" ref="O46:O56" si="8">$F46*N46</f>
        <v>1.46</v>
      </c>
      <c r="P46" s="1718">
        <f t="shared" ref="P46:P56" si="9">N46*$G46</f>
        <v>56.986584941176474</v>
      </c>
      <c r="Q46" s="32"/>
    </row>
    <row r="47" spans="1:17" s="42" customFormat="1" ht="15" customHeight="1">
      <c r="A47" s="1306"/>
      <c r="B47" s="1726"/>
      <c r="C47" s="4835" t="s">
        <v>512</v>
      </c>
      <c r="D47" s="4836"/>
      <c r="E47" s="1725">
        <f>IF($C47=0,0,VLOOKUP($C47,SDÖ3!$C$24:$O$99,4,FALSE))</f>
        <v>102</v>
      </c>
      <c r="F47" s="1724">
        <f>IF($C47=0,0,VLOOKUP($C47,SDÖ3!$C$24:$O$99,12,FALSE))</f>
        <v>0.93</v>
      </c>
      <c r="G47" s="1723">
        <f>IF($C47=0,0,VLOOKUP($C47,SDÖ3!$C$24:$O$99,13,FALSE))</f>
        <v>23.733808400000004</v>
      </c>
      <c r="H47" s="1720">
        <v>1</v>
      </c>
      <c r="I47" s="1719">
        <f t="shared" si="4"/>
        <v>0.93</v>
      </c>
      <c r="J47" s="1718">
        <f t="shared" si="5"/>
        <v>23.733808400000004</v>
      </c>
      <c r="K47" s="1720">
        <v>1</v>
      </c>
      <c r="L47" s="1722">
        <f t="shared" si="6"/>
        <v>0.93</v>
      </c>
      <c r="M47" s="1721">
        <f t="shared" si="7"/>
        <v>23.733808400000004</v>
      </c>
      <c r="N47" s="1720">
        <v>1</v>
      </c>
      <c r="O47" s="1719">
        <f t="shared" si="8"/>
        <v>0.93</v>
      </c>
      <c r="P47" s="1718">
        <f t="shared" si="9"/>
        <v>23.733808400000004</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2"/>
    </row>
    <row r="49" spans="1:17" s="42" customFormat="1" ht="15" customHeight="1">
      <c r="A49" s="1306"/>
      <c r="B49" s="1726"/>
      <c r="C49" s="4835" t="s">
        <v>497</v>
      </c>
      <c r="D49" s="4836"/>
      <c r="E49" s="1725">
        <f>IF($C49=0,0,VLOOKUP($C49,SDÖ3!$C$24:$O$99,4,FALSE))</f>
        <v>83</v>
      </c>
      <c r="F49" s="1724">
        <f>IF($C49=0,0,VLOOKUP($C49,SDÖ3!$C$24:$O$99,12,FALSE))</f>
        <v>0.61</v>
      </c>
      <c r="G49" s="1723">
        <f>IF($C49=0,0,VLOOKUP($C49,SDÖ3!$C$24:$O$99,13,FALSE))</f>
        <v>10.780813997647058</v>
      </c>
      <c r="H49" s="1720">
        <v>1</v>
      </c>
      <c r="I49" s="1719">
        <f t="shared" si="4"/>
        <v>0.61</v>
      </c>
      <c r="J49" s="1718">
        <f t="shared" si="5"/>
        <v>10.780813997647058</v>
      </c>
      <c r="K49" s="1720">
        <v>1</v>
      </c>
      <c r="L49" s="1722">
        <f t="shared" si="6"/>
        <v>0.61</v>
      </c>
      <c r="M49" s="1721">
        <f t="shared" si="7"/>
        <v>10.780813997647058</v>
      </c>
      <c r="N49" s="1720">
        <v>1</v>
      </c>
      <c r="O49" s="1719">
        <f t="shared" si="8"/>
        <v>0.61</v>
      </c>
      <c r="P49" s="1718">
        <f t="shared" si="9"/>
        <v>10.780813997647058</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t="s">
        <v>450</v>
      </c>
      <c r="D51" s="4836"/>
      <c r="E51" s="1725">
        <f>IF($C51=0,0,VLOOKUP($C51,SDÖ3!$C$24:$O$99,4,FALSE))</f>
        <v>83</v>
      </c>
      <c r="F51" s="1724">
        <f>IF($C51=0,0,VLOOKUP($C51,SDÖ3!$C$24:$O$99,12,FALSE))</f>
        <v>1.19</v>
      </c>
      <c r="G51" s="1723">
        <f>IF($C51=0,0,VLOOKUP($C51,SDÖ3!$C$24:$O$99,13,FALSE))</f>
        <v>23.494563599999999</v>
      </c>
      <c r="H51" s="1720">
        <v>2</v>
      </c>
      <c r="I51" s="1719">
        <f t="shared" si="4"/>
        <v>2.38</v>
      </c>
      <c r="J51" s="1718">
        <f t="shared" si="5"/>
        <v>46.989127199999999</v>
      </c>
      <c r="K51" s="1720">
        <v>2</v>
      </c>
      <c r="L51" s="1722">
        <f t="shared" si="6"/>
        <v>2.38</v>
      </c>
      <c r="M51" s="1721">
        <f t="shared" si="7"/>
        <v>46.989127199999999</v>
      </c>
      <c r="N51" s="1720">
        <v>2</v>
      </c>
      <c r="O51" s="1719">
        <f t="shared" si="8"/>
        <v>2.38</v>
      </c>
      <c r="P51" s="1718">
        <f t="shared" si="9"/>
        <v>46.989127199999999</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919"/>
      <c r="D55" s="4920"/>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35.450000000000003" customHeight="1">
      <c r="A57" s="1306"/>
      <c r="B57" s="1657"/>
      <c r="C57" s="4917"/>
      <c r="D57" s="4918"/>
      <c r="E57" s="3617">
        <f>IF($C57=0,0,VLOOKUP($C57,SDÖ3!$C$24:$O$99,4,FALSE))</f>
        <v>0</v>
      </c>
      <c r="F57" s="3618">
        <f>IF($C57=0,0,VLOOKUP($C57,SDÖ3!$C$24:$O$99,12,FALSE))</f>
        <v>0</v>
      </c>
      <c r="G57" s="3619">
        <f>IF($C57=0,0,VLOOKUP($C57,SDÖ3!$C$24:$O$99,13,FALSE))</f>
        <v>0</v>
      </c>
      <c r="H57" s="3679"/>
      <c r="I57" s="3680">
        <f>$F57*H57</f>
        <v>0</v>
      </c>
      <c r="J57" s="3681">
        <f>H57*$G57</f>
        <v>0</v>
      </c>
      <c r="K57" s="3679"/>
      <c r="L57" s="3682">
        <f>$F57*K57</f>
        <v>0</v>
      </c>
      <c r="M57" s="3683">
        <f>K57*$G57</f>
        <v>0</v>
      </c>
      <c r="N57" s="3679"/>
      <c r="O57" s="3680">
        <f>$F57*N57</f>
        <v>0</v>
      </c>
      <c r="P57" s="3681">
        <f>N57*$G57</f>
        <v>0</v>
      </c>
      <c r="Q57" s="32"/>
    </row>
    <row r="58" spans="1:17" s="708" customFormat="1" ht="18.75" customHeight="1">
      <c r="A58" s="1270"/>
      <c r="B58" s="1276" t="s">
        <v>1223</v>
      </c>
      <c r="C58" s="1373"/>
      <c r="D58" s="1373"/>
      <c r="E58" s="1373"/>
      <c r="F58" s="38"/>
      <c r="G58" s="1620"/>
      <c r="H58" s="1697"/>
      <c r="I58" s="1696">
        <f>SUM($I$46:$I$57)</f>
        <v>6.41</v>
      </c>
      <c r="J58" s="1701"/>
      <c r="K58" s="1700"/>
      <c r="L58" s="1699">
        <f>SUM($L$46:$L$57)</f>
        <v>6.41</v>
      </c>
      <c r="M58" s="1698"/>
      <c r="N58" s="1697"/>
      <c r="O58" s="1696">
        <f>SUM($O$46:$O$57)</f>
        <v>6.41</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11.538</v>
      </c>
      <c r="J59" s="1686"/>
      <c r="K59" s="1691"/>
      <c r="L59" s="1690">
        <f>IF(L58+SUM($L$46:$L$57)*$E$59%&gt;L58+10,L58+10,L58+SUM($L$46:$L$57)*$E$59%)</f>
        <v>11.538</v>
      </c>
      <c r="M59" s="1689"/>
      <c r="N59" s="1688"/>
      <c r="O59" s="1687">
        <f>IF(O58+SUM($O$46:$O$57)*$E$59%&gt;O58+10,O58+10,O58+SUM($O$46:$O$57)*$E$59%)</f>
        <v>11.538</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4.4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15.6"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6" customHeight="1">
      <c r="A68" s="1270"/>
      <c r="B68" s="1637"/>
      <c r="C68" s="4839" t="s">
        <v>1215</v>
      </c>
      <c r="D68" s="4839"/>
      <c r="E68" s="4839"/>
      <c r="F68" s="1636"/>
      <c r="G68" s="1627" t="s">
        <v>171</v>
      </c>
      <c r="H68" s="1634"/>
      <c r="I68" s="1633">
        <v>50</v>
      </c>
      <c r="J68" s="1632"/>
      <c r="K68" s="1634"/>
      <c r="L68" s="1633">
        <v>50</v>
      </c>
      <c r="M68" s="1635"/>
      <c r="N68" s="1634"/>
      <c r="O68" s="1633">
        <v>50</v>
      </c>
      <c r="P68" s="1632"/>
      <c r="Q68" s="32"/>
      <c r="R68" s="1944">
        <f>IF($H$68=0,0,VLOOKUP($H$68,'SD6'!B8:C101,'SD6'!C1,FALSE))*(1+'SDK1'!O11/100)</f>
        <v>0</v>
      </c>
      <c r="S68" s="1631">
        <f>IF($K$64=0,0,VLOOKUP($K$64,#REF!,2,FALSE))</f>
        <v>0</v>
      </c>
      <c r="T68" s="1944">
        <f>IF($N$64=0,0,VLOOKUP($N$64,#REF!,2,FALSE))</f>
        <v>0</v>
      </c>
    </row>
    <row r="69" spans="1:20" s="708" customFormat="1" ht="1.1499999999999999" hidden="1"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 hidden="1"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-1.0173326735696075</v>
      </c>
      <c r="K75" s="3063"/>
      <c r="L75" s="1056"/>
      <c r="M75" s="1578">
        <f>(M23+M27+M34+M43+M60+M65+M67+M69+M71)*('SDK1'!$O$59%*$G$75/12)</f>
        <v>-2.6039993402362742</v>
      </c>
      <c r="N75" s="1580"/>
      <c r="O75" s="1579"/>
      <c r="P75" s="1578">
        <f>(P23+P27+P34+P43+P60+P65+P67+P69+P71)*('SDK1'!$O$59%*$G$75/12)</f>
        <v>-4.1906660069029407</v>
      </c>
      <c r="Q75" s="32"/>
    </row>
    <row r="78" spans="1:20" ht="14.25">
      <c r="C78" s="4910" t="s">
        <v>1946</v>
      </c>
      <c r="D78" s="4911"/>
      <c r="E78" s="4911"/>
      <c r="F78" s="4912"/>
      <c r="G78" s="33"/>
      <c r="H78" s="33"/>
      <c r="I78" s="33"/>
      <c r="L78" s="33"/>
    </row>
    <row r="79" spans="1:20">
      <c r="C79" s="4913" t="s">
        <v>295</v>
      </c>
      <c r="D79" s="4914"/>
      <c r="E79" s="4914"/>
      <c r="F79" s="4915"/>
      <c r="G79" s="33"/>
      <c r="H79" s="33"/>
      <c r="I79" s="33"/>
      <c r="L79" s="33"/>
      <c r="N79" s="33"/>
      <c r="O79" s="33"/>
      <c r="P79" s="33"/>
    </row>
    <row r="80" spans="1:20" ht="14.25">
      <c r="B80" s="3078"/>
      <c r="C80" s="3074" t="s">
        <v>1942</v>
      </c>
      <c r="D80" s="3075"/>
      <c r="E80" s="3075"/>
      <c r="F80" s="3076"/>
      <c r="G80" s="33"/>
      <c r="H80" s="33"/>
      <c r="I80" s="33"/>
      <c r="J80" s="3078"/>
      <c r="K80" s="3078"/>
      <c r="L80" s="33"/>
      <c r="M80" s="3078"/>
      <c r="N80" s="33"/>
      <c r="O80" s="33"/>
      <c r="P80" s="33"/>
    </row>
    <row r="81" spans="2:16" ht="14.25">
      <c r="B81" s="3078"/>
      <c r="C81" s="3074" t="s">
        <v>1943</v>
      </c>
      <c r="D81" s="3075"/>
      <c r="E81" s="3075"/>
      <c r="F81" s="3076"/>
      <c r="G81" s="33"/>
      <c r="H81" s="33"/>
      <c r="I81" s="33"/>
      <c r="J81" s="3078"/>
      <c r="K81" s="3078"/>
      <c r="L81" s="33"/>
      <c r="M81" s="3078"/>
      <c r="N81" s="33"/>
      <c r="O81" s="33"/>
      <c r="P81" s="33"/>
    </row>
    <row r="82" spans="2:16">
      <c r="B82" s="3078"/>
      <c r="C82" s="3066" t="s">
        <v>294</v>
      </c>
      <c r="D82" s="3067"/>
      <c r="E82" s="3067"/>
      <c r="F82" s="3068"/>
      <c r="G82" s="33"/>
      <c r="H82" s="33"/>
      <c r="I82" s="33"/>
      <c r="J82" s="3078"/>
      <c r="K82" s="3078"/>
      <c r="L82" s="33"/>
      <c r="M82" s="3078"/>
      <c r="N82" s="33"/>
      <c r="O82" s="33"/>
      <c r="P82" s="33"/>
    </row>
    <row r="83" spans="2:16" ht="14.25">
      <c r="B83" s="3078"/>
      <c r="C83" s="3074" t="s">
        <v>1944</v>
      </c>
      <c r="D83" s="3075"/>
      <c r="E83" s="3075"/>
      <c r="F83" s="3076"/>
      <c r="G83" s="33"/>
      <c r="H83" s="33"/>
      <c r="I83" s="33"/>
      <c r="J83" s="3078"/>
      <c r="K83" s="3078"/>
      <c r="L83" s="33"/>
      <c r="M83" s="3078"/>
      <c r="N83" s="33"/>
      <c r="O83" s="33"/>
      <c r="P83" s="33"/>
    </row>
    <row r="84" spans="2:16" ht="14.25">
      <c r="B84" s="3078"/>
      <c r="C84" s="3074" t="s">
        <v>1945</v>
      </c>
      <c r="D84" s="3075"/>
      <c r="E84" s="3075"/>
      <c r="F84" s="3076"/>
      <c r="G84" s="33"/>
      <c r="H84" s="33"/>
      <c r="I84" s="33"/>
      <c r="J84" s="3078"/>
      <c r="K84" s="3078"/>
      <c r="L84" s="33"/>
      <c r="M84" s="3078"/>
      <c r="N84" s="33"/>
      <c r="O84" s="33"/>
      <c r="P84" s="33"/>
    </row>
    <row r="85" spans="2:16">
      <c r="B85" s="3078"/>
      <c r="C85" s="3066" t="s">
        <v>293</v>
      </c>
      <c r="D85" s="3067"/>
      <c r="E85" s="3067"/>
      <c r="F85" s="3068"/>
      <c r="G85" s="33"/>
      <c r="H85" s="33"/>
      <c r="I85" s="33"/>
      <c r="J85" s="3078"/>
      <c r="K85" s="3078"/>
      <c r="L85" s="33"/>
      <c r="M85" s="3078"/>
      <c r="N85" s="33"/>
      <c r="O85" s="33"/>
      <c r="P85" s="33"/>
    </row>
    <row r="86" spans="2:16">
      <c r="B86" s="3078"/>
      <c r="C86" s="3066" t="s">
        <v>292</v>
      </c>
      <c r="D86" s="3067"/>
      <c r="E86" s="3067"/>
      <c r="F86" s="3068"/>
      <c r="G86" s="33"/>
      <c r="H86" s="33"/>
      <c r="I86" s="33"/>
      <c r="J86" s="3078"/>
      <c r="K86" s="3078"/>
      <c r="L86" s="33"/>
      <c r="M86" s="3078"/>
      <c r="N86" s="33"/>
      <c r="O86" s="33"/>
      <c r="P86" s="33"/>
    </row>
    <row r="87" spans="2:16" ht="14.25">
      <c r="B87" s="3078"/>
      <c r="C87" s="3066" t="s">
        <v>291</v>
      </c>
      <c r="D87" s="3067"/>
      <c r="E87" s="3067"/>
      <c r="F87" s="3068"/>
      <c r="G87" s="33"/>
      <c r="H87" s="33"/>
      <c r="I87" s="33"/>
      <c r="J87" s="3078"/>
      <c r="K87" s="3078"/>
      <c r="L87" s="33"/>
      <c r="M87" s="3078"/>
      <c r="N87" s="33"/>
      <c r="O87" s="33"/>
      <c r="P87" s="33"/>
    </row>
    <row r="88" spans="2:16" ht="13.15" customHeight="1">
      <c r="B88" s="3078"/>
      <c r="C88" s="3066" t="s">
        <v>290</v>
      </c>
      <c r="D88" s="3069"/>
      <c r="E88" s="3069"/>
      <c r="F88" s="3070"/>
      <c r="G88" s="33"/>
      <c r="H88" s="33"/>
      <c r="I88" s="33"/>
      <c r="J88" s="3078"/>
      <c r="K88" s="3078"/>
      <c r="L88" s="33"/>
      <c r="M88" s="3078"/>
      <c r="N88" s="33"/>
      <c r="O88" s="33"/>
      <c r="P88" s="33"/>
    </row>
    <row r="89" spans="2:16">
      <c r="B89" s="3078"/>
      <c r="C89" s="3066" t="s">
        <v>289</v>
      </c>
      <c r="D89" s="3069"/>
      <c r="E89" s="3069"/>
      <c r="F89" s="3070"/>
      <c r="G89" s="33"/>
      <c r="H89" s="33"/>
      <c r="I89" s="33"/>
      <c r="J89" s="3078"/>
      <c r="K89" s="3078"/>
      <c r="L89" s="33"/>
      <c r="M89" s="3078"/>
      <c r="N89" s="33"/>
      <c r="O89" s="33"/>
      <c r="P89" s="33"/>
    </row>
    <row r="90" spans="2:16" ht="13.9" customHeight="1">
      <c r="B90" s="3078"/>
      <c r="C90" s="3098" t="s">
        <v>288</v>
      </c>
      <c r="D90" s="3072"/>
      <c r="E90" s="3072"/>
      <c r="F90" s="3073"/>
      <c r="H90" s="3078"/>
      <c r="I90" s="3078"/>
      <c r="J90" s="3078"/>
      <c r="K90" s="3078"/>
      <c r="L90" s="33"/>
      <c r="M90" s="3078"/>
      <c r="N90" s="33"/>
      <c r="O90" s="33"/>
      <c r="P90" s="33"/>
    </row>
    <row r="91" spans="2:16">
      <c r="B91" s="3078"/>
      <c r="C91" s="33"/>
      <c r="D91" s="33"/>
      <c r="E91" s="33"/>
      <c r="F91" s="3078"/>
      <c r="G91" s="33"/>
      <c r="H91" s="33"/>
      <c r="I91" s="33"/>
      <c r="J91" s="3078"/>
      <c r="K91" s="3078"/>
      <c r="L91" s="33"/>
      <c r="M91" s="3078"/>
      <c r="N91" s="33"/>
      <c r="O91" s="33"/>
      <c r="P91" s="33"/>
    </row>
    <row r="92" spans="2:16" ht="13.15" customHeight="1">
      <c r="B92" s="3078"/>
      <c r="C92" s="33"/>
      <c r="D92" s="33"/>
      <c r="E92" s="33"/>
      <c r="F92" s="3078"/>
      <c r="G92" s="33"/>
      <c r="H92" s="33"/>
      <c r="I92" s="33"/>
      <c r="J92" s="3078"/>
      <c r="K92" s="3078"/>
      <c r="L92" s="33"/>
      <c r="M92" s="3078"/>
      <c r="N92" s="33"/>
      <c r="O92" s="33"/>
      <c r="P92" s="33"/>
    </row>
    <row r="93" spans="2:16">
      <c r="B93" s="3078"/>
      <c r="C93" s="33"/>
      <c r="D93" s="33"/>
      <c r="E93" s="33"/>
      <c r="F93" s="3078"/>
      <c r="G93" s="33"/>
      <c r="H93" s="33"/>
      <c r="I93" s="33"/>
      <c r="J93" s="3078"/>
      <c r="K93" s="3078"/>
      <c r="L93" s="33"/>
      <c r="M93" s="3078"/>
      <c r="N93" s="33"/>
      <c r="O93" s="33"/>
      <c r="P93" s="33"/>
    </row>
    <row r="94" spans="2:16">
      <c r="B94" s="3078"/>
      <c r="C94" s="33"/>
      <c r="D94" s="33"/>
      <c r="E94" s="33"/>
      <c r="F94" s="3078"/>
      <c r="G94" s="33"/>
      <c r="H94" s="33"/>
      <c r="I94" s="33"/>
      <c r="J94" s="3078"/>
      <c r="K94" s="3078"/>
      <c r="L94" s="33"/>
      <c r="M94" s="3078"/>
      <c r="N94" s="33"/>
      <c r="O94" s="33"/>
      <c r="P94" s="33"/>
    </row>
    <row r="95" spans="2:16">
      <c r="B95" s="3078"/>
      <c r="C95" s="33"/>
      <c r="D95" s="33"/>
      <c r="E95" s="33"/>
      <c r="F95" s="3078"/>
      <c r="G95" s="33"/>
      <c r="H95" s="33"/>
      <c r="I95" s="33"/>
      <c r="J95" s="3078"/>
      <c r="K95" s="3078"/>
      <c r="L95" s="33"/>
      <c r="M95" s="3078"/>
      <c r="N95" s="33"/>
      <c r="O95" s="33"/>
      <c r="P95" s="33"/>
    </row>
    <row r="96" spans="2:16">
      <c r="B96" s="3078"/>
      <c r="C96" s="33"/>
      <c r="D96" s="33"/>
      <c r="E96" s="33"/>
      <c r="F96" s="3078"/>
      <c r="G96" s="33"/>
      <c r="H96" s="33"/>
      <c r="I96" s="33"/>
      <c r="J96" s="3078"/>
      <c r="K96" s="3078"/>
      <c r="L96" s="33"/>
      <c r="M96" s="3078"/>
      <c r="N96" s="33"/>
      <c r="O96" s="33"/>
      <c r="P96" s="33"/>
    </row>
    <row r="97" spans="2:16">
      <c r="B97" s="3078"/>
      <c r="C97" s="33"/>
      <c r="D97" s="33"/>
      <c r="E97" s="33"/>
      <c r="F97" s="3078"/>
      <c r="G97" s="33"/>
      <c r="H97" s="33"/>
      <c r="I97" s="33"/>
      <c r="J97" s="3078"/>
      <c r="K97" s="3078"/>
      <c r="L97" s="33"/>
      <c r="M97" s="3078"/>
      <c r="N97" s="33"/>
      <c r="O97" s="33"/>
      <c r="P97" s="33"/>
    </row>
    <row r="98" spans="2:16">
      <c r="B98" s="3078"/>
      <c r="C98" s="33"/>
      <c r="D98" s="33"/>
      <c r="E98" s="33"/>
      <c r="F98" s="3078"/>
      <c r="G98" s="33"/>
      <c r="H98" s="33"/>
      <c r="I98" s="33"/>
      <c r="J98" s="3078"/>
      <c r="K98" s="3078"/>
      <c r="L98" s="33"/>
      <c r="M98" s="3078"/>
      <c r="N98" s="33"/>
      <c r="O98" s="33"/>
      <c r="P98" s="33"/>
    </row>
    <row r="99" spans="2:16">
      <c r="B99" s="3078"/>
      <c r="C99" s="33"/>
      <c r="D99" s="33"/>
      <c r="E99" s="33"/>
      <c r="F99" s="3078"/>
      <c r="G99" s="33"/>
      <c r="H99" s="33"/>
      <c r="I99" s="33"/>
      <c r="J99" s="3078"/>
      <c r="K99" s="3078"/>
      <c r="L99" s="33"/>
      <c r="M99" s="3078"/>
      <c r="N99" s="33"/>
      <c r="O99" s="33"/>
      <c r="P99" s="33"/>
    </row>
    <row r="100" spans="2:16">
      <c r="B100" s="3078"/>
      <c r="C100" s="33"/>
      <c r="D100" s="33"/>
      <c r="E100" s="33"/>
      <c r="F100" s="3078"/>
      <c r="G100" s="33"/>
      <c r="H100" s="33"/>
      <c r="I100" s="33"/>
      <c r="J100" s="3078"/>
      <c r="K100" s="3078"/>
      <c r="L100" s="33"/>
      <c r="M100" s="3078"/>
      <c r="N100" s="33"/>
      <c r="O100" s="33"/>
      <c r="P100" s="33"/>
    </row>
    <row r="101" spans="2:16">
      <c r="B101" s="33"/>
      <c r="C101" s="33"/>
      <c r="D101" s="33"/>
      <c r="E101" s="33"/>
      <c r="F101" s="3078"/>
      <c r="G101" s="33"/>
      <c r="H101" s="33"/>
      <c r="I101" s="33"/>
      <c r="J101" s="3078"/>
      <c r="K101" s="3078"/>
      <c r="L101" s="33"/>
      <c r="M101" s="3078"/>
      <c r="N101" s="33"/>
      <c r="O101" s="33"/>
      <c r="P101" s="33"/>
    </row>
    <row r="102" spans="2:16">
      <c r="B102" s="33"/>
      <c r="C102" s="33"/>
      <c r="D102" s="33"/>
      <c r="E102" s="33"/>
      <c r="F102" s="3078"/>
      <c r="G102" s="33"/>
      <c r="H102" s="33"/>
      <c r="I102" s="33"/>
      <c r="J102" s="3078"/>
      <c r="K102" s="3078"/>
      <c r="L102" s="33"/>
      <c r="M102" s="3078"/>
      <c r="N102" s="33"/>
      <c r="O102" s="33"/>
      <c r="P102" s="33"/>
    </row>
    <row r="103" spans="2:16">
      <c r="B103" s="33"/>
      <c r="C103" s="33"/>
      <c r="D103" s="33"/>
      <c r="E103" s="33"/>
      <c r="F103" s="3078"/>
      <c r="G103" s="33"/>
      <c r="H103" s="33"/>
      <c r="I103" s="33"/>
      <c r="J103" s="3078"/>
      <c r="K103" s="3078"/>
      <c r="L103" s="33"/>
      <c r="M103" s="3078"/>
      <c r="N103" s="33"/>
      <c r="O103" s="33"/>
      <c r="P103" s="33"/>
    </row>
    <row r="104" spans="2:16">
      <c r="B104" s="33"/>
      <c r="C104" s="33"/>
      <c r="D104" s="33"/>
      <c r="E104" s="33"/>
      <c r="F104" s="3078"/>
      <c r="G104" s="33"/>
      <c r="H104" s="33"/>
      <c r="I104" s="33"/>
      <c r="J104" s="3078"/>
      <c r="K104" s="3078"/>
      <c r="L104" s="33"/>
      <c r="M104" s="3078"/>
      <c r="N104" s="33"/>
      <c r="O104" s="33"/>
      <c r="P104" s="33"/>
    </row>
    <row r="105" spans="2:16">
      <c r="B105" s="33"/>
      <c r="C105" s="33"/>
      <c r="D105" s="33"/>
      <c r="E105" s="3078"/>
      <c r="F105" s="3078"/>
      <c r="G105" s="33"/>
      <c r="H105" s="33"/>
      <c r="I105" s="33"/>
      <c r="J105" s="3078"/>
      <c r="K105" s="3078"/>
      <c r="L105" s="33"/>
      <c r="M105" s="3078"/>
      <c r="N105" s="33"/>
      <c r="O105" s="33"/>
      <c r="P105" s="33"/>
    </row>
    <row r="106" spans="2:16">
      <c r="B106" s="33"/>
      <c r="C106" s="33"/>
      <c r="D106" s="33"/>
      <c r="E106" s="3078"/>
      <c r="F106" s="3078"/>
      <c r="G106" s="33"/>
      <c r="H106" s="33"/>
      <c r="I106" s="33"/>
      <c r="J106" s="3078"/>
      <c r="K106" s="3078"/>
      <c r="L106" s="33"/>
      <c r="M106" s="3078"/>
      <c r="N106" s="33"/>
      <c r="O106" s="33"/>
      <c r="P106" s="33"/>
    </row>
    <row r="107" spans="2:16">
      <c r="B107" s="33"/>
      <c r="C107" s="33"/>
      <c r="D107" s="33"/>
      <c r="E107" s="3078"/>
      <c r="F107" s="3078"/>
      <c r="G107" s="33"/>
      <c r="H107" s="33"/>
      <c r="I107" s="33"/>
      <c r="J107" s="3078"/>
      <c r="K107" s="3078"/>
      <c r="L107" s="33"/>
      <c r="M107" s="3078"/>
      <c r="N107" s="33"/>
      <c r="O107" s="33"/>
      <c r="P107" s="33"/>
    </row>
    <row r="108" spans="2:16">
      <c r="B108" s="33"/>
      <c r="C108" s="33"/>
      <c r="D108" s="33"/>
      <c r="E108" s="3078"/>
      <c r="F108" s="3078"/>
      <c r="G108" s="33"/>
      <c r="H108" s="33"/>
      <c r="I108" s="33"/>
      <c r="J108" s="3078"/>
      <c r="K108" s="3078"/>
      <c r="L108" s="33"/>
      <c r="M108" s="3078"/>
      <c r="N108" s="33"/>
      <c r="O108" s="33"/>
      <c r="P108" s="33"/>
    </row>
    <row r="109" spans="2:16">
      <c r="B109" s="33"/>
      <c r="C109" s="33"/>
      <c r="D109" s="33"/>
      <c r="E109" s="3078"/>
      <c r="F109" s="3078"/>
      <c r="G109" s="33"/>
      <c r="H109" s="33"/>
      <c r="I109" s="33"/>
      <c r="J109" s="3078"/>
      <c r="K109" s="3078"/>
      <c r="L109" s="33"/>
      <c r="M109" s="3078"/>
      <c r="N109" s="33"/>
      <c r="O109" s="33"/>
      <c r="P109" s="33"/>
    </row>
    <row r="110" spans="2:16">
      <c r="B110" s="3078"/>
      <c r="C110" s="3078"/>
      <c r="D110" s="3078"/>
      <c r="E110" s="3078"/>
      <c r="F110" s="3078"/>
      <c r="G110" s="33"/>
      <c r="H110" s="33"/>
      <c r="I110" s="33"/>
      <c r="J110" s="3078"/>
      <c r="K110" s="3078"/>
      <c r="L110" s="33"/>
      <c r="M110" s="3078"/>
      <c r="N110" s="33"/>
      <c r="O110" s="33"/>
      <c r="P110" s="33"/>
    </row>
    <row r="111" spans="2:16">
      <c r="B111" s="3078"/>
      <c r="C111" s="3078"/>
      <c r="D111" s="3078"/>
      <c r="E111" s="3078"/>
      <c r="F111" s="3078"/>
      <c r="G111" s="33"/>
      <c r="H111" s="33"/>
      <c r="I111" s="33"/>
      <c r="J111" s="3078"/>
      <c r="K111" s="3078"/>
      <c r="L111" s="33"/>
      <c r="M111" s="3078"/>
      <c r="N111" s="33"/>
      <c r="O111" s="33"/>
      <c r="P111" s="33"/>
    </row>
    <row r="112" spans="2:16">
      <c r="B112" s="3078"/>
      <c r="C112" s="3078"/>
      <c r="D112" s="3078"/>
      <c r="E112" s="3078"/>
      <c r="F112" s="3078"/>
      <c r="G112" s="33"/>
      <c r="H112" s="33"/>
      <c r="I112" s="33"/>
      <c r="J112" s="3078"/>
      <c r="K112" s="3078"/>
      <c r="L112" s="33"/>
      <c r="M112" s="3078"/>
      <c r="N112" s="33"/>
      <c r="O112" s="33"/>
      <c r="P112" s="33"/>
    </row>
    <row r="113" spans="2:16">
      <c r="B113" s="3078"/>
      <c r="C113" s="3078"/>
      <c r="D113" s="3078"/>
      <c r="E113" s="3078"/>
      <c r="F113" s="3078"/>
      <c r="G113" s="33"/>
      <c r="H113" s="33"/>
      <c r="I113" s="33"/>
      <c r="J113" s="3078"/>
      <c r="K113" s="3078"/>
      <c r="L113" s="33"/>
      <c r="M113" s="3078"/>
      <c r="N113" s="33"/>
      <c r="O113" s="33"/>
      <c r="P113" s="33"/>
    </row>
    <row r="114" spans="2:16">
      <c r="B114" s="3078"/>
      <c r="C114" s="3078"/>
      <c r="D114" s="3078"/>
      <c r="E114" s="3078"/>
      <c r="F114" s="3078"/>
      <c r="G114" s="33"/>
      <c r="H114" s="33"/>
      <c r="I114" s="33"/>
      <c r="J114" s="3078"/>
      <c r="K114" s="3078"/>
      <c r="L114" s="33"/>
      <c r="M114" s="3078"/>
      <c r="N114" s="33"/>
      <c r="O114" s="33"/>
      <c r="P114" s="33"/>
    </row>
    <row r="115" spans="2:16">
      <c r="B115" s="3078"/>
      <c r="C115" s="3078"/>
      <c r="D115" s="3078"/>
      <c r="E115" s="3078"/>
      <c r="F115" s="3078"/>
      <c r="G115" s="33"/>
      <c r="H115" s="33"/>
      <c r="I115" s="33"/>
      <c r="J115" s="3078"/>
      <c r="K115" s="3078"/>
      <c r="L115" s="33"/>
      <c r="M115" s="3078"/>
      <c r="N115" s="33"/>
      <c r="O115" s="33"/>
      <c r="P115" s="33"/>
    </row>
    <row r="116" spans="2:16">
      <c r="B116" s="3078"/>
      <c r="C116" s="3078"/>
      <c r="D116" s="3078"/>
      <c r="E116" s="3078"/>
      <c r="F116" s="3078"/>
      <c r="G116" s="33"/>
      <c r="H116" s="33"/>
      <c r="I116" s="33"/>
      <c r="J116" s="3078"/>
      <c r="K116" s="3078"/>
      <c r="L116" s="33"/>
      <c r="M116" s="3078"/>
      <c r="N116" s="33"/>
      <c r="O116" s="33"/>
      <c r="P116" s="33"/>
    </row>
    <row r="117" spans="2:16">
      <c r="B117" s="3078"/>
      <c r="C117" s="3078"/>
      <c r="D117" s="3078"/>
      <c r="E117" s="3078"/>
      <c r="F117" s="3078"/>
      <c r="G117" s="33"/>
      <c r="H117" s="33"/>
      <c r="I117" s="33"/>
      <c r="J117" s="3078"/>
      <c r="K117" s="3078"/>
      <c r="L117" s="33"/>
      <c r="M117" s="3078"/>
      <c r="N117" s="33"/>
      <c r="O117" s="33"/>
      <c r="P117" s="33"/>
    </row>
    <row r="118" spans="2:16">
      <c r="B118" s="3078"/>
      <c r="C118" s="3078"/>
      <c r="D118" s="3078"/>
      <c r="E118" s="3078"/>
      <c r="F118" s="3078"/>
      <c r="G118" s="33"/>
      <c r="H118" s="33"/>
      <c r="I118" s="33"/>
      <c r="J118" s="3078"/>
      <c r="K118" s="3078"/>
      <c r="L118" s="33"/>
      <c r="M118" s="3078"/>
      <c r="N118" s="33"/>
      <c r="O118" s="33"/>
      <c r="P118" s="33"/>
    </row>
    <row r="119" spans="2:16">
      <c r="B119" s="3078"/>
      <c r="C119" s="3078"/>
      <c r="D119" s="3078"/>
      <c r="E119" s="3078"/>
      <c r="F119" s="3078"/>
      <c r="G119" s="33"/>
      <c r="H119" s="33"/>
      <c r="I119" s="33"/>
      <c r="J119" s="3078"/>
      <c r="K119" s="3078"/>
      <c r="L119" s="33"/>
      <c r="M119" s="3078"/>
      <c r="N119" s="33"/>
      <c r="O119" s="33"/>
      <c r="P119" s="33"/>
    </row>
    <row r="120" spans="2:16">
      <c r="B120" s="622"/>
      <c r="C120" s="33"/>
      <c r="D120" s="3078"/>
      <c r="E120" s="3078"/>
      <c r="F120" s="3078"/>
      <c r="G120" s="33"/>
      <c r="H120" s="33"/>
      <c r="I120" s="33"/>
      <c r="J120" s="3078"/>
      <c r="K120" s="3078"/>
      <c r="L120" s="33"/>
      <c r="M120" s="3078"/>
      <c r="N120" s="33"/>
      <c r="O120" s="33"/>
      <c r="P120" s="33"/>
    </row>
    <row r="121" spans="2:16">
      <c r="B121" s="622"/>
      <c r="C121" s="33"/>
      <c r="D121" s="3078"/>
      <c r="E121" s="3078"/>
      <c r="F121" s="3078"/>
      <c r="G121" s="33"/>
      <c r="H121" s="33"/>
      <c r="I121" s="33"/>
      <c r="J121" s="3078"/>
      <c r="K121" s="3078"/>
      <c r="L121" s="33"/>
      <c r="M121" s="3078"/>
      <c r="N121" s="33"/>
      <c r="O121" s="33"/>
      <c r="P121" s="33"/>
    </row>
    <row r="122" spans="2:16">
      <c r="B122" s="622"/>
      <c r="C122" s="33"/>
      <c r="D122" s="3078"/>
      <c r="E122" s="3078"/>
      <c r="F122" s="3078"/>
      <c r="G122" s="33"/>
      <c r="H122" s="33"/>
      <c r="I122" s="33"/>
      <c r="J122" s="3078"/>
      <c r="K122" s="3078"/>
      <c r="L122" s="33"/>
      <c r="M122" s="3078"/>
      <c r="N122" s="33"/>
      <c r="O122" s="33"/>
      <c r="P122" s="33"/>
    </row>
    <row r="123" spans="2:16">
      <c r="B123" s="622"/>
      <c r="C123" s="33"/>
      <c r="D123" s="3078"/>
      <c r="E123" s="3078"/>
      <c r="F123" s="3078"/>
      <c r="G123" s="33"/>
      <c r="H123" s="33"/>
      <c r="I123" s="33"/>
      <c r="J123" s="3078"/>
      <c r="K123" s="3078"/>
      <c r="L123" s="33"/>
      <c r="M123" s="3078"/>
      <c r="N123" s="33"/>
      <c r="O123" s="33"/>
      <c r="P123" s="33"/>
    </row>
    <row r="124" spans="2:16">
      <c r="B124" s="622"/>
      <c r="C124" s="33"/>
      <c r="D124" s="3078"/>
      <c r="E124" s="3078"/>
      <c r="F124" s="3078"/>
      <c r="G124" s="33"/>
      <c r="H124" s="33"/>
      <c r="I124" s="33"/>
      <c r="J124" s="3078"/>
      <c r="K124" s="3078"/>
      <c r="L124" s="33"/>
      <c r="M124" s="3078"/>
      <c r="N124" s="33"/>
      <c r="O124" s="33"/>
      <c r="P124" s="33"/>
    </row>
    <row r="125" spans="2:16">
      <c r="B125" s="622"/>
      <c r="C125" s="33"/>
      <c r="D125" s="3078"/>
      <c r="E125" s="3078"/>
      <c r="F125" s="3078"/>
      <c r="G125" s="33"/>
      <c r="H125" s="33"/>
      <c r="I125" s="33"/>
      <c r="J125" s="3078"/>
      <c r="K125" s="3078"/>
      <c r="L125" s="33"/>
      <c r="M125" s="3078"/>
      <c r="N125" s="33"/>
      <c r="O125" s="33"/>
      <c r="P125" s="33"/>
    </row>
    <row r="126" spans="2:16">
      <c r="B126" s="622"/>
      <c r="C126" s="33"/>
      <c r="D126" s="3078"/>
      <c r="E126" s="3078"/>
      <c r="F126" s="3078"/>
      <c r="G126" s="33"/>
      <c r="H126" s="33"/>
      <c r="I126" s="33"/>
      <c r="J126" s="3078"/>
      <c r="K126" s="3078"/>
      <c r="L126" s="33"/>
      <c r="M126" s="3078"/>
      <c r="N126" s="33"/>
      <c r="O126" s="33"/>
      <c r="P126" s="33"/>
    </row>
    <row r="127" spans="2:16">
      <c r="B127" s="622"/>
      <c r="C127" s="33"/>
      <c r="D127" s="3078"/>
      <c r="E127" s="3078"/>
      <c r="F127" s="3078"/>
      <c r="G127" s="33"/>
      <c r="H127" s="33"/>
      <c r="I127" s="33"/>
      <c r="J127" s="3078"/>
      <c r="K127" s="3078"/>
      <c r="L127" s="33"/>
      <c r="M127" s="3078"/>
      <c r="N127" s="33"/>
      <c r="O127" s="33"/>
      <c r="P127" s="33"/>
    </row>
    <row r="128" spans="2:16">
      <c r="B128" s="622"/>
      <c r="C128" s="33"/>
      <c r="D128" s="3078"/>
      <c r="E128" s="3078"/>
      <c r="F128" s="3078"/>
      <c r="G128" s="33"/>
      <c r="H128" s="33"/>
      <c r="I128" s="33"/>
      <c r="J128" s="3078"/>
      <c r="K128" s="3078"/>
      <c r="L128" s="33"/>
      <c r="M128" s="3078"/>
      <c r="N128" s="33"/>
      <c r="O128" s="33"/>
      <c r="P128" s="33"/>
    </row>
    <row r="129" spans="2:16">
      <c r="B129" s="622"/>
      <c r="C129" s="33"/>
      <c r="D129" s="3078"/>
      <c r="E129" s="3078"/>
      <c r="F129" s="3078"/>
      <c r="G129" s="33"/>
      <c r="H129" s="33"/>
      <c r="I129" s="33"/>
      <c r="J129" s="3078"/>
      <c r="K129" s="3078"/>
      <c r="L129" s="33"/>
      <c r="M129" s="3078"/>
      <c r="N129" s="33"/>
      <c r="O129" s="33"/>
      <c r="P129" s="33"/>
    </row>
    <row r="130" spans="2:16">
      <c r="B130" s="622"/>
      <c r="C130" s="33"/>
      <c r="D130" s="3078"/>
      <c r="E130" s="3078"/>
      <c r="F130" s="3078"/>
      <c r="G130" s="33"/>
      <c r="H130" s="33"/>
      <c r="I130" s="33"/>
      <c r="J130" s="3078"/>
      <c r="K130" s="3078"/>
      <c r="L130" s="33"/>
      <c r="M130" s="3078"/>
      <c r="N130" s="33"/>
      <c r="O130" s="33"/>
      <c r="P130" s="33"/>
    </row>
    <row r="131" spans="2:16">
      <c r="B131" s="622"/>
      <c r="C131" s="33"/>
      <c r="D131" s="3078"/>
      <c r="E131" s="3078"/>
      <c r="F131" s="3078"/>
      <c r="G131" s="33"/>
      <c r="H131" s="33"/>
      <c r="I131" s="33"/>
      <c r="J131" s="3078"/>
      <c r="K131" s="3078"/>
      <c r="L131" s="33"/>
      <c r="M131" s="3078"/>
      <c r="N131" s="33"/>
      <c r="O131" s="33"/>
      <c r="P131" s="33"/>
    </row>
    <row r="132" spans="2:16">
      <c r="B132" s="622"/>
      <c r="C132" s="33"/>
      <c r="D132" s="3078"/>
      <c r="E132" s="3078"/>
      <c r="F132" s="3078"/>
      <c r="G132" s="33"/>
      <c r="H132" s="33"/>
      <c r="I132" s="33"/>
      <c r="J132" s="3078"/>
      <c r="K132" s="3078"/>
      <c r="L132" s="33"/>
      <c r="M132" s="3078"/>
      <c r="N132" s="33"/>
      <c r="O132" s="33"/>
      <c r="P132" s="33"/>
    </row>
    <row r="133" spans="2:16">
      <c r="B133" s="622"/>
      <c r="C133" s="33"/>
      <c r="D133" s="3078"/>
      <c r="E133" s="3078"/>
      <c r="F133" s="3078"/>
      <c r="G133" s="33"/>
      <c r="H133" s="33"/>
      <c r="I133" s="33"/>
      <c r="J133" s="3078"/>
      <c r="K133" s="3078"/>
      <c r="L133" s="33"/>
      <c r="M133" s="3078"/>
      <c r="N133" s="33"/>
      <c r="O133" s="33"/>
      <c r="P133" s="33"/>
    </row>
    <row r="134" spans="2:16">
      <c r="B134" s="622"/>
      <c r="C134" s="33"/>
      <c r="D134" s="3078"/>
      <c r="E134" s="3078"/>
      <c r="F134" s="3078"/>
      <c r="G134" s="33"/>
      <c r="H134" s="33"/>
      <c r="I134" s="33"/>
      <c r="J134" s="3078"/>
      <c r="K134" s="3078"/>
      <c r="L134" s="33"/>
      <c r="M134" s="3078"/>
      <c r="N134" s="33"/>
      <c r="O134" s="33"/>
      <c r="P134" s="33"/>
    </row>
    <row r="135" spans="2:16">
      <c r="B135" s="622"/>
      <c r="C135" s="33"/>
      <c r="D135" s="3078"/>
      <c r="E135" s="3078"/>
      <c r="F135" s="3078"/>
      <c r="G135" s="33"/>
      <c r="H135" s="33"/>
      <c r="I135" s="33"/>
      <c r="J135" s="3078"/>
      <c r="K135" s="3078"/>
      <c r="L135" s="33"/>
      <c r="M135" s="3078"/>
      <c r="N135" s="33"/>
      <c r="O135" s="33"/>
      <c r="P135" s="33"/>
    </row>
    <row r="136" spans="2:16">
      <c r="B136" s="622"/>
      <c r="C136" s="33"/>
      <c r="D136" s="3078"/>
      <c r="E136" s="3078"/>
      <c r="F136" s="3078"/>
      <c r="G136" s="33"/>
      <c r="H136" s="33"/>
      <c r="I136" s="33"/>
      <c r="J136" s="3078"/>
      <c r="K136" s="3078"/>
      <c r="L136" s="33"/>
      <c r="M136" s="3078"/>
      <c r="N136" s="33"/>
      <c r="O136" s="33"/>
      <c r="P136" s="33"/>
    </row>
    <row r="137" spans="2:16">
      <c r="B137" s="622"/>
      <c r="C137" s="33"/>
      <c r="D137" s="3078"/>
      <c r="E137" s="3078"/>
      <c r="F137" s="3078"/>
      <c r="G137" s="33"/>
      <c r="H137" s="33"/>
      <c r="I137" s="33"/>
      <c r="J137" s="3078"/>
      <c r="K137" s="3078"/>
      <c r="L137" s="33"/>
      <c r="M137" s="3078"/>
      <c r="N137" s="33"/>
      <c r="O137" s="33"/>
      <c r="P137" s="33"/>
    </row>
    <row r="138" spans="2:16">
      <c r="B138" s="622"/>
      <c r="C138" s="33"/>
      <c r="D138" s="3078"/>
      <c r="E138" s="3078"/>
      <c r="F138" s="3078"/>
      <c r="G138" s="33"/>
      <c r="H138" s="33"/>
      <c r="I138" s="33"/>
      <c r="J138" s="3078"/>
      <c r="K138" s="3078"/>
      <c r="L138" s="33"/>
      <c r="M138" s="3078"/>
      <c r="N138" s="33"/>
      <c r="O138" s="33"/>
      <c r="P138" s="33"/>
    </row>
    <row r="139" spans="2:16">
      <c r="B139" s="622"/>
      <c r="C139" s="33"/>
      <c r="D139" s="3078"/>
      <c r="E139" s="3078"/>
      <c r="F139" s="3078"/>
      <c r="G139" s="33"/>
      <c r="H139" s="33"/>
      <c r="I139" s="33"/>
      <c r="J139" s="3078"/>
      <c r="K139" s="3078"/>
      <c r="L139" s="33"/>
      <c r="M139" s="3078"/>
      <c r="N139" s="33"/>
      <c r="O139" s="33"/>
      <c r="P139" s="33"/>
    </row>
    <row r="140" spans="2:16">
      <c r="B140" s="622"/>
      <c r="C140" s="33"/>
      <c r="D140" s="3078"/>
      <c r="E140" s="3078"/>
      <c r="F140" s="3078"/>
      <c r="G140" s="33"/>
      <c r="H140" s="33"/>
      <c r="I140" s="33"/>
      <c r="J140" s="3078"/>
      <c r="K140" s="3078"/>
      <c r="L140" s="33"/>
      <c r="M140" s="3078"/>
      <c r="N140" s="33"/>
      <c r="O140" s="33"/>
      <c r="P140" s="33"/>
    </row>
    <row r="141" spans="2:16">
      <c r="B141" s="622"/>
      <c r="C141" s="33"/>
      <c r="D141" s="3078"/>
      <c r="E141" s="3078"/>
      <c r="F141" s="3078"/>
      <c r="G141" s="33"/>
      <c r="H141" s="33"/>
      <c r="I141" s="33"/>
      <c r="J141" s="3078"/>
      <c r="K141" s="3078"/>
      <c r="L141" s="33"/>
      <c r="M141" s="3078"/>
      <c r="N141" s="33"/>
      <c r="O141" s="33"/>
      <c r="P141" s="33"/>
    </row>
    <row r="142" spans="2:16">
      <c r="B142" s="622"/>
      <c r="C142" s="33"/>
      <c r="D142" s="3078"/>
      <c r="E142" s="3078"/>
      <c r="F142" s="3078"/>
      <c r="G142" s="33"/>
      <c r="H142" s="33"/>
      <c r="I142" s="33"/>
      <c r="J142" s="3078"/>
      <c r="K142" s="3078"/>
      <c r="L142" s="33"/>
      <c r="M142" s="3078"/>
      <c r="N142" s="33"/>
      <c r="O142" s="33"/>
      <c r="P142" s="33"/>
    </row>
    <row r="143" spans="2:16">
      <c r="B143" s="622"/>
      <c r="C143" s="33"/>
      <c r="D143" s="3078"/>
      <c r="E143" s="3078"/>
      <c r="F143" s="3078"/>
      <c r="G143" s="33"/>
      <c r="H143" s="33"/>
      <c r="I143" s="33"/>
      <c r="J143" s="3078"/>
      <c r="K143" s="3078"/>
      <c r="L143" s="33"/>
      <c r="M143" s="3078"/>
      <c r="N143" s="33"/>
      <c r="O143" s="33"/>
      <c r="P143" s="33"/>
    </row>
    <row r="144" spans="2:16">
      <c r="B144" s="622"/>
      <c r="C144" s="33"/>
      <c r="D144" s="3078"/>
      <c r="E144" s="3078"/>
      <c r="F144" s="3078"/>
      <c r="G144" s="33"/>
      <c r="H144" s="33"/>
      <c r="I144" s="33"/>
      <c r="J144" s="3078"/>
      <c r="K144" s="3078"/>
      <c r="L144" s="33"/>
      <c r="M144" s="3078"/>
      <c r="N144" s="33"/>
      <c r="O144" s="33"/>
      <c r="P144" s="33"/>
    </row>
    <row r="145" spans="2:16">
      <c r="B145" s="622"/>
      <c r="C145" s="33"/>
      <c r="D145" s="3078"/>
      <c r="E145" s="3078"/>
      <c r="F145" s="3078"/>
      <c r="G145" s="33"/>
      <c r="H145" s="33"/>
      <c r="I145" s="33"/>
      <c r="J145" s="3078"/>
      <c r="K145" s="3078"/>
      <c r="L145" s="33"/>
      <c r="M145" s="3078"/>
      <c r="N145" s="33"/>
      <c r="O145" s="33"/>
      <c r="P145" s="33"/>
    </row>
    <row r="146" spans="2:16">
      <c r="B146" s="622"/>
      <c r="C146" s="33"/>
      <c r="D146" s="3078"/>
      <c r="E146" s="3078"/>
      <c r="F146" s="3078"/>
      <c r="G146" s="33"/>
      <c r="H146" s="33"/>
      <c r="I146" s="33"/>
      <c r="J146" s="3078"/>
      <c r="K146" s="3078"/>
      <c r="L146" s="33"/>
      <c r="M146" s="3078"/>
      <c r="N146" s="33"/>
      <c r="O146" s="33"/>
      <c r="P146" s="33"/>
    </row>
    <row r="147" spans="2:16">
      <c r="B147" s="622"/>
      <c r="C147" s="33"/>
      <c r="D147" s="3078"/>
      <c r="E147" s="3078"/>
      <c r="F147" s="3078"/>
      <c r="G147" s="33"/>
      <c r="H147" s="33"/>
      <c r="I147" s="33"/>
      <c r="J147" s="3078"/>
      <c r="K147" s="3078"/>
      <c r="L147" s="33"/>
      <c r="M147" s="3078"/>
      <c r="N147" s="33"/>
      <c r="O147" s="33"/>
      <c r="P147" s="33"/>
    </row>
    <row r="148" spans="2:16">
      <c r="B148" s="622"/>
      <c r="C148" s="33"/>
      <c r="D148" s="3078"/>
      <c r="E148" s="3078"/>
      <c r="F148" s="3078"/>
      <c r="G148" s="33"/>
      <c r="H148" s="33"/>
      <c r="I148" s="33"/>
      <c r="J148" s="3078"/>
      <c r="K148" s="3078"/>
      <c r="L148" s="33"/>
      <c r="M148" s="3078"/>
      <c r="N148" s="33"/>
      <c r="O148" s="33"/>
      <c r="P148" s="33"/>
    </row>
    <row r="149" spans="2:16">
      <c r="B149" s="622"/>
      <c r="C149" s="33"/>
      <c r="D149" s="3078"/>
      <c r="E149" s="3078"/>
      <c r="F149" s="3078"/>
      <c r="G149" s="33"/>
      <c r="H149" s="33"/>
      <c r="I149" s="33"/>
      <c r="J149" s="3078"/>
      <c r="K149" s="3078"/>
      <c r="L149" s="3078"/>
      <c r="M149" s="3078"/>
      <c r="N149" s="33"/>
      <c r="O149" s="33"/>
      <c r="P149" s="33"/>
    </row>
    <row r="150" spans="2:16">
      <c r="B150" s="622"/>
      <c r="C150" s="33"/>
      <c r="G150" s="33"/>
      <c r="H150" s="33"/>
      <c r="I150" s="33"/>
      <c r="N150" s="33"/>
      <c r="O150" s="33"/>
      <c r="P150" s="33"/>
    </row>
    <row r="151" spans="2:16">
      <c r="B151" s="622"/>
      <c r="C151" s="33"/>
      <c r="G151" s="33"/>
      <c r="H151" s="33"/>
      <c r="I151" s="33"/>
      <c r="N151" s="33"/>
      <c r="O151" s="33"/>
      <c r="P151" s="33"/>
    </row>
    <row r="152" spans="2:16">
      <c r="B152" s="622"/>
      <c r="C152" s="33"/>
      <c r="G152" s="33"/>
      <c r="H152" s="33"/>
      <c r="I152" s="33"/>
      <c r="N152" s="33"/>
      <c r="O152" s="33"/>
      <c r="P152" s="33"/>
    </row>
    <row r="153" spans="2:16">
      <c r="B153" s="622"/>
      <c r="C153" s="33"/>
      <c r="G153" s="33"/>
      <c r="H153" s="33"/>
      <c r="I153" s="33"/>
      <c r="N153" s="33"/>
      <c r="O153" s="33"/>
      <c r="P153" s="33"/>
    </row>
    <row r="154" spans="2:16">
      <c r="B154" s="622"/>
      <c r="C154" s="33"/>
      <c r="D154" s="33"/>
      <c r="F154" s="33"/>
      <c r="G154" s="33"/>
      <c r="H154" s="33"/>
      <c r="I154" s="33"/>
      <c r="J154" s="33"/>
      <c r="K154" s="33"/>
      <c r="N154" s="33"/>
      <c r="O154" s="33"/>
      <c r="P154" s="33"/>
    </row>
    <row r="155" spans="2:16">
      <c r="B155" s="622"/>
      <c r="C155" s="33"/>
      <c r="D155" s="33"/>
      <c r="F155" s="33"/>
      <c r="G155" s="33"/>
      <c r="H155" s="33"/>
      <c r="I155" s="33"/>
      <c r="J155" s="33"/>
      <c r="K155" s="33"/>
      <c r="N155" s="33"/>
      <c r="O155" s="33"/>
      <c r="P155" s="33"/>
    </row>
    <row r="156" spans="2:16">
      <c r="B156" s="622"/>
      <c r="C156" s="33"/>
      <c r="D156" s="33"/>
      <c r="F156" s="33"/>
      <c r="G156" s="33"/>
      <c r="H156" s="33"/>
      <c r="I156" s="33"/>
      <c r="J156" s="33"/>
      <c r="K156" s="33"/>
      <c r="N156" s="33"/>
      <c r="O156" s="33"/>
      <c r="P156" s="33"/>
    </row>
    <row r="157" spans="2:16">
      <c r="B157" s="622"/>
      <c r="C157" s="33"/>
      <c r="G157" s="33"/>
      <c r="H157" s="33"/>
      <c r="I157" s="33"/>
      <c r="N157" s="33"/>
      <c r="O157" s="33"/>
      <c r="P157" s="33"/>
    </row>
    <row r="158" spans="2:16">
      <c r="B158" s="622"/>
      <c r="C158" s="33"/>
      <c r="N158" s="33"/>
      <c r="O158" s="33"/>
      <c r="P158" s="33"/>
    </row>
    <row r="159" spans="2:16">
      <c r="B159" s="622"/>
      <c r="C159" s="33"/>
      <c r="N159" s="33"/>
      <c r="O159" s="33"/>
      <c r="P159" s="33"/>
    </row>
    <row r="160" spans="2:16">
      <c r="B160" s="622"/>
      <c r="C160" s="33"/>
      <c r="N160" s="33"/>
      <c r="O160" s="33"/>
      <c r="P160" s="33"/>
    </row>
    <row r="161" spans="2:16">
      <c r="B161" s="622"/>
      <c r="C161" s="33"/>
      <c r="N161" s="33"/>
      <c r="O161" s="33"/>
      <c r="P161" s="33"/>
    </row>
    <row r="162" spans="2:16">
      <c r="B162" s="622"/>
      <c r="C162" s="33"/>
    </row>
    <row r="163" spans="2:16">
      <c r="B163" s="622"/>
      <c r="C163" s="33"/>
    </row>
    <row r="164" spans="2:16">
      <c r="B164" s="622"/>
      <c r="C164" s="33"/>
    </row>
    <row r="165" spans="2:16">
      <c r="B165" s="622"/>
      <c r="C165" s="33"/>
    </row>
    <row r="166" spans="2:16">
      <c r="B166" s="622"/>
      <c r="C166" s="33"/>
    </row>
    <row r="167" spans="2:16">
      <c r="B167" s="622"/>
      <c r="C167" s="33"/>
    </row>
    <row r="168" spans="2:16">
      <c r="B168" s="622"/>
      <c r="C168" s="33"/>
    </row>
    <row r="169" spans="2:16">
      <c r="B169" s="622"/>
      <c r="C169" s="33"/>
    </row>
    <row r="170" spans="2:16">
      <c r="B170" s="622"/>
      <c r="C170" s="33"/>
    </row>
    <row r="171" spans="2:16">
      <c r="B171" s="622"/>
      <c r="C171" s="33"/>
    </row>
    <row r="172" spans="2:16">
      <c r="B172" s="622"/>
      <c r="C172" s="33"/>
    </row>
    <row r="173" spans="2:16">
      <c r="B173" s="622"/>
      <c r="C173" s="33"/>
    </row>
    <row r="174" spans="2:16">
      <c r="B174" s="622"/>
      <c r="C174" s="33"/>
    </row>
    <row r="175" spans="2:16">
      <c r="B175" s="622"/>
      <c r="C175" s="33"/>
    </row>
    <row r="176" spans="2:16">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E22:G22"/>
    <mergeCell ref="C55:D55"/>
    <mergeCell ref="C62:E62"/>
    <mergeCell ref="C63:E63"/>
    <mergeCell ref="C68:E68"/>
    <mergeCell ref="C40:E40"/>
    <mergeCell ref="C41:E41"/>
    <mergeCell ref="C46:D46"/>
    <mergeCell ref="C48:D48"/>
    <mergeCell ref="C38:E38"/>
    <mergeCell ref="C36:E36"/>
    <mergeCell ref="C37:E37"/>
    <mergeCell ref="B75:C75"/>
    <mergeCell ref="F34:G34"/>
    <mergeCell ref="C42:E42"/>
    <mergeCell ref="C57:D57"/>
    <mergeCell ref="C54:D54"/>
    <mergeCell ref="C56:D56"/>
    <mergeCell ref="C64:E64"/>
    <mergeCell ref="C49:D49"/>
    <mergeCell ref="C50:D50"/>
    <mergeCell ref="C47:D47"/>
    <mergeCell ref="C53:D53"/>
    <mergeCell ref="C51:D51"/>
    <mergeCell ref="C52:D52"/>
    <mergeCell ref="C39:E39"/>
    <mergeCell ref="N6:O6"/>
    <mergeCell ref="N1:O1"/>
    <mergeCell ref="K2:P2"/>
    <mergeCell ref="J3:L3"/>
    <mergeCell ref="N3:O4"/>
    <mergeCell ref="J4:L4"/>
    <mergeCell ref="K6:L6"/>
    <mergeCell ref="K1:L1"/>
    <mergeCell ref="C78:F78"/>
    <mergeCell ref="C79:F79"/>
    <mergeCell ref="G1:I1"/>
    <mergeCell ref="H6:I6"/>
    <mergeCell ref="E4:I4"/>
    <mergeCell ref="E10:F10"/>
    <mergeCell ref="C14:F14"/>
    <mergeCell ref="C15:F15"/>
    <mergeCell ref="C16:F16"/>
    <mergeCell ref="C17:F17"/>
    <mergeCell ref="C19:F19"/>
    <mergeCell ref="F23:G23"/>
    <mergeCell ref="D25:E25"/>
    <mergeCell ref="D26:E26"/>
    <mergeCell ref="C73:E73"/>
    <mergeCell ref="C74:E74"/>
  </mergeCells>
  <dataValidations count="8">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allowBlank="1" showInputMessage="1" showErrorMessage="1" errorTitle="Arbeitsgänge" error="Bitte aus Dropdownliste auswählen." sqref="D44:D45 C45"/>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Pflanzenschutzmittel" error="Bitte aus Dropdownliste auswählen." sqref="C38:E39">
      <formula1>$C$122:$C$149</formula1>
    </dataValidation>
    <dataValidation type="list" allowBlank="1" showInputMessage="1" showErrorMessage="1" errorTitle="Pflanzenschutzmittel" error="Bitte aus Dropdownliste auswählen." sqref="C40:E41">
      <formula1>$E$121:$E$201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Gmünd&amp;C16&amp;R&amp;11&amp;F</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SDÖ5!$C$5:$C$33</xm:f>
          </x14:formula1>
          <xm:sqref>C36:E37 C42:E42 C5</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SDÖ3!$C$24:$C$99</xm:f>
          </x14:formula1>
          <xm:sqref>C57:D57</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2" width="0" style="31" hidden="1" customWidth="1"/>
    <col min="33" max="16384" width="10.5" style="31"/>
  </cols>
  <sheetData>
    <row r="1" spans="1:41" s="276" customFormat="1" ht="30.2" customHeight="1">
      <c r="A1" s="2507">
        <f>IF(OR($C1=0,$J$6=0),0,VLOOKUP($C1,'SD2'!$C$59:$N$74,12,FALSE))</f>
        <v>0</v>
      </c>
      <c r="B1" s="326"/>
      <c r="C1" s="1908"/>
      <c r="D1" s="136"/>
      <c r="E1" s="323"/>
      <c r="F1" s="323"/>
      <c r="G1" s="4908" t="s">
        <v>1694</v>
      </c>
      <c r="H1" s="4908"/>
      <c r="I1" s="4908"/>
      <c r="J1" s="1906">
        <f>(J7+J13+J18+J22+I11+I12)-(J23+J27+J34+J43+J60+J65+J67+J69+J71+J75)</f>
        <v>844.94549787777055</v>
      </c>
      <c r="K1" s="4859">
        <f>M1-J1</f>
        <v>125.75749999999994</v>
      </c>
      <c r="L1" s="4859"/>
      <c r="M1" s="1906">
        <f>(M7+M13+M18+M22+L11+L12)-(M23+M27+M34+M43+M60+M65+M67+M69+M71+M75)</f>
        <v>970.70299787777049</v>
      </c>
      <c r="N1" s="4859">
        <f>P1-M1</f>
        <v>125.75750000000016</v>
      </c>
      <c r="O1" s="4859"/>
      <c r="P1" s="1906">
        <f>(P7+P13+P18+P22+O11+O12)-(P23+P27+P34+P43+P60+P65+P67+P69+P71+P75)</f>
        <v>1096.4604978777706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1696</v>
      </c>
      <c r="L2" s="4870"/>
      <c r="M2" s="4870"/>
      <c r="N2" s="4870"/>
      <c r="O2" s="4870"/>
      <c r="P2" s="4870"/>
      <c r="Q2" s="2507"/>
    </row>
    <row r="3" spans="1:41" s="276" customFormat="1" ht="21.75" customHeight="1">
      <c r="A3" s="2507"/>
      <c r="B3" s="1903" t="s">
        <v>1693</v>
      </c>
      <c r="G3" s="1891"/>
      <c r="H3" s="1902"/>
      <c r="J3" s="4866"/>
      <c r="K3" s="4916"/>
      <c r="L3" s="4916"/>
      <c r="M3" s="33"/>
      <c r="N3" s="4909" t="str">
        <f>IF(AND(T3=TRUE,T4=TRUE),"nur 1 Strohnutzung möglich","")</f>
        <v/>
      </c>
      <c r="O3" s="4872"/>
      <c r="P3" s="1900"/>
      <c r="Q3" s="2507"/>
      <c r="T3" s="1918" t="b">
        <v>0</v>
      </c>
    </row>
    <row r="4" spans="1:41" s="276" customFormat="1" ht="20.25" customHeight="1">
      <c r="A4" s="2507"/>
      <c r="B4" s="377" t="s">
        <v>1154</v>
      </c>
      <c r="C4" s="31"/>
      <c r="D4" s="31"/>
      <c r="E4" s="4830" t="s">
        <v>2046</v>
      </c>
      <c r="F4" s="4830"/>
      <c r="G4" s="4830"/>
      <c r="H4" s="4830"/>
      <c r="I4" s="4830"/>
      <c r="J4" s="4866"/>
      <c r="K4" s="4916"/>
      <c r="L4" s="4916"/>
      <c r="M4" s="33"/>
      <c r="N4" s="4872"/>
      <c r="O4" s="4872"/>
      <c r="P4" s="1896">
        <f>SDÖ1!O3</f>
        <v>0</v>
      </c>
      <c r="Q4" s="2507"/>
      <c r="T4" s="1918" t="b">
        <v>0</v>
      </c>
    </row>
    <row r="5" spans="1:41" ht="6" customHeight="1"/>
    <row r="6" spans="1:41" s="1885" customFormat="1" ht="24" customHeight="1">
      <c r="A6" s="48"/>
      <c r="B6" s="1890" t="s">
        <v>1207</v>
      </c>
      <c r="C6" s="1889"/>
      <c r="D6" s="1889"/>
      <c r="E6" s="1889" t="s">
        <v>1692</v>
      </c>
      <c r="F6" s="1889"/>
      <c r="G6" s="1888"/>
      <c r="H6" s="4864" t="s">
        <v>179</v>
      </c>
      <c r="I6" s="4865"/>
      <c r="J6" s="1887">
        <v>350</v>
      </c>
      <c r="K6" s="4849" t="s">
        <v>152</v>
      </c>
      <c r="L6" s="4850"/>
      <c r="M6" s="1887">
        <v>450</v>
      </c>
      <c r="N6" s="4864" t="s">
        <v>178</v>
      </c>
      <c r="O6" s="4865"/>
      <c r="P6" s="1886">
        <v>550</v>
      </c>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c r="G9" s="1794"/>
      <c r="H9" s="1877">
        <f>J6-H10</f>
        <v>350</v>
      </c>
      <c r="I9" s="1873">
        <f>H9*G9</f>
        <v>0</v>
      </c>
      <c r="J9" s="43"/>
      <c r="K9" s="1876">
        <f>M6-K10</f>
        <v>450</v>
      </c>
      <c r="L9" s="1875">
        <f>K9*G9</f>
        <v>0</v>
      </c>
      <c r="M9" s="1854"/>
      <c r="N9" s="1874">
        <f>P6-N10</f>
        <v>550</v>
      </c>
      <c r="O9" s="1873">
        <f>N9*G9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340</v>
      </c>
      <c r="K13" s="1826"/>
      <c r="L13" s="1825"/>
      <c r="M13" s="1617">
        <f>SUM(L14:L16)</f>
        <v>340</v>
      </c>
      <c r="N13" s="1824"/>
      <c r="O13" s="1823"/>
      <c r="P13" s="1614">
        <f>SUM(O14:O16)</f>
        <v>340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t="s">
        <v>2108</v>
      </c>
      <c r="D15" s="4833"/>
      <c r="E15" s="4833"/>
      <c r="F15" s="4833"/>
      <c r="G15" s="1837"/>
      <c r="H15" s="1836" t="s">
        <v>1299</v>
      </c>
      <c r="I15" s="1817">
        <f>IF(H15="ja",Q15,0)</f>
        <v>100</v>
      </c>
      <c r="J15" s="45"/>
      <c r="K15" s="1836" t="s">
        <v>1299</v>
      </c>
      <c r="L15" s="1671">
        <f>IF(K15="ja",Q15,0)</f>
        <v>100</v>
      </c>
      <c r="M15" s="1589"/>
      <c r="N15" s="1836" t="s">
        <v>1299</v>
      </c>
      <c r="O15" s="1817">
        <f>IF(N15="ja",Q15,0)</f>
        <v>100</v>
      </c>
      <c r="P15" s="1586"/>
      <c r="Q15" s="1835">
        <f>IF(C15=0,0,VLOOKUP(C15,'SD2'!$C$11:$N$49,'SD2'!$N$1,FALSE))</f>
        <v>100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c r="H19" s="1818"/>
      <c r="I19" s="3965">
        <f>IF(OR($C19=0,$J$6=0),0,VLOOKUP($C19,'SD2'!C59:N75,12,FALSE))</f>
        <v>158</v>
      </c>
      <c r="J19" s="45"/>
      <c r="K19" s="1819"/>
      <c r="L19" s="1671">
        <f>IF(OR($C19=0,$M$6=0),0,VLOOKUP($C19,'SD2'!$C$59:$N$75,12,FALSE))</f>
        <v>158</v>
      </c>
      <c r="M19" s="1589"/>
      <c r="N19" s="1818"/>
      <c r="O19" s="1817">
        <f>IF(OR($C19=0,$P$6=0),0,VLOOKUP($C19,'SD2'!C59:N75,12,FALSE))</f>
        <v>158</v>
      </c>
      <c r="P19" s="1586"/>
      <c r="R19" s="1816">
        <f>J13+J18</f>
        <v>695.4</v>
      </c>
      <c r="S19" s="1816">
        <f>M13+M18</f>
        <v>695.4</v>
      </c>
      <c r="T19" s="1816">
        <f>P13+P18</f>
        <v>695.4</v>
      </c>
    </row>
    <row r="20" spans="1:20" s="4056" customFormat="1" ht="15.6" customHeight="1">
      <c r="A20" s="3913"/>
      <c r="B20" s="1821"/>
      <c r="C20" s="4058" t="s">
        <v>2182</v>
      </c>
      <c r="D20" s="4058"/>
      <c r="E20" s="4058"/>
      <c r="F20" s="4058"/>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58"/>
      <c r="E21" s="4058"/>
      <c r="F21" s="4058"/>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75"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82.5</v>
      </c>
      <c r="K23" s="1619"/>
      <c r="L23" s="1618"/>
      <c r="M23" s="1800">
        <f>SUM(L25:L26)</f>
        <v>82.5</v>
      </c>
      <c r="N23" s="1616"/>
      <c r="O23" s="1615"/>
      <c r="P23" s="1599">
        <f>SUM(O25:O26)</f>
        <v>82.5</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5.5</v>
      </c>
      <c r="G25" s="1794">
        <f>F25*(100+$D$24)/100</f>
        <v>5.5</v>
      </c>
      <c r="H25" s="1793">
        <v>15</v>
      </c>
      <c r="I25" s="1754">
        <f>H25*$G25</f>
        <v>82.5</v>
      </c>
      <c r="J25" s="45"/>
      <c r="K25" s="1793">
        <f>H25</f>
        <v>15</v>
      </c>
      <c r="L25" s="1596">
        <f>K25*$G25</f>
        <v>82.5</v>
      </c>
      <c r="M25" s="1589"/>
      <c r="N25" s="1793">
        <f>H25</f>
        <v>15</v>
      </c>
      <c r="O25" s="1754">
        <f>N25*$G25</f>
        <v>82.5</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-345.66666666666669</v>
      </c>
      <c r="K27" s="1748"/>
      <c r="L27" s="1747"/>
      <c r="M27" s="1617">
        <f>SUM(L30:L33)</f>
        <v>-470.33333333333331</v>
      </c>
      <c r="N27" s="1746"/>
      <c r="O27" s="1745"/>
      <c r="P27" s="1614">
        <f>SUM(O30:O33)</f>
        <v>-595</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VLOOKUP($K$2,'SD8'!$B$9:$K$44,3,FALSE)</f>
        <v>-1.375</v>
      </c>
      <c r="F30" s="1774"/>
      <c r="G30" s="1773">
        <v>20</v>
      </c>
      <c r="H30" s="1771">
        <f>IF(J$6=0,0,(J$6*0.2*$E30+$G30+X13))</f>
        <v>-76.25</v>
      </c>
      <c r="I30" s="1754">
        <f>H30*$D30</f>
        <v>-345.66666666666669</v>
      </c>
      <c r="J30" s="45"/>
      <c r="K30" s="1772">
        <f>IF(M$6=0,0,(M$6*0.2*$E30+$G30+AA13))</f>
        <v>-103.75</v>
      </c>
      <c r="L30" s="1596">
        <f>K30*$D30</f>
        <v>-470.33333333333331</v>
      </c>
      <c r="M30" s="1589"/>
      <c r="N30" s="1771">
        <f>IF(P$6=0,0,(P$6*0.2*$E30+$G30+AD13))</f>
        <v>-131.25</v>
      </c>
      <c r="O30" s="1754">
        <f>N30*$D30</f>
        <v>-595</v>
      </c>
      <c r="P30" s="1718"/>
      <c r="Q30" s="32"/>
    </row>
    <row r="31" spans="1:20" s="42" customFormat="1" ht="15" customHeight="1">
      <c r="A31" s="1306"/>
      <c r="B31" s="274"/>
      <c r="C31" s="1306" t="s">
        <v>244</v>
      </c>
      <c r="D31" s="1723">
        <f>IF(SDÖ1!$U$17=TRUE,SDÖ1!O56,0)</f>
        <v>1.3999999999999997</v>
      </c>
      <c r="E31" s="1774">
        <v>0</v>
      </c>
      <c r="F31" s="1774"/>
      <c r="G31" s="1773"/>
      <c r="H31" s="1771">
        <f>IF(J$6=0,0,(J$6*0.2*$E31+$G31+X14))</f>
        <v>0</v>
      </c>
      <c r="I31" s="1754">
        <f>H31*$D31</f>
        <v>0</v>
      </c>
      <c r="J31" s="45"/>
      <c r="K31" s="1772">
        <f>IF(M$6=0,0,(M$6*0.2*$E31+$G31+AA14))</f>
        <v>0</v>
      </c>
      <c r="L31" s="1596">
        <f>K31*$D31</f>
        <v>0</v>
      </c>
      <c r="M31" s="1589"/>
      <c r="N31" s="1771">
        <f>IF(P$6=0,0,(P$6*0.2*$E31+$G31+AD14))</f>
        <v>0</v>
      </c>
      <c r="O31" s="1754">
        <f>N31*$D31</f>
        <v>0</v>
      </c>
      <c r="P31" s="1718"/>
      <c r="Q31" s="32"/>
    </row>
    <row r="32" spans="1:20" s="708" customFormat="1" ht="18.75" customHeight="1">
      <c r="A32" s="1270"/>
      <c r="B32" s="274"/>
      <c r="C32" s="1306" t="s">
        <v>242</v>
      </c>
      <c r="D32" s="1723">
        <f>IF(SDÖ1!$U$17=TRUE,SDÖ1!O57,0)</f>
        <v>1.3999999999999997</v>
      </c>
      <c r="E32" s="1774">
        <v>0</v>
      </c>
      <c r="F32" s="1774"/>
      <c r="G32" s="1773"/>
      <c r="H32" s="1771">
        <f>IF(J$6=0,0,(J$6*0.2*$E32+$G32+X15))</f>
        <v>0</v>
      </c>
      <c r="I32" s="1754">
        <f>H32*$D32</f>
        <v>0</v>
      </c>
      <c r="J32" s="45"/>
      <c r="K32" s="1772">
        <f>IF(M$6=0,0,(M$6*0.2*$E32+$G32+AA15))</f>
        <v>0</v>
      </c>
      <c r="L32" s="1596">
        <f>K32*$D32</f>
        <v>0</v>
      </c>
      <c r="M32" s="1589"/>
      <c r="N32" s="1771">
        <f>IF(P$6=0,0,(P$6*0.2*$E32+$G32+AD15))</f>
        <v>0</v>
      </c>
      <c r="O32" s="1754">
        <f>N32*$D32</f>
        <v>0</v>
      </c>
      <c r="P32" s="1718"/>
      <c r="Q32" s="32"/>
    </row>
    <row r="33" spans="1:17" s="708" customFormat="1" ht="13.15" customHeight="1">
      <c r="A33" s="1270"/>
      <c r="B33" s="239"/>
      <c r="C33" s="1331" t="s">
        <v>240</v>
      </c>
      <c r="D33" s="1706">
        <f>IF(SDÖ1!$U$17=TRUE,SDÖ1!O58,0)</f>
        <v>0.5</v>
      </c>
      <c r="E33" s="3643">
        <v>0</v>
      </c>
      <c r="F33" s="1770"/>
      <c r="G33" s="1769"/>
      <c r="H33" s="1771">
        <f>IF(J$6=0,0,(J$6*0.2*$E33+$G33+X16))</f>
        <v>0</v>
      </c>
      <c r="I33" s="1750">
        <f>H33*$D33</f>
        <v>0</v>
      </c>
      <c r="J33" s="45"/>
      <c r="K33" s="1768">
        <f>IF(M$6=0,0,(M$6*0.2*$E33+$G33+AA16))</f>
        <v>0</v>
      </c>
      <c r="L33" s="1590">
        <f>K33*$D33</f>
        <v>0</v>
      </c>
      <c r="M33" s="1589"/>
      <c r="N33" s="1767">
        <f>IF(P$6=0,0,(P$6*0.2*$E33+$G33+AD16))</f>
        <v>0</v>
      </c>
      <c r="O33" s="1750">
        <f>N33*$D33</f>
        <v>0</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v>0</v>
      </c>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114.91834163294118</v>
      </c>
      <c r="K43" s="1748"/>
      <c r="L43" s="1747"/>
      <c r="M43" s="1617">
        <f>SUM(M46:M57)</f>
        <v>114.91834163294118</v>
      </c>
      <c r="N43" s="1746"/>
      <c r="O43" s="1745"/>
      <c r="P43" s="1614">
        <f>SUM(P46:P57)</f>
        <v>114.91834163294118</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t="s">
        <v>515</v>
      </c>
      <c r="D46" s="4863"/>
      <c r="E46" s="1725">
        <f>IF($C46=0,0,VLOOKUP($C46,SDÖ3!$C$24:$O$99,4,FALSE))</f>
        <v>120</v>
      </c>
      <c r="F46" s="1724">
        <f>IF($C46=0,0,VLOOKUP($C46,SDÖ3!$C$24:$O$99,12,FALSE))</f>
        <v>1.46</v>
      </c>
      <c r="G46" s="1723">
        <f>IF($C46=0,0,VLOOKUP($C46,SDÖ3!$C$24:$O$99,13,FALSE))</f>
        <v>56.986584941176474</v>
      </c>
      <c r="H46" s="1728">
        <v>0.5</v>
      </c>
      <c r="I46" s="1727">
        <f t="shared" ref="I46:I57" si="4">$F46*H46</f>
        <v>0.73</v>
      </c>
      <c r="J46" s="1718">
        <f t="shared" ref="J46:J57" si="5">H46*$G46</f>
        <v>28.493292470588237</v>
      </c>
      <c r="K46" s="1728">
        <v>0.5</v>
      </c>
      <c r="L46" s="1729">
        <f t="shared" ref="L46:L57" si="6">$F46*K46</f>
        <v>0.73</v>
      </c>
      <c r="M46" s="1721">
        <f t="shared" ref="M46:M57" si="7">K46*$G46</f>
        <v>28.493292470588237</v>
      </c>
      <c r="N46" s="1728">
        <v>0.5</v>
      </c>
      <c r="O46" s="1727">
        <f t="shared" ref="O46:O57" si="8">$F46*N46</f>
        <v>0.73</v>
      </c>
      <c r="P46" s="1718">
        <f t="shared" ref="P46:P57" si="9">N46*$G46</f>
        <v>28.493292470588237</v>
      </c>
      <c r="Q46" s="32"/>
    </row>
    <row r="47" spans="1:17" s="42" customFormat="1" ht="15" customHeight="1">
      <c r="A47" s="1306"/>
      <c r="B47" s="1726"/>
      <c r="C47" s="4835" t="s">
        <v>512</v>
      </c>
      <c r="D47" s="4836"/>
      <c r="E47" s="1725">
        <f>IF($C47=0,0,VLOOKUP($C47,SDÖ3!$C$24:$O$99,4,FALSE))</f>
        <v>102</v>
      </c>
      <c r="F47" s="1724">
        <f>IF($C47=0,0,VLOOKUP($C47,SDÖ3!$C$24:$O$99,12,FALSE))</f>
        <v>0.93</v>
      </c>
      <c r="G47" s="1723">
        <f>IF($C47=0,0,VLOOKUP($C47,SDÖ3!$C$24:$O$99,13,FALSE))</f>
        <v>23.733808400000004</v>
      </c>
      <c r="H47" s="1720">
        <v>0.5</v>
      </c>
      <c r="I47" s="1719">
        <f t="shared" si="4"/>
        <v>0.46500000000000002</v>
      </c>
      <c r="J47" s="1718">
        <f t="shared" si="5"/>
        <v>11.866904200000002</v>
      </c>
      <c r="K47" s="1720">
        <v>0.5</v>
      </c>
      <c r="L47" s="1722">
        <f t="shared" si="6"/>
        <v>0.46500000000000002</v>
      </c>
      <c r="M47" s="1721">
        <f t="shared" si="7"/>
        <v>11.866904200000002</v>
      </c>
      <c r="N47" s="1720">
        <v>0.5</v>
      </c>
      <c r="O47" s="1719">
        <f t="shared" si="8"/>
        <v>0.46500000000000002</v>
      </c>
      <c r="P47" s="1718">
        <f t="shared" si="9"/>
        <v>11.866904200000002</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0.5</v>
      </c>
      <c r="I48" s="1719">
        <f t="shared" si="4"/>
        <v>0.51500000000000001</v>
      </c>
      <c r="J48" s="1718">
        <f t="shared" si="5"/>
        <v>16.788203764705884</v>
      </c>
      <c r="K48" s="1720">
        <v>0.5</v>
      </c>
      <c r="L48" s="1722">
        <f t="shared" si="6"/>
        <v>0.51500000000000001</v>
      </c>
      <c r="M48" s="1721">
        <f t="shared" si="7"/>
        <v>16.788203764705884</v>
      </c>
      <c r="N48" s="1720">
        <v>0.5</v>
      </c>
      <c r="O48" s="1719">
        <f t="shared" si="8"/>
        <v>0.51500000000000001</v>
      </c>
      <c r="P48" s="1718">
        <f t="shared" si="9"/>
        <v>16.788203764705884</v>
      </c>
      <c r="Q48" s="32"/>
    </row>
    <row r="49" spans="1:17" s="42" customFormat="1" ht="15" customHeight="1">
      <c r="A49" s="1306"/>
      <c r="B49" s="1726"/>
      <c r="C49" s="4835" t="s">
        <v>446</v>
      </c>
      <c r="D49" s="4836"/>
      <c r="E49" s="1725">
        <f>IF($C49=0,0,VLOOKUP($C49,SDÖ3!$C$24:$O$99,4,FALSE))</f>
        <v>54</v>
      </c>
      <c r="F49" s="1724">
        <f>IF($C49=0,0,VLOOKUP($C49,SDÖ3!$C$24:$O$99,12,FALSE))</f>
        <v>0.15</v>
      </c>
      <c r="G49" s="1723">
        <f>IF($C49=0,0,VLOOKUP($C49,SDÖ3!$C$24:$O$99,13,FALSE))</f>
        <v>1.7678509764705881</v>
      </c>
      <c r="H49" s="1720"/>
      <c r="I49" s="1719">
        <f t="shared" si="4"/>
        <v>0</v>
      </c>
      <c r="J49" s="1718">
        <f t="shared" si="5"/>
        <v>0</v>
      </c>
      <c r="K49" s="1720"/>
      <c r="L49" s="1722">
        <f t="shared" si="6"/>
        <v>0</v>
      </c>
      <c r="M49" s="1721">
        <f t="shared" si="7"/>
        <v>0</v>
      </c>
      <c r="N49" s="1720"/>
      <c r="O49" s="1719">
        <f t="shared" si="8"/>
        <v>0</v>
      </c>
      <c r="P49" s="1718">
        <f t="shared" si="9"/>
        <v>0</v>
      </c>
      <c r="Q49" s="32"/>
    </row>
    <row r="50" spans="1:17" s="42" customFormat="1" ht="15" customHeight="1">
      <c r="A50" s="1306"/>
      <c r="B50" s="1726"/>
      <c r="C50" s="4835" t="s">
        <v>497</v>
      </c>
      <c r="D50" s="4836"/>
      <c r="E50" s="1725">
        <f>IF($C50=0,0,VLOOKUP($C50,SDÖ3!$C$24:$O$99,4,FALSE))</f>
        <v>83</v>
      </c>
      <c r="F50" s="1724">
        <f>IF($C50=0,0,VLOOKUP($C50,SDÖ3!$C$24:$O$99,12,FALSE))</f>
        <v>0.61</v>
      </c>
      <c r="G50" s="1723">
        <f>IF($C50=0,0,VLOOKUP($C50,SDÖ3!$C$24:$O$99,13,FALSE))</f>
        <v>10.780813997647058</v>
      </c>
      <c r="H50" s="1720">
        <v>1</v>
      </c>
      <c r="I50" s="1719">
        <f t="shared" si="4"/>
        <v>0.61</v>
      </c>
      <c r="J50" s="1718">
        <f t="shared" si="5"/>
        <v>10.780813997647058</v>
      </c>
      <c r="K50" s="1720">
        <v>1</v>
      </c>
      <c r="L50" s="1722">
        <f t="shared" si="6"/>
        <v>0.61</v>
      </c>
      <c r="M50" s="1721">
        <f t="shared" si="7"/>
        <v>10.780813997647058</v>
      </c>
      <c r="N50" s="1720">
        <v>1</v>
      </c>
      <c r="O50" s="1719">
        <f t="shared" si="8"/>
        <v>0.61</v>
      </c>
      <c r="P50" s="1718">
        <f t="shared" si="9"/>
        <v>10.780813997647058</v>
      </c>
      <c r="Q50" s="32"/>
    </row>
    <row r="51" spans="1:17" s="42" customFormat="1" ht="15" customHeight="1">
      <c r="A51" s="1306"/>
      <c r="B51" s="1726"/>
      <c r="C51" s="4835" t="s">
        <v>450</v>
      </c>
      <c r="D51" s="4836"/>
      <c r="E51" s="1725">
        <f>IF($C51=0,0,VLOOKUP($C51,SDÖ3!$C$24:$O$99,4,FALSE))</f>
        <v>83</v>
      </c>
      <c r="F51" s="1724">
        <f>IF($C51=0,0,VLOOKUP($C51,SDÖ3!$C$24:$O$99,12,FALSE))</f>
        <v>1.19</v>
      </c>
      <c r="G51" s="1723">
        <f>IF($C51=0,0,VLOOKUP($C51,SDÖ3!$C$24:$O$99,13,FALSE))</f>
        <v>23.494563599999999</v>
      </c>
      <c r="H51" s="1720">
        <v>2</v>
      </c>
      <c r="I51" s="1719">
        <f t="shared" si="4"/>
        <v>2.38</v>
      </c>
      <c r="J51" s="1718">
        <f t="shared" si="5"/>
        <v>46.989127199999999</v>
      </c>
      <c r="K51" s="1720">
        <v>2</v>
      </c>
      <c r="L51" s="1722">
        <f t="shared" si="6"/>
        <v>2.38</v>
      </c>
      <c r="M51" s="1721">
        <f t="shared" si="7"/>
        <v>46.989127199999999</v>
      </c>
      <c r="N51" s="1720">
        <v>2</v>
      </c>
      <c r="O51" s="1719">
        <f t="shared" si="8"/>
        <v>2.38</v>
      </c>
      <c r="P51" s="1718">
        <f t="shared" si="9"/>
        <v>46.989127199999999</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35.450000000000003" customHeight="1">
      <c r="A57" s="1306"/>
      <c r="B57" s="1657"/>
      <c r="C57" s="4847"/>
      <c r="D57" s="4848"/>
      <c r="E57" s="3617">
        <f>IF($C57=0,0,VLOOKUP($C57,SDÖ3!$C$24:$O$99,4,FALSE))</f>
        <v>0</v>
      </c>
      <c r="F57" s="3618">
        <f>IF($C57=0,0,VLOOKUP($C57,SDÖ3!$C$24:$O$99,12,FALSE))</f>
        <v>0</v>
      </c>
      <c r="G57" s="3619">
        <f>IF($C57=0,0,VLOOKUP($C57,SDÖ3!$C$24:$O$99,13,FALSE))</f>
        <v>0</v>
      </c>
      <c r="H57" s="1704"/>
      <c r="I57" s="1703">
        <f t="shared" si="4"/>
        <v>0</v>
      </c>
      <c r="J57" s="1702">
        <f t="shared" si="5"/>
        <v>0</v>
      </c>
      <c r="K57" s="1704"/>
      <c r="L57" s="1705">
        <f t="shared" si="6"/>
        <v>0</v>
      </c>
      <c r="M57" s="1652">
        <f t="shared" si="7"/>
        <v>0</v>
      </c>
      <c r="N57" s="1704"/>
      <c r="O57" s="1703">
        <f t="shared" si="8"/>
        <v>0</v>
      </c>
      <c r="P57" s="1702">
        <f t="shared" si="9"/>
        <v>0</v>
      </c>
      <c r="Q57" s="32"/>
    </row>
    <row r="58" spans="1:17" s="708" customFormat="1" ht="18.75" customHeight="1">
      <c r="A58" s="1270"/>
      <c r="B58" s="1276" t="s">
        <v>1223</v>
      </c>
      <c r="C58" s="1373"/>
      <c r="D58" s="1373"/>
      <c r="E58" s="1373"/>
      <c r="F58" s="38"/>
      <c r="G58" s="1620"/>
      <c r="H58" s="1697"/>
      <c r="I58" s="1696">
        <f>SUM($I$46:$I$57)</f>
        <v>4.6999999999999993</v>
      </c>
      <c r="J58" s="1701"/>
      <c r="K58" s="1700"/>
      <c r="L58" s="1699">
        <f>SUM($L$46:$L$57)</f>
        <v>4.6999999999999993</v>
      </c>
      <c r="M58" s="1698"/>
      <c r="N58" s="1697"/>
      <c r="O58" s="1696">
        <f>SUM($O$46:$O$57)</f>
        <v>4.6999999999999993</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8.4599999999999991</v>
      </c>
      <c r="J59" s="1686"/>
      <c r="K59" s="1691"/>
      <c r="L59" s="1690">
        <f>IF(L58+SUM($L$46:$L$57)*$E$59%&gt;L58+10,L58+10,L58+SUM($L$46:$L$57)*$E$59%)</f>
        <v>8.4599999999999991</v>
      </c>
      <c r="M59" s="1689"/>
      <c r="N59" s="1688"/>
      <c r="O59" s="1687">
        <f>IF(O58+SUM($O$46:$O$57)*$E$59%&gt;O58+10,O58+10,O58+SUM($O$46:$O$57)*$E$59%)</f>
        <v>8.4599999999999991</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4.4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15.6"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6" customHeight="1">
      <c r="A68" s="1270"/>
      <c r="B68" s="1637"/>
      <c r="C68" s="4839" t="s">
        <v>1215</v>
      </c>
      <c r="D68" s="4839"/>
      <c r="E68" s="4839"/>
      <c r="F68" s="1636"/>
      <c r="G68" s="1627" t="s">
        <v>171</v>
      </c>
      <c r="H68" s="1634"/>
      <c r="I68" s="1633">
        <v>50</v>
      </c>
      <c r="J68" s="1632"/>
      <c r="K68" s="1634"/>
      <c r="L68" s="1633">
        <v>50</v>
      </c>
      <c r="M68" s="1635"/>
      <c r="N68" s="1634"/>
      <c r="O68" s="1633">
        <v>50</v>
      </c>
      <c r="P68" s="1632"/>
      <c r="Q68" s="32"/>
      <c r="R68" s="1944">
        <f>IF($H$68=0,0,VLOOKUP($H$68,'SD6'!B8:C101,'SD6'!C1,FALSE))*(1+'SDK1'!O11/100)</f>
        <v>0</v>
      </c>
      <c r="S68" s="1944">
        <f>IF($H$68=0,0,VLOOKUP($H$68,'SD6'!C8:D101,'SD6'!D1,FALSE))*(1+'SDK1'!P11/100)</f>
        <v>0</v>
      </c>
      <c r="T68" s="1944">
        <f>IF($H$68=0,0,VLOOKUP($H$68,'SD6'!D8:E101,'SD6'!E1,FALSE))*(1+'SDK1'!Q11/100)</f>
        <v>0</v>
      </c>
    </row>
    <row r="69" spans="1:20" s="708" customFormat="1" ht="1.1499999999999999" hidden="1"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 hidden="1"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-1.297172844045098</v>
      </c>
      <c r="K75" s="3063"/>
      <c r="L75" s="1056"/>
      <c r="M75" s="1578">
        <f>(M23+M27+M34+M43+M60+M65+M67+M69+M71)*('SDK1'!$O$59%*$G$75/12)</f>
        <v>-2.3880061773784309</v>
      </c>
      <c r="N75" s="1580"/>
      <c r="O75" s="1579"/>
      <c r="P75" s="1578">
        <f>(P23+P27+P34+P43+P60+P65+P67+P69+P71)*('SDK1'!$O$59%*$G$75/12)</f>
        <v>-3.4788395107117642</v>
      </c>
      <c r="Q75" s="32"/>
    </row>
    <row r="78" spans="1:20" ht="14.25">
      <c r="C78" s="4910" t="s">
        <v>1946</v>
      </c>
      <c r="D78" s="4911"/>
      <c r="E78" s="4911"/>
      <c r="F78" s="4912"/>
      <c r="G78" s="3635"/>
      <c r="H78" s="3635"/>
      <c r="I78" s="3635"/>
      <c r="L78" s="33"/>
    </row>
    <row r="79" spans="1:20">
      <c r="C79" s="4913" t="s">
        <v>295</v>
      </c>
      <c r="D79" s="4914"/>
      <c r="E79" s="4914"/>
      <c r="F79" s="4915"/>
      <c r="G79" s="3635"/>
      <c r="H79" s="3635"/>
      <c r="I79" s="3635"/>
      <c r="L79" s="33"/>
      <c r="N79" s="3635"/>
      <c r="O79" s="3635"/>
      <c r="P79" s="3635"/>
    </row>
    <row r="80" spans="1:20" ht="14.25">
      <c r="B80" s="3078"/>
      <c r="C80" s="3074" t="s">
        <v>1942</v>
      </c>
      <c r="D80" s="3075"/>
      <c r="E80" s="3075"/>
      <c r="F80" s="3076"/>
      <c r="G80" s="3635"/>
      <c r="H80" s="3635"/>
      <c r="I80" s="3635"/>
      <c r="J80" s="3078"/>
      <c r="K80" s="3078"/>
      <c r="L80" s="33"/>
      <c r="M80" s="3078"/>
      <c r="N80" s="3635"/>
      <c r="O80" s="3635"/>
      <c r="P80" s="3635"/>
    </row>
    <row r="81" spans="2:16" ht="14.25">
      <c r="B81" s="3078"/>
      <c r="C81" s="3074" t="s">
        <v>1943</v>
      </c>
      <c r="D81" s="3075"/>
      <c r="E81" s="3075"/>
      <c r="F81" s="3076"/>
      <c r="G81" s="3635"/>
      <c r="H81" s="3635"/>
      <c r="I81" s="3635"/>
      <c r="J81" s="3078"/>
      <c r="K81" s="3078"/>
      <c r="L81" s="33"/>
      <c r="M81" s="3078"/>
      <c r="N81" s="3635"/>
      <c r="O81" s="3635"/>
      <c r="P81" s="3635"/>
    </row>
    <row r="82" spans="2:16">
      <c r="B82" s="3078"/>
      <c r="C82" s="3066" t="s">
        <v>294</v>
      </c>
      <c r="D82" s="3067"/>
      <c r="E82" s="3067"/>
      <c r="F82" s="3068"/>
      <c r="G82" s="3635"/>
      <c r="H82" s="3635"/>
      <c r="I82" s="3635"/>
      <c r="J82" s="3078"/>
      <c r="K82" s="3078"/>
      <c r="L82" s="33"/>
      <c r="M82" s="3078"/>
      <c r="N82" s="3635"/>
      <c r="O82" s="3635"/>
      <c r="P82" s="3635"/>
    </row>
    <row r="83" spans="2:16" ht="14.25">
      <c r="B83" s="3078"/>
      <c r="C83" s="3074" t="s">
        <v>1944</v>
      </c>
      <c r="D83" s="3075"/>
      <c r="E83" s="3075"/>
      <c r="F83" s="3076"/>
      <c r="G83" s="3635"/>
      <c r="H83" s="3635"/>
      <c r="I83" s="3635"/>
      <c r="J83" s="3078"/>
      <c r="K83" s="3078"/>
      <c r="L83" s="33"/>
      <c r="M83" s="3078"/>
      <c r="N83" s="3635"/>
      <c r="O83" s="3635"/>
      <c r="P83" s="3635"/>
    </row>
    <row r="84" spans="2:16" ht="14.25">
      <c r="B84" s="3078"/>
      <c r="C84" s="3074" t="s">
        <v>1945</v>
      </c>
      <c r="D84" s="3075"/>
      <c r="E84" s="3075"/>
      <c r="F84" s="3076"/>
      <c r="G84" s="3635"/>
      <c r="H84" s="3635"/>
      <c r="I84" s="3635"/>
      <c r="J84" s="3078"/>
      <c r="K84" s="3078"/>
      <c r="L84" s="33"/>
      <c r="M84" s="3078"/>
      <c r="N84" s="3635"/>
      <c r="O84" s="3635"/>
      <c r="P84" s="3635"/>
    </row>
    <row r="85" spans="2:16">
      <c r="B85" s="3078"/>
      <c r="C85" s="3066" t="s">
        <v>293</v>
      </c>
      <c r="D85" s="3067"/>
      <c r="E85" s="3067"/>
      <c r="F85" s="3068"/>
      <c r="G85" s="3635"/>
      <c r="H85" s="3635"/>
      <c r="I85" s="3635"/>
      <c r="J85" s="3078"/>
      <c r="K85" s="3078"/>
      <c r="L85" s="33"/>
      <c r="M85" s="3078"/>
      <c r="N85" s="3635"/>
      <c r="O85" s="3635"/>
      <c r="P85" s="3635"/>
    </row>
    <row r="86" spans="2:16">
      <c r="B86" s="3078"/>
      <c r="C86" s="3066" t="s">
        <v>292</v>
      </c>
      <c r="D86" s="3067"/>
      <c r="E86" s="3067"/>
      <c r="F86" s="3068"/>
      <c r="G86" s="3635"/>
      <c r="H86" s="3635"/>
      <c r="I86" s="3635"/>
      <c r="J86" s="3078"/>
      <c r="K86" s="3078"/>
      <c r="L86" s="33"/>
      <c r="M86" s="3078"/>
      <c r="N86" s="3635"/>
      <c r="O86" s="3635"/>
      <c r="P86" s="3635"/>
    </row>
    <row r="87" spans="2:16" ht="14.25">
      <c r="B87" s="3078"/>
      <c r="C87" s="3066" t="s">
        <v>291</v>
      </c>
      <c r="D87" s="3067"/>
      <c r="E87" s="3067"/>
      <c r="F87" s="3068"/>
      <c r="G87" s="3635"/>
      <c r="H87" s="3635"/>
      <c r="I87" s="3635"/>
      <c r="J87" s="3078"/>
      <c r="K87" s="3078"/>
      <c r="L87" s="33"/>
      <c r="M87" s="3078"/>
      <c r="N87" s="3635"/>
      <c r="O87" s="3635"/>
      <c r="P87" s="3635"/>
    </row>
    <row r="88" spans="2:16" ht="13.15" customHeight="1">
      <c r="B88" s="3078"/>
      <c r="C88" s="3066" t="s">
        <v>290</v>
      </c>
      <c r="D88" s="3069"/>
      <c r="E88" s="3069"/>
      <c r="F88" s="3070"/>
      <c r="G88" s="3635"/>
      <c r="H88" s="3635"/>
      <c r="I88" s="3635"/>
      <c r="J88" s="3078"/>
      <c r="K88" s="3078"/>
      <c r="L88" s="33"/>
      <c r="M88" s="3078"/>
      <c r="N88" s="3635"/>
      <c r="O88" s="3635"/>
      <c r="P88" s="3635"/>
    </row>
    <row r="89" spans="2:16">
      <c r="B89" s="3078"/>
      <c r="C89" s="3066" t="s">
        <v>289</v>
      </c>
      <c r="D89" s="3069"/>
      <c r="E89" s="3069"/>
      <c r="F89" s="3070"/>
      <c r="G89" s="3635"/>
      <c r="H89" s="3635"/>
      <c r="I89" s="3635"/>
      <c r="J89" s="3078"/>
      <c r="K89" s="3078"/>
      <c r="L89" s="33"/>
      <c r="M89" s="3078"/>
      <c r="N89" s="3635"/>
      <c r="O89" s="3635"/>
      <c r="P89" s="3635"/>
    </row>
    <row r="90" spans="2:16" ht="13.9" customHeight="1">
      <c r="B90" s="3078"/>
      <c r="C90" s="3098" t="s">
        <v>288</v>
      </c>
      <c r="D90" s="3072"/>
      <c r="E90" s="3072"/>
      <c r="F90" s="3073"/>
      <c r="G90" s="3635"/>
      <c r="H90" s="3635"/>
      <c r="I90" s="3635"/>
      <c r="J90" s="3078"/>
      <c r="K90" s="3078"/>
      <c r="L90" s="33"/>
      <c r="M90" s="3078"/>
      <c r="N90" s="3635"/>
      <c r="O90" s="3635"/>
      <c r="P90" s="3635"/>
    </row>
    <row r="91" spans="2:16">
      <c r="B91" s="3078"/>
      <c r="C91" s="33"/>
      <c r="D91" s="33"/>
      <c r="E91" s="33"/>
      <c r="F91" s="3078"/>
      <c r="G91" s="3635"/>
      <c r="H91" s="3635"/>
      <c r="I91" s="3635"/>
      <c r="J91" s="3078"/>
      <c r="K91" s="3078"/>
      <c r="L91" s="33"/>
      <c r="M91" s="3078"/>
      <c r="N91" s="3635"/>
      <c r="O91" s="3635"/>
      <c r="P91" s="3635"/>
    </row>
    <row r="92" spans="2:16">
      <c r="B92" s="3078"/>
      <c r="C92" s="33"/>
      <c r="D92" s="33"/>
      <c r="E92" s="33"/>
      <c r="F92" s="3078"/>
      <c r="G92" s="3635"/>
      <c r="H92" s="3635"/>
      <c r="I92" s="3635"/>
      <c r="J92" s="3078"/>
      <c r="K92" s="3078"/>
      <c r="L92" s="33"/>
      <c r="M92" s="3078"/>
      <c r="N92" s="3635"/>
      <c r="O92" s="3635"/>
      <c r="P92" s="3635"/>
    </row>
    <row r="93" spans="2:16">
      <c r="B93" s="3078"/>
      <c r="C93" s="33"/>
      <c r="D93" s="33"/>
      <c r="E93" s="33"/>
      <c r="F93" s="3078"/>
      <c r="G93" s="3635"/>
      <c r="H93" s="3635"/>
      <c r="I93" s="3635"/>
      <c r="J93" s="3078"/>
      <c r="K93" s="3078"/>
      <c r="L93" s="33"/>
      <c r="M93" s="3078"/>
      <c r="N93" s="3635"/>
      <c r="O93" s="3635"/>
      <c r="P93" s="3635"/>
    </row>
    <row r="94" spans="2:16">
      <c r="B94" s="3078"/>
      <c r="C94" s="33"/>
      <c r="D94" s="33"/>
      <c r="E94" s="33"/>
      <c r="F94" s="3078"/>
      <c r="G94" s="3635"/>
      <c r="H94" s="3635"/>
      <c r="I94" s="3635"/>
      <c r="J94" s="3078"/>
      <c r="K94" s="3078"/>
      <c r="L94" s="33"/>
      <c r="M94" s="3078"/>
      <c r="N94" s="3635"/>
      <c r="O94" s="3635"/>
      <c r="P94" s="3635"/>
    </row>
    <row r="95" spans="2:16">
      <c r="B95" s="3078"/>
      <c r="C95" s="33"/>
      <c r="D95" s="33"/>
      <c r="E95" s="33"/>
      <c r="F95" s="3078"/>
      <c r="G95" s="3635"/>
      <c r="H95" s="3635"/>
      <c r="I95" s="3635"/>
      <c r="J95" s="3078"/>
      <c r="K95" s="3078"/>
      <c r="L95" s="33"/>
      <c r="M95" s="3078"/>
      <c r="N95" s="3635"/>
      <c r="O95" s="3635"/>
      <c r="P95" s="3635"/>
    </row>
    <row r="96" spans="2:16">
      <c r="B96" s="3078"/>
      <c r="C96" s="33"/>
      <c r="D96" s="33"/>
      <c r="E96" s="33"/>
      <c r="F96" s="3078"/>
      <c r="G96" s="3635"/>
      <c r="H96" s="3635"/>
      <c r="I96" s="3635"/>
      <c r="J96" s="3078"/>
      <c r="K96" s="3078"/>
      <c r="L96" s="33"/>
      <c r="M96" s="3078"/>
      <c r="N96" s="3635"/>
      <c r="O96" s="3635"/>
      <c r="P96" s="3635"/>
    </row>
    <row r="97" spans="2:16">
      <c r="B97" s="3078"/>
      <c r="C97" s="33"/>
      <c r="D97" s="33"/>
      <c r="E97" s="33"/>
      <c r="F97" s="3078"/>
      <c r="G97" s="3635"/>
      <c r="H97" s="3635"/>
      <c r="I97" s="3635"/>
      <c r="J97" s="3078"/>
      <c r="K97" s="3078"/>
      <c r="L97" s="33"/>
      <c r="M97" s="3078"/>
      <c r="N97" s="3635"/>
      <c r="O97" s="3635"/>
      <c r="P97" s="3635"/>
    </row>
    <row r="98" spans="2:16">
      <c r="B98" s="3078"/>
      <c r="C98" s="33"/>
      <c r="D98" s="33"/>
      <c r="E98" s="33"/>
      <c r="F98" s="3078"/>
      <c r="G98" s="3635"/>
      <c r="H98" s="3635"/>
      <c r="I98" s="3635"/>
      <c r="J98" s="3078"/>
      <c r="K98" s="3078"/>
      <c r="L98" s="33"/>
      <c r="M98" s="3078"/>
      <c r="N98" s="3635"/>
      <c r="O98" s="3635"/>
      <c r="P98" s="3635"/>
    </row>
    <row r="99" spans="2:16">
      <c r="B99" s="3078"/>
      <c r="C99" s="33"/>
      <c r="D99" s="33"/>
      <c r="E99" s="33"/>
      <c r="F99" s="3078"/>
      <c r="G99" s="3635"/>
      <c r="H99" s="3635"/>
      <c r="I99" s="3635"/>
      <c r="J99" s="3078"/>
      <c r="K99" s="3078"/>
      <c r="L99" s="33"/>
      <c r="M99" s="3078"/>
      <c r="N99" s="3635"/>
      <c r="O99" s="3635"/>
      <c r="P99" s="3635"/>
    </row>
    <row r="100" spans="2:16">
      <c r="B100" s="3078"/>
      <c r="C100" s="33"/>
      <c r="D100" s="33"/>
      <c r="E100" s="33"/>
      <c r="F100" s="3078"/>
      <c r="G100" s="3635"/>
      <c r="H100" s="3635"/>
      <c r="I100" s="3635"/>
      <c r="J100" s="3078"/>
      <c r="K100" s="3078"/>
      <c r="L100" s="33"/>
      <c r="M100" s="3078"/>
      <c r="N100" s="3635"/>
      <c r="O100" s="3635"/>
      <c r="P100" s="3635"/>
    </row>
    <row r="101" spans="2:16">
      <c r="B101" s="33"/>
      <c r="C101" s="33"/>
      <c r="D101" s="33"/>
      <c r="E101" s="33"/>
      <c r="F101" s="3078"/>
      <c r="G101" s="3635"/>
      <c r="H101" s="3635"/>
      <c r="I101" s="3635"/>
      <c r="J101" s="3078"/>
      <c r="K101" s="3078"/>
      <c r="L101" s="33"/>
      <c r="M101" s="3078"/>
      <c r="N101" s="3635"/>
      <c r="O101" s="3635"/>
      <c r="P101" s="3635"/>
    </row>
    <row r="102" spans="2:16">
      <c r="B102" s="33"/>
      <c r="C102" s="33"/>
      <c r="D102" s="33"/>
      <c r="E102" s="33"/>
      <c r="F102" s="3078"/>
      <c r="G102" s="3635"/>
      <c r="H102" s="3635"/>
      <c r="I102" s="3635"/>
      <c r="J102" s="3078"/>
      <c r="K102" s="3078"/>
      <c r="L102" s="33"/>
      <c r="M102" s="3078"/>
      <c r="N102" s="3635"/>
      <c r="O102" s="3635"/>
      <c r="P102" s="3635"/>
    </row>
    <row r="103" spans="2:16">
      <c r="B103" s="33"/>
      <c r="C103" s="33"/>
      <c r="D103" s="33"/>
      <c r="E103" s="3078"/>
      <c r="F103" s="3078"/>
      <c r="G103" s="3635"/>
      <c r="H103" s="3635"/>
      <c r="I103" s="3635"/>
      <c r="J103" s="3078"/>
      <c r="K103" s="3078"/>
      <c r="L103" s="33"/>
      <c r="M103" s="3078"/>
      <c r="N103" s="3635"/>
      <c r="O103" s="3635"/>
      <c r="P103" s="3635"/>
    </row>
    <row r="104" spans="2:16">
      <c r="B104" s="33"/>
      <c r="C104" s="33"/>
      <c r="D104" s="33"/>
      <c r="E104" s="3078"/>
      <c r="F104" s="3078"/>
      <c r="G104" s="3635"/>
      <c r="H104" s="3635"/>
      <c r="I104" s="3635"/>
      <c r="J104" s="3078"/>
      <c r="K104" s="3078"/>
      <c r="L104" s="33"/>
      <c r="M104" s="3078"/>
      <c r="N104" s="3635"/>
      <c r="O104" s="3635"/>
      <c r="P104" s="3635"/>
    </row>
    <row r="105" spans="2:16">
      <c r="B105" s="33"/>
      <c r="C105" s="33"/>
      <c r="D105" s="33"/>
      <c r="E105" s="3078"/>
      <c r="F105" s="3078"/>
      <c r="G105" s="3635"/>
      <c r="H105" s="3635"/>
      <c r="I105" s="3635"/>
      <c r="J105" s="3078"/>
      <c r="K105" s="3078"/>
      <c r="L105" s="33"/>
      <c r="M105" s="3078"/>
      <c r="N105" s="3635"/>
      <c r="O105" s="3635"/>
      <c r="P105" s="3635"/>
    </row>
    <row r="106" spans="2:16">
      <c r="B106" s="33"/>
      <c r="C106" s="33"/>
      <c r="D106" s="33"/>
      <c r="E106" s="3078"/>
      <c r="F106" s="3078"/>
      <c r="G106" s="3635"/>
      <c r="H106" s="3635"/>
      <c r="I106" s="3635"/>
      <c r="J106" s="3078"/>
      <c r="K106" s="3078"/>
      <c r="L106" s="33"/>
      <c r="M106" s="3078"/>
      <c r="N106" s="3635"/>
      <c r="O106" s="3635"/>
      <c r="P106" s="3635"/>
    </row>
    <row r="107" spans="2:16">
      <c r="B107" s="33"/>
      <c r="C107" s="33"/>
      <c r="D107" s="33"/>
      <c r="E107" s="3078"/>
      <c r="F107" s="3078"/>
      <c r="G107" s="3635"/>
      <c r="H107" s="3635"/>
      <c r="I107" s="3635"/>
      <c r="J107" s="3078"/>
      <c r="K107" s="3078"/>
      <c r="L107" s="33"/>
      <c r="M107" s="3078"/>
      <c r="N107" s="3635"/>
      <c r="O107" s="3635"/>
      <c r="P107" s="3635"/>
    </row>
    <row r="108" spans="2:16">
      <c r="B108" s="33"/>
      <c r="C108" s="33"/>
      <c r="D108" s="33"/>
      <c r="E108" s="3078"/>
      <c r="F108" s="3078"/>
      <c r="G108" s="3635"/>
      <c r="H108" s="3635"/>
      <c r="I108" s="3635"/>
      <c r="J108" s="3078"/>
      <c r="K108" s="3078"/>
      <c r="L108" s="33"/>
      <c r="M108" s="3078"/>
      <c r="N108" s="3635"/>
      <c r="O108" s="3635"/>
      <c r="P108" s="3635"/>
    </row>
    <row r="109" spans="2:16">
      <c r="B109" s="33"/>
      <c r="C109" s="33"/>
      <c r="D109" s="33"/>
      <c r="E109" s="3078"/>
      <c r="F109" s="3078"/>
      <c r="G109" s="3635"/>
      <c r="H109" s="3635"/>
      <c r="I109" s="3635"/>
      <c r="J109" s="3078"/>
      <c r="K109" s="3078"/>
      <c r="L109" s="33"/>
      <c r="M109" s="3078"/>
      <c r="N109" s="3635"/>
      <c r="O109" s="3635"/>
      <c r="P109" s="3635"/>
    </row>
    <row r="110" spans="2:16">
      <c r="B110" s="3078"/>
      <c r="C110" s="3078"/>
      <c r="D110" s="3078"/>
      <c r="E110" s="3078"/>
      <c r="F110" s="3078"/>
      <c r="G110" s="3635"/>
      <c r="H110" s="3635"/>
      <c r="I110" s="3635"/>
      <c r="J110" s="3078"/>
      <c r="K110" s="3078"/>
      <c r="L110" s="33"/>
      <c r="M110" s="3078"/>
      <c r="N110" s="3635"/>
      <c r="O110" s="3635"/>
      <c r="P110" s="3635"/>
    </row>
    <row r="111" spans="2:16">
      <c r="B111" s="3078"/>
      <c r="C111" s="3078"/>
      <c r="D111" s="3078"/>
      <c r="E111" s="3078"/>
      <c r="F111" s="3078"/>
      <c r="G111" s="3635"/>
      <c r="H111" s="3635"/>
      <c r="I111" s="3635"/>
      <c r="J111" s="3078"/>
      <c r="K111" s="3078"/>
      <c r="L111" s="33"/>
      <c r="M111" s="3078"/>
      <c r="N111" s="3635"/>
      <c r="O111" s="3635"/>
      <c r="P111" s="3635"/>
    </row>
    <row r="112" spans="2:16">
      <c r="B112" s="3078"/>
      <c r="C112" s="3078"/>
      <c r="D112" s="3078"/>
      <c r="E112" s="3078"/>
      <c r="F112" s="3078"/>
      <c r="G112" s="3635"/>
      <c r="H112" s="3635"/>
      <c r="I112" s="3635"/>
      <c r="J112" s="3078"/>
      <c r="K112" s="3078"/>
      <c r="L112" s="33"/>
      <c r="M112" s="3078"/>
      <c r="N112" s="3635"/>
      <c r="O112" s="3635"/>
      <c r="P112" s="3635"/>
    </row>
    <row r="113" spans="2:16">
      <c r="B113" s="3078"/>
      <c r="C113" s="3078"/>
      <c r="D113" s="3078"/>
      <c r="E113" s="3078"/>
      <c r="F113" s="3078"/>
      <c r="G113" s="3635"/>
      <c r="H113" s="3635"/>
      <c r="I113" s="3635"/>
      <c r="J113" s="3078"/>
      <c r="K113" s="3078"/>
      <c r="L113" s="33"/>
      <c r="M113" s="3078"/>
      <c r="N113" s="3635"/>
      <c r="O113" s="3635"/>
      <c r="P113" s="3635"/>
    </row>
    <row r="114" spans="2:16">
      <c r="B114" s="3078"/>
      <c r="C114" s="3078"/>
      <c r="D114" s="3078"/>
      <c r="E114" s="3078"/>
      <c r="F114" s="3078"/>
      <c r="G114" s="3635"/>
      <c r="H114" s="3635"/>
      <c r="I114" s="3635"/>
      <c r="J114" s="3078"/>
      <c r="K114" s="3078"/>
      <c r="L114" s="33"/>
      <c r="M114" s="3078"/>
      <c r="N114" s="3635"/>
      <c r="O114" s="3635"/>
      <c r="P114" s="3635"/>
    </row>
    <row r="115" spans="2:16">
      <c r="B115" s="3078"/>
      <c r="C115" s="3078"/>
      <c r="D115" s="3078"/>
      <c r="E115" s="3078"/>
      <c r="F115" s="3078"/>
      <c r="G115" s="3635"/>
      <c r="H115" s="3635"/>
      <c r="I115" s="3635"/>
      <c r="J115" s="3078"/>
      <c r="K115" s="3078"/>
      <c r="L115" s="33"/>
      <c r="M115" s="3078"/>
      <c r="N115" s="3635"/>
      <c r="O115" s="3635"/>
      <c r="P115" s="3635"/>
    </row>
    <row r="116" spans="2:16">
      <c r="B116" s="3078"/>
      <c r="C116" s="3078"/>
      <c r="D116" s="3078"/>
      <c r="E116" s="3078"/>
      <c r="F116" s="3078"/>
      <c r="G116" s="3635"/>
      <c r="H116" s="3635"/>
      <c r="I116" s="3635"/>
      <c r="J116" s="3078"/>
      <c r="K116" s="3078"/>
      <c r="L116" s="33"/>
      <c r="M116" s="3078"/>
      <c r="N116" s="3635"/>
      <c r="O116" s="3635"/>
      <c r="P116" s="3635"/>
    </row>
    <row r="117" spans="2:16">
      <c r="B117" s="3078"/>
      <c r="C117" s="3078"/>
      <c r="D117" s="3078"/>
      <c r="E117" s="3078"/>
      <c r="F117" s="3078"/>
      <c r="G117" s="3635"/>
      <c r="H117" s="3635"/>
      <c r="I117" s="3635"/>
      <c r="J117" s="3078"/>
      <c r="K117" s="3078"/>
      <c r="L117" s="33"/>
      <c r="M117" s="3078"/>
      <c r="N117" s="3635"/>
      <c r="O117" s="3635"/>
      <c r="P117" s="3635"/>
    </row>
    <row r="118" spans="2:16">
      <c r="B118" s="3078"/>
      <c r="C118" s="3078"/>
      <c r="D118" s="3078"/>
      <c r="E118" s="3078"/>
      <c r="F118" s="3078"/>
      <c r="G118" s="3635"/>
      <c r="H118" s="3635"/>
      <c r="I118" s="3635"/>
      <c r="J118" s="3078"/>
      <c r="K118" s="3078"/>
      <c r="L118" s="33"/>
      <c r="M118" s="3078"/>
      <c r="N118" s="3635"/>
      <c r="O118" s="3635"/>
      <c r="P118" s="3635"/>
    </row>
    <row r="119" spans="2:16">
      <c r="B119" s="3078"/>
      <c r="C119" s="3078"/>
      <c r="D119" s="3078"/>
      <c r="E119" s="3078"/>
      <c r="F119" s="3078"/>
      <c r="G119" s="3635"/>
      <c r="H119" s="3635"/>
      <c r="I119" s="3635"/>
      <c r="J119" s="3078"/>
      <c r="K119" s="3078"/>
      <c r="L119" s="33"/>
      <c r="M119" s="3078"/>
      <c r="N119" s="3635"/>
      <c r="O119" s="3635"/>
      <c r="P119" s="3635"/>
    </row>
    <row r="120" spans="2:16">
      <c r="B120" s="622"/>
      <c r="C120" s="33"/>
      <c r="D120" s="3078"/>
      <c r="E120" s="3078"/>
      <c r="F120" s="3078"/>
      <c r="H120" s="3078"/>
      <c r="I120" s="3078"/>
      <c r="J120" s="3078"/>
      <c r="K120" s="3078"/>
      <c r="L120" s="33"/>
      <c r="M120" s="3078"/>
      <c r="N120" s="3635"/>
      <c r="O120" s="3635"/>
      <c r="P120" s="3635"/>
    </row>
    <row r="121" spans="2:16">
      <c r="B121" s="622"/>
      <c r="C121" s="33"/>
      <c r="D121" s="3078"/>
      <c r="E121" s="3078"/>
      <c r="F121" s="3078"/>
      <c r="H121" s="3078"/>
      <c r="I121" s="3078"/>
      <c r="J121" s="3078"/>
      <c r="K121" s="3078"/>
      <c r="L121" s="33"/>
      <c r="M121" s="3078"/>
      <c r="N121" s="3635"/>
      <c r="O121" s="3635"/>
      <c r="P121" s="3635"/>
    </row>
    <row r="122" spans="2:16">
      <c r="B122" s="622"/>
      <c r="C122" s="33"/>
      <c r="D122" s="3078"/>
      <c r="E122" s="3078"/>
      <c r="F122" s="3078"/>
      <c r="H122" s="3078"/>
      <c r="I122" s="3078"/>
      <c r="J122" s="3078"/>
      <c r="K122" s="3078"/>
      <c r="L122" s="33"/>
      <c r="M122" s="3078"/>
      <c r="N122" s="3635"/>
      <c r="O122" s="3635"/>
      <c r="P122" s="3635"/>
    </row>
    <row r="123" spans="2:16">
      <c r="B123" s="622"/>
      <c r="C123" s="33"/>
      <c r="D123" s="3078"/>
      <c r="E123" s="3078"/>
      <c r="F123" s="3078"/>
      <c r="H123" s="3078"/>
      <c r="I123" s="3078"/>
      <c r="J123" s="3078"/>
      <c r="K123" s="3078"/>
      <c r="L123" s="33"/>
      <c r="M123" s="3078"/>
      <c r="N123" s="3635"/>
      <c r="O123" s="3635"/>
      <c r="P123" s="3635"/>
    </row>
    <row r="124" spans="2:16">
      <c r="B124" s="622"/>
      <c r="C124" s="33"/>
      <c r="D124" s="3078"/>
      <c r="E124" s="3078"/>
      <c r="F124" s="3078"/>
      <c r="H124" s="3078"/>
      <c r="I124" s="3078"/>
      <c r="J124" s="3078"/>
      <c r="K124" s="3078"/>
      <c r="L124" s="33"/>
      <c r="M124" s="3078"/>
      <c r="N124" s="3635"/>
      <c r="O124" s="3635"/>
      <c r="P124" s="3635"/>
    </row>
    <row r="125" spans="2:16">
      <c r="B125" s="622"/>
      <c r="C125" s="33"/>
      <c r="D125" s="3078"/>
      <c r="E125" s="3078"/>
      <c r="F125" s="3078"/>
      <c r="H125" s="3078"/>
      <c r="I125" s="3078"/>
      <c r="J125" s="3078"/>
      <c r="K125" s="3078"/>
      <c r="L125" s="33"/>
      <c r="M125" s="3078"/>
      <c r="N125" s="3635"/>
      <c r="O125" s="3635"/>
      <c r="P125" s="3635"/>
    </row>
    <row r="126" spans="2:16">
      <c r="B126" s="622"/>
      <c r="C126" s="33"/>
      <c r="D126" s="3078"/>
      <c r="E126" s="3078"/>
      <c r="F126" s="3078"/>
      <c r="H126" s="3078"/>
      <c r="I126" s="3078"/>
      <c r="J126" s="3078"/>
      <c r="K126" s="3078"/>
      <c r="L126" s="33"/>
      <c r="M126" s="3078"/>
      <c r="N126" s="3635"/>
      <c r="O126" s="3635"/>
      <c r="P126" s="3635"/>
    </row>
    <row r="127" spans="2:16">
      <c r="B127" s="622"/>
      <c r="C127" s="33"/>
      <c r="D127" s="3078"/>
      <c r="E127" s="3078"/>
      <c r="F127" s="3078"/>
      <c r="H127" s="3078"/>
      <c r="I127" s="3078"/>
      <c r="J127" s="3078"/>
      <c r="K127" s="3078"/>
      <c r="L127" s="33"/>
      <c r="M127" s="3078"/>
      <c r="N127" s="3635"/>
      <c r="O127" s="3635"/>
      <c r="P127" s="3635"/>
    </row>
    <row r="128" spans="2:16">
      <c r="B128" s="622"/>
      <c r="C128" s="33"/>
      <c r="D128" s="3078"/>
      <c r="E128" s="3078"/>
      <c r="F128" s="3078"/>
      <c r="H128" s="3078"/>
      <c r="I128" s="3078"/>
      <c r="J128" s="3078"/>
      <c r="K128" s="3078"/>
      <c r="L128" s="33"/>
      <c r="M128" s="3078"/>
      <c r="N128" s="3635"/>
      <c r="O128" s="3635"/>
      <c r="P128" s="3635"/>
    </row>
    <row r="129" spans="2:16">
      <c r="B129" s="622"/>
      <c r="C129" s="33"/>
      <c r="D129" s="3078"/>
      <c r="E129" s="3078"/>
      <c r="F129" s="3078"/>
      <c r="H129" s="3078"/>
      <c r="I129" s="3078"/>
      <c r="J129" s="3078"/>
      <c r="K129" s="3078"/>
      <c r="L129" s="33"/>
      <c r="M129" s="3078"/>
      <c r="N129" s="3635"/>
      <c r="O129" s="3635"/>
      <c r="P129" s="3635"/>
    </row>
    <row r="130" spans="2:16">
      <c r="B130" s="622"/>
      <c r="C130" s="33"/>
      <c r="D130" s="3078"/>
      <c r="E130" s="3078"/>
      <c r="F130" s="3078"/>
      <c r="H130" s="3078"/>
      <c r="I130" s="3078"/>
      <c r="J130" s="3078"/>
      <c r="K130" s="3078"/>
      <c r="L130" s="33"/>
      <c r="M130" s="3078"/>
      <c r="N130" s="3635"/>
      <c r="O130" s="3635"/>
      <c r="P130" s="3635"/>
    </row>
    <row r="131" spans="2:16">
      <c r="B131" s="622"/>
      <c r="C131" s="33"/>
      <c r="D131" s="3078"/>
      <c r="E131" s="3078"/>
      <c r="F131" s="3078"/>
      <c r="H131" s="3078"/>
      <c r="I131" s="3078"/>
      <c r="J131" s="3078"/>
      <c r="K131" s="3078"/>
      <c r="L131" s="33"/>
      <c r="M131" s="3078"/>
      <c r="N131" s="3635"/>
      <c r="O131" s="3635"/>
      <c r="P131" s="3635"/>
    </row>
    <row r="132" spans="2:16">
      <c r="B132" s="622"/>
      <c r="C132" s="33"/>
      <c r="D132" s="3078"/>
      <c r="E132" s="3078"/>
      <c r="F132" s="3078"/>
      <c r="H132" s="3078"/>
      <c r="I132" s="3078"/>
      <c r="J132" s="3078"/>
      <c r="K132" s="3078"/>
      <c r="L132" s="33"/>
      <c r="M132" s="3078"/>
      <c r="N132" s="3635"/>
      <c r="O132" s="3635"/>
      <c r="P132" s="3635"/>
    </row>
    <row r="133" spans="2:16">
      <c r="B133" s="622"/>
      <c r="C133" s="33"/>
      <c r="D133" s="3078"/>
      <c r="E133" s="3078"/>
      <c r="F133" s="3078"/>
      <c r="H133" s="3078"/>
      <c r="I133" s="3078"/>
      <c r="J133" s="3078"/>
      <c r="K133" s="3078"/>
      <c r="L133" s="33"/>
      <c r="M133" s="3078"/>
      <c r="N133" s="3635"/>
      <c r="O133" s="3635"/>
      <c r="P133" s="3635"/>
    </row>
    <row r="134" spans="2:16">
      <c r="B134" s="622"/>
      <c r="C134" s="33"/>
      <c r="D134" s="3078"/>
      <c r="E134" s="3078"/>
      <c r="F134" s="3078"/>
      <c r="H134" s="3078"/>
      <c r="I134" s="3078"/>
      <c r="J134" s="3078"/>
      <c r="K134" s="3078"/>
      <c r="L134" s="33"/>
      <c r="M134" s="3078"/>
      <c r="N134" s="3635"/>
      <c r="O134" s="3635"/>
      <c r="P134" s="3635"/>
    </row>
    <row r="135" spans="2:16">
      <c r="B135" s="622"/>
      <c r="C135" s="33"/>
      <c r="D135" s="3078"/>
      <c r="E135" s="3078"/>
      <c r="F135" s="3078"/>
      <c r="H135" s="3078"/>
      <c r="I135" s="3078"/>
      <c r="J135" s="3078"/>
      <c r="K135" s="3078"/>
      <c r="L135" s="33"/>
      <c r="M135" s="3078"/>
      <c r="N135" s="3635"/>
      <c r="O135" s="3635"/>
      <c r="P135" s="3635"/>
    </row>
    <row r="136" spans="2:16">
      <c r="B136" s="622"/>
      <c r="C136" s="33"/>
      <c r="D136" s="3078"/>
      <c r="E136" s="3078"/>
      <c r="F136" s="3078"/>
      <c r="H136" s="3078"/>
      <c r="I136" s="3078"/>
      <c r="J136" s="3078"/>
      <c r="K136" s="3078"/>
      <c r="L136" s="33"/>
      <c r="M136" s="3078"/>
      <c r="N136" s="3635"/>
      <c r="O136" s="3635"/>
      <c r="P136" s="3635"/>
    </row>
    <row r="137" spans="2:16">
      <c r="B137" s="622"/>
      <c r="C137" s="33"/>
      <c r="D137" s="3078"/>
      <c r="E137" s="3078"/>
      <c r="F137" s="3078"/>
      <c r="H137" s="3078"/>
      <c r="I137" s="3078"/>
      <c r="J137" s="3078"/>
      <c r="K137" s="3078"/>
      <c r="L137" s="33"/>
      <c r="M137" s="3078"/>
      <c r="N137" s="3635"/>
      <c r="O137" s="3635"/>
      <c r="P137" s="3635"/>
    </row>
    <row r="138" spans="2:16">
      <c r="B138" s="622"/>
      <c r="C138" s="33"/>
      <c r="D138" s="3078"/>
      <c r="E138" s="3078"/>
      <c r="F138" s="3078"/>
      <c r="H138" s="3078"/>
      <c r="I138" s="3078"/>
      <c r="J138" s="3078"/>
      <c r="K138" s="3078"/>
      <c r="L138" s="33"/>
      <c r="M138" s="3078"/>
      <c r="N138" s="3635"/>
      <c r="O138" s="3635"/>
      <c r="P138" s="3635"/>
    </row>
    <row r="139" spans="2:16">
      <c r="B139" s="622"/>
      <c r="C139" s="33"/>
      <c r="D139" s="3078"/>
      <c r="E139" s="3078"/>
      <c r="F139" s="3078"/>
      <c r="H139" s="3078"/>
      <c r="I139" s="3078"/>
      <c r="J139" s="3078"/>
      <c r="K139" s="3078"/>
      <c r="L139" s="33"/>
      <c r="M139" s="3078"/>
      <c r="N139" s="3635"/>
      <c r="O139" s="3635"/>
      <c r="P139" s="3635"/>
    </row>
    <row r="140" spans="2:16">
      <c r="B140" s="622"/>
      <c r="C140" s="33"/>
      <c r="D140" s="3078"/>
      <c r="E140" s="3078"/>
      <c r="F140" s="3078"/>
      <c r="H140" s="3078"/>
      <c r="I140" s="3078"/>
      <c r="J140" s="3078"/>
      <c r="K140" s="3078"/>
      <c r="L140" s="33"/>
      <c r="M140" s="3078"/>
      <c r="N140" s="3635"/>
      <c r="O140" s="3635"/>
      <c r="P140" s="3635"/>
    </row>
    <row r="141" spans="2:16">
      <c r="B141" s="622"/>
      <c r="C141" s="33"/>
      <c r="D141" s="3078"/>
      <c r="E141" s="3078"/>
      <c r="F141" s="3078"/>
      <c r="H141" s="3078"/>
      <c r="I141" s="3078"/>
      <c r="J141" s="3078"/>
      <c r="K141" s="3078"/>
      <c r="L141" s="33"/>
      <c r="M141" s="3078"/>
      <c r="N141" s="3635"/>
      <c r="O141" s="3635"/>
      <c r="P141" s="3635"/>
    </row>
    <row r="142" spans="2:16">
      <c r="B142" s="622"/>
      <c r="C142" s="33"/>
      <c r="D142" s="3078"/>
      <c r="E142" s="3078"/>
      <c r="F142" s="3078"/>
      <c r="H142" s="3078"/>
      <c r="I142" s="3078"/>
      <c r="J142" s="3078"/>
      <c r="K142" s="3078"/>
      <c r="L142" s="33"/>
      <c r="M142" s="3078"/>
      <c r="N142" s="3078"/>
      <c r="O142" s="3078"/>
      <c r="P142" s="3078"/>
    </row>
    <row r="143" spans="2:16">
      <c r="B143" s="622"/>
      <c r="C143" s="33"/>
      <c r="D143" s="3078"/>
      <c r="E143" s="3078"/>
      <c r="F143" s="3078"/>
      <c r="H143" s="3078"/>
      <c r="I143" s="3078"/>
      <c r="J143" s="3078"/>
      <c r="K143" s="3078"/>
      <c r="L143" s="33"/>
      <c r="M143" s="3078"/>
      <c r="N143" s="3078"/>
      <c r="O143" s="3078"/>
      <c r="P143" s="3078"/>
    </row>
    <row r="144" spans="2:16">
      <c r="B144" s="622"/>
      <c r="C144" s="33"/>
      <c r="D144" s="3078"/>
      <c r="E144" s="3078"/>
      <c r="F144" s="3078"/>
      <c r="H144" s="3078"/>
      <c r="I144" s="3078"/>
      <c r="J144" s="3078"/>
      <c r="K144" s="3078"/>
      <c r="L144" s="33"/>
      <c r="M144" s="3078"/>
      <c r="N144" s="3078"/>
      <c r="O144" s="3078"/>
      <c r="P144" s="3078"/>
    </row>
    <row r="145" spans="2:16">
      <c r="B145" s="622"/>
      <c r="C145" s="33"/>
      <c r="D145" s="3078"/>
      <c r="E145" s="3078"/>
      <c r="F145" s="3078"/>
      <c r="H145" s="3078"/>
      <c r="I145" s="3078"/>
      <c r="J145" s="3078"/>
      <c r="K145" s="3078"/>
      <c r="L145" s="33"/>
      <c r="M145" s="3078"/>
      <c r="N145" s="3078"/>
      <c r="O145" s="3078"/>
      <c r="P145" s="3078"/>
    </row>
    <row r="146" spans="2:16">
      <c r="B146" s="622"/>
      <c r="C146" s="33"/>
      <c r="D146" s="3078"/>
      <c r="E146" s="3078"/>
      <c r="F146" s="3078"/>
      <c r="H146" s="3078"/>
      <c r="I146" s="3078"/>
      <c r="J146" s="3078"/>
      <c r="K146" s="3078"/>
      <c r="L146" s="33"/>
      <c r="M146" s="3078"/>
      <c r="N146" s="3078"/>
      <c r="O146" s="3078"/>
      <c r="P146" s="3078"/>
    </row>
    <row r="147" spans="2:16">
      <c r="B147" s="622"/>
      <c r="C147" s="33"/>
      <c r="D147" s="3078"/>
      <c r="E147" s="3078"/>
      <c r="F147" s="3078"/>
      <c r="H147" s="3078"/>
      <c r="I147" s="3078"/>
      <c r="J147" s="3078"/>
      <c r="K147" s="3078"/>
      <c r="L147" s="33"/>
      <c r="M147" s="3078"/>
      <c r="N147" s="3078"/>
      <c r="O147" s="3078"/>
      <c r="P147" s="3078"/>
    </row>
    <row r="148" spans="2:16">
      <c r="B148" s="622"/>
      <c r="C148" s="33"/>
      <c r="D148" s="3078"/>
      <c r="E148" s="3078"/>
      <c r="F148" s="3078"/>
      <c r="H148" s="3078"/>
      <c r="I148" s="3078"/>
      <c r="J148" s="3078"/>
      <c r="K148" s="3078"/>
      <c r="L148" s="33"/>
      <c r="M148" s="3078"/>
      <c r="N148" s="3078"/>
      <c r="O148" s="3078"/>
      <c r="P148" s="3078"/>
    </row>
    <row r="149" spans="2:16">
      <c r="B149" s="622"/>
      <c r="C149" s="33"/>
      <c r="D149" s="3078"/>
      <c r="E149" s="3078"/>
      <c r="F149" s="3078"/>
      <c r="H149" s="3078"/>
      <c r="I149" s="3078"/>
      <c r="J149" s="3078"/>
      <c r="K149" s="3078"/>
      <c r="L149" s="3078"/>
      <c r="M149" s="3078"/>
      <c r="N149" s="3078"/>
      <c r="O149" s="3078"/>
      <c r="P149" s="3078"/>
    </row>
    <row r="150" spans="2:16">
      <c r="B150" s="622"/>
      <c r="C150" s="33"/>
      <c r="I150" s="2389"/>
    </row>
    <row r="151" spans="2:16">
      <c r="B151" s="622"/>
      <c r="C151" s="33"/>
      <c r="I151" s="2389"/>
    </row>
    <row r="152" spans="2:16">
      <c r="B152" s="622"/>
      <c r="C152" s="33"/>
      <c r="I152" s="2389"/>
    </row>
    <row r="153" spans="2:16">
      <c r="B153" s="622"/>
      <c r="C153" s="33"/>
      <c r="I153" s="2389"/>
    </row>
    <row r="154" spans="2:16">
      <c r="B154" s="622"/>
      <c r="C154" s="33"/>
      <c r="D154" s="33"/>
      <c r="F154" s="33"/>
      <c r="G154" s="33"/>
      <c r="H154" s="33"/>
      <c r="I154" s="33"/>
      <c r="J154" s="33"/>
      <c r="K154" s="33"/>
    </row>
    <row r="155" spans="2:16">
      <c r="B155" s="622"/>
      <c r="C155" s="33"/>
      <c r="D155" s="33"/>
      <c r="F155" s="33"/>
      <c r="G155" s="33"/>
      <c r="H155" s="33"/>
      <c r="I155" s="33"/>
      <c r="J155" s="33"/>
      <c r="K155" s="33"/>
    </row>
    <row r="156" spans="2:16">
      <c r="B156" s="622"/>
      <c r="C156" s="33"/>
      <c r="D156" s="33"/>
      <c r="F156" s="33"/>
      <c r="G156" s="33"/>
      <c r="H156" s="33"/>
      <c r="I156" s="33"/>
      <c r="J156" s="33"/>
      <c r="K156" s="33"/>
    </row>
    <row r="157" spans="2:16">
      <c r="B157" s="622"/>
      <c r="C157" s="33"/>
    </row>
    <row r="158" spans="2:16">
      <c r="B158" s="622"/>
      <c r="C158" s="33"/>
    </row>
    <row r="159" spans="2:16">
      <c r="B159" s="622"/>
      <c r="C159" s="33"/>
    </row>
    <row r="160" spans="2:16">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C73:E73"/>
    <mergeCell ref="C74:E74"/>
    <mergeCell ref="B75:C75"/>
    <mergeCell ref="E22:G22"/>
    <mergeCell ref="C55:D55"/>
    <mergeCell ref="C63:E63"/>
    <mergeCell ref="C68:E68"/>
    <mergeCell ref="C62:E62"/>
    <mergeCell ref="C48:D48"/>
    <mergeCell ref="C54:D54"/>
    <mergeCell ref="C56:D56"/>
    <mergeCell ref="C64:E64"/>
    <mergeCell ref="C53:D53"/>
    <mergeCell ref="C49:D49"/>
    <mergeCell ref="C50:D50"/>
    <mergeCell ref="C51:D51"/>
    <mergeCell ref="C42:E42"/>
    <mergeCell ref="F23:G23"/>
    <mergeCell ref="D25:E25"/>
    <mergeCell ref="D26:E26"/>
    <mergeCell ref="F34:G34"/>
    <mergeCell ref="N6:O6"/>
    <mergeCell ref="E10:F10"/>
    <mergeCell ref="C14:F14"/>
    <mergeCell ref="C15:F15"/>
    <mergeCell ref="K6:L6"/>
    <mergeCell ref="N1:O1"/>
    <mergeCell ref="K2:P2"/>
    <mergeCell ref="J3:L3"/>
    <mergeCell ref="N3:O4"/>
    <mergeCell ref="E4:I4"/>
    <mergeCell ref="J4:L4"/>
    <mergeCell ref="G1:I1"/>
    <mergeCell ref="K1:L1"/>
    <mergeCell ref="C78:F78"/>
    <mergeCell ref="C79:F79"/>
    <mergeCell ref="C16:F16"/>
    <mergeCell ref="H6:I6"/>
    <mergeCell ref="C17:F17"/>
    <mergeCell ref="C19:F19"/>
    <mergeCell ref="C52:D52"/>
    <mergeCell ref="C57:D57"/>
    <mergeCell ref="C47:D47"/>
    <mergeCell ref="C36:E36"/>
    <mergeCell ref="C37:E37"/>
    <mergeCell ref="C38:E38"/>
    <mergeCell ref="C40:E40"/>
    <mergeCell ref="C41:E41"/>
    <mergeCell ref="C46:D46"/>
    <mergeCell ref="C39:E39"/>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Gmünd&amp;C18&amp;R&amp;11&amp;F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0">
    <tabColor rgb="FFFFFF00"/>
    <pageSetUpPr fitToPage="1"/>
  </sheetPr>
  <dimension ref="A1:AO208"/>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2" width="10.5" style="31" customWidth="1"/>
    <col min="33" max="16384" width="10.5" style="31"/>
  </cols>
  <sheetData>
    <row r="1" spans="1:41" s="276" customFormat="1" ht="30.2" customHeight="1">
      <c r="A1" s="2507"/>
      <c r="B1" s="326"/>
      <c r="C1" s="1908"/>
      <c r="D1" s="136"/>
      <c r="E1" s="323"/>
      <c r="F1" s="323"/>
      <c r="G1" s="4908" t="s">
        <v>1694</v>
      </c>
      <c r="H1" s="4908"/>
      <c r="I1" s="4908"/>
      <c r="J1" s="1906">
        <f>(J7+J13+J18+J22+I11+I12)-(J23+J27+J34+J43+J60+J65+J67+J69+J71+J75)</f>
        <v>1349.1253831317786</v>
      </c>
      <c r="K1" s="4859">
        <f>M1-J1</f>
        <v>386.22477340892988</v>
      </c>
      <c r="L1" s="4859"/>
      <c r="M1" s="1906">
        <f>(M7+M13+M18+M22+L11+L12)-(M23+M27+M34+M43+M60+M65+M67+M69+M71+M75)</f>
        <v>1735.3501565407084</v>
      </c>
      <c r="N1" s="4859">
        <f>P1-M1</f>
        <v>772.44954681786044</v>
      </c>
      <c r="O1" s="4859"/>
      <c r="P1" s="1906">
        <f>(P7+P13+P18+P22+O11+O12)-(P23+P27+P34+P43+P60+P65+P67+P69+P71+P75)</f>
        <v>2507.7997033585689</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1948</v>
      </c>
      <c r="L2" s="4870"/>
      <c r="M2" s="4870"/>
      <c r="N2" s="4870"/>
      <c r="O2" s="4870"/>
      <c r="P2" s="4870"/>
      <c r="Q2" s="2507"/>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30</v>
      </c>
      <c r="K6" s="4849" t="s">
        <v>152</v>
      </c>
      <c r="L6" s="4850"/>
      <c r="M6" s="1887">
        <v>40</v>
      </c>
      <c r="N6" s="4864" t="s">
        <v>178</v>
      </c>
      <c r="O6" s="4865"/>
      <c r="P6" s="1886">
        <v>60</v>
      </c>
      <c r="Q6" s="70"/>
    </row>
    <row r="7" spans="1:41" s="252" customFormat="1" ht="18.75" customHeight="1">
      <c r="A7" s="47"/>
      <c r="B7" s="311" t="s">
        <v>1691</v>
      </c>
      <c r="C7" s="47"/>
      <c r="D7" s="47"/>
      <c r="E7" s="47"/>
      <c r="F7" s="47"/>
      <c r="G7" s="1884" t="s">
        <v>171</v>
      </c>
      <c r="H7" s="1881"/>
      <c r="I7" s="1880"/>
      <c r="J7" s="1614">
        <f>SUM(I9:I10)</f>
        <v>1387.0999999999997</v>
      </c>
      <c r="K7" s="1883"/>
      <c r="L7" s="1882"/>
      <c r="M7" s="1617">
        <f>SUM(L9:L10)</f>
        <v>1849.4666666666662</v>
      </c>
      <c r="N7" s="1881"/>
      <c r="O7" s="1880"/>
      <c r="P7" s="1614">
        <f>SUM(O9:O10)</f>
        <v>2774.1999999999994</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SDÖ1!O17</f>
        <v>46.236666666666657</v>
      </c>
      <c r="H9" s="1877">
        <f>J6-H10</f>
        <v>30</v>
      </c>
      <c r="I9" s="1873">
        <f>H9*G9</f>
        <v>1387.0999999999997</v>
      </c>
      <c r="J9" s="43"/>
      <c r="K9" s="1876">
        <f>M6-K10</f>
        <v>40</v>
      </c>
      <c r="L9" s="1875">
        <f>K9*G9</f>
        <v>1849.4666666666662</v>
      </c>
      <c r="M9" s="1854"/>
      <c r="N9" s="1874">
        <f>P6-N10</f>
        <v>60</v>
      </c>
      <c r="O9" s="1873">
        <f>N9*G9</f>
        <v>2774.1999999999994</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272.00000000000006</v>
      </c>
      <c r="S10" s="1862">
        <f>L10+L11+L12</f>
        <v>362.66666666666674</v>
      </c>
      <c r="T10" s="1861">
        <f>O10+O11+O12</f>
        <v>544.00000000000011</v>
      </c>
      <c r="W10" s="252" t="s">
        <v>1254</v>
      </c>
    </row>
    <row r="11" spans="1:41" s="1842" customFormat="1" ht="15" customHeight="1">
      <c r="A11" s="377"/>
      <c r="B11" s="274"/>
      <c r="C11" s="45" t="s">
        <v>1253</v>
      </c>
      <c r="D11" s="377"/>
      <c r="E11" s="1860">
        <v>0.8</v>
      </c>
      <c r="F11" s="45" t="s">
        <v>1252</v>
      </c>
      <c r="G11" s="1859">
        <f>SDÖ1!$O$51</f>
        <v>11.333333333333336</v>
      </c>
      <c r="H11" s="1858">
        <f>IF($T$3=FALSE,0,J6*$E$11)</f>
        <v>24</v>
      </c>
      <c r="I11" s="1852">
        <f>H11*$G$11</f>
        <v>272.00000000000006</v>
      </c>
      <c r="J11" s="1857"/>
      <c r="K11" s="1856">
        <f>IF($T$3=FALSE,0,M6*$E$11)</f>
        <v>32</v>
      </c>
      <c r="L11" s="1855">
        <f>K11*$G$11</f>
        <v>362.66666666666674</v>
      </c>
      <c r="M11" s="1854"/>
      <c r="N11" s="1853">
        <f>IF($T$3=FALSE,0,P6*$E$11)</f>
        <v>48</v>
      </c>
      <c r="O11" s="1852">
        <f>N11*$G$11</f>
        <v>544.00000000000011</v>
      </c>
      <c r="P11" s="43"/>
      <c r="Q11" s="3693"/>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24</v>
      </c>
      <c r="Y12" s="1839">
        <f>IF(OR(T3=TRUE,T4=TRUE),M6*$E$11,"0")</f>
        <v>32</v>
      </c>
      <c r="Z12" s="1838">
        <f>IF(OR(T3=TRUE,T4=TRUE),P6*$E$11,"0")</f>
        <v>48</v>
      </c>
    </row>
    <row r="13" spans="1:41" s="252" customFormat="1" ht="18.75" customHeight="1">
      <c r="A13" s="47"/>
      <c r="B13" s="266" t="s">
        <v>1688</v>
      </c>
      <c r="C13" s="47"/>
      <c r="D13" s="47"/>
      <c r="E13" s="47"/>
      <c r="F13" s="47"/>
      <c r="G13" s="1841" t="s">
        <v>171</v>
      </c>
      <c r="H13" s="1824"/>
      <c r="I13" s="1823"/>
      <c r="J13" s="1614">
        <f>SUM(I14:I17)</f>
        <v>340</v>
      </c>
      <c r="K13" s="1826"/>
      <c r="L13" s="1825"/>
      <c r="M13" s="1617">
        <f>SUM(L14:L16)</f>
        <v>340</v>
      </c>
      <c r="N13" s="1824"/>
      <c r="O13" s="1823"/>
      <c r="P13" s="1614">
        <f>SUM(O14:O16)</f>
        <v>340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t="s">
        <v>2108</v>
      </c>
      <c r="D15" s="4833"/>
      <c r="E15" s="4833"/>
      <c r="F15" s="4833"/>
      <c r="G15" s="1837"/>
      <c r="H15" s="1967" t="s">
        <v>1299</v>
      </c>
      <c r="I15" s="1817">
        <f>IF(H15="ja",Q15,0)</f>
        <v>100</v>
      </c>
      <c r="J15" s="45"/>
      <c r="K15" s="1967" t="s">
        <v>1299</v>
      </c>
      <c r="L15" s="1671">
        <f>IF(K15="ja",Q15,0)</f>
        <v>100</v>
      </c>
      <c r="M15" s="1589"/>
      <c r="N15" s="1967" t="s">
        <v>1299</v>
      </c>
      <c r="O15" s="1817">
        <f>IF(N15="ja",Q15,0)</f>
        <v>100</v>
      </c>
      <c r="P15" s="1586"/>
      <c r="Q15" s="1835">
        <f>IF(C15=0,0,VLOOKUP(C15,'SD2'!$C$11:$N$49,'SD2'!$N$1,FALSE))</f>
        <v>100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4100"/>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695.4</v>
      </c>
      <c r="S19" s="1816">
        <f>M13+M18</f>
        <v>695.4</v>
      </c>
      <c r="T19" s="1816">
        <f>P13+P18</f>
        <v>695.4</v>
      </c>
    </row>
    <row r="20" spans="1:20" s="4056" customFormat="1" ht="15.6" customHeight="1">
      <c r="A20" s="3913"/>
      <c r="B20" s="1821"/>
      <c r="C20" s="4058" t="s">
        <v>2182</v>
      </c>
      <c r="D20" s="4099"/>
      <c r="E20" s="4099"/>
      <c r="F20" s="4099"/>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75"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174.8</v>
      </c>
      <c r="K23" s="1619"/>
      <c r="L23" s="1618"/>
      <c r="M23" s="1800">
        <f>SUM(L25:L26)</f>
        <v>174.8</v>
      </c>
      <c r="N23" s="1616"/>
      <c r="O23" s="1615"/>
      <c r="P23" s="1599">
        <f>SUM(O25:O26)</f>
        <v>174.8</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0.92</v>
      </c>
      <c r="G25" s="1794">
        <f>F25*(100+$D$24)/100</f>
        <v>0.92</v>
      </c>
      <c r="H25" s="1793">
        <v>190</v>
      </c>
      <c r="I25" s="1754">
        <f>H25*$G25</f>
        <v>174.8</v>
      </c>
      <c r="J25" s="45"/>
      <c r="K25" s="1793">
        <f>H25</f>
        <v>190</v>
      </c>
      <c r="L25" s="1596">
        <f>K25*$G25</f>
        <v>174.8</v>
      </c>
      <c r="M25" s="1589"/>
      <c r="N25" s="1793">
        <f>H25</f>
        <v>190</v>
      </c>
      <c r="O25" s="1754">
        <f>N25*$G25</f>
        <v>174.8</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439.42666666666668</v>
      </c>
      <c r="K27" s="1748"/>
      <c r="L27" s="1747"/>
      <c r="M27" s="1617">
        <f>SUM(L30:L33)</f>
        <v>555.67999999999995</v>
      </c>
      <c r="N27" s="1746"/>
      <c r="O27" s="1745"/>
      <c r="P27" s="1614">
        <f>SUM(O30:O33)</f>
        <v>788.18666666666661</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VLOOKUP('SD8'!B11,'SD8'!B9:K44,3,FALSE)</f>
        <v>2.11</v>
      </c>
      <c r="F30" s="1774"/>
      <c r="G30" s="1773">
        <v>20</v>
      </c>
      <c r="H30" s="1771">
        <f>IF(J$6=0,0,(J$6*$E30+$G30+X13))</f>
        <v>83.3</v>
      </c>
      <c r="I30" s="1754">
        <f>H30*$D30</f>
        <v>377.62666666666667</v>
      </c>
      <c r="J30" s="45"/>
      <c r="K30" s="1772">
        <f>IF(M$6=0,0,(M$6*$E30+$G30+AA14))</f>
        <v>104.39999999999999</v>
      </c>
      <c r="L30" s="1596">
        <f>K30*$D30</f>
        <v>473.28</v>
      </c>
      <c r="M30" s="1589"/>
      <c r="N30" s="1771">
        <f>IF(P$6=0,0,(P$6*$E30+$G30+AD14))</f>
        <v>146.6</v>
      </c>
      <c r="O30" s="1754">
        <f>N30*$D30</f>
        <v>664.58666666666659</v>
      </c>
      <c r="P30" s="1718"/>
      <c r="Q30" s="32"/>
    </row>
    <row r="31" spans="1:20" s="42" customFormat="1" ht="15" customHeight="1">
      <c r="A31" s="1306"/>
      <c r="B31" s="274"/>
      <c r="C31" s="1306" t="s">
        <v>244</v>
      </c>
      <c r="D31" s="1723">
        <f>IF(SDÖ1!$U$17=TRUE,SDÖ1!O56,0)</f>
        <v>1.3999999999999997</v>
      </c>
      <c r="E31" s="1774">
        <f>VLOOKUP('SD8'!B11,'SD8'!B9:K44,4,FALSE)</f>
        <v>0.8</v>
      </c>
      <c r="F31" s="1774"/>
      <c r="G31" s="1773"/>
      <c r="H31" s="1771">
        <f>IF(J$6=0,0,(J$6*$E31+$G31+X14))</f>
        <v>24</v>
      </c>
      <c r="I31" s="1754">
        <f>H31*$D31</f>
        <v>33.599999999999994</v>
      </c>
      <c r="J31" s="45"/>
      <c r="K31" s="1772">
        <f>IF(M$6=0,0,(M$6*$E31+$G31+Y14))</f>
        <v>32</v>
      </c>
      <c r="L31" s="1596">
        <f>K31*$D31</f>
        <v>44.79999999999999</v>
      </c>
      <c r="M31" s="1589"/>
      <c r="N31" s="1771">
        <f>IF(P$6=0,0,(P$6*$E31+$G31+Z14))</f>
        <v>48</v>
      </c>
      <c r="O31" s="1754">
        <f>N31*$D31</f>
        <v>67.199999999999989</v>
      </c>
      <c r="P31" s="1718"/>
      <c r="Q31" s="32"/>
    </row>
    <row r="32" spans="1:20" s="708" customFormat="1" ht="18.75" customHeight="1">
      <c r="A32" s="1270"/>
      <c r="B32" s="274"/>
      <c r="C32" s="1306" t="s">
        <v>242</v>
      </c>
      <c r="D32" s="1723">
        <f>IF(SDÖ1!$U$17=TRUE,SDÖ1!O57,0)</f>
        <v>1.3999999999999997</v>
      </c>
      <c r="E32" s="1774">
        <f>VLOOKUP('SD8'!B11,'SD8'!B9:K44,5,FALSE)</f>
        <v>0.6</v>
      </c>
      <c r="F32" s="1774"/>
      <c r="G32" s="1773"/>
      <c r="H32" s="1771">
        <f>IF(J$6=0,0,(J$6*$E32+$G32+X15))</f>
        <v>18</v>
      </c>
      <c r="I32" s="1754">
        <f>H32*$D32</f>
        <v>25.199999999999996</v>
      </c>
      <c r="J32" s="45"/>
      <c r="K32" s="1772">
        <f>IF(M$6=0,0,(M$6*$E32+$G32+Y15))</f>
        <v>24</v>
      </c>
      <c r="L32" s="1596">
        <f>K32*$D32</f>
        <v>33.599999999999994</v>
      </c>
      <c r="M32" s="1589"/>
      <c r="N32" s="1771">
        <f>IF(P$6=0,0,(P$6*$E32+$G32+Z15))</f>
        <v>36</v>
      </c>
      <c r="O32" s="1754">
        <f>N32*$D32</f>
        <v>50.399999999999991</v>
      </c>
      <c r="P32" s="1718"/>
      <c r="Q32" s="32"/>
    </row>
    <row r="33" spans="1:17" s="708" customFormat="1" ht="13.15" customHeight="1">
      <c r="A33" s="1270"/>
      <c r="B33" s="239"/>
      <c r="C33" s="1331" t="s">
        <v>240</v>
      </c>
      <c r="D33" s="1706">
        <f>IF(SDÖ1!$U$17=TRUE,SDÖ1!O58,0)</f>
        <v>0.5</v>
      </c>
      <c r="E33" s="3643">
        <f>VLOOKUP('SD8'!B11,'SD8'!B9:K44,6,FALSE)</f>
        <v>0.2</v>
      </c>
      <c r="F33" s="1770"/>
      <c r="G33" s="1769"/>
      <c r="H33" s="1767">
        <f>IF(J$6=0,0,(J$6*$E33+$G33+X16))</f>
        <v>6</v>
      </c>
      <c r="I33" s="1750">
        <f>H33*$D33</f>
        <v>3</v>
      </c>
      <c r="J33" s="45"/>
      <c r="K33" s="1768">
        <f>IF(M$6=0,0,(M$6*$E33+$G33+Y16))</f>
        <v>8</v>
      </c>
      <c r="L33" s="1590">
        <f>K33*$D33</f>
        <v>4</v>
      </c>
      <c r="M33" s="1589"/>
      <c r="N33" s="1767">
        <f>IF(P$6=0,0,(P$6*$E33+$G33+Z16))</f>
        <v>12</v>
      </c>
      <c r="O33" s="1750">
        <f>N33*$D33</f>
        <v>6</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110.08362861781512</v>
      </c>
      <c r="K43" s="1748"/>
      <c r="L43" s="1747"/>
      <c r="M43" s="1617">
        <f>SUM(M46:M57)</f>
        <v>113.74407414386555</v>
      </c>
      <c r="N43" s="1746"/>
      <c r="O43" s="1745"/>
      <c r="P43" s="1614">
        <f>SUM(P46:P57)</f>
        <v>121.06496519596638</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t="s">
        <v>515</v>
      </c>
      <c r="D46" s="4863"/>
      <c r="E46" s="1725">
        <f>IF($C46=0,0,VLOOKUP($C46,SDÖ3!$C$24:$O$99,4,FALSE))</f>
        <v>120</v>
      </c>
      <c r="F46" s="1724">
        <f>IF($C46=0,0,VLOOKUP($C46,SDÖ3!$C$24:$O$99,12,FALSE))</f>
        <v>1.46</v>
      </c>
      <c r="G46" s="1723">
        <f>IF($C46=0,0,VLOOKUP($C46,SDÖ3!$C$24:$O$99,13,FALSE))</f>
        <v>56.986584941176474</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504</v>
      </c>
      <c r="D47" s="4836"/>
      <c r="E47" s="1725">
        <f>IF($C47=0,0,VLOOKUP($C47,SDÖ3!$C$24:$O$99,4,FALSE))</f>
        <v>83</v>
      </c>
      <c r="F47" s="1724">
        <f>IF($C47=0,0,VLOOKUP($C47,SDÖ3!$C$24:$O$99,12,FALSE))</f>
        <v>0.56999999999999995</v>
      </c>
      <c r="G47" s="1723">
        <f>IF($C47=0,0,VLOOKUP($C47,SDÖ3!$C$24:$O$99,13,FALSE))</f>
        <v>13.864622900840335</v>
      </c>
      <c r="H47" s="1720">
        <v>1</v>
      </c>
      <c r="I47" s="1719">
        <f t="shared" si="4"/>
        <v>0.56999999999999995</v>
      </c>
      <c r="J47" s="1718">
        <f t="shared" si="5"/>
        <v>13.864622900840335</v>
      </c>
      <c r="K47" s="1720">
        <v>1</v>
      </c>
      <c r="L47" s="1722">
        <f t="shared" si="6"/>
        <v>0.56999999999999995</v>
      </c>
      <c r="M47" s="1721">
        <f t="shared" si="7"/>
        <v>13.864622900840335</v>
      </c>
      <c r="N47" s="1720">
        <v>1</v>
      </c>
      <c r="O47" s="1719">
        <f t="shared" si="8"/>
        <v>0.56999999999999995</v>
      </c>
      <c r="P47" s="1718">
        <f t="shared" si="9"/>
        <v>13.864622900840335</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2"/>
    </row>
    <row r="49" spans="1:17" s="42" customFormat="1" ht="15" customHeight="1">
      <c r="A49" s="1306"/>
      <c r="B49" s="1726"/>
      <c r="C49" s="4835" t="s">
        <v>444</v>
      </c>
      <c r="D49" s="4836"/>
      <c r="E49" s="1725">
        <f>IF($C49=0,0,VLOOKUP($C49,SDÖ3!$C$24:$O$99,4,FALSE))</f>
        <v>83</v>
      </c>
      <c r="F49" s="1724">
        <f>IF($C49=0,0,VLOOKUP($C49,SDÖ3!$C$24:$O$99,12,FALSE))</f>
        <v>0.27</v>
      </c>
      <c r="G49" s="1723">
        <f>IF($C49=0,0,VLOOKUP($C49,SDÖ3!$C$24:$O$99,13,FALSE))</f>
        <v>5.8379012776470587</v>
      </c>
      <c r="H49" s="1720">
        <v>2</v>
      </c>
      <c r="I49" s="1719">
        <f t="shared" si="4"/>
        <v>0.54</v>
      </c>
      <c r="J49" s="1718">
        <f t="shared" si="5"/>
        <v>11.675802555294117</v>
      </c>
      <c r="K49" s="1720">
        <v>2</v>
      </c>
      <c r="L49" s="1722">
        <f t="shared" si="6"/>
        <v>0.54</v>
      </c>
      <c r="M49" s="1721">
        <f t="shared" si="7"/>
        <v>11.675802555294117</v>
      </c>
      <c r="N49" s="1720">
        <v>2</v>
      </c>
      <c r="O49" s="1719">
        <f t="shared" si="8"/>
        <v>0.54</v>
      </c>
      <c r="P49" s="1718">
        <f t="shared" si="9"/>
        <v>11.675802555294117</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t="s">
        <v>435</v>
      </c>
      <c r="D53" s="4836"/>
      <c r="E53" s="1725">
        <f>IF($C53=0,0,VLOOKUP($C53,SDÖ3!$C$24:$O$99,4,FALSE))</f>
        <v>83</v>
      </c>
      <c r="F53" s="1724">
        <f>IF($C53=0,0,VLOOKUP($C53,SDÖ3!$C$24:$O$99,12,FALSE))</f>
        <v>0.4</v>
      </c>
      <c r="G53" s="1723">
        <f>IF($C53=0,0,VLOOKUP($C53,SDÖ3!$C$24:$O$99,13,FALSE))</f>
        <v>6.8857796705882359</v>
      </c>
      <c r="H53" s="1720">
        <f>J6/40+0.3</f>
        <v>1.05</v>
      </c>
      <c r="I53" s="1719">
        <f t="shared" si="4"/>
        <v>0.42000000000000004</v>
      </c>
      <c r="J53" s="1718">
        <f t="shared" si="5"/>
        <v>7.2300686541176482</v>
      </c>
      <c r="K53" s="1720">
        <f>J6/40+0.3</f>
        <v>1.05</v>
      </c>
      <c r="L53" s="1722">
        <f t="shared" si="6"/>
        <v>0.42000000000000004</v>
      </c>
      <c r="M53" s="1721">
        <f t="shared" si="7"/>
        <v>7.2300686541176482</v>
      </c>
      <c r="N53" s="1720">
        <f>J6/40+0.3</f>
        <v>1.05</v>
      </c>
      <c r="O53" s="1719">
        <f t="shared" si="8"/>
        <v>0.42000000000000004</v>
      </c>
      <c r="P53" s="1718">
        <f t="shared" si="9"/>
        <v>7.2300686541176482</v>
      </c>
      <c r="Q53" s="32"/>
    </row>
    <row r="54" spans="1:17" s="42" customFormat="1" ht="15" customHeight="1">
      <c r="A54" s="1306"/>
      <c r="B54" s="1726"/>
      <c r="C54" s="4835" t="s">
        <v>508</v>
      </c>
      <c r="D54" s="4836"/>
      <c r="E54" s="1725">
        <f>IF($C54=0,0,VLOOKUP($C54,SDÖ3!$C$24:$O$99,4,FALSE))</f>
        <v>102</v>
      </c>
      <c r="F54" s="1724">
        <f>IF($C54=0,0,VLOOKUP($C54,SDÖ3!$C$24:$O$99,12,FALSE))</f>
        <v>0.54</v>
      </c>
      <c r="G54" s="1723">
        <f>IF($C54=0,0,VLOOKUP($C54,SDÖ3!$C$24:$O$99,13,FALSE))</f>
        <v>16.377695200000002</v>
      </c>
      <c r="H54" s="1720">
        <v>2</v>
      </c>
      <c r="I54" s="1719">
        <f t="shared" si="4"/>
        <v>1.08</v>
      </c>
      <c r="J54" s="1718">
        <f t="shared" si="5"/>
        <v>32.755390400000003</v>
      </c>
      <c r="K54" s="1720">
        <v>2</v>
      </c>
      <c r="L54" s="1722">
        <f t="shared" si="6"/>
        <v>1.08</v>
      </c>
      <c r="M54" s="1721">
        <f t="shared" si="7"/>
        <v>32.755390400000003</v>
      </c>
      <c r="N54" s="1720">
        <v>2</v>
      </c>
      <c r="O54" s="1719">
        <f t="shared" si="8"/>
        <v>1.08</v>
      </c>
      <c r="P54" s="1718">
        <f t="shared" si="9"/>
        <v>32.755390400000003</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0.68571428571428572</v>
      </c>
      <c r="I57" s="1703">
        <f t="shared" si="4"/>
        <v>0.68571428571428572</v>
      </c>
      <c r="J57" s="1702">
        <f t="shared" si="5"/>
        <v>10.981336578151261</v>
      </c>
      <c r="K57" s="3687">
        <f>K11/35</f>
        <v>0.91428571428571426</v>
      </c>
      <c r="L57" s="1705">
        <f t="shared" si="6"/>
        <v>0.91428571428571426</v>
      </c>
      <c r="M57" s="1652">
        <f t="shared" si="7"/>
        <v>14.641782104201681</v>
      </c>
      <c r="N57" s="3686">
        <f>N11/35</f>
        <v>1.3714285714285714</v>
      </c>
      <c r="O57" s="1703">
        <f t="shared" si="8"/>
        <v>1.3714285714285714</v>
      </c>
      <c r="P57" s="1702">
        <f t="shared" si="9"/>
        <v>21.962673156302522</v>
      </c>
      <c r="Q57" s="3678"/>
    </row>
    <row r="58" spans="1:17" s="708" customFormat="1" ht="18.75" customHeight="1">
      <c r="A58" s="1270"/>
      <c r="B58" s="1276" t="s">
        <v>1223</v>
      </c>
      <c r="C58" s="1373"/>
      <c r="D58" s="1373"/>
      <c r="E58" s="1373"/>
      <c r="F58" s="38"/>
      <c r="G58" s="1620"/>
      <c r="H58" s="1697"/>
      <c r="I58" s="1696">
        <f>SUM($I$46:$I$57)</f>
        <v>4.3257142857142856</v>
      </c>
      <c r="J58" s="1701"/>
      <c r="K58" s="1700"/>
      <c r="L58" s="1699">
        <f>SUM($L$46:$L$57)</f>
        <v>4.5542857142857143</v>
      </c>
      <c r="M58" s="1698"/>
      <c r="N58" s="1697"/>
      <c r="O58" s="1696">
        <f>SUM($O$46:$O$57)</f>
        <v>5.0114285714285716</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7.7862857142857145</v>
      </c>
      <c r="J59" s="1686"/>
      <c r="K59" s="1691"/>
      <c r="L59" s="1690">
        <f>IF(L58+SUM($L$46:$L$57)*$E$59%&gt;L58+10,L58+10,L58+SUM($L$46:$L$57)*$E$59%)</f>
        <v>8.1977142857142855</v>
      </c>
      <c r="M59" s="1689"/>
      <c r="N59" s="1688"/>
      <c r="O59" s="1687">
        <f>IF(O58+SUM($O$46:$O$57)*$E$59%&gt;O58+10,O58+10,O58+SUM($O$46:$O$57)*$E$59%)</f>
        <v>9.0205714285714294</v>
      </c>
      <c r="P59" s="1686"/>
      <c r="Q59" s="32"/>
    </row>
    <row r="60" spans="1:17" s="65" customFormat="1" ht="18.75" customHeight="1">
      <c r="A60" s="1373"/>
      <c r="B60" s="3915" t="s">
        <v>1220</v>
      </c>
      <c r="C60" s="3918"/>
      <c r="D60" s="3918"/>
      <c r="E60" s="3908"/>
      <c r="F60" s="3908"/>
      <c r="G60" s="3964"/>
      <c r="H60" s="3960"/>
      <c r="I60" s="3959"/>
      <c r="J60" s="1684">
        <f>IF(J6=0,0,SUM(I62:I64))</f>
        <v>196</v>
      </c>
      <c r="K60" s="3962"/>
      <c r="L60" s="3961"/>
      <c r="M60" s="1617">
        <f>IF(M6=0,0,SUM(L62:L64))</f>
        <v>216</v>
      </c>
      <c r="N60" s="3960"/>
      <c r="O60" s="3959"/>
      <c r="P60" s="1684">
        <f>IF(P6=0,0,SUM(O62:O64))</f>
        <v>256</v>
      </c>
      <c r="Q60" s="32"/>
    </row>
    <row r="61" spans="1:17" s="65" customFormat="1" ht="15" customHeight="1">
      <c r="A61" s="1373"/>
      <c r="B61" s="3927"/>
      <c r="C61" s="3926" t="s">
        <v>1212</v>
      </c>
      <c r="D61" s="3963">
        <f>SDÖ1!$O$11</f>
        <v>0</v>
      </c>
      <c r="E61" s="1610"/>
      <c r="F61" s="1606" t="s">
        <v>249</v>
      </c>
      <c r="G61" s="1682" t="s">
        <v>1211</v>
      </c>
      <c r="H61" s="3960"/>
      <c r="I61" s="3959"/>
      <c r="J61" s="1681"/>
      <c r="K61" s="3962"/>
      <c r="L61" s="3961"/>
      <c r="M61" s="1678"/>
      <c r="N61" s="3960"/>
      <c r="O61" s="3959"/>
      <c r="P61" s="1675"/>
      <c r="Q61" s="32"/>
    </row>
    <row r="62" spans="1:17" s="42" customFormat="1" ht="18.75" customHeight="1">
      <c r="A62" s="1306"/>
      <c r="B62" s="3922"/>
      <c r="C62" s="4892" t="s">
        <v>348</v>
      </c>
      <c r="D62" s="4892"/>
      <c r="E62" s="4893"/>
      <c r="F62" s="3958">
        <f>IF($C62=0,0,VLOOKUP($C62,'SDK3'!$C$98:$D$119,2,FALSE))</f>
        <v>136</v>
      </c>
      <c r="G62" s="3957">
        <f>(100+$D$61)/100*F62</f>
        <v>136</v>
      </c>
      <c r="H62" s="3909"/>
      <c r="I62" s="3953">
        <f>$G$62</f>
        <v>136</v>
      </c>
      <c r="J62" s="3909"/>
      <c r="K62" s="3956"/>
      <c r="L62" s="3955">
        <f>$G$62</f>
        <v>136</v>
      </c>
      <c r="M62" s="3920"/>
      <c r="N62" s="3954"/>
      <c r="O62" s="3953">
        <f>$G$62</f>
        <v>136</v>
      </c>
      <c r="P62" s="3952"/>
      <c r="Q62" s="32"/>
    </row>
    <row r="63" spans="1:17" s="42" customFormat="1" ht="13.15" customHeight="1">
      <c r="A63" s="1306"/>
      <c r="B63" s="3951"/>
      <c r="C63" s="4843"/>
      <c r="D63" s="4843"/>
      <c r="E63" s="4844"/>
      <c r="F63" s="3950">
        <f>IF($C63=0,0,VLOOKUP($C63,'SDK3'!$C$98:$D$119,2,FALSE))</f>
        <v>0</v>
      </c>
      <c r="G63" s="3949">
        <f>(100+$D$61)/100*F63</f>
        <v>0</v>
      </c>
      <c r="H63" s="3948"/>
      <c r="I63" s="3943">
        <f>$G$63</f>
        <v>0</v>
      </c>
      <c r="J63" s="3948"/>
      <c r="K63" s="3947"/>
      <c r="L63" s="3946">
        <f>$G$63</f>
        <v>0</v>
      </c>
      <c r="M63" s="3945"/>
      <c r="N63" s="3944"/>
      <c r="O63" s="3943">
        <f>$G$63</f>
        <v>0</v>
      </c>
      <c r="P63" s="3942"/>
      <c r="Q63" s="32"/>
    </row>
    <row r="64" spans="1:17" s="42" customFormat="1" ht="15" customHeight="1">
      <c r="A64" s="1306"/>
      <c r="B64" s="3941"/>
      <c r="C64" s="4929" t="s">
        <v>322</v>
      </c>
      <c r="D64" s="4929"/>
      <c r="E64" s="4930"/>
      <c r="F64" s="3940">
        <f>IF($T$3=FALSE,0,VLOOKUP($C64,'SDK3'!$C$98:$D$119,2,FALSE))</f>
        <v>2.5</v>
      </c>
      <c r="G64" s="3939">
        <f>(100+$D$61)/100*F64</f>
        <v>2.5</v>
      </c>
      <c r="H64" s="3936"/>
      <c r="I64" s="3935">
        <f>H11*$G$64</f>
        <v>60</v>
      </c>
      <c r="J64" s="3909"/>
      <c r="K64" s="3938"/>
      <c r="L64" s="3937">
        <f>K11*$G$64</f>
        <v>80</v>
      </c>
      <c r="M64" s="1652"/>
      <c r="N64" s="3936"/>
      <c r="O64" s="3935">
        <f>N11*$G$64</f>
        <v>120</v>
      </c>
      <c r="P64" s="3934"/>
      <c r="Q64" s="32"/>
    </row>
    <row r="65" spans="1:20" s="42" customFormat="1" ht="15" customHeight="1">
      <c r="A65" s="1306"/>
      <c r="B65" s="3915" t="s">
        <v>1219</v>
      </c>
      <c r="C65" s="3914"/>
      <c r="D65" s="3914"/>
      <c r="E65" s="3914"/>
      <c r="F65" s="38"/>
      <c r="G65" s="1620"/>
      <c r="H65" s="73"/>
      <c r="I65" s="73"/>
      <c r="J65" s="1614">
        <f>H66*$E66</f>
        <v>0</v>
      </c>
      <c r="K65" s="1629"/>
      <c r="L65" s="1629"/>
      <c r="M65" s="1617">
        <f>K66*$E66</f>
        <v>0</v>
      </c>
      <c r="N65" s="73"/>
      <c r="O65" s="73"/>
      <c r="P65" s="1614">
        <f>N66*$E66</f>
        <v>0</v>
      </c>
      <c r="Q65" s="32"/>
    </row>
    <row r="66" spans="1:20" s="42" customFormat="1" ht="15" customHeight="1">
      <c r="A66" s="1306"/>
      <c r="B66" s="3933"/>
      <c r="C66" s="3919"/>
      <c r="D66" s="3911" t="s">
        <v>1060</v>
      </c>
      <c r="E66" s="3932"/>
      <c r="F66" s="3928"/>
      <c r="G66" s="1646" t="s">
        <v>516</v>
      </c>
      <c r="H66" s="1644"/>
      <c r="I66" s="1643"/>
      <c r="J66" s="1632"/>
      <c r="K66" s="1644"/>
      <c r="L66" s="1645"/>
      <c r="M66" s="1635"/>
      <c r="N66" s="1644"/>
      <c r="O66" s="1643"/>
      <c r="P66" s="1632"/>
      <c r="Q66" s="32"/>
    </row>
    <row r="67" spans="1:20" s="708" customFormat="1" ht="22.9" customHeight="1">
      <c r="A67" s="1270"/>
      <c r="B67" s="3915" t="s">
        <v>1218</v>
      </c>
      <c r="C67" s="3914"/>
      <c r="D67" s="3914"/>
      <c r="E67" s="3910"/>
      <c r="F67" s="3931"/>
      <c r="G67" s="1620"/>
      <c r="H67" s="1639" t="s">
        <v>1217</v>
      </c>
      <c r="I67" s="1638" t="s">
        <v>1216</v>
      </c>
      <c r="J67" s="1614">
        <f>R68*(H9+H10)*I68%+F68</f>
        <v>54.150000000000006</v>
      </c>
      <c r="K67" s="1641" t="s">
        <v>1217</v>
      </c>
      <c r="L67" s="1640" t="s">
        <v>1216</v>
      </c>
      <c r="M67" s="1617">
        <f>S68*(K9+K10)*L68%+F68</f>
        <v>72.2</v>
      </c>
      <c r="N67" s="1639" t="s">
        <v>1217</v>
      </c>
      <c r="O67" s="1638" t="s">
        <v>1216</v>
      </c>
      <c r="P67" s="1614">
        <f>T68*(N9+N10)*O68%+F68</f>
        <v>108.30000000000001</v>
      </c>
      <c r="Q67" s="32"/>
    </row>
    <row r="68" spans="1:20" s="708" customFormat="1" ht="15" customHeight="1">
      <c r="A68" s="1270"/>
      <c r="B68" s="1637"/>
      <c r="C68" s="4839" t="s">
        <v>1215</v>
      </c>
      <c r="D68" s="4839"/>
      <c r="E68" s="4906"/>
      <c r="F68" s="3930"/>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3915" t="s">
        <v>1214</v>
      </c>
      <c r="C69" s="3914"/>
      <c r="D69" s="3914"/>
      <c r="E69" s="38"/>
      <c r="F69" s="38"/>
      <c r="G69" s="1620"/>
      <c r="H69" s="44"/>
      <c r="I69" s="73"/>
      <c r="J69" s="1614">
        <f>H70*$F70/1000</f>
        <v>22.193599999999996</v>
      </c>
      <c r="K69" s="1630"/>
      <c r="L69" s="1629"/>
      <c r="M69" s="1617">
        <f>K70*$F70/1000</f>
        <v>29.591466666666658</v>
      </c>
      <c r="N69" s="44"/>
      <c r="O69" s="73"/>
      <c r="P69" s="1614">
        <f>N70*$F70/1000</f>
        <v>44.387199999999993</v>
      </c>
      <c r="Q69" s="32"/>
    </row>
    <row r="70" spans="1:20" s="708" customFormat="1" ht="15" customHeight="1">
      <c r="A70" s="1270"/>
      <c r="B70" s="3917"/>
      <c r="C70" s="3916" t="s">
        <v>896</v>
      </c>
      <c r="D70" s="353"/>
      <c r="E70" s="3911"/>
      <c r="F70" s="3929">
        <f>'SDK7'!G102</f>
        <v>16</v>
      </c>
      <c r="G70" s="1627" t="s">
        <v>171</v>
      </c>
      <c r="H70" s="1623">
        <f>I9+I10</f>
        <v>1387.0999999999997</v>
      </c>
      <c r="I70" s="1622"/>
      <c r="J70" s="1621"/>
      <c r="K70" s="1626">
        <f>L9+L10</f>
        <v>1849.4666666666662</v>
      </c>
      <c r="L70" s="1625"/>
      <c r="M70" s="1624"/>
      <c r="N70" s="1623">
        <f>O9+O10</f>
        <v>2774.1999999999994</v>
      </c>
      <c r="O70" s="1622"/>
      <c r="P70" s="1621"/>
      <c r="Q70" s="32"/>
    </row>
    <row r="71" spans="1:20" ht="18.75" customHeight="1">
      <c r="A71" s="377"/>
      <c r="B71" s="3912" t="s">
        <v>1213</v>
      </c>
      <c r="C71" s="3913"/>
      <c r="D71" s="3913"/>
      <c r="E71" s="3910"/>
      <c r="F71" s="38"/>
      <c r="G71" s="1620"/>
      <c r="H71" s="1616"/>
      <c r="I71" s="1615"/>
      <c r="J71" s="1614">
        <f>SUM(I73:I74)</f>
        <v>0</v>
      </c>
      <c r="K71" s="1619"/>
      <c r="L71" s="1618"/>
      <c r="M71" s="1617">
        <f>SUM(L73:L74)</f>
        <v>0</v>
      </c>
      <c r="N71" s="1616"/>
      <c r="O71" s="1615"/>
      <c r="P71" s="1614">
        <f>SUM(O73:O74)</f>
        <v>0</v>
      </c>
    </row>
    <row r="72" spans="1:20" ht="13.15" customHeight="1">
      <c r="A72" s="377"/>
      <c r="B72" s="3927"/>
      <c r="C72" s="3926" t="s">
        <v>1212</v>
      </c>
      <c r="D72" s="3925">
        <f>'SDK1'!$O$12</f>
        <v>0</v>
      </c>
      <c r="E72" s="1610"/>
      <c r="F72" s="3924"/>
      <c r="G72" s="1608"/>
      <c r="H72" s="1607" t="s">
        <v>249</v>
      </c>
      <c r="I72" s="1606" t="s">
        <v>1211</v>
      </c>
      <c r="J72" s="1605"/>
      <c r="K72" s="1604" t="s">
        <v>249</v>
      </c>
      <c r="L72" s="1603" t="s">
        <v>1211</v>
      </c>
      <c r="M72" s="1602"/>
      <c r="N72" s="1601" t="s">
        <v>249</v>
      </c>
      <c r="O72" s="1600" t="s">
        <v>1211</v>
      </c>
      <c r="P72" s="1599"/>
    </row>
    <row r="73" spans="1:20" s="42" customFormat="1" ht="15" customHeight="1">
      <c r="A73" s="1306"/>
      <c r="B73" s="3922"/>
      <c r="C73" s="4927"/>
      <c r="D73" s="4927"/>
      <c r="E73" s="4928"/>
      <c r="F73" s="3923"/>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3922"/>
      <c r="C74" s="4845"/>
      <c r="D74" s="4845"/>
      <c r="E74" s="4924"/>
      <c r="F74" s="3921"/>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8.7207215837392145</v>
      </c>
      <c r="K75" s="3063"/>
      <c r="L75" s="1056"/>
      <c r="M75" s="1578">
        <f>(M23+M27+M34+M43+M60+M65+M67+M69+M71)*('SDK1'!$O$59%*$G$75/12)</f>
        <v>10.167635982092156</v>
      </c>
      <c r="N75" s="1580"/>
      <c r="O75" s="1579"/>
      <c r="P75" s="1578">
        <f>(P23+P27+P34+P43+P60+P65+P67+P69+P71)*('SDK1'!$O$59%*$G$75/12)</f>
        <v>13.061464778798037</v>
      </c>
      <c r="Q75" s="32"/>
    </row>
    <row r="76" spans="1:20">
      <c r="L76" s="33"/>
    </row>
    <row r="77" spans="1:20">
      <c r="L77" s="33"/>
      <c r="M77" s="33"/>
      <c r="N77" s="33"/>
      <c r="O77" s="33"/>
      <c r="P77" s="33"/>
    </row>
    <row r="78" spans="1:20" ht="14.25">
      <c r="C78" s="4921" t="s">
        <v>1946</v>
      </c>
      <c r="D78" s="4922"/>
      <c r="E78" s="4922"/>
      <c r="F78" s="4923"/>
      <c r="G78" s="33"/>
      <c r="H78" s="33"/>
      <c r="I78" s="33"/>
      <c r="J78" s="33"/>
      <c r="K78" s="33"/>
      <c r="L78" s="33"/>
      <c r="M78" s="33"/>
      <c r="N78" s="33"/>
      <c r="O78" s="33"/>
      <c r="P78" s="33"/>
    </row>
    <row r="79" spans="1:20">
      <c r="C79" s="4913" t="s">
        <v>295</v>
      </c>
      <c r="D79" s="4914"/>
      <c r="E79" s="4914"/>
      <c r="F79" s="4915"/>
      <c r="G79" s="33"/>
      <c r="H79" s="33"/>
      <c r="I79" s="33"/>
      <c r="J79" s="33"/>
      <c r="K79" s="33"/>
      <c r="L79" s="33"/>
      <c r="M79" s="33"/>
      <c r="N79" s="33"/>
      <c r="O79" s="33"/>
      <c r="P79" s="33"/>
    </row>
    <row r="80" spans="1:20" ht="14.25">
      <c r="B80" s="3078"/>
      <c r="C80" s="3074" t="s">
        <v>1942</v>
      </c>
      <c r="D80" s="3075"/>
      <c r="E80" s="3075"/>
      <c r="F80" s="3076"/>
      <c r="G80" s="33"/>
      <c r="H80" s="33"/>
      <c r="I80" s="33"/>
      <c r="J80" s="33"/>
      <c r="K80" s="33"/>
      <c r="L80" s="33"/>
      <c r="M80" s="33"/>
      <c r="N80" s="33"/>
      <c r="O80" s="33"/>
      <c r="P80" s="33"/>
    </row>
    <row r="81" spans="2:16" ht="14.25">
      <c r="B81" s="3078"/>
      <c r="C81" s="3074" t="s">
        <v>1943</v>
      </c>
      <c r="D81" s="3075"/>
      <c r="E81" s="3075"/>
      <c r="F81" s="3076"/>
      <c r="G81" s="33"/>
      <c r="H81" s="33"/>
      <c r="I81" s="33"/>
      <c r="J81" s="33"/>
      <c r="K81" s="33"/>
      <c r="L81" s="33"/>
      <c r="M81" s="33"/>
      <c r="N81" s="33"/>
      <c r="O81" s="33"/>
      <c r="P81" s="33"/>
    </row>
    <row r="82" spans="2:16">
      <c r="B82" s="3078"/>
      <c r="C82" s="3066" t="s">
        <v>294</v>
      </c>
      <c r="D82" s="3067"/>
      <c r="E82" s="3067"/>
      <c r="F82" s="3068"/>
      <c r="G82" s="33"/>
      <c r="H82" s="33"/>
      <c r="I82" s="33"/>
      <c r="J82" s="33"/>
      <c r="K82" s="33"/>
      <c r="L82" s="33"/>
      <c r="M82" s="33"/>
      <c r="N82" s="33"/>
      <c r="O82" s="33"/>
      <c r="P82" s="33"/>
    </row>
    <row r="83" spans="2:16" ht="14.25">
      <c r="B83" s="3078"/>
      <c r="C83" s="3074" t="s">
        <v>1944</v>
      </c>
      <c r="D83" s="3075"/>
      <c r="E83" s="3075"/>
      <c r="F83" s="3076"/>
      <c r="G83" s="33"/>
      <c r="H83" s="33"/>
      <c r="I83" s="33"/>
      <c r="J83" s="33"/>
      <c r="K83" s="33"/>
      <c r="L83" s="33"/>
      <c r="M83" s="33"/>
      <c r="N83" s="33"/>
      <c r="O83" s="33"/>
      <c r="P83" s="33"/>
    </row>
    <row r="84" spans="2:16" ht="14.25">
      <c r="B84" s="3078"/>
      <c r="C84" s="3074" t="s">
        <v>1945</v>
      </c>
      <c r="D84" s="3075"/>
      <c r="E84" s="3075"/>
      <c r="F84" s="3076"/>
      <c r="G84" s="33"/>
      <c r="H84" s="33"/>
      <c r="I84" s="33"/>
      <c r="J84" s="33"/>
      <c r="K84" s="33"/>
      <c r="L84" s="33"/>
      <c r="M84" s="33"/>
      <c r="N84" s="33"/>
      <c r="O84" s="33"/>
      <c r="P84" s="33"/>
    </row>
    <row r="85" spans="2:16">
      <c r="B85" s="3078"/>
      <c r="C85" s="3066" t="s">
        <v>293</v>
      </c>
      <c r="D85" s="3067"/>
      <c r="E85" s="3067"/>
      <c r="F85" s="3068"/>
      <c r="G85" s="33"/>
      <c r="H85" s="33"/>
      <c r="I85" s="33"/>
      <c r="J85" s="33"/>
      <c r="K85" s="33"/>
      <c r="L85" s="33"/>
      <c r="M85" s="33"/>
      <c r="N85" s="33"/>
      <c r="O85" s="33"/>
      <c r="P85" s="33"/>
    </row>
    <row r="86" spans="2:16">
      <c r="B86" s="3078"/>
      <c r="C86" s="3066" t="s">
        <v>292</v>
      </c>
      <c r="D86" s="3067"/>
      <c r="E86" s="3067"/>
      <c r="F86" s="3068"/>
      <c r="G86" s="33"/>
      <c r="H86" s="33"/>
      <c r="I86" s="33"/>
      <c r="J86" s="33"/>
      <c r="K86" s="33"/>
      <c r="L86" s="33"/>
      <c r="M86" s="33"/>
      <c r="N86" s="33"/>
      <c r="O86" s="33"/>
      <c r="P86" s="33"/>
    </row>
    <row r="87" spans="2:16" ht="14.25">
      <c r="B87" s="3078"/>
      <c r="C87" s="3066" t="s">
        <v>291</v>
      </c>
      <c r="D87" s="3067"/>
      <c r="E87" s="3067"/>
      <c r="F87" s="3068"/>
      <c r="G87" s="33"/>
      <c r="H87" s="33"/>
      <c r="I87" s="33"/>
      <c r="J87" s="33"/>
      <c r="K87" s="33"/>
      <c r="L87" s="33"/>
      <c r="M87" s="33"/>
      <c r="N87" s="33"/>
      <c r="O87" s="33"/>
      <c r="P87" s="33"/>
    </row>
    <row r="88" spans="2:16" ht="13.15" customHeight="1">
      <c r="B88" s="3078"/>
      <c r="C88" s="3066" t="s">
        <v>290</v>
      </c>
      <c r="D88" s="3069"/>
      <c r="E88" s="3069"/>
      <c r="F88" s="3070"/>
      <c r="G88" s="33"/>
      <c r="H88" s="33"/>
      <c r="I88" s="33"/>
      <c r="J88" s="33"/>
      <c r="K88" s="33"/>
      <c r="L88" s="33"/>
      <c r="M88" s="33"/>
      <c r="N88" s="33"/>
      <c r="O88" s="33"/>
      <c r="P88" s="33"/>
    </row>
    <row r="89" spans="2:16">
      <c r="B89" s="3078"/>
      <c r="C89" s="3066" t="s">
        <v>289</v>
      </c>
      <c r="D89" s="3069"/>
      <c r="E89" s="3069"/>
      <c r="F89" s="3070"/>
      <c r="G89" s="33"/>
      <c r="H89" s="33"/>
      <c r="I89" s="33"/>
      <c r="J89" s="33"/>
      <c r="K89" s="33"/>
      <c r="L89" s="33"/>
      <c r="M89" s="33"/>
      <c r="N89" s="33"/>
      <c r="O89" s="33"/>
      <c r="P89" s="33"/>
    </row>
    <row r="90" spans="2:16" ht="25.5">
      <c r="B90" s="3078"/>
      <c r="C90" s="3071" t="s">
        <v>288</v>
      </c>
      <c r="D90" s="3072"/>
      <c r="E90" s="3072"/>
      <c r="F90" s="3073"/>
      <c r="G90" s="33"/>
      <c r="H90" s="33"/>
      <c r="I90" s="33"/>
      <c r="J90" s="33"/>
      <c r="K90" s="33"/>
      <c r="L90" s="33"/>
      <c r="M90" s="33"/>
      <c r="N90" s="33"/>
      <c r="O90" s="33"/>
      <c r="P90" s="33"/>
    </row>
    <row r="91" spans="2:16">
      <c r="C91" s="33"/>
      <c r="D91" s="33"/>
      <c r="E91" s="33"/>
      <c r="F91" s="33"/>
      <c r="G91" s="33"/>
      <c r="H91" s="33"/>
      <c r="I91" s="33"/>
      <c r="J91" s="33"/>
      <c r="K91" s="33"/>
      <c r="L91" s="33"/>
      <c r="M91" s="33"/>
      <c r="N91" s="33"/>
      <c r="O91" s="33"/>
      <c r="P91" s="33"/>
    </row>
    <row r="92" spans="2:16" ht="13.15" customHeight="1">
      <c r="C92" s="33"/>
      <c r="D92" s="33"/>
      <c r="E92" s="33"/>
      <c r="F92" s="33"/>
      <c r="G92" s="33"/>
      <c r="H92" s="33"/>
      <c r="I92" s="33"/>
      <c r="J92" s="33"/>
      <c r="K92" s="33"/>
      <c r="L92" s="33"/>
      <c r="M92" s="33"/>
      <c r="N92" s="33"/>
      <c r="O92" s="33"/>
      <c r="P92" s="33"/>
    </row>
    <row r="93" spans="2:16">
      <c r="C93" s="33"/>
      <c r="D93" s="33"/>
      <c r="E93" s="33"/>
      <c r="F93" s="33"/>
      <c r="G93" s="33"/>
      <c r="H93" s="33"/>
      <c r="I93" s="33"/>
      <c r="J93" s="33"/>
      <c r="K93" s="33"/>
      <c r="L93" s="33"/>
      <c r="M93" s="33"/>
      <c r="N93" s="33"/>
      <c r="O93" s="33"/>
      <c r="P93" s="33"/>
    </row>
    <row r="94" spans="2:16">
      <c r="C94" s="33"/>
      <c r="D94" s="33"/>
      <c r="E94" s="33"/>
      <c r="F94" s="33"/>
      <c r="G94" s="33"/>
      <c r="H94" s="33"/>
      <c r="I94" s="33"/>
      <c r="J94" s="33"/>
      <c r="K94" s="33"/>
      <c r="L94" s="33"/>
      <c r="M94" s="33"/>
      <c r="N94" s="33"/>
      <c r="O94" s="33"/>
      <c r="P94" s="33"/>
    </row>
    <row r="95" spans="2:16">
      <c r="C95" s="33"/>
      <c r="D95" s="33"/>
      <c r="E95" s="33"/>
      <c r="F95" s="33"/>
      <c r="G95" s="33"/>
      <c r="H95" s="33"/>
      <c r="I95" s="33"/>
      <c r="J95" s="33"/>
      <c r="K95" s="33"/>
      <c r="L95" s="33"/>
      <c r="M95" s="33"/>
      <c r="N95" s="33"/>
      <c r="O95" s="33"/>
      <c r="P95" s="33"/>
    </row>
    <row r="96" spans="2:16">
      <c r="C96" s="33"/>
      <c r="D96" s="33"/>
      <c r="E96" s="33"/>
      <c r="F96" s="33"/>
      <c r="G96" s="33"/>
      <c r="H96" s="33"/>
      <c r="I96" s="33"/>
      <c r="J96" s="33"/>
      <c r="K96" s="33"/>
      <c r="L96" s="33"/>
      <c r="M96" s="33"/>
      <c r="N96" s="33"/>
      <c r="O96" s="33"/>
      <c r="P96" s="33"/>
    </row>
    <row r="97" spans="2:16">
      <c r="C97" s="33"/>
      <c r="D97" s="33"/>
      <c r="E97" s="33"/>
      <c r="F97" s="33"/>
      <c r="G97" s="33"/>
      <c r="H97" s="33"/>
      <c r="I97" s="33"/>
      <c r="J97" s="33"/>
      <c r="K97" s="33"/>
      <c r="L97" s="33"/>
      <c r="M97" s="33"/>
      <c r="N97" s="33"/>
      <c r="O97" s="33"/>
      <c r="P97" s="33"/>
    </row>
    <row r="98" spans="2:16">
      <c r="C98" s="33"/>
      <c r="D98" s="33"/>
      <c r="E98" s="33"/>
      <c r="F98" s="33"/>
      <c r="G98" s="33"/>
      <c r="H98" s="33"/>
      <c r="I98" s="33"/>
      <c r="J98" s="33"/>
      <c r="K98" s="33"/>
      <c r="L98" s="33"/>
      <c r="M98" s="33"/>
      <c r="N98" s="33"/>
      <c r="O98" s="33"/>
      <c r="P98" s="33"/>
    </row>
    <row r="99" spans="2:16">
      <c r="B99" s="33"/>
      <c r="C99" s="33"/>
      <c r="D99" s="33"/>
      <c r="G99" s="33"/>
      <c r="H99" s="33"/>
      <c r="I99" s="33"/>
      <c r="J99" s="33"/>
      <c r="K99" s="33"/>
      <c r="L99" s="33"/>
      <c r="M99" s="33"/>
      <c r="N99" s="33"/>
      <c r="O99" s="33"/>
      <c r="P99" s="33"/>
    </row>
    <row r="100" spans="2:16">
      <c r="B100" s="33"/>
      <c r="C100" s="33"/>
      <c r="D100" s="33"/>
      <c r="G100" s="33"/>
      <c r="H100" s="33"/>
      <c r="I100" s="33"/>
      <c r="J100" s="33"/>
      <c r="K100" s="33"/>
      <c r="L100" s="33"/>
      <c r="M100" s="33"/>
      <c r="N100" s="33"/>
      <c r="O100" s="33"/>
      <c r="P100" s="33"/>
    </row>
    <row r="101" spans="2:16">
      <c r="B101" s="33"/>
      <c r="C101" s="33"/>
      <c r="D101" s="33"/>
      <c r="G101" s="33"/>
      <c r="H101" s="33"/>
      <c r="I101" s="33"/>
      <c r="J101" s="33"/>
      <c r="K101" s="33"/>
      <c r="L101" s="33"/>
      <c r="M101" s="33"/>
      <c r="N101" s="33"/>
      <c r="O101" s="33"/>
      <c r="P101" s="33"/>
    </row>
    <row r="102" spans="2:16">
      <c r="B102" s="33"/>
      <c r="C102" s="33"/>
      <c r="D102" s="33"/>
      <c r="G102" s="33"/>
      <c r="H102" s="33"/>
      <c r="I102" s="33"/>
      <c r="J102" s="33"/>
      <c r="K102" s="33"/>
      <c r="L102" s="33"/>
      <c r="M102" s="33"/>
      <c r="N102" s="33"/>
      <c r="O102" s="33"/>
      <c r="P102" s="33"/>
    </row>
    <row r="103" spans="2:16">
      <c r="B103" s="33"/>
      <c r="C103" s="33"/>
      <c r="D103" s="33"/>
      <c r="G103" s="33"/>
      <c r="H103" s="33"/>
      <c r="I103" s="33"/>
      <c r="J103" s="33"/>
      <c r="K103" s="33"/>
      <c r="L103" s="33"/>
      <c r="M103" s="33"/>
      <c r="N103" s="33"/>
      <c r="O103" s="33"/>
      <c r="P103" s="33"/>
    </row>
    <row r="104" spans="2:16">
      <c r="B104" s="33"/>
      <c r="C104" s="33"/>
      <c r="D104" s="33"/>
      <c r="G104" s="33"/>
      <c r="H104" s="33"/>
      <c r="I104" s="33"/>
      <c r="J104" s="33"/>
      <c r="K104" s="33"/>
      <c r="L104" s="33"/>
      <c r="M104" s="33"/>
      <c r="N104" s="33"/>
      <c r="O104" s="33"/>
      <c r="P104" s="33"/>
    </row>
    <row r="105" spans="2:16">
      <c r="B105" s="33"/>
      <c r="C105" s="33"/>
      <c r="D105" s="33"/>
      <c r="G105" s="33"/>
      <c r="H105" s="33"/>
      <c r="I105" s="33"/>
      <c r="J105" s="33"/>
      <c r="K105" s="33"/>
      <c r="L105" s="33"/>
      <c r="M105" s="33"/>
      <c r="N105" s="33"/>
      <c r="O105" s="33"/>
      <c r="P105" s="33"/>
    </row>
    <row r="106" spans="2:16">
      <c r="B106" s="33"/>
      <c r="C106" s="33"/>
      <c r="D106" s="33"/>
      <c r="G106" s="33"/>
      <c r="H106" s="33"/>
      <c r="I106" s="33"/>
      <c r="J106" s="33"/>
      <c r="K106" s="33"/>
      <c r="L106" s="33"/>
      <c r="M106" s="33"/>
      <c r="N106" s="33"/>
      <c r="O106" s="33"/>
      <c r="P106" s="33"/>
    </row>
    <row r="107" spans="2:16">
      <c r="B107" s="33"/>
      <c r="C107" s="33"/>
      <c r="D107" s="33"/>
      <c r="G107" s="33"/>
      <c r="H107" s="33"/>
      <c r="I107" s="33"/>
      <c r="J107" s="33"/>
      <c r="K107" s="33"/>
      <c r="L107" s="33"/>
      <c r="M107" s="33"/>
      <c r="N107" s="33"/>
      <c r="O107" s="33"/>
      <c r="P107" s="33"/>
    </row>
    <row r="108" spans="2:16">
      <c r="G108" s="33"/>
      <c r="H108" s="33"/>
      <c r="I108" s="33"/>
      <c r="J108" s="33"/>
      <c r="K108" s="33"/>
      <c r="L108" s="33"/>
      <c r="M108" s="33"/>
      <c r="N108" s="33"/>
      <c r="O108" s="33"/>
      <c r="P108" s="33"/>
    </row>
    <row r="109" spans="2:16">
      <c r="G109" s="33"/>
      <c r="H109" s="33"/>
      <c r="I109" s="33"/>
      <c r="J109" s="33"/>
      <c r="K109" s="33"/>
      <c r="L109" s="33"/>
      <c r="M109" s="33"/>
      <c r="N109" s="33"/>
      <c r="O109" s="33"/>
      <c r="P109" s="33"/>
    </row>
    <row r="110" spans="2:16">
      <c r="G110" s="33"/>
      <c r="H110" s="33"/>
      <c r="I110" s="33"/>
      <c r="J110" s="33"/>
      <c r="K110" s="33"/>
      <c r="L110" s="33"/>
      <c r="M110" s="33"/>
      <c r="N110" s="33"/>
      <c r="O110" s="33"/>
      <c r="P110" s="33"/>
    </row>
    <row r="111" spans="2:16">
      <c r="G111" s="33"/>
      <c r="H111" s="33"/>
      <c r="I111" s="33"/>
      <c r="J111" s="33"/>
      <c r="K111" s="33"/>
      <c r="L111" s="33"/>
      <c r="M111" s="33"/>
      <c r="N111" s="33"/>
      <c r="O111" s="33"/>
      <c r="P111" s="33"/>
    </row>
    <row r="112" spans="2:16">
      <c r="G112" s="33"/>
      <c r="H112" s="33"/>
      <c r="I112" s="33"/>
      <c r="J112" s="33"/>
      <c r="K112" s="33"/>
      <c r="L112" s="33"/>
      <c r="M112" s="33"/>
      <c r="N112" s="33"/>
      <c r="O112" s="33"/>
      <c r="P112" s="33"/>
    </row>
    <row r="113" spans="2:16">
      <c r="G113" s="33"/>
      <c r="H113" s="33"/>
      <c r="I113" s="33"/>
      <c r="J113" s="33"/>
      <c r="K113" s="33"/>
      <c r="L113" s="33"/>
      <c r="M113" s="33"/>
      <c r="N113" s="33"/>
      <c r="O113" s="33"/>
      <c r="P113" s="33"/>
    </row>
    <row r="114" spans="2:16">
      <c r="G114" s="33"/>
      <c r="H114" s="33"/>
      <c r="I114" s="33"/>
      <c r="J114" s="33"/>
      <c r="K114" s="33"/>
      <c r="L114" s="33"/>
      <c r="M114" s="33"/>
      <c r="N114" s="33"/>
      <c r="O114" s="33"/>
      <c r="P114" s="33"/>
    </row>
    <row r="115" spans="2:16">
      <c r="G115" s="33"/>
      <c r="H115" s="33"/>
      <c r="I115" s="33"/>
      <c r="J115" s="33"/>
      <c r="K115" s="33"/>
      <c r="L115" s="33"/>
      <c r="M115" s="33"/>
      <c r="N115" s="33"/>
      <c r="O115" s="33"/>
      <c r="P115" s="33"/>
    </row>
    <row r="116" spans="2:16">
      <c r="G116" s="33"/>
      <c r="H116" s="33"/>
      <c r="I116" s="33"/>
      <c r="J116" s="33"/>
      <c r="K116" s="33"/>
      <c r="L116" s="33"/>
      <c r="M116" s="33"/>
      <c r="N116" s="33"/>
      <c r="O116" s="33"/>
      <c r="P116" s="33"/>
    </row>
    <row r="117" spans="2:16">
      <c r="G117" s="33"/>
      <c r="H117" s="33"/>
      <c r="I117" s="33"/>
      <c r="J117" s="33"/>
      <c r="K117" s="33"/>
      <c r="L117" s="33"/>
      <c r="M117" s="33"/>
      <c r="N117" s="33"/>
      <c r="O117" s="33"/>
      <c r="P117" s="33"/>
    </row>
    <row r="118" spans="2:16">
      <c r="B118" s="622"/>
      <c r="C118" s="33"/>
      <c r="G118" s="33"/>
      <c r="H118" s="33"/>
      <c r="I118" s="33"/>
      <c r="J118" s="33"/>
      <c r="K118" s="33"/>
      <c r="L118" s="33"/>
      <c r="M118" s="33"/>
      <c r="N118" s="33"/>
      <c r="O118" s="33"/>
      <c r="P118" s="33"/>
    </row>
    <row r="119" spans="2:16">
      <c r="B119" s="622"/>
      <c r="C119" s="33"/>
      <c r="G119" s="33"/>
      <c r="H119" s="33"/>
      <c r="I119" s="33"/>
      <c r="J119" s="33"/>
      <c r="K119" s="33"/>
      <c r="L119" s="33"/>
      <c r="M119" s="33"/>
      <c r="N119" s="33"/>
      <c r="O119" s="33"/>
      <c r="P119" s="33"/>
    </row>
    <row r="120" spans="2:16">
      <c r="B120" s="622"/>
      <c r="C120" s="33"/>
      <c r="G120" s="33"/>
      <c r="H120" s="33"/>
      <c r="I120" s="33"/>
      <c r="J120" s="33"/>
      <c r="K120" s="33"/>
      <c r="L120" s="33"/>
      <c r="M120" s="33"/>
      <c r="N120" s="33"/>
      <c r="O120" s="33"/>
      <c r="P120" s="33"/>
    </row>
    <row r="121" spans="2:16">
      <c r="B121" s="622"/>
      <c r="C121" s="33"/>
      <c r="G121" s="33"/>
      <c r="H121" s="33"/>
      <c r="I121" s="33"/>
      <c r="J121" s="33"/>
      <c r="K121" s="33"/>
      <c r="L121" s="33"/>
      <c r="M121" s="33"/>
      <c r="N121" s="33"/>
      <c r="O121" s="33"/>
      <c r="P121" s="33"/>
    </row>
    <row r="122" spans="2:16">
      <c r="B122" s="622"/>
      <c r="C122" s="33"/>
      <c r="G122" s="33"/>
      <c r="H122" s="33"/>
      <c r="I122" s="33"/>
      <c r="J122" s="33"/>
      <c r="K122" s="33"/>
      <c r="L122" s="33"/>
      <c r="M122" s="33"/>
      <c r="N122" s="33"/>
      <c r="O122" s="33"/>
      <c r="P122" s="33"/>
    </row>
    <row r="123" spans="2:16">
      <c r="B123" s="622"/>
      <c r="C123" s="33"/>
      <c r="G123" s="33"/>
      <c r="H123" s="33"/>
      <c r="I123" s="33"/>
      <c r="J123" s="33"/>
      <c r="K123" s="33"/>
      <c r="L123" s="33"/>
      <c r="M123" s="33"/>
      <c r="N123" s="33"/>
      <c r="O123" s="33"/>
      <c r="P123" s="33"/>
    </row>
    <row r="124" spans="2:16">
      <c r="B124" s="622"/>
      <c r="C124" s="33"/>
      <c r="G124" s="33"/>
      <c r="H124" s="33"/>
      <c r="I124" s="33"/>
      <c r="J124" s="33"/>
      <c r="K124" s="33"/>
      <c r="L124" s="33"/>
      <c r="M124" s="33"/>
      <c r="N124" s="33"/>
      <c r="O124" s="33"/>
      <c r="P124" s="33"/>
    </row>
    <row r="125" spans="2:16">
      <c r="B125" s="622"/>
      <c r="C125" s="33"/>
      <c r="G125" s="33"/>
      <c r="H125" s="33"/>
      <c r="I125" s="33"/>
      <c r="J125" s="33"/>
      <c r="K125" s="33"/>
      <c r="L125" s="33"/>
      <c r="M125" s="33"/>
      <c r="N125" s="33"/>
      <c r="O125" s="33"/>
      <c r="P125" s="33"/>
    </row>
    <row r="126" spans="2:16">
      <c r="B126" s="622"/>
      <c r="C126" s="33"/>
      <c r="G126" s="33"/>
      <c r="H126" s="33"/>
      <c r="I126" s="33"/>
      <c r="J126" s="33"/>
      <c r="K126" s="33"/>
      <c r="L126" s="33"/>
      <c r="M126" s="33"/>
      <c r="N126" s="33"/>
      <c r="O126" s="33"/>
      <c r="P126" s="33"/>
    </row>
    <row r="127" spans="2:16">
      <c r="B127" s="622"/>
      <c r="C127" s="33"/>
      <c r="G127" s="33"/>
      <c r="H127" s="33"/>
      <c r="I127" s="33"/>
      <c r="J127" s="33"/>
      <c r="K127" s="33"/>
      <c r="L127" s="33"/>
      <c r="M127" s="33"/>
      <c r="N127" s="33"/>
      <c r="O127" s="33"/>
      <c r="P127" s="33"/>
    </row>
    <row r="128" spans="2:16">
      <c r="B128" s="622"/>
      <c r="C128" s="33"/>
      <c r="G128" s="33"/>
      <c r="H128" s="33"/>
      <c r="I128" s="33"/>
      <c r="J128" s="33"/>
      <c r="K128" s="33"/>
      <c r="L128" s="33"/>
      <c r="M128" s="33"/>
      <c r="N128" s="33"/>
      <c r="O128" s="33"/>
      <c r="P128" s="33"/>
    </row>
    <row r="129" spans="2:16">
      <c r="B129" s="622"/>
      <c r="C129" s="33"/>
      <c r="G129" s="33"/>
      <c r="H129" s="33"/>
      <c r="I129" s="33"/>
      <c r="J129" s="33"/>
      <c r="K129" s="33"/>
      <c r="L129" s="33"/>
      <c r="M129" s="33"/>
      <c r="N129" s="33"/>
      <c r="O129" s="33"/>
      <c r="P129" s="33"/>
    </row>
    <row r="130" spans="2:16">
      <c r="B130" s="622"/>
      <c r="C130" s="33"/>
      <c r="G130" s="33"/>
      <c r="H130" s="33"/>
      <c r="I130" s="33"/>
      <c r="J130" s="33"/>
      <c r="K130" s="33"/>
      <c r="L130" s="33"/>
      <c r="M130" s="33"/>
      <c r="N130" s="33"/>
      <c r="O130" s="33"/>
      <c r="P130" s="33"/>
    </row>
    <row r="131" spans="2:16">
      <c r="B131" s="622"/>
      <c r="C131" s="33"/>
      <c r="G131" s="33"/>
      <c r="H131" s="33"/>
      <c r="I131" s="33"/>
      <c r="J131" s="33"/>
      <c r="K131" s="33"/>
      <c r="L131" s="33"/>
      <c r="M131" s="33"/>
      <c r="N131" s="33"/>
      <c r="O131" s="33"/>
      <c r="P131" s="33"/>
    </row>
    <row r="132" spans="2:16">
      <c r="B132" s="622"/>
      <c r="C132" s="33"/>
      <c r="G132" s="33"/>
      <c r="H132" s="33"/>
      <c r="I132" s="33"/>
      <c r="J132" s="33"/>
      <c r="K132" s="33"/>
      <c r="L132" s="33"/>
      <c r="M132" s="33"/>
      <c r="N132" s="33"/>
      <c r="O132" s="33"/>
      <c r="P132" s="33"/>
    </row>
    <row r="133" spans="2:16">
      <c r="B133" s="622"/>
      <c r="C133" s="33"/>
      <c r="G133" s="33"/>
      <c r="H133" s="33"/>
      <c r="I133" s="33"/>
      <c r="J133" s="33"/>
      <c r="K133" s="33"/>
      <c r="L133" s="33"/>
      <c r="M133" s="33"/>
      <c r="N133" s="33"/>
      <c r="O133" s="33"/>
      <c r="P133" s="33"/>
    </row>
    <row r="134" spans="2:16">
      <c r="B134" s="622"/>
      <c r="C134" s="33"/>
      <c r="G134" s="33"/>
      <c r="H134" s="33"/>
      <c r="I134" s="33"/>
      <c r="J134" s="33"/>
      <c r="K134" s="33"/>
      <c r="L134" s="33"/>
      <c r="M134" s="33"/>
      <c r="N134" s="33"/>
      <c r="O134" s="33"/>
      <c r="P134" s="33"/>
    </row>
    <row r="135" spans="2:16">
      <c r="B135" s="622"/>
      <c r="C135" s="33"/>
      <c r="G135" s="33"/>
      <c r="H135" s="33"/>
      <c r="I135" s="33"/>
      <c r="J135" s="33"/>
      <c r="K135" s="33"/>
      <c r="L135" s="33"/>
      <c r="M135" s="33"/>
      <c r="N135" s="33"/>
      <c r="O135" s="33"/>
      <c r="P135" s="33"/>
    </row>
    <row r="136" spans="2:16">
      <c r="B136" s="622"/>
      <c r="C136" s="33"/>
      <c r="G136" s="33"/>
      <c r="H136" s="33"/>
      <c r="I136" s="33"/>
      <c r="J136" s="33"/>
      <c r="K136" s="33"/>
      <c r="L136" s="33"/>
      <c r="M136" s="33"/>
      <c r="N136" s="33"/>
      <c r="O136" s="33"/>
      <c r="P136" s="33"/>
    </row>
    <row r="137" spans="2:16">
      <c r="B137" s="622"/>
      <c r="C137" s="33"/>
      <c r="G137" s="33"/>
      <c r="H137" s="33"/>
      <c r="I137" s="33"/>
      <c r="J137" s="33"/>
      <c r="K137" s="33"/>
      <c r="L137" s="33"/>
      <c r="M137" s="33"/>
      <c r="N137" s="33"/>
      <c r="O137" s="33"/>
      <c r="P137" s="33"/>
    </row>
    <row r="138" spans="2:16">
      <c r="B138" s="622"/>
      <c r="C138" s="33"/>
      <c r="G138" s="33"/>
      <c r="H138" s="33"/>
      <c r="I138" s="33"/>
      <c r="J138" s="33"/>
      <c r="K138" s="33"/>
      <c r="L138" s="33"/>
      <c r="M138" s="33"/>
      <c r="N138" s="33"/>
      <c r="O138" s="33"/>
      <c r="P138" s="33"/>
    </row>
    <row r="139" spans="2:16">
      <c r="B139" s="622"/>
      <c r="C139" s="33"/>
      <c r="G139" s="33"/>
      <c r="H139" s="33"/>
      <c r="I139" s="33"/>
      <c r="J139" s="33"/>
      <c r="K139" s="33"/>
      <c r="L139" s="33"/>
      <c r="M139" s="33"/>
      <c r="N139" s="33"/>
      <c r="O139" s="33"/>
      <c r="P139" s="33"/>
    </row>
    <row r="140" spans="2:16">
      <c r="B140" s="622"/>
      <c r="C140" s="33"/>
      <c r="G140" s="33"/>
      <c r="H140" s="33"/>
      <c r="I140" s="33"/>
      <c r="J140" s="33"/>
      <c r="K140" s="33"/>
      <c r="L140" s="33"/>
      <c r="M140" s="33"/>
      <c r="N140" s="33"/>
      <c r="O140" s="33"/>
      <c r="P140" s="33"/>
    </row>
    <row r="141" spans="2:16">
      <c r="B141" s="622"/>
      <c r="C141" s="33"/>
      <c r="G141" s="33"/>
      <c r="H141" s="33"/>
      <c r="I141" s="33"/>
      <c r="J141" s="33"/>
      <c r="K141" s="33"/>
      <c r="L141" s="33"/>
      <c r="M141" s="33"/>
      <c r="N141" s="33"/>
      <c r="O141" s="33"/>
      <c r="P141" s="33"/>
    </row>
    <row r="142" spans="2:16">
      <c r="B142" s="622"/>
      <c r="C142" s="33"/>
      <c r="G142" s="33"/>
      <c r="H142" s="33"/>
      <c r="I142" s="33"/>
      <c r="J142" s="33"/>
      <c r="K142" s="33"/>
      <c r="L142" s="33"/>
      <c r="M142" s="33"/>
      <c r="N142" s="33"/>
      <c r="O142" s="33"/>
      <c r="P142" s="33"/>
    </row>
    <row r="143" spans="2:16">
      <c r="B143" s="622"/>
      <c r="C143" s="33"/>
      <c r="G143" s="33"/>
      <c r="H143" s="33"/>
      <c r="I143" s="33"/>
      <c r="J143" s="33"/>
      <c r="K143" s="33"/>
      <c r="L143" s="33"/>
      <c r="M143" s="33"/>
      <c r="N143" s="33"/>
      <c r="O143" s="33"/>
      <c r="P143" s="33"/>
    </row>
    <row r="144" spans="2:16">
      <c r="B144" s="622"/>
      <c r="C144" s="33"/>
      <c r="G144" s="33"/>
      <c r="H144" s="33"/>
      <c r="I144" s="33"/>
      <c r="J144" s="33"/>
      <c r="K144" s="33"/>
      <c r="L144" s="33"/>
      <c r="M144" s="33"/>
      <c r="N144" s="33"/>
      <c r="O144" s="33"/>
      <c r="P144" s="33"/>
    </row>
    <row r="145" spans="2:16">
      <c r="B145" s="622"/>
      <c r="C145" s="33"/>
      <c r="G145" s="33"/>
      <c r="H145" s="33"/>
      <c r="I145" s="33"/>
      <c r="J145" s="33"/>
      <c r="K145" s="33"/>
      <c r="L145" s="33"/>
      <c r="M145" s="33"/>
      <c r="N145" s="33"/>
      <c r="O145" s="33"/>
      <c r="P145" s="33"/>
    </row>
    <row r="146" spans="2:16">
      <c r="B146" s="622"/>
      <c r="C146" s="33"/>
      <c r="G146" s="33"/>
      <c r="H146" s="33"/>
      <c r="I146" s="33"/>
      <c r="J146" s="33"/>
      <c r="K146" s="33"/>
      <c r="L146" s="33"/>
      <c r="M146" s="33"/>
      <c r="N146" s="33"/>
      <c r="O146" s="33"/>
      <c r="P146" s="33"/>
    </row>
    <row r="147" spans="2:16">
      <c r="B147" s="622"/>
      <c r="C147" s="33"/>
      <c r="F147" s="33"/>
      <c r="G147" s="33"/>
      <c r="H147" s="33"/>
      <c r="I147" s="33"/>
      <c r="J147" s="33"/>
      <c r="K147" s="33"/>
      <c r="L147" s="33"/>
      <c r="M147" s="33"/>
      <c r="N147" s="33"/>
      <c r="O147" s="33"/>
      <c r="P147" s="33"/>
    </row>
    <row r="148" spans="2:16">
      <c r="B148" s="622"/>
      <c r="C148" s="33"/>
      <c r="D148" s="33"/>
      <c r="F148" s="33"/>
      <c r="G148" s="33"/>
      <c r="H148" s="33"/>
      <c r="I148" s="33"/>
      <c r="J148" s="33"/>
      <c r="K148" s="33"/>
      <c r="L148" s="33"/>
      <c r="M148" s="33"/>
      <c r="N148" s="33"/>
      <c r="O148" s="33"/>
      <c r="P148" s="33"/>
    </row>
    <row r="149" spans="2:16">
      <c r="B149" s="622"/>
      <c r="C149" s="33"/>
      <c r="D149" s="33"/>
      <c r="F149" s="33"/>
      <c r="G149" s="33"/>
      <c r="H149" s="33"/>
      <c r="I149" s="33"/>
      <c r="J149" s="33"/>
      <c r="K149" s="33"/>
      <c r="L149" s="33"/>
      <c r="M149" s="33"/>
      <c r="N149" s="33"/>
      <c r="O149" s="33"/>
      <c r="P149" s="33"/>
    </row>
    <row r="150" spans="2:16">
      <c r="B150" s="622"/>
      <c r="C150" s="33"/>
      <c r="D150" s="33"/>
      <c r="F150" s="33"/>
      <c r="G150" s="33"/>
      <c r="H150" s="33"/>
      <c r="I150" s="33"/>
      <c r="J150" s="33"/>
      <c r="K150" s="33"/>
      <c r="L150" s="33"/>
      <c r="M150" s="33"/>
      <c r="N150" s="33"/>
      <c r="O150" s="33"/>
      <c r="P150" s="33"/>
    </row>
    <row r="151" spans="2:16">
      <c r="B151" s="622"/>
      <c r="C151" s="33"/>
      <c r="D151" s="33"/>
      <c r="F151" s="33"/>
      <c r="G151" s="33"/>
      <c r="H151" s="33"/>
      <c r="I151" s="33"/>
      <c r="J151" s="33"/>
      <c r="K151" s="33"/>
      <c r="L151" s="33"/>
      <c r="M151" s="33"/>
      <c r="N151" s="33"/>
      <c r="O151" s="33"/>
      <c r="P151" s="33"/>
    </row>
    <row r="152" spans="2:16">
      <c r="B152" s="622"/>
      <c r="C152" s="33"/>
      <c r="D152" s="33"/>
      <c r="F152" s="33"/>
      <c r="G152" s="33"/>
      <c r="H152" s="33"/>
      <c r="I152" s="33"/>
      <c r="J152" s="33"/>
      <c r="K152" s="33"/>
      <c r="L152" s="33"/>
      <c r="M152" s="33"/>
      <c r="N152" s="33"/>
      <c r="O152" s="33"/>
      <c r="P152" s="33"/>
    </row>
    <row r="153" spans="2:16">
      <c r="B153" s="622"/>
      <c r="C153" s="33"/>
      <c r="D153" s="33"/>
      <c r="F153" s="33"/>
      <c r="G153" s="33"/>
      <c r="H153" s="33"/>
      <c r="I153" s="33"/>
      <c r="J153" s="33"/>
      <c r="K153" s="33"/>
      <c r="L153" s="33"/>
      <c r="M153" s="33"/>
      <c r="N153" s="33"/>
      <c r="O153" s="33"/>
      <c r="P153" s="33"/>
    </row>
    <row r="154" spans="2:16">
      <c r="B154" s="622"/>
      <c r="C154" s="33"/>
      <c r="D154" s="33"/>
      <c r="F154" s="33"/>
      <c r="G154" s="33"/>
      <c r="H154" s="33"/>
      <c r="I154" s="33"/>
      <c r="J154" s="33"/>
      <c r="K154" s="33"/>
      <c r="L154" s="33"/>
      <c r="M154" s="33"/>
      <c r="N154" s="33"/>
      <c r="O154" s="33"/>
      <c r="P154" s="33"/>
    </row>
    <row r="155" spans="2:16">
      <c r="B155" s="622"/>
      <c r="C155" s="33"/>
      <c r="D155" s="33"/>
      <c r="F155" s="33"/>
      <c r="G155" s="33"/>
      <c r="H155" s="33"/>
      <c r="I155" s="33"/>
      <c r="J155" s="33"/>
      <c r="K155" s="33"/>
      <c r="L155" s="33"/>
      <c r="M155" s="33"/>
      <c r="N155" s="33"/>
      <c r="O155" s="33"/>
      <c r="P155" s="33"/>
    </row>
    <row r="156" spans="2:16">
      <c r="B156" s="622"/>
      <c r="C156" s="33"/>
      <c r="G156" s="33"/>
      <c r="H156" s="33"/>
      <c r="I156" s="33"/>
      <c r="J156" s="33"/>
      <c r="K156" s="33"/>
      <c r="L156" s="33"/>
      <c r="M156" s="33"/>
      <c r="N156" s="33"/>
      <c r="O156" s="33"/>
      <c r="P156" s="33"/>
    </row>
    <row r="157" spans="2:16">
      <c r="B157" s="622"/>
      <c r="C157" s="33"/>
      <c r="G157" s="33"/>
      <c r="H157" s="33"/>
      <c r="I157" s="33"/>
      <c r="J157" s="33"/>
      <c r="K157" s="33"/>
      <c r="L157" s="33"/>
      <c r="M157" s="33"/>
      <c r="N157" s="33"/>
      <c r="O157" s="33"/>
      <c r="P157" s="33"/>
    </row>
    <row r="158" spans="2:16">
      <c r="B158" s="622"/>
      <c r="C158" s="33"/>
      <c r="G158" s="33"/>
      <c r="H158" s="33"/>
      <c r="I158" s="33"/>
      <c r="J158" s="33"/>
      <c r="K158" s="33"/>
      <c r="L158" s="33"/>
      <c r="M158" s="33"/>
      <c r="N158" s="33"/>
      <c r="O158" s="33"/>
      <c r="P158" s="33"/>
    </row>
    <row r="159" spans="2:16">
      <c r="B159" s="622"/>
      <c r="C159" s="33"/>
    </row>
    <row r="160" spans="2:16">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row>
    <row r="208" spans="2:3">
      <c r="B208" s="622"/>
    </row>
  </sheetData>
  <sheetProtection sheet="1" objects="1" scenarios="1"/>
  <mergeCells count="50">
    <mergeCell ref="C55:D55"/>
    <mergeCell ref="C63:E63"/>
    <mergeCell ref="C68:E68"/>
    <mergeCell ref="C73:E73"/>
    <mergeCell ref="C50:D50"/>
    <mergeCell ref="C53:D53"/>
    <mergeCell ref="C64:E64"/>
    <mergeCell ref="C62:E62"/>
    <mergeCell ref="C49:D49"/>
    <mergeCell ref="E22:G22"/>
    <mergeCell ref="C36:E36"/>
    <mergeCell ref="F23:G23"/>
    <mergeCell ref="D25:E25"/>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N6:O6"/>
    <mergeCell ref="C16:F16"/>
    <mergeCell ref="K6:L6"/>
    <mergeCell ref="C17:F17"/>
    <mergeCell ref="C19:F19"/>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 ref="C52:D52"/>
    <mergeCell ref="C48:D48"/>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H15 K14:K15 N14:N15">
      <formula1>"ja,nein"</formula1>
    </dataValidation>
    <dataValidation type="list" allowBlank="1" showInputMessage="1" showErrorMessage="1" sqref="K16:K17 H16:H17 N16: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18" orientation="portrait" r:id="rId1"/>
  <headerFooter alignWithMargins="0">
    <oddFooter>&amp;L&amp;11LEL Schwäbisch Gmünd&amp;C22&amp;R&amp;11&amp;F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71" r:id="rId4" name="Check Box 15">
              <controlPr defaultSize="0" autoFill="0" autoLine="0" autoPict="0">
                <anchor moveWithCells="1">
                  <from>
                    <xdr:col>12</xdr:col>
                    <xdr:colOff>133350</xdr:colOff>
                    <xdr:row>3</xdr:row>
                    <xdr:rowOff>9525</xdr:rowOff>
                  </from>
                  <to>
                    <xdr:col>12</xdr:col>
                    <xdr:colOff>400050</xdr:colOff>
                    <xdr:row>3</xdr:row>
                    <xdr:rowOff>238125</xdr:rowOff>
                  </to>
                </anchor>
              </controlPr>
            </control>
          </mc:Choice>
        </mc:AlternateContent>
        <mc:AlternateContent xmlns:mc="http://schemas.openxmlformats.org/markup-compatibility/2006">
          <mc:Choice Requires="x14">
            <control shapeId="70672" r:id="rId5" name="Check Box 16">
              <controlPr defaultSize="0" autoFill="0" autoLine="0" autoPict="0">
                <anchor moveWithCells="1">
                  <from>
                    <xdr:col>12</xdr:col>
                    <xdr:colOff>142875</xdr:colOff>
                    <xdr:row>2</xdr:row>
                    <xdr:rowOff>47625</xdr:rowOff>
                  </from>
                  <to>
                    <xdr:col>12</xdr:col>
                    <xdr:colOff>428625</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9">
    <tabColor rgb="FFFFFF00"/>
    <pageSetUpPr fitToPage="1"/>
  </sheetPr>
  <dimension ref="A1:AO212"/>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5.875" style="32" hidden="1" customWidth="1"/>
    <col min="18" max="18" width="12" style="31" hidden="1" customWidth="1"/>
    <col min="19" max="21" width="0" style="31" hidden="1" customWidth="1"/>
    <col min="22" max="22" width="12.875" style="31" hidden="1" customWidth="1"/>
    <col min="23" max="31" width="0" style="31" hidden="1" customWidth="1"/>
    <col min="32" max="32" width="14.375" style="31" hidden="1" customWidth="1"/>
    <col min="33" max="16384" width="10.5" style="31"/>
  </cols>
  <sheetData>
    <row r="1" spans="1:41" s="276" customFormat="1" ht="30.2" customHeight="1">
      <c r="A1" s="2507"/>
      <c r="B1" s="326"/>
      <c r="C1" s="1908"/>
      <c r="D1" s="136"/>
      <c r="E1" s="323"/>
      <c r="F1" s="323"/>
      <c r="G1" s="4908" t="s">
        <v>1694</v>
      </c>
      <c r="H1" s="4908"/>
      <c r="I1" s="4908"/>
      <c r="J1" s="1906">
        <f>(J7+J13+J18+J22+I11+I12)-(J23+J27+J34+J43+J60+J65+J67+J69+J71+J75)</f>
        <v>1230.5940115723674</v>
      </c>
      <c r="K1" s="4859">
        <f>M1-J1</f>
        <v>388.32688118158694</v>
      </c>
      <c r="L1" s="4859"/>
      <c r="M1" s="1906">
        <f>(M7+M13+M18+M22+L11+L12)-(M23+M27+M34+M43+M60+M65+M67+M69+M71+M75)</f>
        <v>1618.9208927539544</v>
      </c>
      <c r="N1" s="4859">
        <f>P1-M1</f>
        <v>1126.1479554266016</v>
      </c>
      <c r="O1" s="4859"/>
      <c r="P1" s="1906">
        <f>(P7+P13+P18+P22+O11+O12)-(P23+P27+P34+P43+P60+P65+P67+P69+P71+P75)</f>
        <v>2745.068848180556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1947</v>
      </c>
      <c r="L2" s="4870"/>
      <c r="M2" s="4870"/>
      <c r="N2" s="4870"/>
      <c r="O2" s="4870"/>
      <c r="P2" s="4870"/>
      <c r="Q2" s="2507"/>
    </row>
    <row r="3" spans="1:41" s="276" customFormat="1" ht="21.75" customHeight="1">
      <c r="A3" s="2507"/>
      <c r="B3" s="1903" t="s">
        <v>1693</v>
      </c>
      <c r="G3" s="1891"/>
      <c r="H3" s="1902"/>
      <c r="J3" s="4933" t="s">
        <v>1262</v>
      </c>
      <c r="K3" s="4934"/>
      <c r="L3" s="4934"/>
      <c r="M3" s="2515"/>
      <c r="N3" s="4909" t="str">
        <f>IF(AND(T3=TRUE,T4=TRUE),"nur 1 Strohnutzung möglich !","")</f>
        <v/>
      </c>
      <c r="O3" s="4872"/>
      <c r="P3" s="1900"/>
      <c r="R3" s="1899"/>
      <c r="S3" s="287" t="s">
        <v>1261</v>
      </c>
      <c r="T3" s="1898" t="b">
        <v>1</v>
      </c>
    </row>
    <row r="4" spans="1:41" s="276" customFormat="1" ht="20.25" customHeight="1">
      <c r="A4" s="2507"/>
      <c r="B4" s="377" t="s">
        <v>1154</v>
      </c>
      <c r="C4" s="31"/>
      <c r="D4" s="31"/>
      <c r="E4" s="4931" t="s">
        <v>1268</v>
      </c>
      <c r="F4" s="4932"/>
      <c r="G4" s="4932"/>
      <c r="H4" s="4932"/>
      <c r="I4" s="4932"/>
      <c r="J4" s="4933" t="s">
        <v>1250</v>
      </c>
      <c r="K4" s="4934"/>
      <c r="L4" s="4934"/>
      <c r="M4" s="2514"/>
      <c r="N4" s="4872"/>
      <c r="O4" s="4872"/>
      <c r="P4" s="1896">
        <f>SDÖ1!O3</f>
        <v>0</v>
      </c>
      <c r="R4" s="1894"/>
      <c r="S4" s="280" t="s">
        <v>1259</v>
      </c>
      <c r="T4" s="1893" t="b">
        <v>0</v>
      </c>
    </row>
    <row r="5" spans="1:41" ht="6" customHeight="1"/>
    <row r="6" spans="1:41" s="1885" customFormat="1" ht="24" customHeight="1">
      <c r="A6" s="48"/>
      <c r="B6" s="1890" t="s">
        <v>1207</v>
      </c>
      <c r="C6" s="1889"/>
      <c r="D6" s="1889"/>
      <c r="E6" s="1889"/>
      <c r="F6" s="1889"/>
      <c r="G6" s="1888" t="s">
        <v>1700</v>
      </c>
      <c r="H6" s="4864" t="s">
        <v>179</v>
      </c>
      <c r="I6" s="4865"/>
      <c r="J6" s="1887">
        <v>30</v>
      </c>
      <c r="K6" s="4849" t="s">
        <v>152</v>
      </c>
      <c r="L6" s="4850"/>
      <c r="M6" s="1887">
        <v>40</v>
      </c>
      <c r="N6" s="4864" t="s">
        <v>178</v>
      </c>
      <c r="O6" s="4865"/>
      <c r="P6" s="1886">
        <v>69</v>
      </c>
    </row>
    <row r="7" spans="1:41" s="252" customFormat="1" ht="18.75" customHeight="1">
      <c r="A7" s="47"/>
      <c r="B7" s="311" t="s">
        <v>1691</v>
      </c>
      <c r="C7" s="47"/>
      <c r="D7" s="47"/>
      <c r="E7" s="47"/>
      <c r="F7" s="47"/>
      <c r="G7" s="1884" t="s">
        <v>171</v>
      </c>
      <c r="H7" s="1881"/>
      <c r="I7" s="1880"/>
      <c r="J7" s="1614">
        <f>SUM(I9:I12)</f>
        <v>1330.2</v>
      </c>
      <c r="K7" s="1883"/>
      <c r="L7" s="1882"/>
      <c r="M7" s="1617">
        <f>SUM(L9:L12)</f>
        <v>1773.6000000000001</v>
      </c>
      <c r="N7" s="1881"/>
      <c r="O7" s="1880"/>
      <c r="P7" s="1614">
        <f>SUM(O9:O12)</f>
        <v>3059.46</v>
      </c>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SDÖ1!O16</f>
        <v>35.273333333333333</v>
      </c>
      <c r="H9" s="1877">
        <f>J6-H10</f>
        <v>30</v>
      </c>
      <c r="I9" s="1873">
        <f>H9*G9</f>
        <v>1058.2</v>
      </c>
      <c r="J9" s="43"/>
      <c r="K9" s="1876">
        <f>M6-K10</f>
        <v>40</v>
      </c>
      <c r="L9" s="1875">
        <f>K9*G9</f>
        <v>1410.9333333333334</v>
      </c>
      <c r="M9" s="1854"/>
      <c r="N9" s="1874">
        <f>P6-N10</f>
        <v>69</v>
      </c>
      <c r="O9" s="1873">
        <f>N9*G9</f>
        <v>2433.86</v>
      </c>
      <c r="P9" s="43"/>
      <c r="Q9" s="32"/>
      <c r="R9" s="935"/>
      <c r="S9" s="1880" t="s">
        <v>1256</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2512">
        <f>I10+I11+I12</f>
        <v>272.00000000000006</v>
      </c>
      <c r="S10" s="2511">
        <f>L10+L11+L12</f>
        <v>362.66666666666674</v>
      </c>
      <c r="T10" s="2510">
        <f>O10+O11+O12</f>
        <v>625.60000000000014</v>
      </c>
      <c r="W10" s="252" t="s">
        <v>1254</v>
      </c>
    </row>
    <row r="11" spans="1:41" s="1842" customFormat="1" ht="15" customHeight="1">
      <c r="A11" s="377"/>
      <c r="B11" s="274"/>
      <c r="C11" s="45" t="s">
        <v>1253</v>
      </c>
      <c r="D11" s="377"/>
      <c r="E11" s="1860">
        <v>0.8</v>
      </c>
      <c r="F11" s="45" t="s">
        <v>1252</v>
      </c>
      <c r="G11" s="1859">
        <f>SDÖ1!$O$51</f>
        <v>11.333333333333336</v>
      </c>
      <c r="H11" s="1858">
        <f>IF($T$3=FALSE,0,J6*$E$11)</f>
        <v>24</v>
      </c>
      <c r="I11" s="1852">
        <f>H11*$G$11</f>
        <v>272.00000000000006</v>
      </c>
      <c r="J11" s="1857"/>
      <c r="K11" s="1856">
        <f>IF($T$3=FALSE,0,M6*$E$11)</f>
        <v>32</v>
      </c>
      <c r="L11" s="1855">
        <f>K11*$G$11</f>
        <v>362.66666666666674</v>
      </c>
      <c r="M11" s="1854"/>
      <c r="N11" s="1853">
        <f>IF($T$3=FALSE,0,P6*$E$11)</f>
        <v>55.2</v>
      </c>
      <c r="O11" s="1852">
        <f>N11*$G$11</f>
        <v>625.60000000000014</v>
      </c>
      <c r="P11" s="43"/>
      <c r="Q11" s="38"/>
      <c r="U11" s="1842">
        <f>O6*$E$11</f>
        <v>0</v>
      </c>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24</v>
      </c>
      <c r="Y12" s="1839">
        <f>IF(OR(T3=TRUE,T4=TRUE),M6*$E$11,"0")</f>
        <v>32</v>
      </c>
      <c r="Z12" s="1838">
        <f>IF(OR(T3=TRUE,T4=TRUE),P6*$E$11,"0")</f>
        <v>55.2</v>
      </c>
    </row>
    <row r="13" spans="1:41" s="252" customFormat="1" ht="18.600000000000001"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33"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33"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v>0</v>
      </c>
      <c r="R18" s="715" t="s">
        <v>1245</v>
      </c>
      <c r="S18" s="376"/>
      <c r="T18" s="1822"/>
    </row>
    <row r="19" spans="1:33" ht="15.6" customHeight="1">
      <c r="A19" s="377"/>
      <c r="B19" s="1821"/>
      <c r="C19" s="4833" t="s">
        <v>2172</v>
      </c>
      <c r="D19" s="4833"/>
      <c r="E19" s="4833"/>
      <c r="F19" s="4833"/>
      <c r="G19" s="4100" t="s">
        <v>171</v>
      </c>
      <c r="H19" s="1818"/>
      <c r="I19" s="3965">
        <f>IF(OR($C19=0,$J$6=0),0,VLOOKUP($C19,'SD2'!C59:N75,12,FALSE))</f>
        <v>158</v>
      </c>
      <c r="J19" s="45"/>
      <c r="K19" s="1819"/>
      <c r="L19" s="1671">
        <f>IF(OR($C19=0,$M$6=0),0,VLOOKUP($C19,'SD2'!$C$59:$N$75,12,FALSE))</f>
        <v>158</v>
      </c>
      <c r="M19" s="1589"/>
      <c r="N19" s="1818"/>
      <c r="O19" s="1817">
        <f>IF(OR($C19=0,$P$6=0),0,VLOOKUP($C19,'SD2'!C59:N75,12,FALSE))</f>
        <v>158</v>
      </c>
      <c r="P19" s="3908"/>
      <c r="R19" s="1816">
        <f>J13+J18</f>
        <v>595.4</v>
      </c>
      <c r="S19" s="1816">
        <f>M13+M18</f>
        <v>595.4</v>
      </c>
      <c r="T19" s="1816">
        <f>P13+P18</f>
        <v>595.4</v>
      </c>
      <c r="AG19" s="4066"/>
    </row>
    <row r="20" spans="1:33" s="4056" customFormat="1" ht="15.6" customHeight="1">
      <c r="A20" s="3913"/>
      <c r="B20" s="1821"/>
      <c r="C20" s="4099" t="s">
        <v>2182</v>
      </c>
      <c r="D20" s="4099"/>
      <c r="E20" s="4099"/>
      <c r="F20" s="4099"/>
      <c r="G20" s="1820"/>
      <c r="H20" s="1818"/>
      <c r="I20" s="3965">
        <f>IF(OR($C20=0,$J$6=0),0,VLOOKUP($C20,'SD2'!C60:N76,12,FALSE))</f>
        <v>63.4</v>
      </c>
      <c r="J20" s="3908"/>
      <c r="K20" s="1819"/>
      <c r="L20" s="3955">
        <f>IF(OR($C20=0,$M$6=0),0,VLOOKUP($C20,'SD2'!$C$59:$N$75,12,FALSE))</f>
        <v>63.4</v>
      </c>
      <c r="M20" s="3920"/>
      <c r="N20" s="1818"/>
      <c r="O20" s="3965">
        <f>IF(OR($C20=0,$P$6=0),0,VLOOKUP($C20,'SD2'!C60:N76,12,FALSE))</f>
        <v>63.4</v>
      </c>
      <c r="P20" s="3908"/>
      <c r="Q20" s="4057"/>
      <c r="R20" s="4043"/>
      <c r="S20" s="4043"/>
      <c r="T20" s="4043"/>
      <c r="AG20" s="4066"/>
    </row>
    <row r="21" spans="1:33" s="4056" customFormat="1" ht="15.6" customHeight="1">
      <c r="A21" s="3913"/>
      <c r="B21" s="1821"/>
      <c r="C21" s="4058"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3908"/>
      <c r="Q21" s="4057"/>
      <c r="R21" s="4043"/>
      <c r="S21" s="4043"/>
      <c r="T21" s="4043"/>
      <c r="AG21" s="4057"/>
    </row>
    <row r="22" spans="1:33" ht="15.6" customHeight="1">
      <c r="A22" s="377"/>
      <c r="B22" s="311" t="s">
        <v>1244</v>
      </c>
      <c r="C22" s="45"/>
      <c r="D22" s="1807"/>
      <c r="E22" s="4868" t="s">
        <v>1243</v>
      </c>
      <c r="F22" s="4868"/>
      <c r="G22" s="4869"/>
      <c r="H22" s="1804"/>
      <c r="I22" s="1803"/>
      <c r="J22" s="1802"/>
      <c r="K22" s="1806"/>
      <c r="L22" s="1805"/>
      <c r="M22" s="1802"/>
      <c r="N22" s="1804"/>
      <c r="O22" s="1803"/>
      <c r="P22" s="1802"/>
    </row>
    <row r="23" spans="1:33" s="42" customFormat="1" ht="18.75" customHeight="1">
      <c r="A23" s="1306"/>
      <c r="B23" s="266" t="s">
        <v>222</v>
      </c>
      <c r="C23" s="1801"/>
      <c r="D23" s="1801"/>
      <c r="E23" s="38"/>
      <c r="F23" s="4831"/>
      <c r="G23" s="4832" t="s">
        <v>171</v>
      </c>
      <c r="H23" s="1616"/>
      <c r="I23" s="1615"/>
      <c r="J23" s="1599">
        <f>SUM(I25:I26)</f>
        <v>147.6</v>
      </c>
      <c r="K23" s="1619"/>
      <c r="L23" s="1618"/>
      <c r="M23" s="1800">
        <f>SUM(L25:L26)</f>
        <v>147.6</v>
      </c>
      <c r="N23" s="1616"/>
      <c r="O23" s="1615"/>
      <c r="P23" s="1599">
        <f>SUM(O25:O26)</f>
        <v>147.6</v>
      </c>
      <c r="Q23" s="32"/>
      <c r="R23" s="42" t="s">
        <v>1699</v>
      </c>
    </row>
    <row r="24" spans="1:33"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33" s="708" customFormat="1" ht="18.75" customHeight="1">
      <c r="A25" s="1270"/>
      <c r="B25" s="1796"/>
      <c r="C25" s="1306" t="s">
        <v>1241</v>
      </c>
      <c r="D25" s="4851"/>
      <c r="E25" s="4852"/>
      <c r="F25" s="1795">
        <v>0.82</v>
      </c>
      <c r="G25" s="1794">
        <f>F25*(100+$D$24)/100</f>
        <v>0.82</v>
      </c>
      <c r="H25" s="1793">
        <v>180</v>
      </c>
      <c r="I25" s="1754">
        <f>H25*$G25</f>
        <v>147.6</v>
      </c>
      <c r="J25" s="45"/>
      <c r="K25" s="1793">
        <f>H25</f>
        <v>180</v>
      </c>
      <c r="L25" s="1596">
        <f>K25*$G25</f>
        <v>147.6</v>
      </c>
      <c r="M25" s="1589"/>
      <c r="N25" s="1793">
        <f>H25</f>
        <v>180</v>
      </c>
      <c r="O25" s="1754">
        <f>N25*$G25</f>
        <v>147.6</v>
      </c>
      <c r="P25" s="1718"/>
      <c r="Q25" s="32"/>
    </row>
    <row r="26" spans="1:33"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33"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376.86666666666662</v>
      </c>
      <c r="K27" s="1748"/>
      <c r="L27" s="1747"/>
      <c r="M27" s="1617">
        <f>SUM(L30:L33)</f>
        <v>472.26666666666665</v>
      </c>
      <c r="N27" s="1746"/>
      <c r="O27" s="1745"/>
      <c r="P27" s="1614">
        <f>SUM(O30:O33)</f>
        <v>748.92666666666662</v>
      </c>
      <c r="Q27" s="32"/>
    </row>
    <row r="28" spans="1:33"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33"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33" s="42" customFormat="1" ht="15" customHeight="1">
      <c r="A30" s="1306"/>
      <c r="B30" s="1776"/>
      <c r="C30" s="1775" t="s">
        <v>246</v>
      </c>
      <c r="D30" s="1723">
        <f>IF(SDÖ1!$U$17=TRUE,SDÖ1!O55,0)</f>
        <v>4.5333333333333332</v>
      </c>
      <c r="E30" s="1774">
        <v>1.65</v>
      </c>
      <c r="F30" s="1774"/>
      <c r="G30" s="1773">
        <v>20</v>
      </c>
      <c r="H30" s="1771">
        <f>IF(J$6=0,0,(J$6*$E30+$G30+X13))</f>
        <v>69.5</v>
      </c>
      <c r="I30" s="1754">
        <f>H30*$D30</f>
        <v>315.06666666666666</v>
      </c>
      <c r="J30" s="45"/>
      <c r="K30" s="1772">
        <f>IF(M$6=0,0,(M$6*$E30+$G30+AA14))</f>
        <v>86</v>
      </c>
      <c r="L30" s="1596">
        <f>K30*$D30</f>
        <v>389.86666666666667</v>
      </c>
      <c r="M30" s="1589"/>
      <c r="N30" s="1771">
        <f>IF(P$6=0,0,(P$6*$E30+$G30+AD14))</f>
        <v>133.85</v>
      </c>
      <c r="O30" s="1754">
        <f>N30*$D30</f>
        <v>606.78666666666663</v>
      </c>
      <c r="P30" s="1718"/>
      <c r="Q30" s="32"/>
    </row>
    <row r="31" spans="1:33" s="42" customFormat="1" ht="15" customHeight="1">
      <c r="A31" s="1306"/>
      <c r="B31" s="274"/>
      <c r="C31" s="1306" t="s">
        <v>244</v>
      </c>
      <c r="D31" s="1723">
        <f>IF(SDÖ1!$U$17=TRUE,SDÖ1!O56,0)</f>
        <v>1.3999999999999997</v>
      </c>
      <c r="E31" s="1774">
        <f>VLOOKUP('SD8'!B10,'SD8'!$B$9:$K$44,4,FALSE)</f>
        <v>0.8</v>
      </c>
      <c r="F31" s="1774"/>
      <c r="G31" s="1773"/>
      <c r="H31" s="1771">
        <f>IF(J$6=0,0,(J$6*$E31+$G31+X14))</f>
        <v>24</v>
      </c>
      <c r="I31" s="1754">
        <f>H31*$D31</f>
        <v>33.599999999999994</v>
      </c>
      <c r="J31" s="45"/>
      <c r="K31" s="1772">
        <f>IF(M$6=0,0,(M$6*$E31+$G31+Y14))</f>
        <v>32</v>
      </c>
      <c r="L31" s="1596">
        <f>K31*$D31</f>
        <v>44.79999999999999</v>
      </c>
      <c r="M31" s="1589"/>
      <c r="N31" s="1771">
        <f>IF(P$6=0,0,(P$6*$E31+$G31+Z14))</f>
        <v>55.2</v>
      </c>
      <c r="O31" s="1754">
        <f>N31*$D31</f>
        <v>77.279999999999987</v>
      </c>
      <c r="P31" s="1718"/>
      <c r="Q31" s="32"/>
    </row>
    <row r="32" spans="1:33" s="708" customFormat="1" ht="18.75" customHeight="1">
      <c r="A32" s="1270"/>
      <c r="B32" s="274"/>
      <c r="C32" s="1306" t="s">
        <v>242</v>
      </c>
      <c r="D32" s="1723">
        <f>IF(SDÖ1!$U$17=TRUE,SDÖ1!O57,0)</f>
        <v>1.3999999999999997</v>
      </c>
      <c r="E32" s="1774">
        <f>VLOOKUP('SD8'!B10,'SD8'!$B$9:$K$44,5,FALSE)</f>
        <v>0.6</v>
      </c>
      <c r="F32" s="1774"/>
      <c r="G32" s="1773"/>
      <c r="H32" s="1771">
        <f>IF(J$6=0,0,(J$6*$E32+$G32+X15))</f>
        <v>18</v>
      </c>
      <c r="I32" s="1754">
        <f>H32*$D32</f>
        <v>25.199999999999996</v>
      </c>
      <c r="J32" s="45"/>
      <c r="K32" s="1772">
        <f>IF(M$6=0,0,(M$6*$E32+$G32+Y15))</f>
        <v>24</v>
      </c>
      <c r="L32" s="1596">
        <f>K32*$D32</f>
        <v>33.599999999999994</v>
      </c>
      <c r="M32" s="1589"/>
      <c r="N32" s="1771">
        <f>IF(P$6=0,0,(P$6*$E32+$G32+Z15))</f>
        <v>41.4</v>
      </c>
      <c r="O32" s="1754">
        <f>N32*$D32</f>
        <v>57.959999999999987</v>
      </c>
      <c r="P32" s="1718"/>
      <c r="Q32" s="32"/>
    </row>
    <row r="33" spans="1:17" s="708" customFormat="1" ht="13.15" customHeight="1">
      <c r="A33" s="1270"/>
      <c r="B33" s="239"/>
      <c r="C33" s="1331" t="s">
        <v>240</v>
      </c>
      <c r="D33" s="1706">
        <f>IF(SDÖ1!$U$17=TRUE,SDÖ1!O58,0)</f>
        <v>0.5</v>
      </c>
      <c r="E33" s="3643">
        <f>VLOOKUP('SD8'!B10,'SD8'!$B$9:$K$44,6,FALSE)</f>
        <v>0.2</v>
      </c>
      <c r="F33" s="1770"/>
      <c r="G33" s="1769"/>
      <c r="H33" s="1767">
        <f>IF(J$6=0,0,(J$6*$E33+$G33+X16))</f>
        <v>6</v>
      </c>
      <c r="I33" s="1750">
        <f>H33*$D33</f>
        <v>3</v>
      </c>
      <c r="J33" s="45"/>
      <c r="K33" s="1768">
        <f>IF(M$6=0,0,(M$6*$E33+$G33+Y16))</f>
        <v>8</v>
      </c>
      <c r="L33" s="1590">
        <f>K33*$D33</f>
        <v>4</v>
      </c>
      <c r="M33" s="1589"/>
      <c r="N33" s="1767">
        <f>IF(P$6=0,0,(P$6*$E33+$G33+Z16))</f>
        <v>13.8</v>
      </c>
      <c r="O33" s="1750">
        <f>N33*$D33</f>
        <v>6.9</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167.07021355899158</v>
      </c>
      <c r="K43" s="1748"/>
      <c r="L43" s="1747"/>
      <c r="M43" s="1617">
        <f>SUM(M46:M57)</f>
        <v>172.45210400268905</v>
      </c>
      <c r="N43" s="1746"/>
      <c r="O43" s="1745"/>
      <c r="P43" s="1614">
        <f>SUM(P46:P57)</f>
        <v>188.05958628941178</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2</v>
      </c>
      <c r="I50" s="1719">
        <f t="shared" si="4"/>
        <v>0.54</v>
      </c>
      <c r="J50" s="1718">
        <f t="shared" si="5"/>
        <v>11.675802555294117</v>
      </c>
      <c r="K50" s="1720">
        <v>2</v>
      </c>
      <c r="L50" s="1722">
        <f t="shared" si="6"/>
        <v>0.54</v>
      </c>
      <c r="M50" s="1721">
        <f t="shared" si="7"/>
        <v>11.675802555294117</v>
      </c>
      <c r="N50" s="1720">
        <v>2</v>
      </c>
      <c r="O50" s="1719">
        <f t="shared" si="8"/>
        <v>0.54</v>
      </c>
      <c r="P50" s="1718">
        <f t="shared" si="9"/>
        <v>11.675802555294117</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t="s">
        <v>435</v>
      </c>
      <c r="D52" s="4836"/>
      <c r="E52" s="1725">
        <f>IF($C52=0,0,VLOOKUP($C52,SDÖ3!$C$24:$O$99,4,FALSE))</f>
        <v>83</v>
      </c>
      <c r="F52" s="1724">
        <f>IF($C52=0,0,VLOOKUP($C52,SDÖ3!$C$24:$O$99,12,FALSE))</f>
        <v>0.4</v>
      </c>
      <c r="G52" s="1723">
        <f>IF($C52=0,0,VLOOKUP($C52,SDÖ3!$C$24:$O$99,13,FALSE))</f>
        <v>6.8857796705882359</v>
      </c>
      <c r="H52" s="1720">
        <f>J6/40+0.3</f>
        <v>1.05</v>
      </c>
      <c r="I52" s="1719">
        <f t="shared" si="4"/>
        <v>0.42000000000000004</v>
      </c>
      <c r="J52" s="1718">
        <f t="shared" si="5"/>
        <v>7.2300686541176482</v>
      </c>
      <c r="K52" s="1720">
        <f>M6/40+0.3</f>
        <v>1.3</v>
      </c>
      <c r="L52" s="1722">
        <f t="shared" si="6"/>
        <v>0.52</v>
      </c>
      <c r="M52" s="1721">
        <f t="shared" si="7"/>
        <v>8.951513571764707</v>
      </c>
      <c r="N52" s="1720">
        <f>P6/40+0.3</f>
        <v>2.0249999999999999</v>
      </c>
      <c r="O52" s="1719">
        <f t="shared" si="8"/>
        <v>0.81</v>
      </c>
      <c r="P52" s="1718">
        <f t="shared" si="9"/>
        <v>13.943703832941177</v>
      </c>
      <c r="Q52" s="32"/>
    </row>
    <row r="53" spans="1:17" s="42" customFormat="1" ht="15" customHeight="1">
      <c r="A53" s="1306"/>
      <c r="B53" s="1726"/>
      <c r="C53" s="4835" t="s">
        <v>508</v>
      </c>
      <c r="D53" s="4836"/>
      <c r="E53" s="1725">
        <f>IF($C53=0,0,VLOOKUP($C53,SDÖ3!$C$24:$O$99,4,FALSE))</f>
        <v>102</v>
      </c>
      <c r="F53" s="1724">
        <f>IF($C53=0,0,VLOOKUP($C53,SDÖ3!$C$24:$O$99,12,FALSE))</f>
        <v>0.54</v>
      </c>
      <c r="G53" s="1723">
        <f>IF($C53=0,0,VLOOKUP($C53,SDÖ3!$C$24:$O$99,13,FALSE))</f>
        <v>16.377695200000002</v>
      </c>
      <c r="H53" s="1720">
        <v>2</v>
      </c>
      <c r="I53" s="1719">
        <f t="shared" si="4"/>
        <v>1.08</v>
      </c>
      <c r="J53" s="1718">
        <f t="shared" si="5"/>
        <v>32.755390400000003</v>
      </c>
      <c r="K53" s="1720">
        <v>2</v>
      </c>
      <c r="L53" s="1722">
        <f t="shared" si="6"/>
        <v>1.08</v>
      </c>
      <c r="M53" s="1721">
        <f t="shared" si="7"/>
        <v>32.755390400000003</v>
      </c>
      <c r="N53" s="1720">
        <v>2</v>
      </c>
      <c r="O53" s="1719">
        <f t="shared" si="8"/>
        <v>1.08</v>
      </c>
      <c r="P53" s="1718">
        <f t="shared" si="9"/>
        <v>32.755390400000003</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0.68571428571428572</v>
      </c>
      <c r="I57" s="1703">
        <f t="shared" si="4"/>
        <v>0.68571428571428572</v>
      </c>
      <c r="J57" s="1702">
        <f t="shared" si="5"/>
        <v>10.981336578151261</v>
      </c>
      <c r="K57" s="3687">
        <f>K11/35</f>
        <v>0.91428571428571426</v>
      </c>
      <c r="L57" s="1705">
        <f t="shared" si="6"/>
        <v>0.91428571428571426</v>
      </c>
      <c r="M57" s="1652">
        <f t="shared" si="7"/>
        <v>14.641782104201681</v>
      </c>
      <c r="N57" s="3686">
        <f>N11/35</f>
        <v>1.5771428571428572</v>
      </c>
      <c r="O57" s="1703">
        <f t="shared" si="8"/>
        <v>1.5771428571428572</v>
      </c>
      <c r="P57" s="1702">
        <f t="shared" si="9"/>
        <v>25.257074129747899</v>
      </c>
      <c r="Q57" s="3678"/>
    </row>
    <row r="58" spans="1:17" s="708" customFormat="1" ht="18.75" customHeight="1">
      <c r="A58" s="1270"/>
      <c r="B58" s="1276" t="s">
        <v>1223</v>
      </c>
      <c r="C58" s="1373"/>
      <c r="D58" s="1373"/>
      <c r="E58" s="1373"/>
      <c r="F58" s="38"/>
      <c r="G58" s="1620"/>
      <c r="H58" s="1697"/>
      <c r="I58" s="1696">
        <f>SUM($I$46:$I$57)</f>
        <v>5.7857142857142856</v>
      </c>
      <c r="J58" s="1701"/>
      <c r="K58" s="1700"/>
      <c r="L58" s="1699">
        <f>SUM($L$46:$L$57)</f>
        <v>6.1142857142857139</v>
      </c>
      <c r="M58" s="1698"/>
      <c r="N58" s="1697"/>
      <c r="O58" s="1696">
        <f>SUM($O$46:$O$57)</f>
        <v>7.0671428571428576</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10.414285714285715</v>
      </c>
      <c r="J59" s="1686"/>
      <c r="K59" s="1691"/>
      <c r="L59" s="1690">
        <f>IF(L58+SUM($L$46:$L$57)*$E$59%&gt;L58+10,L58+10,L58+SUM($L$46:$L$57)*$E$59%)</f>
        <v>11.005714285714285</v>
      </c>
      <c r="M59" s="1689"/>
      <c r="N59" s="1688"/>
      <c r="O59" s="1687">
        <f>IF(O58+SUM($O$46:$O$57)*$E$59%&gt;O58+10,O58+10,O58+SUM($O$46:$O$57)*$E$59%)</f>
        <v>12.720857142857145</v>
      </c>
      <c r="P59" s="1686"/>
      <c r="Q59" s="32"/>
    </row>
    <row r="60" spans="1:17" s="65" customFormat="1" ht="18.75" customHeight="1">
      <c r="A60" s="1373"/>
      <c r="B60" s="1276" t="s">
        <v>1220</v>
      </c>
      <c r="C60" s="1373"/>
      <c r="D60" s="1373"/>
      <c r="E60" s="45"/>
      <c r="F60" s="45"/>
      <c r="G60" s="1685"/>
      <c r="H60" s="3960"/>
      <c r="I60" s="3959"/>
      <c r="J60" s="1684">
        <f>IF(J6=0,0,SUM(I62:I64))</f>
        <v>196</v>
      </c>
      <c r="K60" s="3962"/>
      <c r="L60" s="3961"/>
      <c r="M60" s="1617">
        <f>IF(M6=0,0,SUM(L62:L64))</f>
        <v>216</v>
      </c>
      <c r="N60" s="3960"/>
      <c r="O60" s="3959"/>
      <c r="P60" s="1684">
        <f>IF(P6=0,0,SUM(O62:O64))</f>
        <v>274</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60</v>
      </c>
      <c r="J64" s="227"/>
      <c r="K64" s="1654"/>
      <c r="L64" s="1653">
        <f>K11*$G$64</f>
        <v>80</v>
      </c>
      <c r="M64" s="1652"/>
      <c r="N64" s="1651"/>
      <c r="O64" s="1650">
        <f>N11*$G$64</f>
        <v>138</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54.150000000000006</v>
      </c>
      <c r="K67" s="1641" t="s">
        <v>1217</v>
      </c>
      <c r="L67" s="1640" t="s">
        <v>1216</v>
      </c>
      <c r="M67" s="1617">
        <f>S68*(K9+K10)*L68%+F68</f>
        <v>72.2</v>
      </c>
      <c r="N67" s="1639" t="s">
        <v>1217</v>
      </c>
      <c r="O67" s="1638" t="s">
        <v>1216</v>
      </c>
      <c r="P67" s="1614">
        <f>T68*(N9+N10)*O68%+F68</f>
        <v>124.54500000000002</v>
      </c>
      <c r="Q67" s="32"/>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16.9312</v>
      </c>
      <c r="K69" s="1630"/>
      <c r="L69" s="1629"/>
      <c r="M69" s="1617">
        <f>K70*$F70/1000</f>
        <v>22.574933333333334</v>
      </c>
      <c r="N69" s="44"/>
      <c r="O69" s="73"/>
      <c r="P69" s="1614">
        <f>N70*$F70/1000</f>
        <v>38.941760000000002</v>
      </c>
      <c r="Q69" s="32"/>
    </row>
    <row r="70" spans="1:20" s="708" customFormat="1" ht="15" customHeight="1">
      <c r="A70" s="1270"/>
      <c r="B70" s="1332"/>
      <c r="C70" s="1331" t="s">
        <v>896</v>
      </c>
      <c r="D70" s="353"/>
      <c r="E70" s="280"/>
      <c r="F70" s="1628">
        <f>'SDK7'!G102</f>
        <v>16</v>
      </c>
      <c r="G70" s="1627" t="s">
        <v>171</v>
      </c>
      <c r="H70" s="1623">
        <f>I9+I10</f>
        <v>1058.2</v>
      </c>
      <c r="I70" s="1622"/>
      <c r="J70" s="1621"/>
      <c r="K70" s="1626">
        <f>L9+L10</f>
        <v>1410.9333333333334</v>
      </c>
      <c r="L70" s="1625"/>
      <c r="M70" s="1624"/>
      <c r="N70" s="1623">
        <f>O9+O10</f>
        <v>2433.86</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1.7" customHeight="1">
      <c r="A75" s="1270"/>
      <c r="B75" s="4837" t="s">
        <v>1210</v>
      </c>
      <c r="C75" s="4838"/>
      <c r="D75" s="1585" t="s">
        <v>1209</v>
      </c>
      <c r="E75" s="1584">
        <f>'SDK1'!$O$59/100</f>
        <v>1.4999999999999999E-2</v>
      </c>
      <c r="F75" s="1583" t="s">
        <v>1208</v>
      </c>
      <c r="G75" s="1582">
        <v>7</v>
      </c>
      <c r="H75" s="1580"/>
      <c r="I75" s="1581"/>
      <c r="J75" s="1578">
        <f>(J23+J27+J34+J43+J60+J65+J67+J69+J71)*('SDK1'!$O$59%*$G$75/12)</f>
        <v>8.3879082019745077</v>
      </c>
      <c r="K75" s="3063"/>
      <c r="L75" s="1056"/>
      <c r="M75" s="1578">
        <f>(M23+M27+M34+M43+M60+M65+M67+M69+M71)*('SDK1'!$O$59%*$G$75/12)</f>
        <v>9.6520699100235277</v>
      </c>
      <c r="N75" s="1580"/>
      <c r="O75" s="1579"/>
      <c r="P75" s="1578">
        <f>(P23+P27+P34+P43+P60+P65+P67+P69+P71)*('SDK1'!$O$59%*$G$75/12)</f>
        <v>13.318138863365684</v>
      </c>
      <c r="Q75" s="32"/>
    </row>
    <row r="76" spans="1:20">
      <c r="L76" s="33"/>
    </row>
    <row r="77" spans="1:20">
      <c r="L77" s="33"/>
      <c r="N77" s="3636"/>
      <c r="O77" s="3636"/>
      <c r="P77" s="3636"/>
    </row>
    <row r="78" spans="1:20" ht="14.25">
      <c r="C78" s="4921" t="s">
        <v>1946</v>
      </c>
      <c r="D78" s="4922"/>
      <c r="E78" s="4922"/>
      <c r="F78" s="4923"/>
      <c r="G78" s="3636"/>
      <c r="H78" s="3636"/>
      <c r="I78" s="3636"/>
      <c r="J78" s="3636"/>
      <c r="K78" s="3636"/>
      <c r="L78" s="3636"/>
      <c r="M78" s="3636"/>
      <c r="N78" s="3636"/>
      <c r="O78" s="3636"/>
      <c r="P78" s="3636"/>
    </row>
    <row r="79" spans="1:20">
      <c r="C79" s="4913" t="s">
        <v>295</v>
      </c>
      <c r="D79" s="4914"/>
      <c r="E79" s="4914"/>
      <c r="F79" s="4915"/>
      <c r="G79" s="3636"/>
      <c r="H79" s="3636"/>
      <c r="I79" s="3636"/>
      <c r="J79" s="3636"/>
      <c r="K79" s="3636"/>
      <c r="L79" s="3636"/>
      <c r="M79" s="3636"/>
      <c r="N79" s="3636"/>
      <c r="O79" s="3636"/>
      <c r="P79" s="3636"/>
    </row>
    <row r="80" spans="1:20" ht="14.25">
      <c r="B80" s="3078"/>
      <c r="C80" s="3074" t="s">
        <v>1942</v>
      </c>
      <c r="D80" s="3075"/>
      <c r="E80" s="3075"/>
      <c r="F80" s="3076"/>
      <c r="G80" s="3636"/>
      <c r="H80" s="3636"/>
      <c r="I80" s="3636"/>
      <c r="J80" s="3636"/>
      <c r="K80" s="3636"/>
      <c r="L80" s="3636"/>
      <c r="M80" s="3636"/>
      <c r="N80" s="3636"/>
      <c r="O80" s="3636"/>
      <c r="P80" s="3636"/>
    </row>
    <row r="81" spans="2:17" ht="14.25">
      <c r="B81" s="3078"/>
      <c r="C81" s="3074" t="s">
        <v>1943</v>
      </c>
      <c r="D81" s="3075"/>
      <c r="E81" s="3075"/>
      <c r="F81" s="3076"/>
      <c r="G81" s="3636"/>
      <c r="H81" s="3636"/>
      <c r="I81" s="3636"/>
      <c r="J81" s="3636"/>
      <c r="K81" s="3636"/>
      <c r="L81" s="3636"/>
      <c r="M81" s="3636"/>
      <c r="N81" s="3636"/>
      <c r="O81" s="3636"/>
      <c r="P81" s="3636"/>
    </row>
    <row r="82" spans="2:17">
      <c r="B82" s="3078"/>
      <c r="C82" s="3066" t="s">
        <v>294</v>
      </c>
      <c r="D82" s="3067"/>
      <c r="E82" s="3067"/>
      <c r="F82" s="3068"/>
      <c r="G82" s="3636"/>
      <c r="H82" s="3636"/>
      <c r="I82" s="3636"/>
      <c r="J82" s="3636"/>
      <c r="K82" s="3636"/>
      <c r="L82" s="3636"/>
      <c r="M82" s="3636"/>
      <c r="N82" s="3636"/>
      <c r="O82" s="3636"/>
      <c r="P82" s="3636"/>
    </row>
    <row r="83" spans="2:17" ht="14.25">
      <c r="B83" s="3078"/>
      <c r="C83" s="3074" t="s">
        <v>1944</v>
      </c>
      <c r="D83" s="3075"/>
      <c r="E83" s="3075"/>
      <c r="F83" s="3076"/>
      <c r="G83" s="3636"/>
      <c r="H83" s="3636"/>
      <c r="I83" s="3636"/>
      <c r="J83" s="3636"/>
      <c r="K83" s="3636"/>
      <c r="L83" s="3636"/>
      <c r="M83" s="3636"/>
      <c r="N83" s="3636"/>
      <c r="O83" s="3636"/>
      <c r="P83" s="3636"/>
    </row>
    <row r="84" spans="2:17" ht="14.25">
      <c r="B84" s="3078"/>
      <c r="C84" s="3074" t="s">
        <v>1945</v>
      </c>
      <c r="D84" s="3075"/>
      <c r="E84" s="3075"/>
      <c r="F84" s="3076"/>
      <c r="G84" s="3636"/>
      <c r="H84" s="3636"/>
      <c r="I84" s="3636"/>
      <c r="J84" s="3636"/>
      <c r="L84" s="3636"/>
      <c r="M84" s="3636"/>
      <c r="N84" s="3636"/>
      <c r="O84" s="3636"/>
      <c r="P84" s="3636"/>
    </row>
    <row r="85" spans="2:17">
      <c r="B85" s="3078"/>
      <c r="C85" s="3066" t="s">
        <v>293</v>
      </c>
      <c r="D85" s="3067"/>
      <c r="E85" s="3067"/>
      <c r="F85" s="3068"/>
      <c r="G85" s="3636"/>
      <c r="H85" s="3636"/>
      <c r="I85" s="3636"/>
      <c r="J85" s="3636"/>
      <c r="K85" s="3636"/>
      <c r="L85" s="3636"/>
      <c r="M85" s="3636"/>
      <c r="N85" s="3636"/>
      <c r="O85" s="3636"/>
      <c r="P85" s="3636"/>
    </row>
    <row r="86" spans="2:17">
      <c r="B86" s="3078"/>
      <c r="C86" s="3066" t="s">
        <v>292</v>
      </c>
      <c r="D86" s="3067"/>
      <c r="E86" s="3067"/>
      <c r="F86" s="3068"/>
      <c r="G86" s="3636"/>
      <c r="H86" s="3636"/>
      <c r="I86" s="3636"/>
      <c r="J86" s="3636"/>
      <c r="K86" s="3636"/>
      <c r="L86" s="3636"/>
      <c r="M86" s="3636"/>
      <c r="N86" s="3636"/>
      <c r="O86" s="3636"/>
      <c r="P86" s="3636"/>
      <c r="Q86" s="3636"/>
    </row>
    <row r="87" spans="2:17" ht="14.25">
      <c r="B87" s="3078"/>
      <c r="C87" s="3066" t="s">
        <v>291</v>
      </c>
      <c r="D87" s="3067"/>
      <c r="E87" s="3067"/>
      <c r="F87" s="3068"/>
      <c r="G87" s="3636"/>
      <c r="H87" s="3636"/>
      <c r="I87" s="3636"/>
      <c r="J87" s="3636"/>
      <c r="K87" s="3636"/>
      <c r="L87" s="3636"/>
      <c r="M87" s="3636"/>
      <c r="N87" s="3636"/>
      <c r="O87" s="3636"/>
      <c r="P87" s="3636"/>
    </row>
    <row r="88" spans="2:17" ht="13.15" customHeight="1">
      <c r="B88" s="3078"/>
      <c r="C88" s="3066" t="s">
        <v>290</v>
      </c>
      <c r="D88" s="3069"/>
      <c r="E88" s="3069"/>
      <c r="F88" s="3070"/>
      <c r="G88" s="3636"/>
      <c r="H88" s="3636"/>
      <c r="I88" s="3636"/>
      <c r="J88" s="3636"/>
      <c r="K88" s="3636"/>
      <c r="L88" s="3636"/>
      <c r="M88" s="3636"/>
      <c r="N88" s="3636"/>
      <c r="O88" s="3636"/>
      <c r="P88" s="3636"/>
    </row>
    <row r="89" spans="2:17">
      <c r="B89" s="3078"/>
      <c r="C89" s="3066" t="s">
        <v>289</v>
      </c>
      <c r="D89" s="3069"/>
      <c r="E89" s="3069"/>
      <c r="F89" s="3070"/>
      <c r="G89" s="3636"/>
      <c r="H89" s="3636"/>
      <c r="I89" s="3636"/>
      <c r="J89" s="3636"/>
      <c r="K89" s="3636"/>
      <c r="L89" s="3636"/>
      <c r="M89" s="3636"/>
      <c r="N89" s="3636"/>
      <c r="O89" s="3636"/>
      <c r="P89" s="3636"/>
    </row>
    <row r="90" spans="2:17" ht="25.5">
      <c r="B90" s="3078"/>
      <c r="C90" s="3071" t="s">
        <v>288</v>
      </c>
      <c r="D90" s="3072"/>
      <c r="E90" s="3072"/>
      <c r="F90" s="3073"/>
      <c r="G90" s="3636"/>
      <c r="H90" s="3636"/>
      <c r="I90" s="3636"/>
      <c r="J90" s="3636"/>
      <c r="K90" s="3636"/>
      <c r="L90" s="3636"/>
      <c r="M90" s="3636"/>
      <c r="N90" s="3636"/>
      <c r="O90" s="3636"/>
      <c r="P90" s="3636"/>
    </row>
    <row r="91" spans="2:17">
      <c r="C91" s="2538"/>
      <c r="D91" s="2538"/>
      <c r="E91" s="2538"/>
      <c r="G91" s="3636"/>
      <c r="H91" s="3636"/>
      <c r="I91" s="3636"/>
      <c r="J91" s="3636"/>
      <c r="K91" s="3636"/>
      <c r="L91" s="3636"/>
      <c r="M91" s="3636"/>
      <c r="N91" s="3636"/>
      <c r="O91" s="3636"/>
      <c r="P91" s="3636"/>
    </row>
    <row r="92" spans="2:17">
      <c r="C92" s="2538"/>
      <c r="D92" s="2538"/>
      <c r="E92" s="2538"/>
      <c r="G92" s="3636"/>
      <c r="H92" s="3636"/>
      <c r="I92" s="3636"/>
      <c r="J92" s="3636"/>
      <c r="K92" s="3636"/>
      <c r="L92" s="3636"/>
      <c r="M92" s="3636"/>
      <c r="N92" s="3636"/>
      <c r="O92" s="3636"/>
      <c r="P92" s="3636"/>
    </row>
    <row r="93" spans="2:17">
      <c r="C93" s="2538"/>
      <c r="D93" s="2538"/>
      <c r="E93" s="2538"/>
      <c r="G93" s="3636"/>
      <c r="H93" s="3636"/>
      <c r="I93" s="3636"/>
      <c r="J93" s="3636"/>
      <c r="K93" s="3636"/>
      <c r="L93" s="3636"/>
      <c r="M93" s="3636"/>
      <c r="N93" s="3636"/>
      <c r="O93" s="3636"/>
      <c r="P93" s="3636"/>
    </row>
    <row r="94" spans="2:17">
      <c r="C94" s="2538"/>
      <c r="D94" s="2538"/>
      <c r="E94" s="2538"/>
      <c r="G94" s="3636"/>
      <c r="H94" s="3636"/>
      <c r="I94" s="3636"/>
      <c r="J94" s="3636"/>
      <c r="K94" s="3636"/>
      <c r="L94" s="3636"/>
      <c r="M94" s="3636"/>
      <c r="N94" s="3636"/>
      <c r="O94" s="3636"/>
      <c r="P94" s="3636"/>
    </row>
    <row r="95" spans="2:17">
      <c r="C95" s="2538"/>
      <c r="D95" s="2538"/>
      <c r="E95" s="2538"/>
      <c r="G95" s="3636"/>
      <c r="H95" s="3636"/>
      <c r="I95" s="3636"/>
      <c r="J95" s="3636"/>
      <c r="K95" s="3636"/>
      <c r="L95" s="3636"/>
      <c r="M95" s="3636"/>
      <c r="N95" s="3636"/>
      <c r="O95" s="3636"/>
      <c r="P95" s="3636"/>
    </row>
    <row r="96" spans="2:17">
      <c r="C96" s="2538"/>
      <c r="D96" s="2538"/>
      <c r="E96" s="2538"/>
      <c r="G96" s="3636"/>
      <c r="H96" s="3636"/>
      <c r="I96" s="3636"/>
      <c r="J96" s="3636"/>
      <c r="K96" s="3636"/>
      <c r="L96" s="3636"/>
      <c r="M96" s="3636"/>
      <c r="N96" s="3636"/>
      <c r="O96" s="3636"/>
      <c r="P96" s="3636"/>
    </row>
    <row r="97" spans="2:16">
      <c r="C97" s="2538"/>
      <c r="D97" s="2538"/>
      <c r="E97" s="2538"/>
      <c r="G97" s="3636"/>
      <c r="H97" s="3636"/>
      <c r="I97" s="3636"/>
      <c r="J97" s="3636"/>
      <c r="K97" s="3636"/>
      <c r="L97" s="3636"/>
      <c r="M97" s="3636"/>
      <c r="N97" s="3636"/>
      <c r="O97" s="3636"/>
      <c r="P97" s="3636"/>
    </row>
    <row r="98" spans="2:16">
      <c r="C98" s="2538"/>
      <c r="D98" s="2538"/>
      <c r="E98" s="2538"/>
      <c r="G98" s="3636"/>
      <c r="H98" s="3636"/>
      <c r="I98" s="3636"/>
      <c r="J98" s="3636"/>
      <c r="K98" s="3636"/>
      <c r="L98" s="3636"/>
      <c r="M98" s="3636"/>
      <c r="N98" s="3636"/>
      <c r="O98" s="3636"/>
      <c r="P98" s="3636"/>
    </row>
    <row r="99" spans="2:16">
      <c r="B99" s="33"/>
      <c r="C99" s="2538"/>
      <c r="D99" s="2538"/>
      <c r="E99" s="2538"/>
      <c r="G99" s="3636"/>
      <c r="H99" s="3636"/>
      <c r="I99" s="3636"/>
      <c r="J99" s="3636"/>
      <c r="K99" s="3636"/>
      <c r="L99" s="3636"/>
      <c r="M99" s="3636"/>
      <c r="N99" s="3636"/>
      <c r="O99" s="3636"/>
      <c r="P99" s="3636"/>
    </row>
    <row r="100" spans="2:16">
      <c r="B100" s="33"/>
      <c r="C100" s="33"/>
      <c r="D100" s="33"/>
      <c r="G100" s="3636"/>
      <c r="H100" s="3636"/>
      <c r="I100" s="3636"/>
      <c r="J100" s="3636"/>
      <c r="K100" s="3636"/>
      <c r="L100" s="3636"/>
      <c r="M100" s="3636"/>
      <c r="N100" s="3636"/>
      <c r="O100" s="3636"/>
      <c r="P100" s="3636"/>
    </row>
    <row r="101" spans="2:16">
      <c r="B101" s="33"/>
      <c r="C101" s="33"/>
      <c r="D101" s="33"/>
      <c r="G101" s="3636"/>
      <c r="H101" s="3636"/>
      <c r="I101" s="3636"/>
      <c r="J101" s="3636"/>
      <c r="K101" s="3636"/>
      <c r="L101" s="3636"/>
      <c r="M101" s="3636"/>
      <c r="N101" s="3636"/>
      <c r="O101" s="3636"/>
      <c r="P101" s="3636"/>
    </row>
    <row r="102" spans="2:16">
      <c r="B102" s="33"/>
      <c r="C102" s="33"/>
      <c r="D102" s="33"/>
      <c r="G102" s="3636"/>
      <c r="H102" s="3636"/>
      <c r="I102" s="3636"/>
      <c r="J102" s="3636"/>
      <c r="K102" s="3636"/>
      <c r="L102" s="3636"/>
      <c r="M102" s="3636"/>
      <c r="N102" s="3636"/>
      <c r="O102" s="3636"/>
      <c r="P102" s="3636"/>
    </row>
    <row r="103" spans="2:16">
      <c r="B103" s="33"/>
      <c r="C103" s="33"/>
      <c r="D103" s="33"/>
      <c r="G103" s="3636"/>
      <c r="H103" s="3636"/>
      <c r="I103" s="3636"/>
      <c r="J103" s="3636"/>
      <c r="K103" s="3636"/>
      <c r="L103" s="3636"/>
      <c r="M103" s="3636"/>
      <c r="N103" s="3636"/>
      <c r="O103" s="3636"/>
      <c r="P103" s="3636"/>
    </row>
    <row r="104" spans="2:16">
      <c r="B104" s="33"/>
      <c r="C104" s="33"/>
      <c r="D104" s="33"/>
      <c r="G104" s="3636"/>
      <c r="H104" s="3636"/>
      <c r="I104" s="3636"/>
      <c r="J104" s="3636"/>
      <c r="K104" s="3636"/>
      <c r="L104" s="3636"/>
      <c r="M104" s="3636"/>
      <c r="N104" s="3636"/>
      <c r="O104" s="3636"/>
      <c r="P104" s="3636"/>
    </row>
    <row r="105" spans="2:16">
      <c r="B105" s="33"/>
      <c r="C105" s="33"/>
      <c r="D105" s="33"/>
      <c r="G105" s="3636"/>
      <c r="H105" s="3636"/>
      <c r="I105" s="3636"/>
      <c r="J105" s="3636"/>
      <c r="K105" s="3636"/>
      <c r="L105" s="3636"/>
      <c r="M105" s="3636"/>
      <c r="N105" s="3636"/>
      <c r="O105" s="3636"/>
      <c r="P105" s="3636"/>
    </row>
    <row r="106" spans="2:16">
      <c r="B106" s="33"/>
      <c r="C106" s="33"/>
      <c r="D106" s="33"/>
      <c r="G106" s="3636"/>
      <c r="H106" s="3636"/>
      <c r="I106" s="3636"/>
      <c r="J106" s="3636"/>
      <c r="K106" s="3636"/>
      <c r="L106" s="3636"/>
      <c r="M106" s="3636"/>
      <c r="N106" s="3636"/>
      <c r="O106" s="3636"/>
      <c r="P106" s="3636"/>
    </row>
    <row r="107" spans="2:16">
      <c r="B107" s="33"/>
      <c r="C107" s="33"/>
      <c r="D107" s="33"/>
      <c r="G107" s="3636"/>
      <c r="H107" s="3636"/>
      <c r="I107" s="3636"/>
      <c r="J107" s="3636"/>
      <c r="K107" s="3636"/>
      <c r="L107" s="3636"/>
      <c r="M107" s="3636"/>
      <c r="N107" s="3636"/>
      <c r="O107" s="3636"/>
      <c r="P107" s="3636"/>
    </row>
    <row r="108" spans="2:16">
      <c r="G108" s="3636"/>
      <c r="H108" s="3636"/>
      <c r="I108" s="3636"/>
      <c r="J108" s="3636"/>
      <c r="K108" s="3636"/>
      <c r="L108" s="3636"/>
      <c r="M108" s="3636"/>
      <c r="N108" s="3636"/>
      <c r="O108" s="3636"/>
      <c r="P108" s="3636"/>
    </row>
    <row r="109" spans="2:16">
      <c r="G109" s="3636"/>
      <c r="H109" s="3636"/>
      <c r="I109" s="3636"/>
      <c r="J109" s="3636"/>
      <c r="K109" s="3636"/>
      <c r="L109" s="3636"/>
      <c r="M109" s="3636"/>
      <c r="N109" s="3636"/>
      <c r="O109" s="3636"/>
      <c r="P109" s="3636"/>
    </row>
    <row r="110" spans="2:16">
      <c r="G110" s="3636"/>
      <c r="H110" s="3636"/>
      <c r="I110" s="3636"/>
      <c r="J110" s="3636"/>
      <c r="K110" s="3636"/>
      <c r="L110" s="3636"/>
      <c r="M110" s="3636"/>
      <c r="N110" s="3636"/>
      <c r="O110" s="3636"/>
      <c r="P110" s="3636"/>
    </row>
    <row r="111" spans="2:16">
      <c r="G111" s="3636"/>
      <c r="H111" s="3636"/>
      <c r="I111" s="3636"/>
      <c r="J111" s="3636"/>
      <c r="K111" s="3636"/>
      <c r="L111" s="3636"/>
      <c r="M111" s="3636"/>
      <c r="N111" s="3636"/>
      <c r="O111" s="3636"/>
      <c r="P111" s="3636"/>
    </row>
    <row r="112" spans="2:16">
      <c r="G112" s="3636"/>
      <c r="H112" s="3636"/>
      <c r="I112" s="3636"/>
      <c r="J112" s="3636"/>
      <c r="K112" s="3636"/>
      <c r="L112" s="3636"/>
      <c r="M112" s="3636"/>
      <c r="N112" s="3636"/>
      <c r="O112" s="3636"/>
      <c r="P112" s="3636"/>
    </row>
    <row r="113" spans="2:17">
      <c r="G113" s="3636"/>
      <c r="H113" s="3636"/>
      <c r="I113" s="3636"/>
      <c r="J113" s="3636"/>
      <c r="K113" s="3636"/>
      <c r="L113" s="3636"/>
      <c r="M113" s="3636"/>
      <c r="N113" s="3636"/>
      <c r="O113" s="3636"/>
      <c r="P113" s="3636"/>
    </row>
    <row r="114" spans="2:17">
      <c r="G114" s="3636"/>
      <c r="H114" s="3636"/>
      <c r="I114" s="3636"/>
      <c r="J114" s="3636"/>
      <c r="K114" s="3636"/>
      <c r="L114" s="3636"/>
      <c r="M114" s="3636"/>
      <c r="N114" s="3636"/>
      <c r="O114" s="3636"/>
      <c r="P114" s="3636"/>
    </row>
    <row r="115" spans="2:17">
      <c r="G115" s="3636"/>
      <c r="H115" s="3636"/>
      <c r="I115" s="3636"/>
      <c r="J115" s="3636"/>
      <c r="K115" s="3636"/>
      <c r="L115" s="3636"/>
      <c r="M115" s="3636"/>
      <c r="N115" s="3636"/>
      <c r="O115" s="3636"/>
      <c r="P115" s="3636"/>
    </row>
    <row r="116" spans="2:17">
      <c r="G116" s="3636"/>
      <c r="H116" s="3636"/>
      <c r="I116" s="3636"/>
      <c r="J116" s="3636"/>
      <c r="K116" s="3636"/>
      <c r="L116" s="3636"/>
      <c r="M116" s="3636"/>
      <c r="N116" s="3636"/>
      <c r="O116" s="3636"/>
      <c r="P116" s="3636"/>
    </row>
    <row r="117" spans="2:17">
      <c r="G117" s="3636"/>
      <c r="H117" s="3636"/>
      <c r="I117" s="3636"/>
      <c r="J117" s="3636"/>
      <c r="K117" s="3636"/>
      <c r="L117" s="3636"/>
      <c r="M117" s="3636"/>
      <c r="N117" s="3636"/>
      <c r="O117" s="3636"/>
      <c r="P117" s="3636"/>
    </row>
    <row r="118" spans="2:17">
      <c r="B118" s="622"/>
      <c r="C118" s="33"/>
      <c r="G118" s="3636"/>
      <c r="H118" s="3636"/>
      <c r="I118" s="3636"/>
      <c r="J118" s="3636"/>
      <c r="K118" s="3636"/>
      <c r="L118" s="3636"/>
      <c r="M118" s="3636"/>
      <c r="N118" s="3636"/>
      <c r="O118" s="3636"/>
      <c r="P118" s="3636"/>
    </row>
    <row r="119" spans="2:17">
      <c r="B119" s="622"/>
      <c r="C119" s="33"/>
      <c r="G119" s="3636"/>
      <c r="H119" s="3636"/>
      <c r="I119" s="3636"/>
      <c r="J119" s="3636"/>
      <c r="K119" s="3636"/>
      <c r="L119" s="3636"/>
      <c r="M119" s="3636"/>
      <c r="N119" s="3636"/>
      <c r="O119" s="3636"/>
      <c r="P119" s="3636"/>
    </row>
    <row r="120" spans="2:17">
      <c r="B120" s="622"/>
      <c r="C120" s="33"/>
      <c r="G120" s="3636"/>
      <c r="H120" s="3636"/>
      <c r="I120" s="3636"/>
      <c r="J120" s="3636"/>
      <c r="K120" s="3636"/>
      <c r="L120" s="3636"/>
      <c r="M120" s="3636"/>
      <c r="N120" s="3636"/>
      <c r="O120" s="3636"/>
      <c r="P120" s="3636"/>
    </row>
    <row r="121" spans="2:17">
      <c r="B121" s="622"/>
      <c r="C121" s="33"/>
      <c r="G121" s="3636"/>
      <c r="H121" s="3636"/>
      <c r="I121" s="3636"/>
      <c r="J121" s="3636"/>
      <c r="K121" s="3636"/>
      <c r="L121" s="3636"/>
      <c r="M121" s="3636"/>
      <c r="N121" s="3636"/>
      <c r="O121" s="3636"/>
      <c r="P121" s="3636"/>
    </row>
    <row r="122" spans="2:17">
      <c r="B122" s="622"/>
      <c r="C122" s="33"/>
      <c r="G122" s="3636"/>
      <c r="H122" s="3636"/>
      <c r="I122" s="3636"/>
      <c r="J122" s="3636"/>
      <c r="K122" s="3636"/>
      <c r="L122" s="3636"/>
      <c r="M122" s="3636"/>
      <c r="N122" s="3636"/>
      <c r="O122" s="3636"/>
      <c r="P122" s="3636"/>
    </row>
    <row r="123" spans="2:17">
      <c r="B123" s="622"/>
      <c r="C123" s="33"/>
      <c r="G123" s="3636"/>
      <c r="H123" s="3636"/>
      <c r="I123" s="3636"/>
      <c r="J123" s="3636"/>
      <c r="K123" s="3636"/>
      <c r="L123" s="3636"/>
      <c r="M123" s="3636"/>
      <c r="N123" s="3636"/>
      <c r="O123" s="3636"/>
      <c r="P123" s="3636"/>
    </row>
    <row r="124" spans="2:17">
      <c r="B124" s="622"/>
      <c r="C124" s="33"/>
      <c r="G124" s="3636"/>
      <c r="H124" s="3636"/>
      <c r="I124" s="3636"/>
      <c r="J124" s="3636"/>
      <c r="K124" s="3636"/>
      <c r="L124" s="3636"/>
      <c r="M124" s="3636"/>
      <c r="N124" s="3636"/>
      <c r="O124" s="3636"/>
      <c r="P124" s="3636"/>
      <c r="Q124" s="3636"/>
    </row>
    <row r="125" spans="2:17">
      <c r="B125" s="622"/>
      <c r="C125" s="33"/>
      <c r="G125" s="3636"/>
      <c r="H125" s="3636"/>
      <c r="I125" s="3636"/>
      <c r="J125" s="3636"/>
      <c r="K125" s="3636"/>
      <c r="L125" s="3636"/>
      <c r="M125" s="3636"/>
      <c r="N125" s="3636"/>
      <c r="O125" s="3636"/>
      <c r="P125" s="3636"/>
      <c r="Q125" s="3636"/>
    </row>
    <row r="126" spans="2:17">
      <c r="B126" s="622"/>
      <c r="C126" s="33"/>
      <c r="G126" s="3636"/>
      <c r="H126" s="3636"/>
      <c r="I126" s="3636"/>
      <c r="J126" s="3636"/>
      <c r="K126" s="3636"/>
      <c r="L126" s="3636"/>
      <c r="M126" s="3636"/>
      <c r="N126" s="3636"/>
      <c r="O126" s="3636"/>
      <c r="P126" s="3636"/>
      <c r="Q126" s="3636"/>
    </row>
    <row r="127" spans="2:17">
      <c r="B127" s="622"/>
      <c r="C127" s="33"/>
      <c r="G127" s="3636"/>
      <c r="H127" s="3636"/>
      <c r="I127" s="3636"/>
      <c r="J127" s="3636"/>
      <c r="K127" s="3636"/>
      <c r="L127" s="3636"/>
      <c r="M127" s="3636"/>
      <c r="N127" s="3636"/>
      <c r="O127" s="3636"/>
      <c r="P127" s="3636"/>
      <c r="Q127" s="3636"/>
    </row>
    <row r="128" spans="2:17">
      <c r="B128" s="622"/>
      <c r="C128" s="33"/>
      <c r="G128" s="3636"/>
      <c r="H128" s="3636"/>
      <c r="I128" s="3636"/>
      <c r="J128" s="3636"/>
      <c r="K128" s="3636"/>
      <c r="L128" s="3636"/>
      <c r="M128" s="3636"/>
      <c r="N128" s="3636"/>
      <c r="O128" s="3636"/>
      <c r="P128" s="3636"/>
      <c r="Q128" s="3636"/>
    </row>
    <row r="129" spans="2:17">
      <c r="B129" s="622"/>
      <c r="C129" s="33"/>
      <c r="G129" s="3636"/>
      <c r="H129" s="3636"/>
      <c r="I129" s="3636"/>
      <c r="J129" s="3636"/>
      <c r="K129" s="3636"/>
      <c r="L129" s="3636"/>
      <c r="M129" s="3636"/>
      <c r="N129" s="3636"/>
      <c r="O129" s="3636"/>
      <c r="P129" s="3636"/>
      <c r="Q129" s="3636"/>
    </row>
    <row r="130" spans="2:17">
      <c r="B130" s="622"/>
      <c r="C130" s="33"/>
      <c r="G130" s="3636"/>
      <c r="H130" s="3636"/>
      <c r="I130" s="3636"/>
      <c r="J130" s="3636"/>
      <c r="K130" s="3636"/>
      <c r="L130" s="3636"/>
      <c r="M130" s="3636"/>
      <c r="N130" s="3636"/>
      <c r="O130" s="3636"/>
      <c r="P130" s="3636"/>
      <c r="Q130" s="3636"/>
    </row>
    <row r="131" spans="2:17">
      <c r="B131" s="622"/>
      <c r="C131" s="33"/>
      <c r="G131" s="3636"/>
      <c r="H131" s="3636"/>
      <c r="I131" s="3636"/>
      <c r="J131" s="3636"/>
      <c r="K131" s="3636"/>
      <c r="L131" s="3636"/>
      <c r="M131" s="3636"/>
      <c r="N131" s="3636"/>
      <c r="O131" s="3636"/>
      <c r="P131" s="3636"/>
      <c r="Q131" s="3636"/>
    </row>
    <row r="132" spans="2:17">
      <c r="B132" s="622"/>
      <c r="C132" s="33"/>
      <c r="G132" s="3636"/>
      <c r="H132" s="3636"/>
      <c r="I132" s="3636"/>
      <c r="J132" s="3636"/>
      <c r="K132" s="3636"/>
      <c r="L132" s="3636"/>
      <c r="M132" s="3636"/>
      <c r="N132" s="3636"/>
      <c r="O132" s="3636"/>
      <c r="P132" s="3636"/>
      <c r="Q132" s="3636"/>
    </row>
    <row r="133" spans="2:17">
      <c r="B133" s="622"/>
      <c r="C133" s="33"/>
      <c r="G133" s="3636"/>
      <c r="H133" s="3636"/>
      <c r="I133" s="3636"/>
      <c r="J133" s="3636"/>
      <c r="K133" s="3636"/>
      <c r="L133" s="3636"/>
      <c r="M133" s="3636"/>
      <c r="N133" s="3636"/>
      <c r="O133" s="3636"/>
      <c r="P133" s="3636"/>
      <c r="Q133" s="3636"/>
    </row>
    <row r="134" spans="2:17">
      <c r="B134" s="622"/>
      <c r="C134" s="33"/>
      <c r="G134" s="3636"/>
      <c r="H134" s="3636"/>
      <c r="I134" s="3636"/>
      <c r="J134" s="3636"/>
      <c r="K134" s="3636"/>
      <c r="L134" s="3636"/>
      <c r="M134" s="3636"/>
      <c r="N134" s="3636"/>
      <c r="O134" s="3636"/>
      <c r="P134" s="3636"/>
      <c r="Q134" s="3636"/>
    </row>
    <row r="135" spans="2:17">
      <c r="B135" s="622"/>
      <c r="C135" s="33"/>
      <c r="G135" s="3636"/>
      <c r="H135" s="3636"/>
      <c r="I135" s="3636"/>
      <c r="J135" s="3636"/>
      <c r="K135" s="3636"/>
      <c r="L135" s="3636"/>
      <c r="M135" s="3636"/>
      <c r="N135" s="3636"/>
      <c r="O135" s="3636"/>
      <c r="P135" s="3636"/>
      <c r="Q135" s="3636"/>
    </row>
    <row r="136" spans="2:17">
      <c r="B136" s="622"/>
      <c r="C136" s="33"/>
      <c r="K136" s="3636"/>
      <c r="L136" s="3636"/>
      <c r="M136" s="3636"/>
      <c r="N136" s="3636"/>
      <c r="O136" s="3636"/>
      <c r="P136" s="3636"/>
      <c r="Q136" s="3636"/>
    </row>
    <row r="137" spans="2:17">
      <c r="B137" s="622"/>
      <c r="C137" s="33"/>
      <c r="K137" s="3636"/>
      <c r="L137" s="3636"/>
      <c r="M137" s="3636"/>
      <c r="N137" s="3636"/>
      <c r="O137" s="3636"/>
      <c r="P137" s="3636"/>
      <c r="Q137" s="3636"/>
    </row>
    <row r="138" spans="2:17">
      <c r="B138" s="622"/>
      <c r="C138" s="33"/>
      <c r="K138" s="3636"/>
      <c r="L138" s="3636"/>
      <c r="M138" s="3636"/>
      <c r="N138" s="3636"/>
      <c r="O138" s="3636"/>
      <c r="P138" s="3636"/>
      <c r="Q138" s="3636"/>
    </row>
    <row r="139" spans="2:17">
      <c r="B139" s="622"/>
      <c r="C139" s="33"/>
      <c r="K139" s="3636"/>
      <c r="L139" s="3636"/>
      <c r="M139" s="3636"/>
      <c r="N139" s="3636"/>
      <c r="O139" s="3636"/>
      <c r="P139" s="3636"/>
      <c r="Q139" s="3636"/>
    </row>
    <row r="140" spans="2:17">
      <c r="B140" s="622"/>
      <c r="C140" s="33"/>
      <c r="K140" s="3636"/>
      <c r="L140" s="3636"/>
      <c r="M140" s="3636"/>
      <c r="N140" s="3636"/>
      <c r="O140" s="3636"/>
      <c r="P140" s="3636"/>
      <c r="Q140" s="3636"/>
    </row>
    <row r="141" spans="2:17">
      <c r="B141" s="622"/>
      <c r="C141" s="33"/>
      <c r="K141" s="3636"/>
      <c r="L141" s="3636"/>
      <c r="M141" s="3636"/>
      <c r="N141" s="3636"/>
      <c r="O141" s="3636"/>
      <c r="P141" s="3636"/>
      <c r="Q141" s="3636"/>
    </row>
    <row r="142" spans="2:17">
      <c r="B142" s="622"/>
      <c r="C142" s="33"/>
      <c r="K142" s="3636"/>
      <c r="L142" s="3636"/>
      <c r="M142" s="3636"/>
      <c r="N142" s="3636"/>
      <c r="O142" s="3636"/>
      <c r="P142" s="3636"/>
      <c r="Q142" s="3636"/>
    </row>
    <row r="143" spans="2:17">
      <c r="B143" s="622"/>
      <c r="C143" s="33"/>
      <c r="K143" s="3636"/>
      <c r="L143" s="3636"/>
      <c r="M143" s="3636"/>
      <c r="N143" s="3636"/>
      <c r="O143" s="3636"/>
      <c r="P143" s="3636"/>
      <c r="Q143" s="3636"/>
    </row>
    <row r="144" spans="2:17">
      <c r="B144" s="622"/>
      <c r="C144" s="33"/>
      <c r="K144" s="3636"/>
      <c r="L144" s="3636"/>
      <c r="M144" s="3636"/>
      <c r="N144" s="3636"/>
      <c r="O144" s="3636"/>
      <c r="P144" s="3636"/>
      <c r="Q144" s="3636"/>
    </row>
    <row r="145" spans="2:17">
      <c r="B145" s="622"/>
      <c r="C145" s="33"/>
      <c r="K145" s="3636"/>
      <c r="L145" s="3636"/>
      <c r="M145" s="3636"/>
      <c r="N145" s="3636"/>
      <c r="O145" s="3636"/>
      <c r="P145" s="3636"/>
      <c r="Q145" s="3636"/>
    </row>
    <row r="146" spans="2:17">
      <c r="B146" s="622"/>
      <c r="C146" s="33"/>
      <c r="K146" s="3636"/>
      <c r="L146" s="3636"/>
      <c r="M146" s="3636"/>
      <c r="N146" s="3636"/>
      <c r="O146" s="3636"/>
      <c r="P146" s="3636"/>
      <c r="Q146" s="3636"/>
    </row>
    <row r="147" spans="2:17">
      <c r="B147" s="622"/>
      <c r="C147" s="33"/>
    </row>
    <row r="148" spans="2:17">
      <c r="B148" s="622"/>
      <c r="C148" s="33"/>
      <c r="H148" s="1929"/>
      <c r="J148" s="2389"/>
    </row>
    <row r="149" spans="2:17">
      <c r="B149" s="622"/>
      <c r="C149" s="33"/>
      <c r="H149" s="1929"/>
      <c r="J149" s="2389"/>
    </row>
    <row r="150" spans="2:17">
      <c r="B150" s="622"/>
      <c r="C150" s="33"/>
      <c r="H150" s="1929"/>
      <c r="J150" s="2389"/>
    </row>
    <row r="151" spans="2:17">
      <c r="B151" s="622"/>
      <c r="C151" s="33"/>
      <c r="D151" s="33"/>
      <c r="F151" s="33"/>
      <c r="H151" s="33"/>
      <c r="I151" s="33"/>
      <c r="J151" s="33"/>
      <c r="L151" s="33"/>
    </row>
    <row r="152" spans="2:17">
      <c r="B152" s="622"/>
      <c r="C152" s="33"/>
      <c r="D152" s="33"/>
      <c r="F152" s="33"/>
      <c r="H152" s="33"/>
      <c r="I152" s="33"/>
      <c r="J152" s="33"/>
      <c r="L152" s="33"/>
    </row>
    <row r="153" spans="2:17">
      <c r="B153" s="622"/>
      <c r="C153" s="33"/>
      <c r="D153" s="33"/>
      <c r="F153" s="33"/>
      <c r="H153" s="33"/>
      <c r="I153" s="33"/>
      <c r="J153" s="33"/>
      <c r="L153" s="33"/>
    </row>
    <row r="154" spans="2:17">
      <c r="B154" s="622"/>
      <c r="C154" s="33"/>
      <c r="D154" s="33"/>
      <c r="F154" s="33"/>
      <c r="G154" s="33"/>
      <c r="H154" s="33"/>
      <c r="I154" s="33"/>
      <c r="J154" s="33"/>
      <c r="L154" s="33"/>
    </row>
    <row r="155" spans="2:17">
      <c r="B155" s="622"/>
      <c r="C155" s="33"/>
      <c r="D155" s="33"/>
      <c r="F155" s="33"/>
      <c r="G155" s="33"/>
      <c r="H155" s="33"/>
      <c r="I155" s="33"/>
      <c r="J155" s="33"/>
      <c r="L155" s="33"/>
    </row>
    <row r="156" spans="2:17">
      <c r="B156" s="622"/>
      <c r="C156" s="33"/>
      <c r="D156" s="33"/>
      <c r="F156" s="33"/>
      <c r="G156" s="33"/>
      <c r="H156" s="33"/>
      <c r="I156" s="33"/>
      <c r="J156" s="33"/>
      <c r="L156" s="33"/>
    </row>
    <row r="157" spans="2:17">
      <c r="B157" s="622"/>
      <c r="C157" s="33"/>
    </row>
    <row r="158" spans="2:17">
      <c r="B158" s="622"/>
      <c r="C158" s="33"/>
    </row>
    <row r="159" spans="2:17">
      <c r="B159" s="622"/>
      <c r="C159" s="33"/>
    </row>
    <row r="160" spans="2:17">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t="e">
        <f>SDÖ5!#REF!</f>
        <v>#REF!</v>
      </c>
    </row>
    <row r="211" spans="2:3">
      <c r="B211" s="622"/>
      <c r="C211" s="33" t="e">
        <f>SDÖ5!#REF!</f>
        <v>#REF!</v>
      </c>
    </row>
    <row r="212" spans="2:3">
      <c r="B212" s="622"/>
    </row>
  </sheetData>
  <sheetProtection sheet="1" selectLockedCells="1"/>
  <mergeCells count="50">
    <mergeCell ref="C57:D57"/>
    <mergeCell ref="C64:E64"/>
    <mergeCell ref="C54:D54"/>
    <mergeCell ref="C49:D49"/>
    <mergeCell ref="C50:D50"/>
    <mergeCell ref="C51:D51"/>
    <mergeCell ref="C52:D52"/>
    <mergeCell ref="K1:L1"/>
    <mergeCell ref="N1:O1"/>
    <mergeCell ref="C41:E41"/>
    <mergeCell ref="C16:F16"/>
    <mergeCell ref="H6:I6"/>
    <mergeCell ref="J3:L3"/>
    <mergeCell ref="N6:O6"/>
    <mergeCell ref="K2:P2"/>
    <mergeCell ref="N3:O4"/>
    <mergeCell ref="C40:E40"/>
    <mergeCell ref="C36:E36"/>
    <mergeCell ref="C37:E37"/>
    <mergeCell ref="K6:L6"/>
    <mergeCell ref="E22:G22"/>
    <mergeCell ref="D26:E26"/>
    <mergeCell ref="F34:G34"/>
    <mergeCell ref="J4:L4"/>
    <mergeCell ref="E10:F10"/>
    <mergeCell ref="C14:F14"/>
    <mergeCell ref="C78:F78"/>
    <mergeCell ref="C79:F79"/>
    <mergeCell ref="C74:E74"/>
    <mergeCell ref="B75:C75"/>
    <mergeCell ref="C53:D53"/>
    <mergeCell ref="C56:D56"/>
    <mergeCell ref="C62:E62"/>
    <mergeCell ref="C55:D55"/>
    <mergeCell ref="C63:E63"/>
    <mergeCell ref="C68:E68"/>
    <mergeCell ref="C73:E73"/>
    <mergeCell ref="C47:D47"/>
    <mergeCell ref="C42:E42"/>
    <mergeCell ref="G1:I1"/>
    <mergeCell ref="C48:D48"/>
    <mergeCell ref="C38:E38"/>
    <mergeCell ref="C46:D46"/>
    <mergeCell ref="C39:E39"/>
    <mergeCell ref="E4:I4"/>
    <mergeCell ref="C15:F15"/>
    <mergeCell ref="C17:F17"/>
    <mergeCell ref="C19:F19"/>
    <mergeCell ref="F23:G23"/>
    <mergeCell ref="D25:E25"/>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8" firstPageNumber="16"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48" r:id="rId4" name="Check Box 16">
              <controlPr defaultSize="0" autoFill="0" autoLine="0" autoPict="0">
                <anchor moveWithCells="1">
                  <from>
                    <xdr:col>12</xdr:col>
                    <xdr:colOff>114300</xdr:colOff>
                    <xdr:row>2</xdr:row>
                    <xdr:rowOff>257175</xdr:rowOff>
                  </from>
                  <to>
                    <xdr:col>12</xdr:col>
                    <xdr:colOff>371475</xdr:colOff>
                    <xdr:row>3</xdr:row>
                    <xdr:rowOff>209550</xdr:rowOff>
                  </to>
                </anchor>
              </controlPr>
            </control>
          </mc:Choice>
        </mc:AlternateContent>
        <mc:AlternateContent xmlns:mc="http://schemas.openxmlformats.org/markup-compatibility/2006">
          <mc:Choice Requires="x14">
            <control shapeId="69649" r:id="rId5" name="Check Box 17">
              <controlPr defaultSize="0" autoFill="0" autoLine="0" autoPict="0">
                <anchor moveWithCells="1">
                  <from>
                    <xdr:col>12</xdr:col>
                    <xdr:colOff>114300</xdr:colOff>
                    <xdr:row>2</xdr:row>
                    <xdr:rowOff>9525</xdr:rowOff>
                  </from>
                  <to>
                    <xdr:col>12</xdr:col>
                    <xdr:colOff>381000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1">
    <tabColor rgb="FFFFC00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1101.8472456292723</v>
      </c>
      <c r="K1" s="4859">
        <f>M1-J1</f>
        <v>383.20579253388883</v>
      </c>
      <c r="L1" s="4859"/>
      <c r="M1" s="1906">
        <f>(M7+M13+M18+M22+L11+L12)-(M23+M27+M34+M43+M60+M65+M67+M69+M71+M75)</f>
        <v>1485.0530381631611</v>
      </c>
      <c r="N1" s="4859">
        <f>P1-M1</f>
        <v>437.94947718158642</v>
      </c>
      <c r="O1" s="4859"/>
      <c r="P1" s="1906">
        <f>(P7+P13+P18+P22+O11+O12)-(P23+P27+P34+P43+P60+P65+P67+P69+P71+P75)</f>
        <v>1923.0025153447475</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1949</v>
      </c>
      <c r="L2" s="4870"/>
      <c r="M2" s="4870"/>
      <c r="N2" s="4870"/>
      <c r="O2" s="4870"/>
      <c r="P2" s="4870"/>
      <c r="Q2" s="1895"/>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26.25</v>
      </c>
      <c r="K6" s="4849" t="s">
        <v>152</v>
      </c>
      <c r="L6" s="4850"/>
      <c r="M6" s="1887">
        <v>35</v>
      </c>
      <c r="N6" s="4864" t="s">
        <v>178</v>
      </c>
      <c r="O6" s="4865"/>
      <c r="P6" s="1886">
        <v>45</v>
      </c>
      <c r="Q6" s="70"/>
    </row>
    <row r="7" spans="1:41" s="252" customFormat="1" ht="18.75" customHeight="1">
      <c r="A7" s="47"/>
      <c r="B7" s="311" t="s">
        <v>1691</v>
      </c>
      <c r="C7" s="47"/>
      <c r="D7" s="47"/>
      <c r="E7" s="47"/>
      <c r="F7" s="47"/>
      <c r="G7" s="1884" t="s">
        <v>171</v>
      </c>
      <c r="H7" s="1881"/>
      <c r="I7" s="1880"/>
      <c r="J7" s="1614">
        <f>SUM(I9:I10)</f>
        <v>1294.125</v>
      </c>
      <c r="K7" s="1883"/>
      <c r="L7" s="1882"/>
      <c r="M7" s="1617">
        <f>SUM(L9:L10)</f>
        <v>1725.5</v>
      </c>
      <c r="N7" s="1881"/>
      <c r="O7" s="1880"/>
      <c r="P7" s="1614">
        <f>SUM(O9:O10)</f>
        <v>2218.5</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SDÖ1!O18</f>
        <v>49.3</v>
      </c>
      <c r="H9" s="1877">
        <f>J6-H10</f>
        <v>26.25</v>
      </c>
      <c r="I9" s="1873">
        <f>H9*G9</f>
        <v>1294.125</v>
      </c>
      <c r="J9" s="43"/>
      <c r="K9" s="1876">
        <f>M6-K10</f>
        <v>35</v>
      </c>
      <c r="L9" s="1875">
        <f>K9*G9</f>
        <v>1725.5</v>
      </c>
      <c r="M9" s="1854"/>
      <c r="N9" s="1874">
        <f>P6-N10</f>
        <v>45</v>
      </c>
      <c r="O9" s="1873">
        <f>N9*G9</f>
        <v>2218.5</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238.00000000000006</v>
      </c>
      <c r="S10" s="1862">
        <f>L10+L11+L12</f>
        <v>317.33333333333337</v>
      </c>
      <c r="T10" s="1861">
        <f>O10+O11+O12</f>
        <v>408.00000000000011</v>
      </c>
      <c r="W10" s="252" t="s">
        <v>1254</v>
      </c>
    </row>
    <row r="11" spans="1:41" s="1842" customFormat="1" ht="15" customHeight="1">
      <c r="A11" s="377"/>
      <c r="B11" s="274"/>
      <c r="C11" s="45" t="s">
        <v>1253</v>
      </c>
      <c r="D11" s="377"/>
      <c r="E11" s="1860">
        <v>0.8</v>
      </c>
      <c r="F11" s="45" t="s">
        <v>1252</v>
      </c>
      <c r="G11" s="1859">
        <f>SDÖ1!$O$51</f>
        <v>11.333333333333336</v>
      </c>
      <c r="H11" s="1858">
        <f>IF($T$3=FALSE,0,J6*$E$11)</f>
        <v>21</v>
      </c>
      <c r="I11" s="1852">
        <f>H11*$G$11</f>
        <v>238.00000000000006</v>
      </c>
      <c r="J11" s="1857"/>
      <c r="K11" s="1856">
        <f>IF($T$3=FALSE,0,M6*$E$11)</f>
        <v>28</v>
      </c>
      <c r="L11" s="1855">
        <f>K11*$G$11</f>
        <v>317.33333333333337</v>
      </c>
      <c r="M11" s="1854"/>
      <c r="N11" s="1853">
        <f>IF($T$3=FALSE,0,P6*$E$11)</f>
        <v>36</v>
      </c>
      <c r="O11" s="1852">
        <f>N11*$G$11</f>
        <v>408.00000000000011</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3685">
        <f>IF(AND(L12&gt;0,T4=FALSE),"keine Angabe bei M4 ?",0)</f>
        <v>0</v>
      </c>
      <c r="N12" s="1844"/>
      <c r="O12" s="1843">
        <f>IF(T4=TRUE,L12*(P6/M6),0)</f>
        <v>0</v>
      </c>
      <c r="P12" s="43"/>
      <c r="Q12" s="38"/>
      <c r="U12" s="252"/>
      <c r="V12" s="252"/>
      <c r="W12" s="1840" t="s">
        <v>1247</v>
      </c>
      <c r="X12" s="1838">
        <f>IF(OR(T3=TRUE,T4=TRUE),J6*$E$11,"0")</f>
        <v>21</v>
      </c>
      <c r="Y12" s="1839">
        <f>IF(OR(T3=TRUE,T4=TRUE),M6*$E$11,"0")</f>
        <v>28</v>
      </c>
      <c r="Z12" s="1838">
        <f>IF(OR(T3=TRUE,T4=TRUE),P6*$E$11,"0")</f>
        <v>36</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2496"/>
      <c r="H17" s="3684" t="s">
        <v>1246</v>
      </c>
      <c r="I17" s="1809">
        <f>IF(H17="ja",Q17,0)</f>
        <v>0</v>
      </c>
      <c r="J17" s="281"/>
      <c r="K17" s="3684" t="s">
        <v>1246</v>
      </c>
      <c r="L17" s="1653">
        <f>IF(K17="ja",Q17,0)</f>
        <v>0</v>
      </c>
      <c r="M17" s="1830"/>
      <c r="N17" s="3684" t="s">
        <v>1246</v>
      </c>
      <c r="O17" s="1809">
        <f>IF(N17="ja",Q17,0)</f>
        <v>0</v>
      </c>
      <c r="P17" s="1808"/>
      <c r="Q17" s="1835">
        <f>IF(C17=0,0,VLOOKUP(C17,'SD2'!$C$11:$N$49,'SD2'!$N$1,FALSE))</f>
        <v>0</v>
      </c>
    </row>
    <row r="18" spans="1:20" s="42" customFormat="1" ht="18.75" customHeight="1">
      <c r="A18" s="45"/>
      <c r="B18" s="266" t="s">
        <v>2177</v>
      </c>
      <c r="C18" s="2498"/>
      <c r="D18" s="2498"/>
      <c r="E18" s="2498"/>
      <c r="F18" s="2498"/>
      <c r="G18" s="1820"/>
      <c r="H18" s="1818"/>
      <c r="I18" s="1817"/>
      <c r="J18" s="1614">
        <f>SUM(I19:I21)</f>
        <v>355.4</v>
      </c>
      <c r="K18" s="1819"/>
      <c r="L18" s="1671"/>
      <c r="M18" s="1617">
        <f>SUM(L19:L21)</f>
        <v>355.4</v>
      </c>
      <c r="N18" s="1818"/>
      <c r="O18" s="1817"/>
      <c r="P18" s="1614">
        <f>SUM(O19:O21)</f>
        <v>355.4</v>
      </c>
      <c r="Q18" s="32"/>
      <c r="R18" s="715" t="s">
        <v>1245</v>
      </c>
      <c r="S18" s="376"/>
      <c r="T18" s="1822"/>
    </row>
    <row r="19" spans="1:20" ht="15.6" customHeight="1">
      <c r="A19" s="377"/>
      <c r="B19" s="1821"/>
      <c r="C19" s="4833" t="s">
        <v>2172</v>
      </c>
      <c r="D19" s="4833"/>
      <c r="E19" s="4833"/>
      <c r="F19" s="4833"/>
      <c r="G19" s="410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260</v>
      </c>
      <c r="K23" s="1619"/>
      <c r="L23" s="1618"/>
      <c r="M23" s="1800">
        <f>SUM(L25:L26)</f>
        <v>260</v>
      </c>
      <c r="N23" s="1616"/>
      <c r="O23" s="1615"/>
      <c r="P23" s="1599">
        <f>SUM(O25:O26)</f>
        <v>260</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1.3</v>
      </c>
      <c r="G25" s="1794">
        <f>F25*(100+$D$24)/100</f>
        <v>1.3</v>
      </c>
      <c r="H25" s="1793">
        <v>200</v>
      </c>
      <c r="I25" s="1754">
        <f>H25*$G25</f>
        <v>260</v>
      </c>
      <c r="J25" s="45"/>
      <c r="K25" s="1793">
        <f>H25</f>
        <v>200</v>
      </c>
      <c r="L25" s="1596">
        <f>K25*$G25</f>
        <v>260</v>
      </c>
      <c r="M25" s="1589"/>
      <c r="N25" s="1793">
        <f>H25</f>
        <v>200</v>
      </c>
      <c r="O25" s="1754">
        <f>N25*$G25</f>
        <v>260</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335.14166666666665</v>
      </c>
      <c r="K27" s="1748"/>
      <c r="L27" s="1747"/>
      <c r="M27" s="1617">
        <f>SUM(L30:L33)</f>
        <v>416.63333333333327</v>
      </c>
      <c r="N27" s="1746"/>
      <c r="O27" s="1745"/>
      <c r="P27" s="1614">
        <f>SUM(O30:O33)</f>
        <v>509.76666666666665</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VLOOKUP('SD8'!B17,'SD8'!B9:K44,3,FALSE)</f>
        <v>1.6</v>
      </c>
      <c r="F30" s="1774"/>
      <c r="G30" s="1773">
        <v>20</v>
      </c>
      <c r="H30" s="1771">
        <f>IF(J$6=0,0,(J$6*$E30+$G30+X13))</f>
        <v>62</v>
      </c>
      <c r="I30" s="1754">
        <f>H30*$D30</f>
        <v>281.06666666666666</v>
      </c>
      <c r="J30" s="45"/>
      <c r="K30" s="1772">
        <f>IF(M$6=0,0,(M$6*$E30+$G30+AA14))</f>
        <v>76</v>
      </c>
      <c r="L30" s="1596">
        <f>K30*$D30</f>
        <v>344.5333333333333</v>
      </c>
      <c r="M30" s="1589"/>
      <c r="N30" s="1771">
        <f>IF(P$6=0,0,(P$6*$E30+$G30+AD14))</f>
        <v>92</v>
      </c>
      <c r="O30" s="1754">
        <f>N30*$D30</f>
        <v>417.06666666666666</v>
      </c>
      <c r="P30" s="1718"/>
      <c r="Q30" s="32"/>
    </row>
    <row r="31" spans="1:20" s="42" customFormat="1" ht="15" customHeight="1">
      <c r="A31" s="1306"/>
      <c r="B31" s="274"/>
      <c r="C31" s="1306" t="s">
        <v>244</v>
      </c>
      <c r="D31" s="1723">
        <f>IF(SDÖ1!$U$17=TRUE,SDÖ1!O56,0)</f>
        <v>1.3999999999999997</v>
      </c>
      <c r="E31" s="1774">
        <f>VLOOKUP('SD8'!B17,'SD8'!B9:K44,4,FALSE)</f>
        <v>0.8</v>
      </c>
      <c r="F31" s="1774"/>
      <c r="G31" s="1773"/>
      <c r="H31" s="1771">
        <f>IF(J$6=0,0,(J$6*$E31+$G31+X14))</f>
        <v>21</v>
      </c>
      <c r="I31" s="1754">
        <f>H31*$D31</f>
        <v>29.399999999999995</v>
      </c>
      <c r="J31" s="45"/>
      <c r="K31" s="1772">
        <f>IF(M$6=0,0,(M$6*$E31+$G31+Y14))</f>
        <v>28</v>
      </c>
      <c r="L31" s="1596">
        <f>K31*$D31</f>
        <v>39.199999999999989</v>
      </c>
      <c r="M31" s="1589"/>
      <c r="N31" s="1771">
        <f>IF(P$6=0,0,(P$6*$E31+$G31+Z14))</f>
        <v>36</v>
      </c>
      <c r="O31" s="1754">
        <f>N31*$D31</f>
        <v>50.399999999999991</v>
      </c>
      <c r="P31" s="1718"/>
      <c r="Q31" s="32"/>
    </row>
    <row r="32" spans="1:20" s="708" customFormat="1" ht="18.75" customHeight="1">
      <c r="A32" s="1270"/>
      <c r="B32" s="274"/>
      <c r="C32" s="1306" t="s">
        <v>242</v>
      </c>
      <c r="D32" s="1723">
        <f>IF(SDÖ1!$U$17=TRUE,SDÖ1!O57,0)</f>
        <v>1.3999999999999997</v>
      </c>
      <c r="E32" s="1774">
        <v>0.6</v>
      </c>
      <c r="F32" s="1774"/>
      <c r="G32" s="1773"/>
      <c r="H32" s="1771">
        <f>IF(J$6=0,0,(J$6*$E32+$G32+X15))</f>
        <v>15.75</v>
      </c>
      <c r="I32" s="1754">
        <f>H32*$D32</f>
        <v>22.049999999999994</v>
      </c>
      <c r="J32" s="45"/>
      <c r="K32" s="1772">
        <f>IF(M$6=0,0,(M$6*$E32+$G32+Y15))</f>
        <v>21</v>
      </c>
      <c r="L32" s="1596">
        <f>K32*$D32</f>
        <v>29.399999999999995</v>
      </c>
      <c r="M32" s="1589"/>
      <c r="N32" s="1771">
        <f>IF(P$6=0,0,(P$6*$E32+$G32+Z15))</f>
        <v>27</v>
      </c>
      <c r="O32" s="1754">
        <f>N32*$D32</f>
        <v>37.79999999999999</v>
      </c>
      <c r="P32" s="1718"/>
      <c r="Q32" s="32"/>
    </row>
    <row r="33" spans="1:17" s="708" customFormat="1" ht="13.15" customHeight="1">
      <c r="A33" s="1270"/>
      <c r="B33" s="239"/>
      <c r="C33" s="1331" t="s">
        <v>240</v>
      </c>
      <c r="D33" s="1706">
        <f>IF(SDÖ1!$U$17=TRUE,SDÖ1!O58,0)</f>
        <v>0.5</v>
      </c>
      <c r="E33" s="1770">
        <f>VLOOKUP('SD8'!B17,'SD8'!B9:K44,6,FALSE)</f>
        <v>0.2</v>
      </c>
      <c r="F33" s="1770"/>
      <c r="G33" s="1769"/>
      <c r="H33" s="1767">
        <f>IF(J$6=0,0,(J$6*$E33+$G33+X16))</f>
        <v>5.25</v>
      </c>
      <c r="I33" s="1750">
        <f>H33*$D33</f>
        <v>2.625</v>
      </c>
      <c r="J33" s="45"/>
      <c r="K33" s="1768">
        <f>IF(M$6=0,0,(M$6*$E33+$G33+Y16))</f>
        <v>7</v>
      </c>
      <c r="L33" s="1590">
        <f>K33*$D33</f>
        <v>3.5</v>
      </c>
      <c r="M33" s="1589"/>
      <c r="N33" s="1767">
        <f>IF(P$6=0,0,(P$6*$E33+$G33+Z16))</f>
        <v>9</v>
      </c>
      <c r="O33" s="1750">
        <f>N33*$D33</f>
        <v>4.5</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165.05200464260503</v>
      </c>
      <c r="K43" s="1748"/>
      <c r="L43" s="1747"/>
      <c r="M43" s="1617">
        <f>SUM(M46:M57)</f>
        <v>169.76115878084033</v>
      </c>
      <c r="N43" s="1746"/>
      <c r="O43" s="1745"/>
      <c r="P43" s="1614">
        <f>SUM(P46:P57)</f>
        <v>175.14304922453783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2</v>
      </c>
      <c r="I50" s="1719">
        <f t="shared" si="4"/>
        <v>0.54</v>
      </c>
      <c r="J50" s="1718">
        <f t="shared" si="5"/>
        <v>11.675802555294117</v>
      </c>
      <c r="K50" s="1720">
        <v>2</v>
      </c>
      <c r="L50" s="1722">
        <f t="shared" si="6"/>
        <v>0.54</v>
      </c>
      <c r="M50" s="1721">
        <f t="shared" si="7"/>
        <v>11.675802555294117</v>
      </c>
      <c r="N50" s="1720">
        <v>2</v>
      </c>
      <c r="O50" s="1719">
        <f t="shared" si="8"/>
        <v>0.54</v>
      </c>
      <c r="P50" s="1718">
        <f t="shared" si="9"/>
        <v>11.675802555294117</v>
      </c>
      <c r="Q50" s="32"/>
    </row>
    <row r="51" spans="1:17" s="42" customFormat="1" ht="15" customHeight="1">
      <c r="A51" s="1306"/>
      <c r="B51" s="1726"/>
      <c r="C51" s="4835" t="s">
        <v>446</v>
      </c>
      <c r="D51" s="4836"/>
      <c r="E51" s="1725">
        <f>IF($C51=0,0,VLOOKUP($C51,SDÖ3!$C$24:$O$99,4,FALSE))</f>
        <v>54</v>
      </c>
      <c r="F51" s="1724">
        <f>IF($C51=0,0,VLOOKUP($C51,SDÖ3!$C$24:$O$99,12,FALSE))</f>
        <v>0.15</v>
      </c>
      <c r="G51" s="1723">
        <f>IF($C51=0,0,VLOOKUP($C51,SDÖ3!$C$24:$O$99,13,FALSE))</f>
        <v>1.7678509764705881</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t="s">
        <v>435</v>
      </c>
      <c r="D53" s="4836"/>
      <c r="E53" s="1725">
        <f>IF($C53=0,0,VLOOKUP($C53,SDÖ3!$C$24:$O$99,4,FALSE))</f>
        <v>83</v>
      </c>
      <c r="F53" s="1724">
        <f>IF($C53=0,0,VLOOKUP($C53,SDÖ3!$C$24:$O$99,12,FALSE))</f>
        <v>0.4</v>
      </c>
      <c r="G53" s="1723">
        <f>IF($C53=0,0,VLOOKUP($C53,SDÖ3!$C$24:$O$99,13,FALSE))</f>
        <v>6.8857796705882359</v>
      </c>
      <c r="H53" s="1720">
        <f>J6/40+0.3</f>
        <v>0.95625000000000004</v>
      </c>
      <c r="I53" s="1719">
        <f t="shared" si="4"/>
        <v>0.38250000000000006</v>
      </c>
      <c r="J53" s="1718">
        <f t="shared" si="5"/>
        <v>6.5845268100000007</v>
      </c>
      <c r="K53" s="1720">
        <f>M6/40+0.3</f>
        <v>1.175</v>
      </c>
      <c r="L53" s="1722">
        <f t="shared" si="6"/>
        <v>0.47000000000000003</v>
      </c>
      <c r="M53" s="1721">
        <f t="shared" si="7"/>
        <v>8.0907911129411776</v>
      </c>
      <c r="N53" s="1720">
        <f>P6/40+0.3</f>
        <v>1.425</v>
      </c>
      <c r="O53" s="1719">
        <f t="shared" si="8"/>
        <v>0.57000000000000006</v>
      </c>
      <c r="P53" s="1718">
        <f t="shared" si="9"/>
        <v>9.8122360305882363</v>
      </c>
      <c r="Q53" s="32"/>
    </row>
    <row r="54" spans="1:17" s="42" customFormat="1" ht="15" customHeight="1">
      <c r="A54" s="1306"/>
      <c r="B54" s="1726"/>
      <c r="C54" s="4835" t="s">
        <v>508</v>
      </c>
      <c r="D54" s="4836"/>
      <c r="E54" s="1725">
        <f>IF($C54=0,0,VLOOKUP($C54,SDÖ3!$C$24:$O$99,4,FALSE))</f>
        <v>102</v>
      </c>
      <c r="F54" s="1724">
        <f>IF($C54=0,0,VLOOKUP($C54,SDÖ3!$C$24:$O$99,12,FALSE))</f>
        <v>0.54</v>
      </c>
      <c r="G54" s="1723">
        <f>IF($C54=0,0,VLOOKUP($C54,SDÖ3!$C$24:$O$99,13,FALSE))</f>
        <v>16.377695200000002</v>
      </c>
      <c r="H54" s="1720">
        <v>2</v>
      </c>
      <c r="I54" s="1719">
        <f t="shared" si="4"/>
        <v>1.08</v>
      </c>
      <c r="J54" s="1718">
        <f t="shared" si="5"/>
        <v>32.755390400000003</v>
      </c>
      <c r="K54" s="1720">
        <v>2</v>
      </c>
      <c r="L54" s="1722">
        <f t="shared" si="6"/>
        <v>1.08</v>
      </c>
      <c r="M54" s="1721">
        <f t="shared" si="7"/>
        <v>32.755390400000003</v>
      </c>
      <c r="N54" s="1720">
        <v>2</v>
      </c>
      <c r="O54" s="1719">
        <f t="shared" si="8"/>
        <v>1.08</v>
      </c>
      <c r="P54" s="1718">
        <f t="shared" si="9"/>
        <v>32.755390400000003</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f>N11/35</f>
        <v>1.0285714285714285</v>
      </c>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0.6</v>
      </c>
      <c r="I57" s="1703">
        <f t="shared" si="4"/>
        <v>0.6</v>
      </c>
      <c r="J57" s="1702">
        <f t="shared" si="5"/>
        <v>9.6086695058823519</v>
      </c>
      <c r="K57" s="3687">
        <f>K11/35</f>
        <v>0.8</v>
      </c>
      <c r="L57" s="1705">
        <f t="shared" si="6"/>
        <v>0.8</v>
      </c>
      <c r="M57" s="1652">
        <f t="shared" si="7"/>
        <v>12.811559341176471</v>
      </c>
      <c r="N57" s="3686">
        <f>N11/35</f>
        <v>1.0285714285714285</v>
      </c>
      <c r="O57" s="1703">
        <f t="shared" si="8"/>
        <v>1.0285714285714285</v>
      </c>
      <c r="P57" s="1702">
        <f t="shared" si="9"/>
        <v>16.47200486722689</v>
      </c>
      <c r="Q57" s="3678"/>
    </row>
    <row r="58" spans="1:17" s="708" customFormat="1" ht="18.75" customHeight="1">
      <c r="A58" s="1270"/>
      <c r="B58" s="1276" t="s">
        <v>1223</v>
      </c>
      <c r="C58" s="1373"/>
      <c r="D58" s="1373"/>
      <c r="E58" s="1373"/>
      <c r="F58" s="38"/>
      <c r="G58" s="1620"/>
      <c r="H58" s="1697"/>
      <c r="I58" s="1696">
        <f>SUM($I$46:$I$57)</f>
        <v>5.6624999999999996</v>
      </c>
      <c r="J58" s="1701"/>
      <c r="K58" s="1700"/>
      <c r="L58" s="1699">
        <f>SUM($L$46:$L$57)</f>
        <v>5.9499999999999993</v>
      </c>
      <c r="M58" s="1698"/>
      <c r="N58" s="1697"/>
      <c r="O58" s="1696">
        <f>SUM($O$46:$O$57)</f>
        <v>6.2785714285714285</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10.192499999999999</v>
      </c>
      <c r="J59" s="1686"/>
      <c r="K59" s="1691"/>
      <c r="L59" s="1690">
        <f>IF(L58+SUM($L$46:$L$57)*$E$59%&gt;L58+10,L58+10,L58+SUM($L$46:$L$57)*$E$59%)</f>
        <v>10.709999999999999</v>
      </c>
      <c r="M59" s="1689"/>
      <c r="N59" s="1688"/>
      <c r="O59" s="1687">
        <f>IF(O58+SUM($O$46:$O$57)*$E$59%&gt;O58+10,O58+10,O58+SUM($O$46:$O$57)*$E$59%)</f>
        <v>11.301428571428572</v>
      </c>
      <c r="P59" s="1686"/>
      <c r="Q59" s="32"/>
    </row>
    <row r="60" spans="1:17" s="65" customFormat="1" ht="18.75" customHeight="1">
      <c r="A60" s="1373"/>
      <c r="B60" s="1276" t="s">
        <v>1220</v>
      </c>
      <c r="C60" s="1373"/>
      <c r="D60" s="1373"/>
      <c r="E60" s="45"/>
      <c r="F60" s="45"/>
      <c r="G60" s="1685"/>
      <c r="H60" s="3960"/>
      <c r="I60" s="3959"/>
      <c r="J60" s="1684">
        <f>IF(J6=0,0,SUM(I62:I64))</f>
        <v>188.5</v>
      </c>
      <c r="K60" s="3962"/>
      <c r="L60" s="3961"/>
      <c r="M60" s="1617">
        <f>IF(M6=0,0,SUM(L62:L64))</f>
        <v>206</v>
      </c>
      <c r="N60" s="3960"/>
      <c r="O60" s="3959"/>
      <c r="P60" s="1684">
        <f>IF(P6=0,0,SUM(O62:O64))</f>
        <v>226</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52.5</v>
      </c>
      <c r="J64" s="227"/>
      <c r="K64" s="1654"/>
      <c r="L64" s="1653">
        <f>K11*$G$64</f>
        <v>70</v>
      </c>
      <c r="M64" s="1652"/>
      <c r="N64" s="1651"/>
      <c r="O64" s="1650">
        <f>N11*$G$64</f>
        <v>90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3915" t="s">
        <v>1218</v>
      </c>
      <c r="C67" s="3914"/>
      <c r="D67" s="3914"/>
      <c r="E67" s="3910"/>
      <c r="F67" s="3931"/>
      <c r="G67" s="1620"/>
      <c r="H67" s="1639" t="s">
        <v>1217</v>
      </c>
      <c r="I67" s="1638" t="s">
        <v>1216</v>
      </c>
      <c r="J67" s="1614">
        <f>R68*(H9+H10)*I68%+F68</f>
        <v>47.381250000000001</v>
      </c>
      <c r="K67" s="1641" t="s">
        <v>1217</v>
      </c>
      <c r="L67" s="1640" t="s">
        <v>1216</v>
      </c>
      <c r="M67" s="1617">
        <f>S68*(K9+K10)*L68%+F68</f>
        <v>63.175000000000004</v>
      </c>
      <c r="N67" s="1639" t="s">
        <v>1217</v>
      </c>
      <c r="O67" s="1638" t="s">
        <v>1216</v>
      </c>
      <c r="P67" s="1614">
        <f>T68*(N9+N10)*O68%+F68</f>
        <v>81.225000000000009</v>
      </c>
      <c r="Q67" s="32"/>
    </row>
    <row r="68" spans="1:20" s="708" customFormat="1" ht="15" customHeight="1">
      <c r="A68" s="1270"/>
      <c r="B68" s="1637"/>
      <c r="C68" s="4839" t="s">
        <v>1215</v>
      </c>
      <c r="D68" s="4839"/>
      <c r="E68" s="4906"/>
      <c r="F68" s="3930"/>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20.706</v>
      </c>
      <c r="K69" s="1630"/>
      <c r="L69" s="1629"/>
      <c r="M69" s="1617">
        <f>K70*$F70/1000</f>
        <v>27.608000000000001</v>
      </c>
      <c r="N69" s="44"/>
      <c r="O69" s="73"/>
      <c r="P69" s="1614">
        <f>N70*$F70/1000</f>
        <v>35.496000000000002</v>
      </c>
      <c r="Q69" s="32"/>
    </row>
    <row r="70" spans="1:20" s="708" customFormat="1" ht="15" customHeight="1">
      <c r="A70" s="1270"/>
      <c r="B70" s="1332"/>
      <c r="C70" s="1331" t="s">
        <v>896</v>
      </c>
      <c r="D70" s="353"/>
      <c r="E70" s="280"/>
      <c r="F70" s="1628">
        <f>'SDK7'!G102</f>
        <v>16</v>
      </c>
      <c r="G70" s="1627" t="s">
        <v>171</v>
      </c>
      <c r="H70" s="1623">
        <f>I9+I10</f>
        <v>1294.125</v>
      </c>
      <c r="I70" s="1622"/>
      <c r="J70" s="1621"/>
      <c r="K70" s="1626">
        <f>L9+L10</f>
        <v>1725.5</v>
      </c>
      <c r="L70" s="1625"/>
      <c r="M70" s="1624"/>
      <c r="N70" s="1623">
        <f>O9+O10</f>
        <v>2218.5</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8.8968330614561264</v>
      </c>
      <c r="K75" s="3063"/>
      <c r="L75" s="1056"/>
      <c r="M75" s="1578">
        <f>(M23+M27+M34+M43+M60+M65+M67+M69+M71)*('SDK1'!$O$59%*$G$75/12)</f>
        <v>10.002803055999017</v>
      </c>
      <c r="N75" s="1580"/>
      <c r="O75" s="1579"/>
      <c r="P75" s="1578">
        <f>(P23+P27+P34+P43+P60+P65+P67+P69+P71)*('SDK1'!$O$59%*$G$75/12)</f>
        <v>11.266768764048038</v>
      </c>
      <c r="Q75" s="32"/>
    </row>
    <row r="76" spans="1:20">
      <c r="L76" s="33"/>
    </row>
    <row r="77" spans="1:20">
      <c r="L77" s="33"/>
      <c r="M77" s="3638"/>
      <c r="N77" s="3638"/>
      <c r="O77" s="3638"/>
      <c r="P77" s="3638"/>
      <c r="Q77" s="3638"/>
    </row>
    <row r="78" spans="1:20" ht="14.25">
      <c r="C78" s="4921" t="s">
        <v>1946</v>
      </c>
      <c r="D78" s="4922"/>
      <c r="E78" s="4922"/>
      <c r="F78" s="4923"/>
      <c r="G78" s="3638"/>
      <c r="H78" s="3638"/>
      <c r="I78" s="3638"/>
      <c r="J78" s="3638"/>
      <c r="K78" s="3638"/>
      <c r="L78" s="3638"/>
      <c r="M78" s="3638"/>
      <c r="N78" s="3638"/>
      <c r="O78" s="3638"/>
      <c r="P78" s="3638"/>
      <c r="Q78" s="3638"/>
    </row>
    <row r="79" spans="1:20">
      <c r="C79" s="4913" t="s">
        <v>295</v>
      </c>
      <c r="D79" s="4914"/>
      <c r="E79" s="4914"/>
      <c r="F79" s="4915"/>
      <c r="G79" s="3638"/>
      <c r="H79" s="3638"/>
      <c r="I79" s="3638"/>
      <c r="J79" s="3638"/>
      <c r="K79" s="3638"/>
      <c r="L79" s="3638"/>
      <c r="M79" s="3638"/>
      <c r="N79" s="3638"/>
      <c r="O79" s="3638"/>
      <c r="P79" s="3638"/>
      <c r="Q79" s="3638"/>
    </row>
    <row r="80" spans="1:20" ht="14.25">
      <c r="B80" s="3078"/>
      <c r="C80" s="3074" t="s">
        <v>1942</v>
      </c>
      <c r="D80" s="3075"/>
      <c r="E80" s="3075"/>
      <c r="F80" s="3076"/>
      <c r="G80" s="3638"/>
      <c r="H80" s="3638"/>
      <c r="I80" s="3638"/>
      <c r="J80" s="3638"/>
      <c r="K80" s="3638"/>
      <c r="L80" s="3638"/>
      <c r="M80" s="3638"/>
      <c r="N80" s="3638"/>
      <c r="O80" s="3638"/>
      <c r="P80" s="3638"/>
      <c r="Q80" s="3638"/>
    </row>
    <row r="81" spans="2:17" ht="14.25">
      <c r="B81" s="3078"/>
      <c r="C81" s="3074" t="s">
        <v>1943</v>
      </c>
      <c r="D81" s="3075"/>
      <c r="E81" s="3075"/>
      <c r="F81" s="3076"/>
      <c r="G81" s="3638"/>
      <c r="H81" s="3638"/>
      <c r="I81" s="3638"/>
      <c r="J81" s="3638"/>
      <c r="K81" s="3638"/>
      <c r="L81" s="3638"/>
      <c r="M81" s="3638"/>
      <c r="N81" s="3638"/>
      <c r="O81" s="3638"/>
      <c r="P81" s="3638"/>
      <c r="Q81" s="3638"/>
    </row>
    <row r="82" spans="2:17">
      <c r="B82" s="3078"/>
      <c r="C82" s="3066" t="s">
        <v>294</v>
      </c>
      <c r="D82" s="3067"/>
      <c r="E82" s="3067"/>
      <c r="F82" s="3068"/>
      <c r="G82" s="3638"/>
      <c r="H82" s="3638"/>
      <c r="I82" s="3638"/>
      <c r="J82" s="3638"/>
      <c r="K82" s="3638"/>
      <c r="L82" s="3638"/>
      <c r="M82" s="3638"/>
      <c r="N82" s="3638"/>
      <c r="O82" s="3638"/>
      <c r="P82" s="3638"/>
      <c r="Q82" s="3638"/>
    </row>
    <row r="83" spans="2:17" ht="14.25">
      <c r="B83" s="3078"/>
      <c r="C83" s="3074" t="s">
        <v>1944</v>
      </c>
      <c r="D83" s="3075"/>
      <c r="E83" s="3075"/>
      <c r="F83" s="3076"/>
      <c r="G83" s="3638"/>
      <c r="H83" s="3638"/>
      <c r="I83" s="3638"/>
      <c r="J83" s="3638"/>
      <c r="K83" s="3638"/>
      <c r="L83" s="3638"/>
      <c r="M83" s="3638"/>
      <c r="N83" s="3638"/>
      <c r="O83" s="3638"/>
      <c r="P83" s="3638"/>
      <c r="Q83" s="3638"/>
    </row>
    <row r="84" spans="2:17" ht="14.25">
      <c r="B84" s="3078"/>
      <c r="C84" s="3074" t="s">
        <v>1945</v>
      </c>
      <c r="D84" s="3075"/>
      <c r="E84" s="3075"/>
      <c r="F84" s="3076"/>
      <c r="G84" s="3638"/>
      <c r="H84" s="3638"/>
      <c r="I84" s="3638"/>
      <c r="J84" s="3638"/>
      <c r="K84" s="3638"/>
      <c r="L84" s="3638"/>
      <c r="M84" s="3638"/>
      <c r="N84" s="3638"/>
      <c r="O84" s="3638"/>
      <c r="P84" s="3638"/>
      <c r="Q84" s="3638"/>
    </row>
    <row r="85" spans="2:17">
      <c r="B85" s="3078"/>
      <c r="C85" s="3066" t="s">
        <v>293</v>
      </c>
      <c r="D85" s="3067"/>
      <c r="E85" s="3067"/>
      <c r="F85" s="3068"/>
      <c r="G85" s="3638"/>
      <c r="H85" s="3638"/>
      <c r="I85" s="3638"/>
      <c r="J85" s="3638"/>
      <c r="K85" s="3638"/>
      <c r="L85" s="3638"/>
      <c r="M85" s="3638"/>
      <c r="N85" s="3638"/>
      <c r="O85" s="3638"/>
      <c r="P85" s="3638"/>
      <c r="Q85" s="3638"/>
    </row>
    <row r="86" spans="2:17">
      <c r="B86" s="3078"/>
      <c r="C86" s="3066" t="s">
        <v>292</v>
      </c>
      <c r="D86" s="3067"/>
      <c r="E86" s="3067"/>
      <c r="F86" s="3068"/>
      <c r="G86" s="3638"/>
      <c r="H86" s="3638"/>
      <c r="I86" s="3638"/>
      <c r="J86" s="3638"/>
      <c r="K86" s="3638"/>
      <c r="L86" s="3638"/>
      <c r="M86" s="3638"/>
      <c r="N86" s="3638"/>
      <c r="O86" s="3638"/>
      <c r="P86" s="3638"/>
      <c r="Q86" s="3638"/>
    </row>
    <row r="87" spans="2:17" ht="14.25">
      <c r="B87" s="3078"/>
      <c r="C87" s="3066" t="s">
        <v>291</v>
      </c>
      <c r="D87" s="3067"/>
      <c r="E87" s="3067"/>
      <c r="F87" s="3068"/>
      <c r="G87" s="3638"/>
      <c r="H87" s="3638"/>
      <c r="I87" s="3638"/>
      <c r="J87" s="3638"/>
      <c r="K87" s="3638"/>
      <c r="L87" s="3638"/>
      <c r="M87" s="3638"/>
      <c r="N87" s="3638"/>
      <c r="O87" s="3638"/>
      <c r="P87" s="3638"/>
      <c r="Q87" s="3638"/>
    </row>
    <row r="88" spans="2:17" ht="13.15" customHeight="1">
      <c r="B88" s="3078"/>
      <c r="C88" s="3066" t="s">
        <v>290</v>
      </c>
      <c r="D88" s="3069"/>
      <c r="E88" s="3069"/>
      <c r="F88" s="3070"/>
      <c r="G88" s="3638"/>
      <c r="H88" s="3638"/>
      <c r="I88" s="3638"/>
      <c r="J88" s="3638"/>
      <c r="K88" s="3638"/>
      <c r="L88" s="3638"/>
      <c r="M88" s="3638"/>
      <c r="N88" s="3638"/>
      <c r="O88" s="3638"/>
      <c r="P88" s="3638"/>
      <c r="Q88" s="3638"/>
    </row>
    <row r="89" spans="2:17">
      <c r="B89" s="3078"/>
      <c r="C89" s="3066" t="s">
        <v>289</v>
      </c>
      <c r="D89" s="3069"/>
      <c r="E89" s="3069"/>
      <c r="F89" s="3070"/>
      <c r="G89" s="3638"/>
      <c r="H89" s="3638"/>
      <c r="I89" s="3638"/>
      <c r="J89" s="3638"/>
      <c r="K89" s="3638"/>
      <c r="L89" s="3638"/>
      <c r="M89" s="3638"/>
      <c r="N89" s="3638"/>
      <c r="O89" s="3638"/>
      <c r="P89" s="3638"/>
      <c r="Q89" s="3638"/>
    </row>
    <row r="90" spans="2:17" ht="25.5">
      <c r="B90" s="3078"/>
      <c r="C90" s="3071" t="s">
        <v>288</v>
      </c>
      <c r="D90" s="3072"/>
      <c r="E90" s="3072"/>
      <c r="F90" s="3073"/>
      <c r="G90" s="3638"/>
      <c r="H90" s="3638"/>
      <c r="I90" s="3638"/>
      <c r="J90" s="3638"/>
      <c r="K90" s="3638"/>
      <c r="L90" s="3638"/>
      <c r="M90" s="3638"/>
      <c r="N90" s="3638"/>
      <c r="O90" s="3638"/>
      <c r="P90" s="3638"/>
      <c r="Q90" s="3638"/>
    </row>
    <row r="91" spans="2:17">
      <c r="C91" s="33"/>
      <c r="D91" s="33"/>
      <c r="E91" s="33"/>
      <c r="F91" s="33"/>
      <c r="G91" s="3638"/>
      <c r="H91" s="3638"/>
      <c r="I91" s="3638"/>
      <c r="J91" s="3638"/>
      <c r="K91" s="3638"/>
      <c r="L91" s="3638"/>
      <c r="M91" s="3638"/>
      <c r="N91" s="3638"/>
      <c r="O91" s="3638"/>
      <c r="P91" s="3638"/>
      <c r="Q91" s="3638"/>
    </row>
    <row r="92" spans="2:17" ht="13.15" customHeight="1">
      <c r="C92" s="33"/>
      <c r="D92" s="33"/>
      <c r="E92" s="33"/>
      <c r="F92" s="33"/>
      <c r="G92" s="3638"/>
      <c r="H92" s="3638"/>
      <c r="I92" s="3638"/>
      <c r="J92" s="3638"/>
      <c r="K92" s="3638"/>
      <c r="L92" s="3638"/>
      <c r="M92" s="3638"/>
      <c r="N92" s="3638"/>
      <c r="O92" s="3638"/>
      <c r="P92" s="3638"/>
      <c r="Q92" s="3638"/>
    </row>
    <row r="93" spans="2:17">
      <c r="C93" s="33"/>
      <c r="D93" s="33"/>
      <c r="E93" s="33"/>
      <c r="F93" s="33"/>
      <c r="G93" s="3638"/>
      <c r="H93" s="3638"/>
      <c r="I93" s="3638"/>
      <c r="J93" s="3638"/>
      <c r="K93" s="3638"/>
      <c r="L93" s="3638"/>
      <c r="M93" s="3638"/>
      <c r="N93" s="3638"/>
      <c r="O93" s="3638"/>
      <c r="P93" s="3638"/>
      <c r="Q93" s="3638"/>
    </row>
    <row r="94" spans="2:17">
      <c r="C94" s="33"/>
      <c r="D94" s="33"/>
      <c r="E94" s="33"/>
      <c r="F94" s="33"/>
      <c r="G94" s="3638"/>
      <c r="H94" s="3638"/>
      <c r="I94" s="3638"/>
      <c r="J94" s="3638"/>
      <c r="K94" s="3638"/>
      <c r="L94" s="3638"/>
      <c r="M94" s="3638"/>
      <c r="N94" s="3638"/>
      <c r="O94" s="3638"/>
      <c r="P94" s="3638"/>
      <c r="Q94" s="3638"/>
    </row>
    <row r="95" spans="2:17">
      <c r="C95" s="33"/>
      <c r="D95" s="33"/>
      <c r="E95" s="33"/>
      <c r="F95" s="33"/>
      <c r="G95" s="3638"/>
      <c r="H95" s="3638"/>
      <c r="I95" s="3638"/>
      <c r="J95" s="3638"/>
      <c r="K95" s="3638"/>
      <c r="L95" s="3638"/>
      <c r="M95" s="3638"/>
      <c r="N95" s="3638"/>
      <c r="O95" s="3638"/>
      <c r="P95" s="3638"/>
      <c r="Q95" s="3638"/>
    </row>
    <row r="96" spans="2:17">
      <c r="C96" s="33"/>
      <c r="D96" s="33"/>
      <c r="E96" s="33"/>
      <c r="F96" s="33"/>
      <c r="G96" s="3638"/>
      <c r="H96" s="3638"/>
      <c r="I96" s="3638"/>
      <c r="J96" s="3638"/>
      <c r="K96" s="3638"/>
      <c r="L96" s="3638"/>
      <c r="M96" s="3638"/>
      <c r="N96" s="3638"/>
      <c r="O96" s="3638"/>
      <c r="P96" s="3638"/>
      <c r="Q96" s="3638"/>
    </row>
    <row r="97" spans="2:17">
      <c r="C97" s="33"/>
      <c r="D97" s="33"/>
      <c r="E97" s="33"/>
      <c r="F97" s="33"/>
      <c r="G97" s="3638"/>
      <c r="H97" s="3638"/>
      <c r="I97" s="3638"/>
      <c r="J97" s="3638"/>
      <c r="K97" s="3638"/>
      <c r="L97" s="3638"/>
      <c r="M97" s="3638"/>
      <c r="N97" s="3638"/>
      <c r="O97" s="3638"/>
      <c r="P97" s="3638"/>
      <c r="Q97" s="3638"/>
    </row>
    <row r="98" spans="2:17">
      <c r="C98" s="33"/>
      <c r="D98" s="33"/>
      <c r="E98" s="33"/>
      <c r="F98" s="33"/>
      <c r="G98" s="3638"/>
      <c r="H98" s="3638"/>
      <c r="I98" s="3638"/>
      <c r="J98" s="3638"/>
      <c r="K98" s="3638"/>
      <c r="L98" s="3638"/>
      <c r="M98" s="3638"/>
      <c r="N98" s="3638"/>
      <c r="O98" s="3638"/>
      <c r="P98" s="3638"/>
      <c r="Q98" s="3638"/>
    </row>
    <row r="99" spans="2:17">
      <c r="B99" s="33"/>
      <c r="C99" s="33"/>
      <c r="D99" s="33"/>
      <c r="E99" s="33"/>
      <c r="F99" s="33"/>
      <c r="G99" s="3638"/>
      <c r="H99" s="3638"/>
      <c r="I99" s="3638"/>
      <c r="J99" s="3638"/>
      <c r="K99" s="3638"/>
      <c r="L99" s="3638"/>
      <c r="M99" s="3638"/>
      <c r="N99" s="3638"/>
      <c r="O99" s="3638"/>
      <c r="P99" s="3638"/>
      <c r="Q99" s="3638"/>
    </row>
    <row r="100" spans="2:17">
      <c r="B100" s="33"/>
      <c r="C100" s="33"/>
      <c r="D100" s="33"/>
      <c r="G100" s="3638"/>
      <c r="H100" s="3638"/>
      <c r="I100" s="3638"/>
      <c r="J100" s="3638"/>
      <c r="K100" s="3638"/>
      <c r="L100" s="3638"/>
      <c r="M100" s="3638"/>
      <c r="N100" s="3638"/>
      <c r="O100" s="3638"/>
      <c r="P100" s="3638"/>
      <c r="Q100" s="3638"/>
    </row>
    <row r="101" spans="2:17">
      <c r="B101" s="33"/>
      <c r="C101" s="33"/>
      <c r="D101" s="33"/>
      <c r="G101" s="3638"/>
      <c r="H101" s="3638"/>
      <c r="I101" s="3638"/>
      <c r="J101" s="3638"/>
      <c r="K101" s="3638"/>
      <c r="L101" s="3638"/>
      <c r="M101" s="3638"/>
      <c r="N101" s="3638"/>
      <c r="O101" s="3638"/>
      <c r="P101" s="3638"/>
      <c r="Q101" s="3638"/>
    </row>
    <row r="102" spans="2:17">
      <c r="B102" s="33"/>
      <c r="C102" s="33"/>
      <c r="D102" s="33"/>
      <c r="G102" s="3638"/>
      <c r="H102" s="3638"/>
      <c r="I102" s="3638"/>
      <c r="J102" s="3638"/>
      <c r="K102" s="3638"/>
      <c r="L102" s="3638"/>
      <c r="M102" s="3638"/>
      <c r="N102" s="3638"/>
      <c r="O102" s="3638"/>
      <c r="P102" s="3638"/>
      <c r="Q102" s="3638"/>
    </row>
    <row r="103" spans="2:17">
      <c r="B103" s="33"/>
      <c r="C103" s="33"/>
      <c r="D103" s="33"/>
      <c r="G103" s="3638"/>
      <c r="H103" s="3638"/>
      <c r="I103" s="3638"/>
      <c r="J103" s="3638"/>
      <c r="K103" s="3638"/>
      <c r="L103" s="3638"/>
      <c r="M103" s="3638"/>
      <c r="N103" s="3638"/>
      <c r="O103" s="3638"/>
      <c r="P103" s="3638"/>
      <c r="Q103" s="3638"/>
    </row>
    <row r="104" spans="2:17">
      <c r="B104" s="33"/>
      <c r="C104" s="33"/>
      <c r="D104" s="33"/>
      <c r="G104" s="3638"/>
      <c r="H104" s="3638"/>
      <c r="I104" s="3638"/>
      <c r="J104" s="3638"/>
      <c r="K104" s="3638"/>
      <c r="L104" s="3638"/>
      <c r="M104" s="3638"/>
      <c r="N104" s="3638"/>
      <c r="O104" s="3638"/>
      <c r="P104" s="3638"/>
      <c r="Q104" s="3638"/>
    </row>
    <row r="105" spans="2:17">
      <c r="B105" s="33"/>
      <c r="C105" s="33"/>
      <c r="D105" s="33"/>
      <c r="G105" s="3638"/>
      <c r="H105" s="3638"/>
      <c r="I105" s="3638"/>
      <c r="J105" s="3638"/>
      <c r="K105" s="3638"/>
      <c r="L105" s="3638"/>
      <c r="M105" s="3638"/>
      <c r="N105" s="3638"/>
      <c r="O105" s="3638"/>
      <c r="P105" s="3638"/>
      <c r="Q105" s="3638"/>
    </row>
    <row r="106" spans="2:17">
      <c r="B106" s="33"/>
      <c r="C106" s="33"/>
      <c r="D106" s="33"/>
      <c r="G106" s="3638"/>
      <c r="H106" s="3638"/>
      <c r="I106" s="3638"/>
      <c r="J106" s="3638"/>
      <c r="K106" s="3638"/>
      <c r="L106" s="3638"/>
      <c r="M106" s="3638"/>
      <c r="N106" s="3638"/>
      <c r="O106" s="3638"/>
      <c r="P106" s="3638"/>
      <c r="Q106" s="3638"/>
    </row>
    <row r="107" spans="2:17">
      <c r="B107" s="33"/>
      <c r="C107" s="33"/>
      <c r="D107" s="33"/>
      <c r="G107" s="3638"/>
      <c r="H107" s="3638"/>
      <c r="I107" s="3638"/>
      <c r="J107" s="3638"/>
      <c r="K107" s="3638"/>
      <c r="L107" s="3638"/>
      <c r="M107" s="3638"/>
      <c r="N107" s="3638"/>
      <c r="O107" s="3638"/>
      <c r="P107" s="3638"/>
      <c r="Q107" s="3638"/>
    </row>
    <row r="108" spans="2:17">
      <c r="G108" s="3638"/>
      <c r="H108" s="3638"/>
      <c r="I108" s="3638"/>
      <c r="J108" s="3638"/>
      <c r="K108" s="3638"/>
      <c r="L108" s="3638"/>
      <c r="M108" s="3638"/>
      <c r="N108" s="3638"/>
      <c r="O108" s="3638"/>
      <c r="P108" s="3638"/>
      <c r="Q108" s="3638"/>
    </row>
    <row r="109" spans="2:17">
      <c r="G109" s="3638"/>
      <c r="H109" s="3638"/>
      <c r="I109" s="3638"/>
      <c r="J109" s="3638"/>
      <c r="K109" s="3638"/>
      <c r="L109" s="3638"/>
      <c r="M109" s="3638"/>
      <c r="N109" s="3638"/>
      <c r="O109" s="3638"/>
      <c r="P109" s="3638"/>
      <c r="Q109" s="3638"/>
    </row>
    <row r="110" spans="2:17">
      <c r="G110" s="3638"/>
      <c r="H110" s="3638"/>
      <c r="I110" s="3638"/>
      <c r="J110" s="3638"/>
      <c r="K110" s="3638"/>
      <c r="L110" s="3638"/>
      <c r="M110" s="3638"/>
      <c r="N110" s="3638"/>
      <c r="O110" s="3638"/>
      <c r="P110" s="3638"/>
      <c r="Q110" s="3638"/>
    </row>
    <row r="111" spans="2:17">
      <c r="G111" s="3638"/>
      <c r="H111" s="3638"/>
      <c r="I111" s="3638"/>
      <c r="J111" s="3638"/>
      <c r="K111" s="3638"/>
      <c r="L111" s="3638"/>
      <c r="M111" s="3638"/>
      <c r="N111" s="3638"/>
      <c r="O111" s="3638"/>
      <c r="P111" s="3638"/>
      <c r="Q111" s="3638"/>
    </row>
    <row r="112" spans="2:17">
      <c r="G112" s="3638"/>
      <c r="H112" s="3638"/>
      <c r="I112" s="3638"/>
      <c r="J112" s="3638"/>
      <c r="K112" s="3638"/>
      <c r="L112" s="3638"/>
      <c r="M112" s="3638"/>
      <c r="N112" s="3638"/>
      <c r="O112" s="3638"/>
      <c r="P112" s="3638"/>
      <c r="Q112" s="3638"/>
    </row>
    <row r="113" spans="2:17">
      <c r="G113" s="3638"/>
      <c r="H113" s="3638"/>
      <c r="I113" s="3638"/>
      <c r="J113" s="3638"/>
      <c r="K113" s="3638"/>
      <c r="L113" s="3638"/>
      <c r="M113" s="3638"/>
      <c r="N113" s="3638"/>
      <c r="O113" s="3638"/>
      <c r="P113" s="3638"/>
      <c r="Q113" s="3638"/>
    </row>
    <row r="114" spans="2:17">
      <c r="G114" s="3638"/>
      <c r="H114" s="3638"/>
      <c r="I114" s="3638"/>
      <c r="J114" s="3638"/>
      <c r="K114" s="3638"/>
      <c r="L114" s="3638"/>
      <c r="M114" s="3638"/>
      <c r="N114" s="3638"/>
      <c r="O114" s="3638"/>
      <c r="P114" s="3638"/>
      <c r="Q114" s="3638"/>
    </row>
    <row r="115" spans="2:17">
      <c r="L115" s="3638"/>
      <c r="M115" s="3638"/>
      <c r="N115" s="3638"/>
      <c r="O115" s="3638"/>
      <c r="P115" s="3638"/>
      <c r="Q115" s="3638"/>
    </row>
    <row r="116" spans="2:17">
      <c r="L116" s="3638"/>
      <c r="M116" s="3638"/>
      <c r="N116" s="3638"/>
      <c r="O116" s="3638"/>
      <c r="P116" s="3638"/>
      <c r="Q116" s="3638"/>
    </row>
    <row r="117" spans="2:17">
      <c r="L117" s="3638"/>
      <c r="M117" s="3638"/>
      <c r="N117" s="3638"/>
      <c r="O117" s="3638"/>
      <c r="P117" s="3638"/>
      <c r="Q117" s="3638"/>
    </row>
    <row r="118" spans="2:17">
      <c r="B118" s="622"/>
      <c r="C118" s="33"/>
      <c r="L118" s="3638"/>
      <c r="M118" s="3638"/>
      <c r="N118" s="3638"/>
      <c r="O118" s="3638"/>
      <c r="P118" s="3638"/>
      <c r="Q118" s="3638"/>
    </row>
    <row r="119" spans="2:17">
      <c r="B119" s="622"/>
      <c r="C119" s="33"/>
      <c r="L119" s="3638"/>
      <c r="M119" s="3638"/>
      <c r="N119" s="3638"/>
      <c r="O119" s="3638"/>
      <c r="P119" s="3638"/>
      <c r="Q119" s="3638"/>
    </row>
    <row r="120" spans="2:17">
      <c r="B120" s="622"/>
      <c r="C120" s="33"/>
      <c r="L120" s="3638"/>
      <c r="M120" s="3638"/>
      <c r="N120" s="3638"/>
      <c r="O120" s="3638"/>
      <c r="P120" s="3638"/>
      <c r="Q120" s="3638"/>
    </row>
    <row r="121" spans="2:17">
      <c r="B121" s="622"/>
      <c r="C121" s="33"/>
      <c r="L121" s="3638"/>
      <c r="M121" s="3638"/>
      <c r="N121" s="3638"/>
      <c r="O121" s="3638"/>
      <c r="P121" s="3638"/>
      <c r="Q121" s="3638"/>
    </row>
    <row r="122" spans="2:17">
      <c r="B122" s="622"/>
      <c r="C122" s="33"/>
      <c r="L122" s="3638"/>
      <c r="M122" s="3638"/>
      <c r="N122" s="3638"/>
      <c r="O122" s="3638"/>
      <c r="P122" s="3638"/>
      <c r="Q122" s="3638"/>
    </row>
    <row r="123" spans="2:17">
      <c r="B123" s="622"/>
      <c r="C123" s="33"/>
      <c r="L123" s="3638"/>
      <c r="M123" s="3638"/>
      <c r="N123" s="3638"/>
      <c r="O123" s="3638"/>
      <c r="P123" s="3638"/>
      <c r="Q123" s="3638"/>
    </row>
    <row r="124" spans="2:17">
      <c r="B124" s="622"/>
      <c r="C124" s="33"/>
      <c r="L124" s="3638"/>
      <c r="M124" s="3638"/>
      <c r="N124" s="3638"/>
      <c r="O124" s="3638"/>
      <c r="P124" s="3638"/>
      <c r="Q124" s="3638"/>
    </row>
    <row r="125" spans="2:17">
      <c r="B125" s="622"/>
      <c r="C125" s="33"/>
      <c r="L125" s="3638"/>
      <c r="M125" s="3638"/>
      <c r="N125" s="3638"/>
      <c r="O125" s="3638"/>
      <c r="P125" s="3638"/>
      <c r="Q125" s="3638"/>
    </row>
    <row r="126" spans="2:17">
      <c r="B126" s="622"/>
      <c r="C126" s="33"/>
      <c r="L126" s="3638"/>
      <c r="M126" s="3638"/>
      <c r="N126" s="3638"/>
      <c r="O126" s="3638"/>
      <c r="P126" s="3638"/>
      <c r="Q126" s="3638"/>
    </row>
    <row r="127" spans="2:17">
      <c r="B127" s="622"/>
      <c r="C127" s="33"/>
      <c r="L127" s="3638"/>
      <c r="M127" s="3638"/>
      <c r="N127" s="3638"/>
      <c r="O127" s="3638"/>
      <c r="P127" s="3638"/>
      <c r="Q127" s="3638"/>
    </row>
    <row r="128" spans="2:17">
      <c r="B128" s="622"/>
      <c r="C128" s="33"/>
      <c r="L128" s="3638"/>
      <c r="M128" s="3638"/>
      <c r="N128" s="3638"/>
      <c r="O128" s="3638"/>
      <c r="P128" s="3638"/>
      <c r="Q128" s="3638"/>
    </row>
    <row r="129" spans="2:17">
      <c r="B129" s="622"/>
      <c r="C129" s="33"/>
      <c r="L129" s="3638"/>
      <c r="M129" s="3638"/>
      <c r="N129" s="3638"/>
      <c r="O129" s="3638"/>
      <c r="P129" s="3638"/>
      <c r="Q129" s="3638"/>
    </row>
    <row r="130" spans="2:17">
      <c r="B130" s="622"/>
      <c r="C130" s="33"/>
      <c r="L130" s="3638"/>
      <c r="M130" s="3638"/>
      <c r="N130" s="3638"/>
      <c r="O130" s="3638"/>
      <c r="P130" s="3638"/>
      <c r="Q130" s="3638"/>
    </row>
    <row r="131" spans="2:17">
      <c r="B131" s="622"/>
      <c r="C131" s="33"/>
      <c r="L131" s="3638"/>
      <c r="M131" s="3638"/>
      <c r="N131" s="3638"/>
      <c r="O131" s="3638"/>
      <c r="P131" s="3638"/>
      <c r="Q131" s="3638"/>
    </row>
    <row r="132" spans="2:17">
      <c r="B132" s="622"/>
      <c r="C132" s="33"/>
      <c r="L132" s="3638"/>
      <c r="M132" s="3638"/>
      <c r="N132" s="3638"/>
      <c r="O132" s="3638"/>
      <c r="P132" s="3638"/>
      <c r="Q132" s="3638"/>
    </row>
    <row r="133" spans="2:17">
      <c r="B133" s="622"/>
      <c r="C133" s="33"/>
      <c r="L133" s="3638"/>
      <c r="M133" s="3638"/>
      <c r="N133" s="3638"/>
      <c r="O133" s="3638"/>
      <c r="P133" s="3638"/>
      <c r="Q133" s="3638"/>
    </row>
    <row r="134" spans="2:17">
      <c r="B134" s="622"/>
      <c r="C134" s="33"/>
      <c r="L134" s="3638"/>
      <c r="M134" s="3638"/>
      <c r="N134" s="3638"/>
      <c r="O134" s="3638"/>
      <c r="P134" s="3638"/>
      <c r="Q134" s="3638"/>
    </row>
    <row r="135" spans="2:17">
      <c r="B135" s="622"/>
      <c r="C135" s="33"/>
      <c r="L135" s="3638"/>
      <c r="M135" s="3638"/>
      <c r="N135" s="3638"/>
      <c r="O135" s="3638"/>
      <c r="P135" s="3638"/>
      <c r="Q135" s="3638"/>
    </row>
    <row r="136" spans="2:17">
      <c r="B136" s="622"/>
      <c r="C136" s="33"/>
      <c r="L136" s="3638"/>
      <c r="M136" s="3638"/>
      <c r="N136" s="3638"/>
      <c r="O136" s="3638"/>
      <c r="P136" s="3638"/>
      <c r="Q136" s="3638"/>
    </row>
    <row r="137" spans="2:17">
      <c r="B137" s="622"/>
      <c r="C137" s="33"/>
      <c r="L137" s="3638"/>
      <c r="M137" s="3638"/>
      <c r="N137" s="3638"/>
      <c r="O137" s="3638"/>
      <c r="P137" s="3638"/>
      <c r="Q137" s="3638"/>
    </row>
    <row r="138" spans="2:17">
      <c r="B138" s="622"/>
      <c r="C138" s="33"/>
      <c r="L138" s="3638"/>
      <c r="M138" s="3638"/>
      <c r="N138" s="3638"/>
      <c r="O138" s="3638"/>
      <c r="P138" s="3638"/>
      <c r="Q138" s="3638"/>
    </row>
    <row r="139" spans="2:17">
      <c r="B139" s="622"/>
      <c r="C139" s="33"/>
      <c r="L139" s="3638"/>
      <c r="M139" s="3638"/>
      <c r="N139" s="3638"/>
      <c r="O139" s="3638"/>
      <c r="P139" s="3638"/>
      <c r="Q139" s="3638"/>
    </row>
    <row r="140" spans="2:17">
      <c r="B140" s="622"/>
      <c r="C140" s="33"/>
      <c r="L140" s="3638"/>
      <c r="M140" s="3638"/>
      <c r="N140" s="3638"/>
      <c r="O140" s="3638"/>
      <c r="P140" s="3638"/>
      <c r="Q140" s="3638"/>
    </row>
    <row r="141" spans="2:17">
      <c r="B141" s="622"/>
      <c r="C141" s="33"/>
      <c r="L141" s="3638"/>
      <c r="M141" s="3638"/>
      <c r="N141" s="3638"/>
      <c r="O141" s="3638"/>
      <c r="P141" s="3638"/>
      <c r="Q141" s="3638"/>
    </row>
    <row r="142" spans="2:17">
      <c r="B142" s="622"/>
      <c r="C142" s="33"/>
      <c r="L142" s="3638"/>
      <c r="M142" s="3638"/>
      <c r="N142" s="3638"/>
      <c r="O142" s="3638"/>
      <c r="P142" s="3638"/>
      <c r="Q142" s="3638"/>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E22:G22"/>
    <mergeCell ref="C55:D55"/>
    <mergeCell ref="C62:E62"/>
    <mergeCell ref="C63:E63"/>
    <mergeCell ref="C68:E68"/>
    <mergeCell ref="F34:G34"/>
    <mergeCell ref="C74:E74"/>
    <mergeCell ref="B75:C75"/>
    <mergeCell ref="C42:E42"/>
    <mergeCell ref="C57:D57"/>
    <mergeCell ref="C53:D53"/>
    <mergeCell ref="C64:E64"/>
    <mergeCell ref="C54:D54"/>
    <mergeCell ref="C56:D56"/>
    <mergeCell ref="C51:D51"/>
    <mergeCell ref="C52:D52"/>
    <mergeCell ref="C50:D50"/>
    <mergeCell ref="C49:D49"/>
    <mergeCell ref="K1:L1"/>
    <mergeCell ref="N1:O1"/>
    <mergeCell ref="C41:E41"/>
    <mergeCell ref="H6:I6"/>
    <mergeCell ref="C38:E38"/>
    <mergeCell ref="C39:E39"/>
    <mergeCell ref="C37:E37"/>
    <mergeCell ref="K2:P2"/>
    <mergeCell ref="C14:F14"/>
    <mergeCell ref="C15:F15"/>
    <mergeCell ref="E4:I4"/>
    <mergeCell ref="G1:I1"/>
    <mergeCell ref="N6:O6"/>
    <mergeCell ref="C16:F16"/>
    <mergeCell ref="J4:L4"/>
    <mergeCell ref="E10:F10"/>
    <mergeCell ref="C78:F78"/>
    <mergeCell ref="C79:F79"/>
    <mergeCell ref="N3:O4"/>
    <mergeCell ref="J3:L3"/>
    <mergeCell ref="F23:G23"/>
    <mergeCell ref="D25:E25"/>
    <mergeCell ref="D26:E26"/>
    <mergeCell ref="K6:L6"/>
    <mergeCell ref="C46:D46"/>
    <mergeCell ref="C48:D48"/>
    <mergeCell ref="C36:E36"/>
    <mergeCell ref="C40:E40"/>
    <mergeCell ref="C17:F17"/>
    <mergeCell ref="C19:F19"/>
    <mergeCell ref="C47:D47"/>
    <mergeCell ref="C73:E73"/>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5" r:id="rId4" name="Check Box 15">
              <controlPr defaultSize="0" autoFill="0" autoLine="0" autoPict="0">
                <anchor moveWithCells="1">
                  <from>
                    <xdr:col>12</xdr:col>
                    <xdr:colOff>114300</xdr:colOff>
                    <xdr:row>2</xdr:row>
                    <xdr:rowOff>257175</xdr:rowOff>
                  </from>
                  <to>
                    <xdr:col>12</xdr:col>
                    <xdr:colOff>381000</xdr:colOff>
                    <xdr:row>3</xdr:row>
                    <xdr:rowOff>209550</xdr:rowOff>
                  </to>
                </anchor>
              </controlPr>
            </control>
          </mc:Choice>
        </mc:AlternateContent>
        <mc:AlternateContent xmlns:mc="http://schemas.openxmlformats.org/markup-compatibility/2006">
          <mc:Choice Requires="x14">
            <control shapeId="71696" r:id="rId5" name="Check Box 16">
              <controlPr defaultSize="0" autoFill="0" autoLine="0" autoPict="0">
                <anchor moveWithCells="1">
                  <from>
                    <xdr:col>12</xdr:col>
                    <xdr:colOff>133350</xdr:colOff>
                    <xdr:row>2</xdr:row>
                    <xdr:rowOff>38100</xdr:rowOff>
                  </from>
                  <to>
                    <xdr:col>12</xdr:col>
                    <xdr:colOff>419100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0000"/>
    <pageSetUpPr fitToPage="1"/>
  </sheetPr>
  <dimension ref="A1:U86"/>
  <sheetViews>
    <sheetView showZeros="0" topLeftCell="A3" workbookViewId="0"/>
  </sheetViews>
  <sheetFormatPr baseColWidth="10" defaultColWidth="10.5" defaultRowHeight="12.75"/>
  <cols>
    <col min="1" max="1" width="1" style="136" customWidth="1"/>
    <col min="2" max="2" width="21.875" style="136" customWidth="1"/>
    <col min="3" max="3" width="5.375" style="137" customWidth="1"/>
    <col min="4" max="4" width="11.625" style="136" customWidth="1"/>
    <col min="5" max="5" width="11.375" style="136" customWidth="1"/>
    <col min="6" max="6" width="10.75" style="136" customWidth="1"/>
    <col min="7" max="8" width="11.125" style="136" customWidth="1"/>
    <col min="9" max="9" width="12.125" style="136" customWidth="1"/>
    <col min="10" max="10" width="9.375" style="136" customWidth="1"/>
    <col min="11" max="18" width="9.625" style="136" customWidth="1"/>
    <col min="19" max="19" width="10.75" style="136" customWidth="1"/>
    <col min="20" max="20" width="21.75" style="136" customWidth="1"/>
    <col min="21" max="21" width="0" style="136" hidden="1" customWidth="1"/>
    <col min="22" max="16384" width="10.5" style="136"/>
  </cols>
  <sheetData>
    <row r="1" spans="1:21" ht="15" hidden="1" customHeight="1">
      <c r="D1" s="2006"/>
      <c r="E1" s="2006"/>
      <c r="F1" s="2006"/>
      <c r="G1" s="2004">
        <f>COLUMNS($G$1:G1)</f>
        <v>1</v>
      </c>
      <c r="H1" s="2004"/>
      <c r="I1" s="2004">
        <f>COLUMNS($G$1:I1)</f>
        <v>3</v>
      </c>
      <c r="J1" s="2004">
        <f>COLUMNS($G$1:J1)</f>
        <v>4</v>
      </c>
      <c r="K1" s="2004">
        <f>COLUMNS($G$1:K1)</f>
        <v>5</v>
      </c>
      <c r="L1" s="2004"/>
      <c r="M1" s="2004"/>
      <c r="N1" s="2004"/>
      <c r="O1" s="2004"/>
      <c r="P1" s="2004"/>
      <c r="Q1" s="2004">
        <f>COLUMNS($G$1:Q1)</f>
        <v>11</v>
      </c>
      <c r="R1" s="2004">
        <f>COLUMNS($G$1:R1)</f>
        <v>12</v>
      </c>
      <c r="S1" s="2004">
        <f>COLUMNS($G$1:S1)</f>
        <v>13</v>
      </c>
      <c r="T1" s="1982">
        <f>COLUMNS($G$1:T1)</f>
        <v>14</v>
      </c>
      <c r="U1" s="1982">
        <f>COLUMNS($G$1:U1)</f>
        <v>15</v>
      </c>
    </row>
    <row r="2" spans="1:21" s="1981" customFormat="1" ht="9" hidden="1" customHeight="1">
      <c r="A2" s="4139" t="str">
        <f>IF(S8=100,0,   "Flächenanteile ergeben nicht 100% !")</f>
        <v>Flächenanteile ergeben nicht 100% !</v>
      </c>
      <c r="B2" s="4139"/>
      <c r="C2" s="2005"/>
      <c r="D2" s="2004">
        <f t="shared" ref="D2:R2" si="0">VLOOKUP(D7,$D$52:$F$73,3,FALSE)</f>
        <v>34</v>
      </c>
      <c r="E2" s="2004">
        <f t="shared" si="0"/>
        <v>36</v>
      </c>
      <c r="F2" s="2004">
        <f t="shared" si="0"/>
        <v>41</v>
      </c>
      <c r="G2" s="2004">
        <f t="shared" si="0"/>
        <v>38</v>
      </c>
      <c r="H2" s="2004">
        <f t="shared" si="0"/>
        <v>43</v>
      </c>
      <c r="I2" s="2004">
        <f t="shared" si="0"/>
        <v>44</v>
      </c>
      <c r="J2" s="2004">
        <f t="shared" si="0"/>
        <v>42</v>
      </c>
      <c r="K2" s="2004">
        <f t="shared" si="0"/>
        <v>39</v>
      </c>
      <c r="L2" s="2004">
        <f t="shared" si="0"/>
        <v>37</v>
      </c>
      <c r="M2" s="2004">
        <f t="shared" si="0"/>
        <v>46</v>
      </c>
      <c r="N2" s="2004">
        <f t="shared" si="0"/>
        <v>47</v>
      </c>
      <c r="O2" s="2004">
        <f t="shared" si="0"/>
        <v>48</v>
      </c>
      <c r="P2" s="2004">
        <f t="shared" si="0"/>
        <v>45</v>
      </c>
      <c r="Q2" s="2004">
        <f t="shared" si="0"/>
        <v>49</v>
      </c>
      <c r="R2" s="2004">
        <f t="shared" si="0"/>
        <v>51</v>
      </c>
      <c r="S2" s="2003"/>
    </row>
    <row r="3" spans="1:21" ht="21.2" customHeight="1">
      <c r="B3" s="205" t="str">
        <f>"Deckungsbeitrag je ha Ackerfläche " &amp; 'SDK1'!O8</f>
        <v>Deckungsbeitrag je ha Ackerfläche ohne MwSt.</v>
      </c>
      <c r="D3" s="202"/>
      <c r="F3" s="2002"/>
      <c r="G3" s="202"/>
      <c r="H3" s="140"/>
      <c r="I3" s="140"/>
      <c r="J3" s="140"/>
      <c r="K3" s="140"/>
      <c r="L3" s="140"/>
      <c r="M3" s="140"/>
      <c r="N3" s="140"/>
      <c r="O3" s="140"/>
      <c r="P3" s="140"/>
      <c r="Q3" s="140"/>
      <c r="R3" s="140"/>
      <c r="S3" s="201" t="s">
        <v>1334</v>
      </c>
      <c r="T3" s="201"/>
    </row>
    <row r="4" spans="1:21" ht="18">
      <c r="B4" s="1972"/>
      <c r="D4" s="140"/>
      <c r="E4" s="140"/>
      <c r="F4" s="140"/>
      <c r="G4" s="140"/>
      <c r="H4" s="140"/>
      <c r="I4" s="140"/>
      <c r="J4" s="140"/>
      <c r="K4" s="140"/>
      <c r="L4" s="140"/>
      <c r="M4" s="140"/>
      <c r="N4" s="140"/>
      <c r="O4" s="140"/>
      <c r="P4" s="140"/>
      <c r="Q4" s="140"/>
      <c r="R4" s="140"/>
      <c r="S4" s="201">
        <f>SDÖ1!O3</f>
        <v>0</v>
      </c>
    </row>
    <row r="5" spans="1:21" ht="20.45" customHeight="1">
      <c r="B5" s="4135" t="s">
        <v>212</v>
      </c>
      <c r="C5" s="4135"/>
      <c r="D5" s="2001">
        <f>VLOOKUP(B5,G52:S55,S1,FALSE)</f>
        <v>3</v>
      </c>
      <c r="E5" s="65"/>
      <c r="F5" s="2000"/>
      <c r="G5" s="2000"/>
      <c r="H5" s="1999"/>
      <c r="I5" s="1999"/>
      <c r="J5" s="1999"/>
      <c r="K5" s="1999"/>
      <c r="L5" s="1999"/>
      <c r="M5" s="1999"/>
      <c r="N5" s="1999"/>
      <c r="O5" s="1999"/>
      <c r="P5" s="1999"/>
      <c r="Q5" s="1999"/>
      <c r="R5" s="1999"/>
      <c r="S5" s="226"/>
      <c r="T5" s="201"/>
    </row>
    <row r="6" spans="1:21" ht="2.25" customHeight="1" thickBot="1">
      <c r="D6" s="1998">
        <f t="shared" ref="D6:R6" si="1">$D$5*100+D2</f>
        <v>334</v>
      </c>
      <c r="E6" s="1998">
        <f t="shared" si="1"/>
        <v>336</v>
      </c>
      <c r="F6" s="1998">
        <f t="shared" si="1"/>
        <v>341</v>
      </c>
      <c r="G6" s="1998">
        <f t="shared" si="1"/>
        <v>338</v>
      </c>
      <c r="H6" s="1998">
        <f>$D$5*100+H2</f>
        <v>343</v>
      </c>
      <c r="I6" s="1998">
        <f t="shared" si="1"/>
        <v>344</v>
      </c>
      <c r="J6" s="1998">
        <f t="shared" si="1"/>
        <v>342</v>
      </c>
      <c r="K6" s="1998">
        <f t="shared" ref="K6:P6" si="2">$D$5*100+K2</f>
        <v>339</v>
      </c>
      <c r="L6" s="1998">
        <f t="shared" si="2"/>
        <v>337</v>
      </c>
      <c r="M6" s="1998">
        <f t="shared" si="2"/>
        <v>346</v>
      </c>
      <c r="N6" s="1998">
        <f t="shared" si="2"/>
        <v>347</v>
      </c>
      <c r="O6" s="1998">
        <f t="shared" si="2"/>
        <v>348</v>
      </c>
      <c r="P6" s="1998">
        <f t="shared" si="2"/>
        <v>345</v>
      </c>
      <c r="Q6" s="1998">
        <f t="shared" si="1"/>
        <v>349</v>
      </c>
      <c r="R6" s="1998">
        <f t="shared" si="1"/>
        <v>351</v>
      </c>
    </row>
    <row r="7" spans="1:21" ht="39.6" customHeight="1">
      <c r="B7" s="1997"/>
      <c r="C7" s="1996" t="s">
        <v>232</v>
      </c>
      <c r="D7" s="3404" t="s">
        <v>1347</v>
      </c>
      <c r="E7" s="3404" t="s">
        <v>1696</v>
      </c>
      <c r="F7" s="3404" t="s">
        <v>1951</v>
      </c>
      <c r="G7" s="3404" t="s">
        <v>1948</v>
      </c>
      <c r="H7" s="3404" t="s">
        <v>2043</v>
      </c>
      <c r="I7" s="3404" t="s">
        <v>1953</v>
      </c>
      <c r="J7" s="3404" t="s">
        <v>1952</v>
      </c>
      <c r="K7" s="3404" t="s">
        <v>1949</v>
      </c>
      <c r="L7" s="3404" t="s">
        <v>1947</v>
      </c>
      <c r="M7" s="3404" t="s">
        <v>1955</v>
      </c>
      <c r="N7" s="3404" t="s">
        <v>1956</v>
      </c>
      <c r="O7" s="3404" t="s">
        <v>1957</v>
      </c>
      <c r="P7" s="3404" t="s">
        <v>1954</v>
      </c>
      <c r="Q7" s="3404" t="s">
        <v>1959</v>
      </c>
      <c r="R7" s="3404" t="s">
        <v>1960</v>
      </c>
      <c r="S7" s="196" t="s">
        <v>231</v>
      </c>
      <c r="T7" s="195"/>
      <c r="U7" s="1980" t="s">
        <v>1335</v>
      </c>
    </row>
    <row r="8" spans="1:21" ht="18.75" customHeight="1">
      <c r="B8" s="1995" t="s">
        <v>230</v>
      </c>
      <c r="C8" s="193" t="s">
        <v>113</v>
      </c>
      <c r="D8" s="3401"/>
      <c r="E8" s="3401"/>
      <c r="F8" s="3401"/>
      <c r="G8" s="3401"/>
      <c r="H8" s="3401"/>
      <c r="I8" s="3401"/>
      <c r="J8" s="3401"/>
      <c r="K8" s="3401"/>
      <c r="L8" s="3401"/>
      <c r="M8" s="3401"/>
      <c r="N8" s="3401"/>
      <c r="O8" s="3401"/>
      <c r="P8" s="3401"/>
      <c r="Q8" s="3401"/>
      <c r="R8" s="3401"/>
      <c r="S8" s="1994">
        <f>SUM(D8:R8)</f>
        <v>0</v>
      </c>
      <c r="U8" s="1979">
        <v>100</v>
      </c>
    </row>
    <row r="9" spans="1:21" ht="16.899999999999999" customHeight="1">
      <c r="B9" s="1989" t="s">
        <v>229</v>
      </c>
      <c r="C9" s="165" t="s">
        <v>172</v>
      </c>
      <c r="D9" s="164">
        <f>IFERROR(IF(D$6&lt;200,0,HLOOKUP(D$6,Daten!$CX$1:$FM$6,6,FALSE)),"")</f>
        <v>500</v>
      </c>
      <c r="E9" s="164">
        <f>IFERROR(IF(E$6&lt;200,0,HLOOKUP(E$6,Daten!$CX$1:$FM$6,6,FALSE)),"")</f>
        <v>450</v>
      </c>
      <c r="F9" s="164">
        <f>IFERROR(IF(F$6&lt;200,0,HLOOKUP(F$6,Daten!$CX$1:$FM$6,6,FALSE)),"")</f>
        <v>40</v>
      </c>
      <c r="G9" s="164">
        <f>IFERROR(IF(G$6&lt;200,0,HLOOKUP(G$6,Daten!$CX$1:$FM$6,6,FALSE)),"")</f>
        <v>40</v>
      </c>
      <c r="H9" s="164">
        <f>IFERROR(IF(H$6&lt;200,0,HLOOKUP(H$6,Daten!$CX$1:$FM$6,6,FALSE)),"")</f>
        <v>40</v>
      </c>
      <c r="I9" s="164">
        <f>IFERROR(IF(I$6&lt;200,0,HLOOKUP(I$6,Daten!$CX$1:$FM$6,6,FALSE)),"")</f>
        <v>31.5</v>
      </c>
      <c r="J9" s="164">
        <f>IFERROR(IF(J$6&lt;200,0,HLOOKUP(J$6,Daten!$CX$1:$FM$6,6,FALSE)),"")</f>
        <v>40</v>
      </c>
      <c r="K9" s="164">
        <f>IFERROR(IF(K$6&lt;200,0,HLOOKUP(K$6,Daten!$CX$1:$FM$6,6,FALSE)),"")</f>
        <v>35</v>
      </c>
      <c r="L9" s="164">
        <f>IFERROR(IF(L$6&lt;200,0,HLOOKUP(L$6,Daten!$CX$1:$FM$6,6,FALSE)),"")</f>
        <v>40</v>
      </c>
      <c r="M9" s="164">
        <f>IFERROR(IF(M$6&lt;200,0,HLOOKUP(M$6,Daten!$CX$1:$FM$6,6,FALSE)),"")</f>
        <v>35</v>
      </c>
      <c r="N9" s="164">
        <f>IFERROR(IF(N$6&lt;200,0,HLOOKUP(N$6,Daten!$CX$1:$FM$6,6,FALSE)),"")</f>
        <v>30</v>
      </c>
      <c r="O9" s="164">
        <f>IFERROR(IF(O$6&lt;200,0,HLOOKUP(O$6,Daten!$CX$1:$FM$6,6,FALSE)),"")</f>
        <v>30</v>
      </c>
      <c r="P9" s="164">
        <f>IFERROR(IF(P$6&lt;200,0,HLOOKUP(P$6,Daten!$CX$1:$FM$6,6,FALSE)),"")</f>
        <v>80</v>
      </c>
      <c r="Q9" s="164">
        <f>IFERROR(IF(Q$6&lt;200,0,HLOOKUP(Q$6,Daten!$CX$1:$FM$6,6,FALSE)),"")</f>
        <v>30</v>
      </c>
      <c r="R9" s="164">
        <f>IFERROR(IF(R$6&lt;200,0,HLOOKUP(R$6,Daten!$CX$1:$FM$6,6,FALSE)),"")</f>
        <v>187.5</v>
      </c>
      <c r="S9" s="1988"/>
      <c r="T9" s="176"/>
    </row>
    <row r="10" spans="1:21" ht="17.45" customHeight="1">
      <c r="B10" s="1989" t="str">
        <f>"Preis "&amp;SDÖ1!O8</f>
        <v>Preis ohne MwSt.</v>
      </c>
      <c r="C10" s="165" t="s">
        <v>228</v>
      </c>
      <c r="D10" s="164">
        <f>IFERROR(IF(D$6&lt;200,0,HLOOKUP(D$6,Daten!$CX$1:$FM$7,7,FALSE)),"")</f>
        <v>0</v>
      </c>
      <c r="E10" s="164">
        <f>IFERROR(IF(E$6&lt;200,0,HLOOKUP(E$6,Daten!$CX$1:$FM$7,7,FALSE)),"")</f>
        <v>0</v>
      </c>
      <c r="F10" s="164">
        <f>IFERROR(IF(F$6&lt;200,0,HLOOKUP(F$6,Daten!$CX$1:$FM$7,7,FALSE)),"")</f>
        <v>35.283333333333339</v>
      </c>
      <c r="G10" s="164">
        <f>IFERROR(IF(G$6&lt;200,0,HLOOKUP(G$6,Daten!$CX$1:$FM$7,7,FALSE)),"")</f>
        <v>46.236666666666657</v>
      </c>
      <c r="H10" s="164">
        <f>IFERROR(IF(H$6&lt;200,0,HLOOKUP(H$6,Daten!$CX$1:$FM$7,7,FALSE)),"")</f>
        <v>34.373333333333335</v>
      </c>
      <c r="I10" s="164">
        <f>IFERROR(IF(I$6&lt;200,0,HLOOKUP(I$6,Daten!$CX$1:$FM$7,7,FALSE)),"")</f>
        <v>47.55</v>
      </c>
      <c r="J10" s="164">
        <f>IFERROR(IF(J$6&lt;200,0,HLOOKUP(J$6,Daten!$CX$1:$FM$7,7,FALSE)),"")</f>
        <v>38.586666666666666</v>
      </c>
      <c r="K10" s="164">
        <f>IFERROR(IF(K$6&lt;200,0,HLOOKUP(K$6,Daten!$CX$1:$FM$7,7,FALSE)),"")</f>
        <v>49.3</v>
      </c>
      <c r="L10" s="164">
        <f>IFERROR(IF(L$6&lt;200,0,HLOOKUP(L$6,Daten!$CX$1:$FM$7,7,FALSE)),"")</f>
        <v>35.273333333333333</v>
      </c>
      <c r="M10" s="164">
        <f>IFERROR(IF(M$6&lt;200,0,HLOOKUP(M$6,Daten!$CX$1:$FM$7,7,FALSE)),"")</f>
        <v>52.70333333333334</v>
      </c>
      <c r="N10" s="164">
        <f>IFERROR(IF(N$6&lt;200,0,HLOOKUP(N$6,Daten!$CX$1:$FM$7,7,FALSE)),"")</f>
        <v>51.173333333333318</v>
      </c>
      <c r="O10" s="164">
        <f>IFERROR(IF(O$6&lt;200,0,HLOOKUP(O$6,Daten!$CX$1:$FM$7,7,FALSE)),"")</f>
        <v>89.666666666666686</v>
      </c>
      <c r="P10" s="164">
        <f>IFERROR(IF(P$6&lt;200,0,HLOOKUP(P$6,Daten!$CX$1:$FM$7,7,FALSE)),"")</f>
        <v>38.983333333333327</v>
      </c>
      <c r="Q10" s="164">
        <f>IFERROR(IF(Q$6&lt;200,0,HLOOKUP(Q$6,Daten!$CX$1:$FM$7,7,FALSE)),"")</f>
        <v>83.555000000000007</v>
      </c>
      <c r="R10" s="164">
        <f>IFERROR(IF(R$6&lt;200,0,HLOOKUP(R$6,Daten!$CX$1:$FM$7,7,FALSE)),"")</f>
        <v>57.509999999999991</v>
      </c>
      <c r="S10" s="1991"/>
      <c r="T10" s="184"/>
      <c r="U10" s="1993" t="e">
        <f>1+SDÖ1!#REF!/100</f>
        <v>#REF!</v>
      </c>
    </row>
    <row r="11" spans="1:21" ht="17.45" customHeight="1">
      <c r="B11" s="1989" t="s">
        <v>1344</v>
      </c>
      <c r="C11" s="165" t="s">
        <v>171</v>
      </c>
      <c r="D11" s="164">
        <f>IFERROR(IF(D$6&lt;200,0,HLOOKUP(D$6,Daten!$CX$1:$FM$8,8,FALSE)),"")</f>
        <v>0</v>
      </c>
      <c r="E11" s="164">
        <f>IFERROR(IF(E$6&lt;200,0,HLOOKUP(E$6,Daten!$CX$1:$FM$8,8,FALSE)),"")</f>
        <v>0</v>
      </c>
      <c r="F11" s="164">
        <f>IFERROR(IF(F$6&lt;200,0,HLOOKUP(F$6,Daten!$CX$1:$FM$8,8,FALSE)),"")</f>
        <v>1411.3333333333335</v>
      </c>
      <c r="G11" s="164">
        <f>IFERROR(IF(G$6&lt;200,0,HLOOKUP(G$6,Daten!$CX$1:$FM$8,8,FALSE)),"")</f>
        <v>1849.4666666666662</v>
      </c>
      <c r="H11" s="164">
        <f>IFERROR(IF(H$6&lt;200,0,HLOOKUP(H$6,Daten!$CX$1:$FM$8,8,FALSE)),"")</f>
        <v>1374.9333333333334</v>
      </c>
      <c r="I11" s="164">
        <f>IFERROR(IF(I$6&lt;200,0,HLOOKUP(I$6,Daten!$CX$1:$FM$8,8,FALSE)),"")</f>
        <v>1497.8249999999998</v>
      </c>
      <c r="J11" s="164">
        <f>IFERROR(IF(J$6&lt;200,0,HLOOKUP(J$6,Daten!$CX$1:$FM$8,8,FALSE)),"")</f>
        <v>1543.4666666666667</v>
      </c>
      <c r="K11" s="164">
        <f>IFERROR(IF(K$6&lt;200,0,HLOOKUP(K$6,Daten!$CX$1:$FM$8,8,FALSE)),"")</f>
        <v>1725.5</v>
      </c>
      <c r="L11" s="164">
        <f>IFERROR(IF(L$6&lt;200,0,HLOOKUP(L$6,Daten!$CX$1:$FM$8,8,FALSE)),"")</f>
        <v>1410.9333333333334</v>
      </c>
      <c r="M11" s="164">
        <f>IFERROR(IF(M$6&lt;200,0,HLOOKUP(M$6,Daten!$CX$1:$FM$8,8,FALSE)),"")</f>
        <v>1844.616666666667</v>
      </c>
      <c r="N11" s="164">
        <f>IFERROR(IF(N$6&lt;200,0,HLOOKUP(N$6,Daten!$CX$1:$FM$8,8,FALSE)),"")</f>
        <v>1535.1999999999996</v>
      </c>
      <c r="O11" s="164">
        <f>IFERROR(IF(O$6&lt;200,0,HLOOKUP(O$6,Daten!$CX$1:$FM$8,8,FALSE)),"")</f>
        <v>2690.0000000000005</v>
      </c>
      <c r="P11" s="164">
        <f>IFERROR(IF(P$6&lt;200,0,HLOOKUP(P$6,Daten!$CX$1:$FM$8,8,FALSE)),"")</f>
        <v>3118.6666666666661</v>
      </c>
      <c r="Q11" s="164">
        <f>IFERROR(IF(Q$6&lt;200,0,HLOOKUP(Q$6,Daten!$CX$1:$FM$8,8,FALSE)),"")</f>
        <v>2506.65</v>
      </c>
      <c r="R11" s="164">
        <f>IFERROR(IF(R$6&lt;200,0,HLOOKUP(R$6,Daten!$CX$1:$FM$8,8,FALSE)),"")</f>
        <v>10783.124999999998</v>
      </c>
      <c r="S11" s="1991"/>
      <c r="T11" s="1992"/>
    </row>
    <row r="12" spans="1:21" ht="17.45" customHeight="1">
      <c r="B12" s="1989" t="s">
        <v>1343</v>
      </c>
      <c r="C12" s="165" t="s">
        <v>171</v>
      </c>
      <c r="D12" s="164">
        <f>IFERROR(IF(D$6&lt;200,0,HLOOKUP(D$6,Daten!$CX$1:$FM$9,9,FALSE)),"")</f>
        <v>0</v>
      </c>
      <c r="E12" s="164">
        <f>IFERROR(IF(E$6&lt;200,0,HLOOKUP(E$6,Daten!$CX$1:$FM$9,9,FALSE)),"")</f>
        <v>0</v>
      </c>
      <c r="F12" s="164">
        <f>IFERROR(IF(F$6&lt;200,0,HLOOKUP(F$6,Daten!$CX$1:$FM$9,9,FALSE)),"")</f>
        <v>408.00000000000011</v>
      </c>
      <c r="G12" s="164">
        <f>IFERROR(IF(G$6&lt;200,0,HLOOKUP(G$6,Daten!$CX$1:$FM$9,9,FALSE)),"")</f>
        <v>362.66666666666674</v>
      </c>
      <c r="H12" s="164">
        <f>IFERROR(IF(H$6&lt;200,0,HLOOKUP(H$6,Daten!$CX$1:$FM$9,9,FALSE)),"")</f>
        <v>408.00000000000011</v>
      </c>
      <c r="I12" s="164">
        <f>IFERROR(IF(I$6&lt;200,0,HLOOKUP(I$6,Daten!$CX$1:$FM$9,9,FALSE)),"")</f>
        <v>477.30666666666673</v>
      </c>
      <c r="J12" s="164">
        <f>IFERROR(IF(J$6&lt;200,0,HLOOKUP(J$6,Daten!$CX$1:$FM$9,9,FALSE)),"")</f>
        <v>408.00000000000011</v>
      </c>
      <c r="K12" s="164">
        <f>IFERROR(IF(K$6&lt;200,0,HLOOKUP(K$6,Daten!$CX$1:$FM$9,9,FALSE)),"")</f>
        <v>317.33333333333337</v>
      </c>
      <c r="L12" s="164">
        <f>IFERROR(IF(L$6&lt;200,0,HLOOKUP(L$6,Daten!$CX$1:$FM$9,9,FALSE)),"")</f>
        <v>362.66666666666674</v>
      </c>
      <c r="M12" s="164">
        <f>IFERROR(IF(M$6&lt;200,0,HLOOKUP(M$6,Daten!$CX$1:$FM$9,9,FALSE)),"")</f>
        <v>0</v>
      </c>
      <c r="N12" s="164">
        <f>IFERROR(IF(N$6&lt;200,0,HLOOKUP(N$6,Daten!$CX$1:$FM$9,9,FALSE)),"")</f>
        <v>0</v>
      </c>
      <c r="O12" s="164">
        <f>IFERROR(IF(O$6&lt;200,0,HLOOKUP(O$6,Daten!$CX$1:$FM$9,9,FALSE)),"")</f>
        <v>0</v>
      </c>
      <c r="P12" s="164">
        <f>IFERROR(IF(P$6&lt;200,0,HLOOKUP(P$6,Daten!$CX$1:$FM$9,9,FALSE)),"")</f>
        <v>0</v>
      </c>
      <c r="Q12" s="164">
        <f>IFERROR(IF(Q$6&lt;200,0,HLOOKUP(Q$6,Daten!$CX$1:$FM$9,9,FALSE)),"")</f>
        <v>0</v>
      </c>
      <c r="R12" s="164">
        <f>IFERROR(IF(R$6&lt;200,0,HLOOKUP(R$6,Daten!$CX$1:$FM$9,9,FALSE)),"")</f>
        <v>250</v>
      </c>
      <c r="S12" s="1991"/>
      <c r="T12" s="33"/>
    </row>
    <row r="13" spans="1:21" ht="17.45" customHeight="1">
      <c r="B13" s="1989" t="s">
        <v>901</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64">
        <f>IFERROR(IF(L$6&lt;200,0,HLOOKUP(L$6,Daten!$CX$1:$FM$10,10,FALSE)),"")</f>
        <v>0</v>
      </c>
      <c r="M13" s="164">
        <f>IFERROR(IF(M$6&lt;200,0,HLOOKUP(M$6,Daten!$CX$1:$FM$10,10,FALSE)),"")</f>
        <v>0</v>
      </c>
      <c r="N13" s="164">
        <f>IFERROR(IF(N$6&lt;200,0,HLOOKUP(N$6,Daten!$CX$1:$FM$10,10,FALSE)),"")</f>
        <v>0</v>
      </c>
      <c r="O13" s="164">
        <f>IFERROR(IF(O$6&lt;200,0,HLOOKUP(O$6,Daten!$CX$1:$FM$10,10,FALSE)),"")</f>
        <v>0</v>
      </c>
      <c r="P13" s="164">
        <f>IFERROR(IF(P$6&lt;200,0,HLOOKUP(P$6,Daten!$CX$1:$FM$10,10,FALSE)),"")</f>
        <v>0</v>
      </c>
      <c r="Q13" s="164">
        <f>IFERROR(IF(Q$6&lt;200,0,HLOOKUP(Q$6,Daten!$CX$1:$FM$10,10,FALSE)),"")</f>
        <v>0</v>
      </c>
      <c r="R13" s="164">
        <f>IFERROR(IF(R$6&lt;200,0,HLOOKUP(R$6,Daten!$CX$1:$FM$10,10,FALSE)),"")</f>
        <v>0</v>
      </c>
      <c r="S13" s="1991"/>
      <c r="T13" s="184"/>
      <c r="U13" s="33"/>
    </row>
    <row r="14" spans="1:21" ht="17.45" customHeight="1">
      <c r="B14" s="1989" t="s">
        <v>1342</v>
      </c>
      <c r="C14" s="165" t="s">
        <v>171</v>
      </c>
      <c r="D14" s="164">
        <f>IFERROR(IF(D$6&lt;200,0,HLOOKUP(D$6,Daten!$CX$1:$FM$23,23,FALSE)),"")</f>
        <v>695.4</v>
      </c>
      <c r="E14" s="164">
        <f>IFERROR(IF(E$6&lt;200,0,HLOOKUP(E$6,Daten!$CX$1:$FM$23,23,FALSE)),"")</f>
        <v>695.4</v>
      </c>
      <c r="F14" s="164">
        <f>IFERROR(IF(F$6&lt;200,0,HLOOKUP(F$6,Daten!$CX$1:$FM$23,23,FALSE)),"")</f>
        <v>595.4</v>
      </c>
      <c r="G14" s="164">
        <f>IFERROR(IF(G$6&lt;200,0,HLOOKUP(G$6,Daten!$CX$1:$FM$23,23,FALSE)),"")</f>
        <v>695.4</v>
      </c>
      <c r="H14" s="164">
        <f>IFERROR(IF(H$6&lt;200,0,HLOOKUP(H$6,Daten!$CX$1:$FM$23,23,FALSE)),"")</f>
        <v>595.4</v>
      </c>
      <c r="I14" s="164">
        <f>IFERROR(IF(I$6&lt;200,0,HLOOKUP(I$6,Daten!$CX$1:$FM$23,23,FALSE)),"")</f>
        <v>595.4</v>
      </c>
      <c r="J14" s="164">
        <f>IFERROR(IF(J$6&lt;200,0,HLOOKUP(J$6,Daten!$CX$1:$FM$23,23,FALSE)),"")</f>
        <v>595.4</v>
      </c>
      <c r="K14" s="164">
        <f>IFERROR(IF(K$6&lt;200,0,HLOOKUP(K$6,Daten!$CX$1:$FM$23,23,FALSE)),"")</f>
        <v>595.4</v>
      </c>
      <c r="L14" s="164">
        <f>IFERROR(IF(L$6&lt;200,0,HLOOKUP(L$6,Daten!$CX$1:$FM$23,23,FALSE)),"")</f>
        <v>595.4</v>
      </c>
      <c r="M14" s="164">
        <f>IFERROR(IF(M$6&lt;200,0,HLOOKUP(M$6,Daten!$CX$1:$FM$23,23,FALSE)),"")</f>
        <v>595.4</v>
      </c>
      <c r="N14" s="164">
        <f>IFERROR(IF(N$6&lt;200,0,HLOOKUP(N$6,Daten!$CX$1:$FM$23,23,FALSE)),"")</f>
        <v>595.4</v>
      </c>
      <c r="O14" s="164">
        <f>IFERROR(IF(O$6&lt;200,0,HLOOKUP(O$6,Daten!$CX$1:$FM$23,23,FALSE)),"")</f>
        <v>595.4</v>
      </c>
      <c r="P14" s="164">
        <f>IFERROR(IF(P$6&lt;200,0,HLOOKUP(P$6,Daten!$CX$1:$FM$23,23,FALSE)),"")</f>
        <v>595.4</v>
      </c>
      <c r="Q14" s="164">
        <f>IFERROR(IF(Q$6&lt;200,0,HLOOKUP(Q$6,Daten!$CX$1:$FM$23,23,FALSE)),"")</f>
        <v>595.4</v>
      </c>
      <c r="R14" s="164">
        <f>IFERROR(IF(R$6&lt;200,0,HLOOKUP(R$6,Daten!$CX$1:$FM$23,23,FALSE)),"")</f>
        <v>595.4</v>
      </c>
      <c r="S14" s="1991"/>
      <c r="T14" s="184"/>
      <c r="U14" s="172" t="str">
        <f t="shared" ref="U14:U23" si="3">IF(ISERROR((D14*$D$8+E14*$E$8+F14*$F$8+G14*$G$8+I14*$I$8+J14*$J$8)/$S$8),"",(D14*$D$8+E14*$E$8+F14*$F$8+G14*$G$8+I14*$I$8+J14*$J$8)/$S$8)</f>
        <v/>
      </c>
    </row>
    <row r="15" spans="1:21" ht="19.899999999999999" customHeight="1">
      <c r="B15" s="1987"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695.4</v>
      </c>
      <c r="F15" s="170">
        <f>IF(ISERROR(IF(F6&lt;200,0,(HLOOKUP(F6,Daten!$CX$1:$FM$63,11,FALSE))+(HLOOKUP(F6,Daten!$CX$1:$FM$63,23,FALSE)))),"",IF(F6&lt;200,0,(HLOOKUP(F6,Daten!$CX$1:$FM$63,11,FALSE))+(HLOOKUP(F6,Daten!$CX$1:$FM$63,23,FALSE))))</f>
        <v>2414.7333333333336</v>
      </c>
      <c r="G15" s="170">
        <f>IF(ISERROR(IF(G6&lt;200,0,(HLOOKUP(G6,Daten!$CX$1:$FM$63,11,FALSE))+(HLOOKUP(G6,Daten!$CX$1:$FM$63,23,FALSE)))),"",IF(G6&lt;200,0,(HLOOKUP(G6,Daten!$CX$1:$FM$63,11,FALSE))+(HLOOKUP(G6,Daten!$CX$1:$FM$63,23,FALSE))))</f>
        <v>2907.5333333333333</v>
      </c>
      <c r="H15" s="170">
        <f>IF(ISERROR(IF(H6&lt;200,0,(HLOOKUP(H6,Daten!$CX$1:$FM$63,11,FALSE))+(HLOOKUP(H6,Daten!$CX$1:$FM$63,23,FALSE)))),"",IF(H6&lt;200,0,(HLOOKUP(H6,Daten!$CX$1:$FM$63,11,FALSE))+(HLOOKUP(H6,Daten!$CX$1:$FM$63,23,FALSE))))</f>
        <v>2378.3333333333335</v>
      </c>
      <c r="I15" s="170">
        <f>IF(ISERROR(IF(I6&lt;200,0,(HLOOKUP(I6,Daten!$CX$1:$FM$63,11,FALSE))+(HLOOKUP(I6,Daten!$CX$1:$FM$63,23,FALSE)))),"",IF(I6&lt;200,0,(HLOOKUP(I6,Daten!$CX$1:$FM$63,11,FALSE))+(HLOOKUP(I6,Daten!$CX$1:$FM$63,23,FALSE))))</f>
        <v>2570.5316666666668</v>
      </c>
      <c r="J15" s="170">
        <f>IF(ISERROR(IF(J6&lt;200,0,(HLOOKUP(J6,Daten!$CX$1:$FM$63,11,FALSE))+(HLOOKUP(J6,Daten!$CX$1:$FM$63,23,FALSE)))),"",IF(J6&lt;200,0,(HLOOKUP(J6,Daten!$CX$1:$FM$63,11,FALSE))+(HLOOKUP(J6,Daten!$CX$1:$FM$63,23,FALSE))))</f>
        <v>2546.8666666666668</v>
      </c>
      <c r="K15" s="170">
        <f>IF(ISERROR(IF(K6&lt;200,0,(HLOOKUP(K6,Daten!$CX$1:$FM$63,11,FALSE))+(HLOOKUP(K6,Daten!$CX$1:$FM$63,23,FALSE)))),"",IF(K6&lt;200,0,(HLOOKUP(K6,Daten!$CX$1:$FM$63,11,FALSE))+(HLOOKUP(K6,Daten!$CX$1:$FM$63,23,FALSE))))</f>
        <v>2638.2333333333336</v>
      </c>
      <c r="L15" s="170">
        <f>IF(ISERROR(IF(L6&lt;200,0,(HLOOKUP(L6,Daten!$CX$1:$FM$63,11,FALSE))+(HLOOKUP(L6,Daten!$CX$1:$FM$63,23,FALSE)))),"",IF(L6&lt;200,0,(HLOOKUP(L6,Daten!$CX$1:$FM$63,11,FALSE))+(HLOOKUP(L6,Daten!$CX$1:$FM$63,23,FALSE))))</f>
        <v>2369</v>
      </c>
      <c r="M15" s="170">
        <f>IF(ISERROR(IF(M6&lt;200,0,(HLOOKUP(M6,Daten!$CX$1:$FM$63,11,FALSE))+(HLOOKUP(M6,Daten!$CX$1:$FM$63,23,FALSE)))),"",IF(M6&lt;200,0,(HLOOKUP(M6,Daten!$CX$1:$FM$63,11,FALSE))+(HLOOKUP(M6,Daten!$CX$1:$FM$63,23,FALSE))))</f>
        <v>2440.0166666666669</v>
      </c>
      <c r="N15" s="170">
        <f>IF(ISERROR(IF(N6&lt;200,0,(HLOOKUP(N6,Daten!$CX$1:$FM$63,11,FALSE))+(HLOOKUP(N6,Daten!$CX$1:$FM$63,23,FALSE)))),"",IF(N6&lt;200,0,(HLOOKUP(N6,Daten!$CX$1:$FM$63,11,FALSE))+(HLOOKUP(N6,Daten!$CX$1:$FM$63,23,FALSE))))</f>
        <v>2130.5999999999995</v>
      </c>
      <c r="O15" s="170">
        <f>IF(ISERROR(IF(O6&lt;200,0,(HLOOKUP(O6,Daten!$CX$1:$FM$63,11,FALSE))+(HLOOKUP(O6,Daten!$CX$1:$FM$63,23,FALSE)))),"",IF(O6&lt;200,0,(HLOOKUP(O6,Daten!$CX$1:$FM$63,11,FALSE))+(HLOOKUP(O6,Daten!$CX$1:$FM$63,23,FALSE))))</f>
        <v>3285.4000000000005</v>
      </c>
      <c r="P15" s="170">
        <f>IF(ISERROR(IF(P6&lt;200,0,(HLOOKUP(P6,Daten!$CX$1:$FM$63,11,FALSE))+(HLOOKUP(P6,Daten!$CX$1:$FM$63,23,FALSE)))),"",IF(P6&lt;200,0,(HLOOKUP(P6,Daten!$CX$1:$FM$63,11,FALSE))+(HLOOKUP(P6,Daten!$CX$1:$FM$63,23,FALSE))))</f>
        <v>3714.0666666666662</v>
      </c>
      <c r="Q15" s="170">
        <f>IF(ISERROR(IF(Q6&lt;200,0,(HLOOKUP(Q6,Daten!$CX$1:$FM$63,11,FALSE))+(HLOOKUP(Q6,Daten!$CX$1:$FM$63,23,FALSE)))),"",IF(Q6&lt;200,0,(HLOOKUP(Q6,Daten!$CX$1:$FM$63,11,FALSE))+(HLOOKUP(Q6,Daten!$CX$1:$FM$63,23,FALSE))))</f>
        <v>3102.05</v>
      </c>
      <c r="R15" s="170">
        <f>IF(ISERROR(IF(R6&lt;200,0,(HLOOKUP(R6,Daten!$CX$1:$FM$63,11,FALSE))+(HLOOKUP(R6,Daten!$CX$1:$FM$63,23,FALSE)))),"",IF(R6&lt;200,0,(HLOOKUP(R6,Daten!$CX$1:$FM$63,11,FALSE))+(HLOOKUP(R6,Daten!$CX$1:$FM$63,23,FALSE))))</f>
        <v>11628.524999999998</v>
      </c>
      <c r="S15" s="1990"/>
      <c r="T15" s="181"/>
      <c r="U15" s="172" t="str">
        <f t="shared" si="3"/>
        <v/>
      </c>
    </row>
    <row r="16" spans="1:21" ht="15" customHeight="1">
      <c r="B16" s="1989" t="s">
        <v>222</v>
      </c>
      <c r="C16" s="165" t="s">
        <v>171</v>
      </c>
      <c r="D16" s="164">
        <f>IFERROR(IF(D$6&lt;200,0,HLOOKUP(D$6,Daten!$CX$1:$FM$12,12,FALSE)),"")</f>
        <v>90</v>
      </c>
      <c r="E16" s="164">
        <f>IFERROR(IF(E$6&lt;200,0,HLOOKUP(E$6,Daten!$CX$1:$FM$12,12,FALSE)),"")</f>
        <v>82.5</v>
      </c>
      <c r="F16" s="164">
        <f>IFERROR(IF(F$6&lt;200,0,HLOOKUP(F$6,Daten!$CX$1:$FM$12,12,FALSE)),"")</f>
        <v>122.99999999999999</v>
      </c>
      <c r="G16" s="164">
        <f>IFERROR(IF(G$6&lt;200,0,HLOOKUP(G$6,Daten!$CX$1:$FM$12,12,FALSE)),"")</f>
        <v>174.8</v>
      </c>
      <c r="H16" s="164">
        <f>IFERROR(IF(H$6&lt;200,0,HLOOKUP(H$6,Daten!$CX$1:$FM$12,12,FALSE)),"")</f>
        <v>117.6</v>
      </c>
      <c r="I16" s="164">
        <f>IFERROR(IF(I$6&lt;200,0,HLOOKUP(I$6,Daten!$CX$1:$FM$12,12,FALSE)),"")</f>
        <v>117.6</v>
      </c>
      <c r="J16" s="164">
        <f>IFERROR(IF(J$6&lt;200,0,HLOOKUP(J$6,Daten!$CX$1:$FM$12,12,FALSE)),"")</f>
        <v>119</v>
      </c>
      <c r="K16" s="164">
        <f>IFERROR(IF(K$6&lt;200,0,HLOOKUP(K$6,Daten!$CX$1:$FM$12,12,FALSE)),"")</f>
        <v>260</v>
      </c>
      <c r="L16" s="164">
        <f>IFERROR(IF(L$6&lt;200,0,HLOOKUP(L$6,Daten!$CX$1:$FM$12,12,FALSE)),"")</f>
        <v>147.6</v>
      </c>
      <c r="M16" s="164">
        <f>IFERROR(IF(M$6&lt;200,0,HLOOKUP(M$6,Daten!$CX$1:$FM$12,12,FALSE)),"")</f>
        <v>250</v>
      </c>
      <c r="N16" s="164">
        <f>IFERROR(IF(N$6&lt;200,0,HLOOKUP(N$6,Daten!$CX$1:$FM$12,12,FALSE)),"")</f>
        <v>240</v>
      </c>
      <c r="O16" s="164">
        <f>IFERROR(IF(O$6&lt;200,0,HLOOKUP(O$6,Daten!$CX$1:$FM$12,12,FALSE)),"")</f>
        <v>272</v>
      </c>
      <c r="P16" s="164">
        <f>IFERROR(IF(P$6&lt;200,0,HLOOKUP(P$6,Daten!$CX$1:$FM$12,12,FALSE)),"")</f>
        <v>210</v>
      </c>
      <c r="Q16" s="164">
        <f>IFERROR(IF(Q$6&lt;200,0,HLOOKUP(Q$6,Daten!$CX$1:$FM$12,12,FALSE)),"")</f>
        <v>225</v>
      </c>
      <c r="R16" s="164">
        <f>IFERROR(IF(R$6&lt;200,0,HLOOKUP(R$6,Daten!$CX$1:$FM$12,12,FALSE)),"")</f>
        <v>2250</v>
      </c>
      <c r="S16" s="1988"/>
      <c r="T16" s="176"/>
      <c r="U16" s="172" t="str">
        <f t="shared" si="3"/>
        <v/>
      </c>
    </row>
    <row r="17" spans="2:21" ht="15" customHeight="1">
      <c r="B17" s="1989" t="s">
        <v>1341</v>
      </c>
      <c r="C17" s="165" t="s">
        <v>171</v>
      </c>
      <c r="D17" s="164">
        <f>IFERROR(IF(D$6&lt;200,0,HLOOKUP(D$6,Daten!$CX$1:$FM$13,13,FALSE)),"")</f>
        <v>-532.66666666666663</v>
      </c>
      <c r="E17" s="164">
        <f>IFERROR(IF(E$6&lt;200,0,HLOOKUP(E$6,Daten!$CX$1:$FM$13,13,FALSE)),"")</f>
        <v>-470.33333333333331</v>
      </c>
      <c r="F17" s="164">
        <f>IFERROR(IF(F$6&lt;200,0,HLOOKUP(F$6,Daten!$CX$1:$FM$13,13,FALSE)),"")</f>
        <v>446.88</v>
      </c>
      <c r="G17" s="164">
        <f>IFERROR(IF(G$6&lt;200,0,HLOOKUP(G$6,Daten!$CX$1:$FM$13,13,FALSE)),"")</f>
        <v>555.67999999999995</v>
      </c>
      <c r="H17" s="164">
        <f>IFERROR(IF(H$6&lt;200,0,HLOOKUP(H$6,Daten!$CX$1:$FM$13,13,FALSE)),"")</f>
        <v>497.65333333333331</v>
      </c>
      <c r="I17" s="164">
        <f>IFERROR(IF(I$6&lt;200,0,HLOOKUP(I$6,Daten!$CX$1:$FM$13,13,FALSE)),"")</f>
        <v>381.72666666666663</v>
      </c>
      <c r="J17" s="164">
        <f>IFERROR(IF(J$6&lt;200,0,HLOOKUP(J$6,Daten!$CX$1:$FM$13,13,FALSE)),"")</f>
        <v>446.88</v>
      </c>
      <c r="K17" s="164">
        <f>IFERROR(IF(K$6&lt;200,0,HLOOKUP(K$6,Daten!$CX$1:$FM$13,13,FALSE)),"")</f>
        <v>416.63333333333327</v>
      </c>
      <c r="L17" s="164">
        <f>IFERROR(IF(L$6&lt;200,0,HLOOKUP(L$6,Daten!$CX$1:$FM$13,13,FALSE)),"")</f>
        <v>472.26666666666665</v>
      </c>
      <c r="M17" s="164">
        <f>IFERROR(IF(M$6&lt;200,0,HLOOKUP(M$6,Daten!$CX$1:$FM$13,13,FALSE)),"")</f>
        <v>-11.900000000000105</v>
      </c>
      <c r="N17" s="164">
        <f>IFERROR(IF(N$6&lt;200,0,HLOOKUP(N$6,Daten!$CX$1:$FM$13,13,FALSE)),"")</f>
        <v>-0.8000000000000469</v>
      </c>
      <c r="O17" s="164">
        <f>IFERROR(IF(O$6&lt;200,0,HLOOKUP(O$6,Daten!$CX$1:$FM$13,13,FALSE)),"")</f>
        <v>26.412000000000035</v>
      </c>
      <c r="P17" s="164">
        <f>IFERROR(IF(P$6&lt;200,0,HLOOKUP(P$6,Daten!$CX$1:$FM$13,13,FALSE)),"")</f>
        <v>744.74666666666656</v>
      </c>
      <c r="Q17" s="164">
        <f>IFERROR(IF(Q$6&lt;200,0,HLOOKUP(Q$6,Daten!$CX$1:$FM$13,13,FALSE)),"")</f>
        <v>450.5</v>
      </c>
      <c r="R17" s="164">
        <f>IFERROR(IF(R$6&lt;200,0,HLOOKUP(R$6,Daten!$CX$1:$FM$13,13,FALSE)),"")</f>
        <v>751.33333333333326</v>
      </c>
      <c r="S17" s="1988"/>
      <c r="T17" s="176"/>
      <c r="U17" s="173" t="str">
        <f t="shared" si="3"/>
        <v/>
      </c>
    </row>
    <row r="18" spans="2:21" ht="15" customHeight="1">
      <c r="B18" s="1989"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64">
        <f>IFERROR(IF(L$6&lt;200,0,HLOOKUP(L$6,Daten!$CX$1:$FM$14,14,FALSE)),"")</f>
        <v>0</v>
      </c>
      <c r="M18" s="164">
        <f>IFERROR(IF(M$6&lt;200,0,HLOOKUP(M$6,Daten!$CX$1:$FM$14,14,FALSE)),"")</f>
        <v>0</v>
      </c>
      <c r="N18" s="164">
        <f>IFERROR(IF(N$6&lt;200,0,HLOOKUP(N$6,Daten!$CX$1:$FM$14,14,FALSE)),"")</f>
        <v>0</v>
      </c>
      <c r="O18" s="164">
        <f>IFERROR(IF(O$6&lt;200,0,HLOOKUP(O$6,Daten!$CX$1:$FM$14,14,FALSE)),"")</f>
        <v>0</v>
      </c>
      <c r="P18" s="164">
        <f>IFERROR(IF(P$6&lt;200,0,HLOOKUP(P$6,Daten!$CX$1:$FM$14,14,FALSE)),"")</f>
        <v>0</v>
      </c>
      <c r="Q18" s="164">
        <f>IFERROR(IF(Q$6&lt;200,0,HLOOKUP(Q$6,Daten!$CX$1:$FM$14,14,FALSE)),"")</f>
        <v>0</v>
      </c>
      <c r="R18" s="164">
        <f>IFERROR(IF(R$6&lt;200,0,HLOOKUP(R$6,Daten!$CX$1:$FM$14,14,FALSE)),"")</f>
        <v>0</v>
      </c>
      <c r="S18" s="1988"/>
      <c r="T18" s="176"/>
      <c r="U18" s="173" t="str">
        <f t="shared" si="3"/>
        <v/>
      </c>
    </row>
    <row r="19" spans="2:21" ht="15" customHeight="1">
      <c r="B19" s="1989" t="s">
        <v>219</v>
      </c>
      <c r="C19" s="165" t="s">
        <v>171</v>
      </c>
      <c r="D19" s="164">
        <f>IFERROR(IF(D$6&lt;200,0,HLOOKUP(D$6,Daten!$CX$1:$FM$60,60,FALSE)),"")</f>
        <v>114.91834163294118</v>
      </c>
      <c r="E19" s="164">
        <f>IFERROR(IF(E$6&lt;200,0,HLOOKUP(E$6,Daten!$CX$1:$FM$60,60,FALSE)),"")</f>
        <v>114.91834163294118</v>
      </c>
      <c r="F19" s="164">
        <f>IFERROR(IF(F$6&lt;200,0,HLOOKUP(F$6,Daten!$CX$1:$FM$60,60,FALSE)),"")</f>
        <v>394.44442548806728</v>
      </c>
      <c r="G19" s="164">
        <f>IFERROR(IF(G$6&lt;200,0,HLOOKUP(G$6,Daten!$CX$1:$FM$60,60,FALSE)),"")</f>
        <v>329.74407414386553</v>
      </c>
      <c r="H19" s="164">
        <f>IFERROR(IF(H$6&lt;200,0,HLOOKUP(H$6,Daten!$CX$1:$FM$60,60,FALSE)),"")</f>
        <v>400.28232676571429</v>
      </c>
      <c r="I19" s="164">
        <f>IFERROR(IF(I$6&lt;200,0,HLOOKUP(I$6,Daten!$CX$1:$FM$60,60,FALSE)),"")</f>
        <v>401.15188123966385</v>
      </c>
      <c r="J19" s="164">
        <f>IFERROR(IF(J$6&lt;200,0,HLOOKUP(J$6,Daten!$CX$1:$FM$60,60,FALSE)),"")</f>
        <v>394.10013650453783</v>
      </c>
      <c r="K19" s="164">
        <f>IFERROR(IF(K$6&lt;200,0,HLOOKUP(K$6,Daten!$CX$1:$FM$60,60,FALSE)),"")</f>
        <v>375.76115878084033</v>
      </c>
      <c r="L19" s="164">
        <f>IFERROR(IF(L$6&lt;200,0,HLOOKUP(L$6,Daten!$CX$1:$FM$60,60,FALSE)),"")</f>
        <v>388.45210400268905</v>
      </c>
      <c r="M19" s="164">
        <f>IFERROR(IF(M$6&lt;200,0,HLOOKUP(M$6,Daten!$CX$1:$FM$60,60,FALSE)),"")</f>
        <v>331.07606966352944</v>
      </c>
      <c r="N19" s="164">
        <f>IFERROR(IF(N$6&lt;200,0,HLOOKUP(N$6,Daten!$CX$1:$FM$60,60,FALSE)),"")</f>
        <v>319.02425407999999</v>
      </c>
      <c r="O19" s="164">
        <f>IFERROR(IF(O$6&lt;200,0,HLOOKUP(O$6,Daten!$CX$1:$FM$60,60,FALSE)),"")</f>
        <v>357.16443314588241</v>
      </c>
      <c r="P19" s="164">
        <f>IFERROR(IF(P$6&lt;200,0,HLOOKUP(P$6,Daten!$CX$1:$FM$60,60,FALSE)),"")</f>
        <v>366.89221370319331</v>
      </c>
      <c r="Q19" s="164">
        <f>IFERROR(IF(Q$6&lt;200,0,HLOOKUP(Q$6,Daten!$CX$1:$FM$60,60,FALSE)),"")</f>
        <v>320.63533300403367</v>
      </c>
      <c r="R19" s="164">
        <f>IFERROR(IF(R$6&lt;200,0,HLOOKUP(R$6,Daten!$CX$1:$FM$60,60,FALSE)),"")</f>
        <v>823.8000680278991</v>
      </c>
      <c r="S19" s="1988"/>
      <c r="T19" s="176"/>
      <c r="U19" s="173" t="str">
        <f t="shared" si="3"/>
        <v/>
      </c>
    </row>
    <row r="20" spans="2:21" ht="15" customHeight="1">
      <c r="B20" s="1989" t="s">
        <v>1340</v>
      </c>
      <c r="C20" s="165" t="s">
        <v>171</v>
      </c>
      <c r="D20" s="164">
        <f>IFERROR(IF(D$6&lt;200,0,HLOOKUP(D$6,Daten!$CX$1:$FM$59,59,FALSE)),"")</f>
        <v>-2.8677978440450977</v>
      </c>
      <c r="E20" s="164">
        <f>IFERROR(IF(E$6&lt;200,0,HLOOKUP(E$6,Daten!$CX$1:$FM$59,59,FALSE)),"")</f>
        <v>-2.3880061773784313</v>
      </c>
      <c r="F20" s="164">
        <f>IFERROR(IF(F$6&lt;200,0,HLOOKUP(F$6,Daten!$CX$1:$FM$59,59,FALSE)),"")</f>
        <v>104.04850872302059</v>
      </c>
      <c r="G20" s="164">
        <f>IFERROR(IF(G$6&lt;200,0,HLOOKUP(G$6,Daten!$CX$1:$FM$59,59,FALSE)),"")</f>
        <v>111.95910264875882</v>
      </c>
      <c r="H20" s="164">
        <f>IFERROR(IF(H$6&lt;200,0,HLOOKUP(H$6,Daten!$CX$1:$FM$59,59,FALSE)),"")</f>
        <v>176.53911102586665</v>
      </c>
      <c r="I20" s="164">
        <f>IFERROR(IF(I$6&lt;200,0,HLOOKUP(I$6,Daten!$CX$1:$FM$59,59,FALSE)),"")</f>
        <v>97.723613644180389</v>
      </c>
      <c r="J20" s="164">
        <f>IFERROR(IF(J$6&lt;200,0,HLOOKUP(J$6,Daten!$CX$1:$FM$59,59,FALSE)),"")</f>
        <v>106.1431281944147</v>
      </c>
      <c r="K20" s="164">
        <f>IFERROR(IF(K$6&lt;200,0,HLOOKUP(K$6,Daten!$CX$1:$FM$59,59,FALSE)),"")</f>
        <v>100.78580305599903</v>
      </c>
      <c r="L20" s="164">
        <f>IFERROR(IF(L$6&lt;200,0,HLOOKUP(L$6,Daten!$CX$1:$FM$59,59,FALSE)),"")</f>
        <v>104.42700324335686</v>
      </c>
      <c r="M20" s="164">
        <f>IFERROR(IF(M$6&lt;200,0,HLOOKUP(M$6,Daten!$CX$1:$FM$59,59,FALSE)),"")</f>
        <v>189.39377860955588</v>
      </c>
      <c r="N20" s="164">
        <f>IFERROR(IF(N$6&lt;200,0,HLOOKUP(N$6,Daten!$CX$1:$FM$59,59,FALSE)),"")</f>
        <v>95.937465223199993</v>
      </c>
      <c r="O20" s="164">
        <f>IFERROR(IF(O$6&lt;200,0,HLOOKUP(O$6,Daten!$CX$1:$FM$59,59,FALSE)),"")</f>
        <v>288.83189379002647</v>
      </c>
      <c r="P20" s="164">
        <f>IFERROR(IF(P$6&lt;200,0,HLOOKUP(P$6,Daten!$CX$1:$FM$59,59,FALSE)),"")</f>
        <v>505.74962020323625</v>
      </c>
      <c r="Q20" s="164">
        <f>IFERROR(IF(Q$6&lt;200,0,HLOOKUP(Q$6,Daten!$CX$1:$FM$59,59,FALSE)),"")</f>
        <v>527.32101516378532</v>
      </c>
      <c r="R20" s="164">
        <f>IFERROR(IF(R$6&lt;200,0,HLOOKUP(R$6,Daten!$CX$1:$FM$59,59,FALSE)),"")</f>
        <v>211.54455476191075</v>
      </c>
      <c r="S20" s="1988"/>
      <c r="T20" s="176"/>
      <c r="U20" s="173" t="str">
        <f t="shared" si="3"/>
        <v/>
      </c>
    </row>
    <row r="21" spans="2:21" ht="15" customHeight="1">
      <c r="B21" s="1987" t="s">
        <v>1339</v>
      </c>
      <c r="C21" s="171" t="s">
        <v>171</v>
      </c>
      <c r="D21" s="170">
        <f>IF(ISERROR(IF(D6&lt;200,0,HLOOKUP(D6,Daten!$CX$1:$FM$63,21,FALSE))),"",IF(D6&lt;200,0,HLOOKUP(D6,Daten!$CX$1:$FM$63,21,FALSE)))</f>
        <v>-327.74832503372545</v>
      </c>
      <c r="E21" s="170">
        <f>IF(ISERROR(IF(E6&lt;200,0,HLOOKUP(E6,Daten!$CX$1:$FM$63,21,FALSE))),"",IF(E6&lt;200,0,HLOOKUP(E6,Daten!$CX$1:$FM$63,21,FALSE)))</f>
        <v>-272.91499170039214</v>
      </c>
      <c r="F21" s="170">
        <f>IF(ISERROR(IF(F6&lt;200,0,HLOOKUP(F6,Daten!$CX$1:$FM$63,21,FALSE))),"",IF(F6&lt;200,0,HLOOKUP(F6,Daten!$CX$1:$FM$63,21,FALSE)))</f>
        <v>1059.1057588214005</v>
      </c>
      <c r="G21" s="170">
        <f>IF(ISERROR(IF(G6&lt;200,0,HLOOKUP(G6,Daten!$CX$1:$FM$63,21,FALSE))),"",IF(G6&lt;200,0,HLOOKUP(G6,Daten!$CX$1:$FM$63,21,FALSE)))</f>
        <v>1162.0155408105322</v>
      </c>
      <c r="H21" s="170">
        <f>IF(ISERROR(IF(H6&lt;200,0,HLOOKUP(H6,Daten!$CX$1:$FM$63,21,FALSE))),"",IF(H6&lt;200,0,HLOOKUP(H6,Daten!$CX$1:$FM$63,21,FALSE)))</f>
        <v>1181.734593432381</v>
      </c>
      <c r="I21" s="170">
        <f>IF(ISERROR(IF(I6&lt;200,0,HLOOKUP(I6,Daten!$CX$1:$FM$63,21,FALSE))),"",IF(I6&lt;200,0,HLOOKUP(I6,Daten!$CX$1:$FM$63,21,FALSE)))</f>
        <v>989.54365457299696</v>
      </c>
      <c r="J21" s="170">
        <f>IF(ISERROR(IF(J6&lt;200,0,HLOOKUP(J6,Daten!$CX$1:$FM$63,21,FALSE))),"",IF(J6&lt;200,0,HLOOKUP(J6,Daten!$CX$1:$FM$63,21,FALSE)))</f>
        <v>1056.8756031712044</v>
      </c>
      <c r="K21" s="170">
        <f>IF(ISERROR(IF(K6&lt;200,0,HLOOKUP(K6,Daten!$CX$1:$FM$63,21,FALSE))),"",IF(K6&lt;200,0,HLOOKUP(K6,Daten!$CX$1:$FM$63,21,FALSE)))</f>
        <v>1143.1774921141734</v>
      </c>
      <c r="L21" s="170">
        <f>IF(ISERROR(IF(L6&lt;200,0,HLOOKUP(L6,Daten!$CX$1:$FM$63,21,FALSE))),"",IF(L6&lt;200,0,HLOOKUP(L6,Daten!$CX$1:$FM$63,21,FALSE)))</f>
        <v>1103.093704002689</v>
      </c>
      <c r="M21" s="170">
        <f>IF(ISERROR(IF(M6&lt;200,0,HLOOKUP(M6,Daten!$CX$1:$FM$63,21,FALSE))),"",IF(M6&lt;200,0,HLOOKUP(M6,Daten!$CX$1:$FM$63,21,FALSE)))</f>
        <v>751.98993633019597</v>
      </c>
      <c r="N21" s="170">
        <f>IF(ISERROR(IF(N6&lt;200,0,HLOOKUP(N6,Daten!$CX$1:$FM$63,21,FALSE))),"",IF(N6&lt;200,0,HLOOKUP(N6,Daten!$CX$1:$FM$63,21,FALSE)))</f>
        <v>648.48745408000013</v>
      </c>
      <c r="O21" s="170">
        <f>IF(ISERROR(IF(O6&lt;200,0,HLOOKUP(O6,Daten!$CX$1:$FM$63,21,FALSE))),"",IF(O6&lt;200,0,HLOOKUP(O6,Daten!$CX$1:$FM$63,21,FALSE)))</f>
        <v>936.21643314588243</v>
      </c>
      <c r="P21" s="170">
        <f>IF(ISERROR(IF(P6&lt;200,0,HLOOKUP(P6,Daten!$CX$1:$FM$63,21,FALSE))),"",IF(P6&lt;200,0,HLOOKUP(P6,Daten!$CX$1:$FM$63,21,FALSE)))</f>
        <v>1811.5375470365263</v>
      </c>
      <c r="Q21" s="170">
        <f>IF(ISERROR(IF(Q6&lt;200,0,HLOOKUP(Q6,Daten!$CX$1:$FM$63,21,FALSE))),"",IF(Q6&lt;200,0,HLOOKUP(Q6,Daten!$CX$1:$FM$63,21,FALSE)))</f>
        <v>1510.2417330040337</v>
      </c>
      <c r="R21" s="170">
        <f>IF(ISERROR(IF(R6&lt;200,0,HLOOKUP(R6,Daten!$CX$1:$FM$63,21,FALSE))),"",IF(R6&lt;200,0,HLOOKUP(R6,Daten!$CX$1:$FM$63,21,FALSE)))</f>
        <v>4001.663401361232</v>
      </c>
      <c r="S21" s="1986"/>
      <c r="T21" s="162"/>
      <c r="U21" s="173" t="str">
        <f t="shared" si="3"/>
        <v/>
      </c>
    </row>
    <row r="22" spans="2:21" ht="33" customHeight="1" thickBot="1">
      <c r="B22" s="3255" t="s">
        <v>1338</v>
      </c>
      <c r="C22" s="171" t="s">
        <v>171</v>
      </c>
      <c r="D22" s="170">
        <f>IFERROR(IF(D$6&lt;200,0,HLOOKUP(D$6,Daten!$CX$1:$FM$22,22,FALSE)),"")</f>
        <v>327.74832503372545</v>
      </c>
      <c r="E22" s="170">
        <f>IFERROR(IF(E$6&lt;200,0,HLOOKUP(E$6,Daten!$CX$1:$FM$22,22,FALSE)),"")</f>
        <v>272.91499170039214</v>
      </c>
      <c r="F22" s="170">
        <f>IFERROR(IF(F$6&lt;200,0,HLOOKUP(F$6,Daten!$CX$1:$FM$22,22,FALSE)),"")</f>
        <v>760.22757451193297</v>
      </c>
      <c r="G22" s="170">
        <f>IFERROR(IF(G$6&lt;200,0,HLOOKUP(G$6,Daten!$CX$1:$FM$22,22,FALSE)),"")</f>
        <v>1050.117792522801</v>
      </c>
      <c r="H22" s="170">
        <f>IFERROR(IF(H$6&lt;200,0,HLOOKUP(H$6,Daten!$CX$1:$FM$22,22,FALSE)),"")</f>
        <v>601.19873990095243</v>
      </c>
      <c r="I22" s="170">
        <f>IFERROR(IF(I$6&lt;200,0,HLOOKUP(I$6,Daten!$CX$1:$FM$22,22,FALSE)),"")</f>
        <v>985.5880120936697</v>
      </c>
      <c r="J22" s="170">
        <f>IFERROR(IF(J$6&lt;200,0,HLOOKUP(J$6,Daten!$CX$1:$FM$22,22,FALSE)),"")</f>
        <v>894.59106349546232</v>
      </c>
      <c r="K22" s="170">
        <f>IFERROR(IF(K$6&lt;200,0,HLOOKUP(K$6,Daten!$CX$1:$FM$22,22,FALSE)),"")</f>
        <v>899.65584121916004</v>
      </c>
      <c r="L22" s="170">
        <f>IFERROR(IF(L$6&lt;200,0,HLOOKUP(L$6,Daten!$CX$1:$FM$22,22,FALSE)),"")</f>
        <v>670.5062959973111</v>
      </c>
      <c r="M22" s="170">
        <f>IFERROR(IF(M$6&lt;200,0,HLOOKUP(M$6,Daten!$CX$1:$FM$22,22,FALSE)),"")</f>
        <v>1092.6267303364712</v>
      </c>
      <c r="N22" s="170">
        <f>IFERROR(IF(N$6&lt;200,0,HLOOKUP(N$6,Daten!$CX$1:$FM$22,22,FALSE)),"")</f>
        <v>886.71254591999946</v>
      </c>
      <c r="O22" s="170">
        <f>IFERROR(IF(O$6&lt;200,0,HLOOKUP(O$6,Daten!$CX$1:$FM$22,22,FALSE)),"")</f>
        <v>1753.7835668541179</v>
      </c>
      <c r="P22" s="170">
        <f>IFERROR(IF(P$6&lt;200,0,HLOOKUP(P$6,Daten!$CX$1:$FM$22,22,FALSE)),"")</f>
        <v>1307.1291196301397</v>
      </c>
      <c r="Q22" s="170">
        <f>IFERROR(IF(Q$6&lt;200,0,HLOOKUP(Q$6,Daten!$CX$1:$FM$22,22,FALSE)),"")</f>
        <v>996.40826699596641</v>
      </c>
      <c r="R22" s="170">
        <f>IFERROR(IF(R$6&lt;200,0,HLOOKUP(R$6,Daten!$CX$1:$FM$22,22,FALSE)),"")</f>
        <v>7031.4615986387662</v>
      </c>
      <c r="S22" s="1986">
        <f>SUMPRODUCT(D8:R8,D22:R22)%</f>
        <v>0</v>
      </c>
      <c r="T22" s="162"/>
      <c r="U22" s="172" t="str">
        <f t="shared" si="3"/>
        <v/>
      </c>
    </row>
    <row r="23" spans="2:21" ht="46.5" customHeight="1" thickBot="1">
      <c r="B23" s="3256" t="s">
        <v>1337</v>
      </c>
      <c r="C23" s="1985" t="s">
        <v>171</v>
      </c>
      <c r="D23" s="170">
        <f>IFERROR(IF(D$6&lt;200,0,HLOOKUP(D$6,Daten!$CX$1:$FM$25,25,FALSE)),"")</f>
        <v>1026.0161228777706</v>
      </c>
      <c r="E23" s="170">
        <f>IFERROR(IF(E$6&lt;200,0,HLOOKUP(E$6,Daten!$CX$1:$FM$25,25,FALSE)),"")</f>
        <v>970.70299787777049</v>
      </c>
      <c r="F23" s="170">
        <f>IFERROR(IF(F$6&lt;200,0,HLOOKUP(F$6,Daten!$CX$1:$FM$25,25,FALSE)),"")</f>
        <v>1346.3603991222456</v>
      </c>
      <c r="G23" s="3653">
        <f>IFERROR(IF(G$6&lt;200,0,HLOOKUP(G$6,Daten!$CX$1:$FM$25,25,FALSE)),"")</f>
        <v>1735.3501565407087</v>
      </c>
      <c r="H23" s="3654">
        <f>IFERROR(IF(H$6&lt;200,0,HLOOKUP(H$6,Daten!$CX$1:$FM$25,25,FALSE)),"")</f>
        <v>1186.2585622084189</v>
      </c>
      <c r="I23" s="3654">
        <f>IFERROR(IF(I$6&lt;200,0,HLOOKUP(I$6,Daten!$CX$1:$FM$25,25,FALSE)),"")</f>
        <v>1572.3295051161558</v>
      </c>
      <c r="J23" s="3654">
        <f>IFERROR(IF(J$6&lt;200,0,HLOOKUP(J$6,Daten!$CX$1:$FM$25,25,FALSE)),"")</f>
        <v>1480.7434019677141</v>
      </c>
      <c r="K23" s="3654">
        <f>IFERROR(IF(K$6&lt;200,0,HLOOKUP(K$6,Daten!$CX$1:$FM$25,25,FALSE)),"")</f>
        <v>1485.0530381631609</v>
      </c>
      <c r="L23" s="3654">
        <f>IFERROR(IF(L$6&lt;200,0,HLOOKUP(L$6,Daten!$CX$1:$FM$25,25,FALSE)),"")</f>
        <v>1256.2542260872876</v>
      </c>
      <c r="M23" s="3654">
        <f>IFERROR(IF(M$6&lt;200,0,HLOOKUP(M$6,Daten!$CX$1:$FM$25,25,FALSE)),"")</f>
        <v>1681.4468183935821</v>
      </c>
      <c r="N23" s="3654">
        <f>IFERROR(IF(N$6&lt;200,0,HLOOKUP(N$6,Daten!$CX$1:$FM$25,25,FALSE)),"")</f>
        <v>1476.4382806967992</v>
      </c>
      <c r="O23" s="3654">
        <f>IFERROR(IF(O$6&lt;200,0,HLOOKUP(O$6,Daten!$CX$1:$FM$25,25,FALSE)),"")</f>
        <v>2340.9916730640916</v>
      </c>
      <c r="P23" s="3654">
        <f>IFERROR(IF(P$6&lt;200,0,HLOOKUP(P$6,Daten!$CX$1:$FM$25,25,FALSE)),"")</f>
        <v>1886.6781660935699</v>
      </c>
      <c r="Q23" s="3654">
        <f>IFERROR(IF(Q$6&lt;200,0,HLOOKUP(Q$6,Daten!$CX$1:$FM$25,25,FALSE)),"")</f>
        <v>1578.593651832181</v>
      </c>
      <c r="R23" s="3654">
        <f>IFERROR(IF(R$6&lt;200,0,HLOOKUP(R$6,Daten!$CX$1:$FM$25,25,FALSE)),"")</f>
        <v>7591.8470438768554</v>
      </c>
      <c r="S23" s="3655">
        <f>SUMPRODUCT(D8:R8,D23:R23)%</f>
        <v>0</v>
      </c>
      <c r="T23" s="150"/>
      <c r="U23" s="1978" t="str">
        <f t="shared" si="3"/>
        <v/>
      </c>
    </row>
    <row r="24" spans="2:21" ht="36.75" customHeight="1">
      <c r="B24" s="4140" t="s">
        <v>1336</v>
      </c>
      <c r="C24" s="4140"/>
      <c r="D24" s="4140"/>
      <c r="E24" s="4140"/>
      <c r="F24" s="4140"/>
      <c r="G24" s="4141"/>
      <c r="H24" s="210"/>
      <c r="I24" s="210"/>
      <c r="J24" s="210"/>
      <c r="K24" s="210"/>
      <c r="L24" s="210"/>
      <c r="M24" s="210"/>
      <c r="N24" s="210"/>
      <c r="O24" s="210"/>
      <c r="P24" s="210"/>
      <c r="Q24" s="210"/>
      <c r="R24" s="162"/>
      <c r="S24" s="1983"/>
      <c r="T24" s="154"/>
    </row>
    <row r="25" spans="2:21" s="33" customFormat="1" ht="40.9" customHeight="1"/>
    <row r="26" spans="2:21" s="33" customFormat="1" ht="28.5" customHeight="1">
      <c r="T26" s="1982">
        <f>COLUMNS($G$26:T26)</f>
        <v>14</v>
      </c>
      <c r="U26" s="1982">
        <f>COLUMNS($G$26:U26)</f>
        <v>15</v>
      </c>
    </row>
    <row r="27" spans="2:21" s="33" customFormat="1" ht="19.149999999999999" customHeight="1">
      <c r="T27" s="1981"/>
      <c r="U27" s="1981"/>
    </row>
    <row r="28" spans="2:21" s="33" customFormat="1" ht="28.5" customHeight="1">
      <c r="T28" s="201"/>
      <c r="U28" s="136"/>
    </row>
    <row r="29" spans="2:21" s="33" customFormat="1" ht="28.5" customHeight="1">
      <c r="T29" s="136"/>
      <c r="U29" s="136"/>
    </row>
    <row r="30" spans="2:21" s="33" customFormat="1" ht="28.5" customHeight="1">
      <c r="T30" s="201"/>
      <c r="U30" s="136"/>
    </row>
    <row r="31" spans="2:21" s="33" customFormat="1" ht="23.85" customHeight="1" thickBot="1">
      <c r="T31" s="136"/>
      <c r="U31" s="136"/>
    </row>
    <row r="32" spans="2:21" s="33" customFormat="1" ht="28.5" customHeight="1">
      <c r="T32" s="195"/>
      <c r="U32" s="1980" t="s">
        <v>1335</v>
      </c>
    </row>
    <row r="33" spans="20:21" s="33" customFormat="1" ht="28.5" customHeight="1">
      <c r="T33" s="136"/>
      <c r="U33" s="1979">
        <v>100</v>
      </c>
    </row>
    <row r="34" spans="20:21" s="33" customFormat="1" ht="28.5" customHeight="1">
      <c r="T34" s="176"/>
      <c r="U34" s="136"/>
    </row>
    <row r="35" spans="20:21" s="33" customFormat="1" ht="28.5" customHeight="1">
      <c r="T35" s="184"/>
      <c r="U35" s="136"/>
    </row>
    <row r="36" spans="20:21" s="33" customFormat="1" ht="28.5" customHeight="1">
      <c r="T36" s="184"/>
      <c r="U36" s="136"/>
    </row>
    <row r="37" spans="20:21" s="33" customFormat="1" ht="57.2" customHeight="1">
      <c r="T37" s="184"/>
      <c r="U37" s="136"/>
    </row>
    <row r="38" spans="20:21" s="33" customFormat="1" ht="57.75" customHeight="1">
      <c r="T38" s="184"/>
    </row>
    <row r="39" spans="20:21" s="33" customFormat="1" ht="57.75" customHeight="1">
      <c r="T39" s="184"/>
      <c r="U39" s="172"/>
    </row>
    <row r="40" spans="20:21" s="33" customFormat="1" ht="28.5" customHeight="1">
      <c r="T40" s="181"/>
      <c r="U40" s="172"/>
    </row>
    <row r="41" spans="20:21" s="33" customFormat="1" ht="28.5" customHeight="1">
      <c r="T41" s="176"/>
      <c r="U41" s="172"/>
    </row>
    <row r="42" spans="20:21" s="33" customFormat="1" ht="28.5" customHeight="1">
      <c r="T42" s="176"/>
      <c r="U42" s="173"/>
    </row>
    <row r="43" spans="20:21" s="33" customFormat="1" ht="28.5" customHeight="1">
      <c r="T43" s="176"/>
      <c r="U43" s="173"/>
    </row>
    <row r="44" spans="20:21" s="33" customFormat="1" ht="105.4" customHeight="1">
      <c r="U44" s="173" t="str">
        <f>IF(ISERROR((D44*$D$33+E44*$E$33+F44*$F$33+G44*$G$33+I44*$I$33+J44*$J$33)/$S$33),"",(D44*$D$33+E44*$E$33+F44*$F$33+G44*$G$33+I44*$I$33+J44*$J$33)/$S$33)</f>
        <v/>
      </c>
    </row>
    <row r="45" spans="20:21" s="33" customFormat="1" ht="25.15" customHeight="1">
      <c r="U45" s="173" t="str">
        <f>IF(ISERROR((#REF!*$D$33+#REF!*$E$33+#REF!*$F$33+#REF!*$G$33+#REF!*$I$33+#REF!*$J$33)/$S$33),"",(#REF!*$D$33+#REF!*$E$33+#REF!*$F$33+#REF!*$G$33+#REF!*$I$33+#REF!*$J$33)/$S$33)</f>
        <v/>
      </c>
    </row>
    <row r="46" spans="20:21" s="33" customFormat="1" ht="25.15" customHeight="1">
      <c r="U46" s="173" t="str">
        <f>IF(ISERROR((#REF!*$D$33+#REF!*$E$33+#REF!*$F$33+#REF!*$G$33+#REF!*$I$33+#REF!*$J$33)/$S$33),"",(#REF!*$D$33+#REF!*$E$33+#REF!*$F$33+#REF!*$G$33+#REF!*$I$33+#REF!*$J$33)/$S$33)</f>
        <v/>
      </c>
    </row>
    <row r="47" spans="20:21" s="33" customFormat="1" ht="19.7" customHeight="1">
      <c r="U47" s="172" t="str">
        <f>IF(ISERROR((#REF!*$D$33+#REF!*$E$33+#REF!*$F$33+#REF!*$G$33+#REF!*$I$33+#REF!*$J$33)/$S$33),"",(#REF!*$D$33+#REF!*$E$33+#REF!*$F$33+#REF!*$G$33+#REF!*$I$33+#REF!*$J$33)/$S$33)</f>
        <v/>
      </c>
    </row>
    <row r="48" spans="20:21" s="33" customFormat="1" ht="18.399999999999999" customHeight="1" thickBot="1">
      <c r="U48" s="1978" t="str">
        <f>IF(ISERROR((D48*$D$33+E48*$E$33+F48*$F$33+G48*$G$33+I48*$I$33+J48*$J$33)/$S$33),"",(D48*$D$33+E48*$E$33+F48*$F$33+G48*$G$33+I48*$I$33+J48*$J$33)/$S$33)</f>
        <v/>
      </c>
    </row>
    <row r="49" spans="3:21" s="33" customFormat="1" ht="15" customHeight="1">
      <c r="T49" s="162"/>
      <c r="U49" s="136"/>
    </row>
    <row r="50" spans="3:21" s="33" customFormat="1" ht="16.899999999999999" customHeight="1">
      <c r="T50" s="154"/>
      <c r="U50" s="136"/>
    </row>
    <row r="51" spans="3:21" s="33" customFormat="1" ht="31.15" customHeight="1"/>
    <row r="52" spans="3:21">
      <c r="C52" s="1143">
        <v>33</v>
      </c>
      <c r="D52" s="33" t="str">
        <f>Kostenrechnung!F266</f>
        <v xml:space="preserve">Kleegras einjährig (70:30) </v>
      </c>
      <c r="E52" s="147"/>
      <c r="F52" s="1143">
        <v>33</v>
      </c>
      <c r="G52" s="148"/>
      <c r="H52" s="3545"/>
      <c r="I52" s="141"/>
      <c r="J52" s="141"/>
      <c r="K52" s="3545"/>
      <c r="L52" s="3545"/>
      <c r="M52" s="3545"/>
      <c r="N52" s="3545"/>
      <c r="O52" s="3545"/>
      <c r="P52" s="3545"/>
      <c r="Q52" s="141"/>
      <c r="R52" s="141"/>
      <c r="S52" s="1977">
        <v>1</v>
      </c>
    </row>
    <row r="53" spans="3:21">
      <c r="C53" s="1143">
        <f>C52+1</f>
        <v>34</v>
      </c>
      <c r="D53" s="33" t="str">
        <f>Kostenrechnung!F267</f>
        <v>Kleegras zweijährig (50:50)</v>
      </c>
      <c r="E53" s="138"/>
      <c r="F53" s="1143">
        <f>F52+1</f>
        <v>34</v>
      </c>
      <c r="G53" s="146" t="s">
        <v>213</v>
      </c>
      <c r="H53" s="145"/>
      <c r="I53" s="145"/>
      <c r="J53" s="145"/>
      <c r="K53" s="145"/>
      <c r="L53" s="145"/>
      <c r="M53" s="145"/>
      <c r="N53" s="145"/>
      <c r="O53" s="145"/>
      <c r="P53" s="145"/>
      <c r="Q53" s="145"/>
      <c r="R53" s="145"/>
      <c r="S53" s="1976">
        <v>2</v>
      </c>
    </row>
    <row r="54" spans="3:21">
      <c r="C54" s="1143">
        <f>C53+1</f>
        <v>35</v>
      </c>
      <c r="D54" s="33" t="str">
        <f>Kostenrechnung!F268</f>
        <v>Luzernegras einjährig (70:30)</v>
      </c>
      <c r="E54" s="138"/>
      <c r="F54" s="1143">
        <f>F53+1</f>
        <v>35</v>
      </c>
      <c r="G54" s="146" t="s">
        <v>212</v>
      </c>
      <c r="H54" s="145"/>
      <c r="I54" s="145"/>
      <c r="J54" s="145"/>
      <c r="K54" s="145"/>
      <c r="L54" s="145"/>
      <c r="M54" s="145"/>
      <c r="N54" s="145"/>
      <c r="O54" s="145"/>
      <c r="P54" s="145"/>
      <c r="Q54" s="145"/>
      <c r="R54" s="145"/>
      <c r="S54" s="1976">
        <v>3</v>
      </c>
    </row>
    <row r="55" spans="3:21">
      <c r="C55" s="1143">
        <f>C54+1</f>
        <v>36</v>
      </c>
      <c r="D55" s="33" t="str">
        <f>Kostenrechnung!F269</f>
        <v>Luzernegras zweijährig (50:50)</v>
      </c>
      <c r="E55" s="138"/>
      <c r="F55" s="1143">
        <f>F54+1</f>
        <v>36</v>
      </c>
      <c r="G55" s="144" t="s">
        <v>210</v>
      </c>
      <c r="H55" s="143"/>
      <c r="I55" s="143"/>
      <c r="J55" s="143"/>
      <c r="K55" s="143"/>
      <c r="L55" s="143"/>
      <c r="M55" s="143"/>
      <c r="N55" s="143"/>
      <c r="O55" s="143"/>
      <c r="P55" s="143"/>
      <c r="Q55" s="143"/>
      <c r="R55" s="143"/>
      <c r="S55" s="1975">
        <v>4</v>
      </c>
    </row>
    <row r="56" spans="3:21">
      <c r="C56" s="1143">
        <f>C55+1</f>
        <v>37</v>
      </c>
      <c r="D56" s="33" t="str">
        <f>Kostenrechnung!F270</f>
        <v>Öko-Winterweizen (Futter)</v>
      </c>
      <c r="E56" s="138"/>
      <c r="F56" s="1143">
        <f>F55+1</f>
        <v>37</v>
      </c>
      <c r="G56" s="141"/>
      <c r="H56" s="3545"/>
      <c r="I56" s="141"/>
      <c r="J56" s="141"/>
      <c r="K56" s="3545"/>
      <c r="L56" s="3545"/>
      <c r="M56" s="3545"/>
      <c r="N56" s="3545"/>
      <c r="O56" s="3545"/>
      <c r="P56" s="3545"/>
      <c r="Q56" s="141"/>
      <c r="R56" s="141"/>
      <c r="S56" s="141"/>
    </row>
    <row r="57" spans="3:21">
      <c r="C57" s="1143">
        <f>C56+1</f>
        <v>38</v>
      </c>
      <c r="D57" s="33" t="str">
        <f>Kostenrechnung!F271</f>
        <v>Öko-Winterweizen (Brot)</v>
      </c>
      <c r="E57" s="138"/>
      <c r="F57" s="1143">
        <f>F56+1</f>
        <v>38</v>
      </c>
    </row>
    <row r="58" spans="3:21">
      <c r="C58" s="1143">
        <f t="shared" ref="C58:C73" si="4">C57+1</f>
        <v>39</v>
      </c>
      <c r="D58" s="33" t="str">
        <f>Kostenrechnung!F272</f>
        <v>Öko-Dinkel</v>
      </c>
      <c r="E58" s="138"/>
      <c r="F58" s="1143">
        <f t="shared" ref="F58:F73" si="5">F57+1</f>
        <v>39</v>
      </c>
    </row>
    <row r="59" spans="3:21">
      <c r="C59" s="1143">
        <f t="shared" si="4"/>
        <v>40</v>
      </c>
      <c r="D59" s="33" t="str">
        <f>Kostenrechnung!F273</f>
        <v>Öko-Dinkel, entspelzt</v>
      </c>
      <c r="E59" s="138"/>
      <c r="F59" s="1143">
        <f t="shared" si="5"/>
        <v>40</v>
      </c>
    </row>
    <row r="60" spans="3:21">
      <c r="C60" s="1143">
        <f t="shared" si="4"/>
        <v>41</v>
      </c>
      <c r="D60" s="33" t="str">
        <f>Kostenrechnung!F274</f>
        <v>Öko-Winterroggen (Brot)</v>
      </c>
      <c r="E60" s="138"/>
      <c r="F60" s="1143">
        <f t="shared" si="5"/>
        <v>41</v>
      </c>
    </row>
    <row r="61" spans="3:21">
      <c r="C61" s="1143">
        <f t="shared" si="4"/>
        <v>42</v>
      </c>
      <c r="D61" s="33" t="str">
        <f>Kostenrechnung!F275</f>
        <v>Öko-Hafer</v>
      </c>
      <c r="E61" s="138"/>
      <c r="F61" s="1143">
        <f t="shared" si="5"/>
        <v>42</v>
      </c>
    </row>
    <row r="62" spans="3:21">
      <c r="C62" s="1143">
        <f t="shared" si="4"/>
        <v>43</v>
      </c>
      <c r="D62" s="33" t="s">
        <v>2043</v>
      </c>
      <c r="E62" s="138"/>
      <c r="F62" s="1143">
        <f t="shared" si="5"/>
        <v>43</v>
      </c>
    </row>
    <row r="63" spans="3:21">
      <c r="C63" s="1143">
        <f t="shared" si="4"/>
        <v>44</v>
      </c>
      <c r="D63" s="33" t="str">
        <f>Kostenrechnung!F277</f>
        <v>Öko-Braugerste</v>
      </c>
      <c r="E63" s="138"/>
      <c r="F63" s="1143">
        <f t="shared" si="5"/>
        <v>44</v>
      </c>
    </row>
    <row r="64" spans="3:21">
      <c r="C64" s="1143">
        <f t="shared" si="4"/>
        <v>45</v>
      </c>
      <c r="D64" s="33" t="str">
        <f>Kostenrechnung!F278</f>
        <v xml:space="preserve">Öko-Körnermais </v>
      </c>
      <c r="E64" s="138"/>
      <c r="F64" s="1143">
        <f t="shared" si="5"/>
        <v>45</v>
      </c>
    </row>
    <row r="65" spans="3:6">
      <c r="C65" s="1143">
        <f t="shared" si="4"/>
        <v>46</v>
      </c>
      <c r="D65" s="33" t="str">
        <f>Kostenrechnung!F279</f>
        <v xml:space="preserve">Öko-Ackerbohnen </v>
      </c>
      <c r="E65" s="138"/>
      <c r="F65" s="1143">
        <f t="shared" si="5"/>
        <v>46</v>
      </c>
    </row>
    <row r="66" spans="3:6">
      <c r="C66" s="1143">
        <f t="shared" si="4"/>
        <v>47</v>
      </c>
      <c r="D66" s="33" t="str">
        <f>Kostenrechnung!F280</f>
        <v>Öko-Futtererbsen</v>
      </c>
      <c r="E66" s="138"/>
      <c r="F66" s="1143">
        <f t="shared" si="5"/>
        <v>47</v>
      </c>
    </row>
    <row r="67" spans="3:6">
      <c r="C67" s="1143">
        <f t="shared" si="4"/>
        <v>48</v>
      </c>
      <c r="D67" s="33" t="str">
        <f>Kostenrechnung!F281</f>
        <v>Öko-Sojabohnen</v>
      </c>
      <c r="E67" s="138"/>
      <c r="F67" s="1143">
        <f t="shared" si="5"/>
        <v>48</v>
      </c>
    </row>
    <row r="68" spans="3:6">
      <c r="C68" s="1143">
        <f t="shared" si="4"/>
        <v>49</v>
      </c>
      <c r="D68" s="33" t="str">
        <f>Kostenrechnung!F282</f>
        <v>Öko-Sonnenblumen</v>
      </c>
      <c r="E68" s="138"/>
      <c r="F68" s="1143">
        <f t="shared" si="5"/>
        <v>49</v>
      </c>
    </row>
    <row r="69" spans="3:6">
      <c r="C69" s="1143">
        <f t="shared" si="4"/>
        <v>50</v>
      </c>
      <c r="D69" s="33" t="str">
        <f>Kostenrechnung!F283</f>
        <v>Öko-Winterraps (Ölproduktion)</v>
      </c>
      <c r="E69" s="138"/>
      <c r="F69" s="1143">
        <f t="shared" si="5"/>
        <v>50</v>
      </c>
    </row>
    <row r="70" spans="3:6">
      <c r="C70" s="1143">
        <f t="shared" si="4"/>
        <v>51</v>
      </c>
      <c r="D70" s="33" t="str">
        <f>Kostenrechnung!F284</f>
        <v>Öko-Speisekartoffeln spät</v>
      </c>
      <c r="E70" s="138"/>
      <c r="F70" s="1143">
        <f t="shared" si="5"/>
        <v>51</v>
      </c>
    </row>
    <row r="71" spans="3:6">
      <c r="C71" s="1143">
        <f t="shared" si="4"/>
        <v>52</v>
      </c>
      <c r="D71" s="33">
        <f>Kostenrechnung!F285</f>
        <v>0</v>
      </c>
      <c r="E71" s="138"/>
      <c r="F71" s="1143">
        <f t="shared" si="5"/>
        <v>52</v>
      </c>
    </row>
    <row r="72" spans="3:6">
      <c r="C72" s="1143">
        <f t="shared" si="4"/>
        <v>53</v>
      </c>
      <c r="D72" s="33" t="str">
        <f>Kostenrechnung!F286</f>
        <v>FAKT-Begrünung</v>
      </c>
      <c r="E72" s="138"/>
      <c r="F72" s="1143">
        <f t="shared" si="5"/>
        <v>53</v>
      </c>
    </row>
    <row r="73" spans="3:6">
      <c r="C73" s="1143">
        <f t="shared" si="4"/>
        <v>54</v>
      </c>
      <c r="D73" s="33" t="str">
        <f>Kostenrechnung!F287</f>
        <v xml:space="preserve">FAKT-Blühmischung </v>
      </c>
      <c r="E73" s="138"/>
      <c r="F73" s="1143">
        <f t="shared" si="5"/>
        <v>54</v>
      </c>
    </row>
    <row r="74" spans="3:6">
      <c r="C74" s="139"/>
      <c r="D74" s="33"/>
      <c r="E74" s="145"/>
      <c r="F74" s="3237"/>
    </row>
    <row r="75" spans="3:6">
      <c r="C75" s="139"/>
      <c r="D75" s="33"/>
      <c r="E75" s="145"/>
      <c r="F75" s="3237"/>
    </row>
    <row r="76" spans="3:6">
      <c r="C76" s="139"/>
      <c r="D76" s="33"/>
      <c r="E76" s="145"/>
      <c r="F76" s="3237"/>
    </row>
    <row r="77" spans="3:6">
      <c r="C77" s="139"/>
      <c r="D77" s="33"/>
      <c r="E77" s="145"/>
      <c r="F77" s="3237"/>
    </row>
    <row r="78" spans="3:6">
      <c r="C78" s="139"/>
      <c r="D78" s="33"/>
      <c r="E78" s="145"/>
      <c r="F78" s="3237"/>
    </row>
    <row r="79" spans="3:6">
      <c r="C79" s="139"/>
      <c r="D79" s="33"/>
      <c r="E79" s="145"/>
      <c r="F79" s="3237"/>
    </row>
    <row r="80" spans="3:6">
      <c r="C80" s="139"/>
      <c r="D80" s="33"/>
      <c r="E80" s="145"/>
      <c r="F80" s="3237"/>
    </row>
    <row r="81" spans="3:6">
      <c r="C81" s="139"/>
      <c r="D81" s="33"/>
      <c r="E81" s="145"/>
      <c r="F81" s="3237"/>
    </row>
    <row r="82" spans="3:6">
      <c r="C82" s="139"/>
      <c r="D82" s="33"/>
      <c r="E82" s="145"/>
      <c r="F82" s="3237"/>
    </row>
    <row r="83" spans="3:6">
      <c r="C83" s="139"/>
      <c r="D83" s="33"/>
      <c r="E83" s="145"/>
      <c r="F83" s="3237"/>
    </row>
    <row r="84" spans="3:6">
      <c r="C84" s="139"/>
      <c r="D84" s="33"/>
      <c r="E84" s="145"/>
      <c r="F84" s="3237"/>
    </row>
    <row r="85" spans="3:6">
      <c r="C85" s="139"/>
      <c r="D85" s="33"/>
      <c r="E85" s="145"/>
      <c r="F85" s="3237"/>
    </row>
    <row r="86" spans="3:6">
      <c r="C86" s="139"/>
      <c r="D86" s="139"/>
      <c r="E86" s="145"/>
      <c r="F86" s="3237"/>
    </row>
  </sheetData>
  <sheetProtection sheet="1" selectLockedCells="1"/>
  <mergeCells count="3">
    <mergeCell ref="B5:C5"/>
    <mergeCell ref="A2:B2"/>
    <mergeCell ref="B24:G24"/>
  </mergeCells>
  <conditionalFormatting sqref="S8 U8">
    <cfRule type="expression" dxfId="15" priority="2" stopIfTrue="1">
      <formula>$S$8&lt;&gt;100</formula>
    </cfRule>
  </conditionalFormatting>
  <conditionalFormatting sqref="U33">
    <cfRule type="expression" dxfId="14" priority="1" stopIfTrue="1">
      <formula>$S$8&lt;&gt;100</formula>
    </cfRule>
  </conditionalFormatting>
  <dataValidations count="3">
    <dataValidation type="list" allowBlank="1" showInputMessage="1" showErrorMessage="1" errorTitle="Produktionsverfahren" error="Bitte Produktionsverfahren aus Dropdownliste auswählen." sqref="D7:E7 G7:R7">
      <formula1>$D$52:$D$86</formula1>
    </dataValidation>
    <dataValidation type="list" allowBlank="1" showInputMessage="1" showErrorMessage="1" errorTitle="Leistungsniveau" error="Bitte Leistungsniveau aus Dropdownliste auswählen." sqref="B5:C5">
      <formula1>$G$52:$G$55</formula1>
    </dataValidation>
    <dataValidation type="list" allowBlank="1" showInputMessage="1" showErrorMessage="1" errorTitle="Produktionsverfahren" error="Bitte Produktionsverfahren aus Dropdownliste auswählen." sqref="F7">
      <formula1>$D$52:$D$73</formula1>
    </dataValidation>
  </dataValidations>
  <printOptions horizontalCentered="1"/>
  <pageMargins left="0.59055118110236227" right="0.57999999999999996" top="0.59055118110236227" bottom="0.59055118110236227" header="0.39370078740157483" footer="0.39370078740157483"/>
  <pageSetup paperSize="9" scale="67" firstPageNumber="87" fitToHeight="0" orientation="portrait" r:id="rId1"/>
  <headerFooter alignWithMargins="0">
    <oddFooter>&amp;L&amp;11LEL Schwäbisch Gmünd&amp;R&amp;11&amp;F</oddFooter>
  </headerFooter>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2">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1267.8657897542728</v>
      </c>
      <c r="K1" s="4859">
        <f>M1-J1</f>
        <v>438.54530724222241</v>
      </c>
      <c r="L1" s="4859"/>
      <c r="M1" s="1906">
        <f>(M7+M13+M18+M22+L11+L12)-(M23+M27+M34+M43+M60+M65+M67+M69+M71+M75)</f>
        <v>1706.4110969964952</v>
      </c>
      <c r="N1" s="4859">
        <f>P1-M1</f>
        <v>438.54530724222172</v>
      </c>
      <c r="O1" s="4859"/>
      <c r="P1" s="1906">
        <f>(P7+P13+P18+P22+O11+O12)-(P23+P27+P34+P43+P60+P65+P67+P69+P71+P75)</f>
        <v>2144.9564042387169</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1950</v>
      </c>
      <c r="L2" s="4870"/>
      <c r="M2" s="4870"/>
      <c r="N2" s="4870"/>
      <c r="O2" s="4870"/>
      <c r="P2" s="4870"/>
      <c r="Q2" s="1895"/>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1702</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26.25</v>
      </c>
      <c r="K6" s="4849" t="s">
        <v>152</v>
      </c>
      <c r="L6" s="4850"/>
      <c r="M6" s="1887">
        <v>35</v>
      </c>
      <c r="N6" s="4864" t="s">
        <v>178</v>
      </c>
      <c r="O6" s="4865"/>
      <c r="P6" s="1886">
        <f>M6*1.25</f>
        <v>43.75</v>
      </c>
      <c r="Q6" s="70"/>
    </row>
    <row r="7" spans="1:41" s="252" customFormat="1" ht="18.75" customHeight="1">
      <c r="A7" s="47"/>
      <c r="B7" s="311" t="s">
        <v>1691</v>
      </c>
      <c r="C7" s="47"/>
      <c r="D7" s="47"/>
      <c r="E7" s="47"/>
      <c r="F7" s="47"/>
      <c r="G7" s="1884" t="s">
        <v>171</v>
      </c>
      <c r="H7" s="1881"/>
      <c r="I7" s="1880"/>
      <c r="J7" s="1614">
        <f>SUM(I9:I10)</f>
        <v>1679.2562500000006</v>
      </c>
      <c r="K7" s="1883"/>
      <c r="L7" s="1882"/>
      <c r="M7" s="1617">
        <f>SUM(L9:L10)</f>
        <v>2239.0083333333341</v>
      </c>
      <c r="N7" s="1881"/>
      <c r="O7" s="1880"/>
      <c r="P7" s="1614">
        <f>SUM(O9:O10)</f>
        <v>2798.7604166666674</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1701</v>
      </c>
      <c r="D9" s="47"/>
      <c r="E9" s="47">
        <v>0.67</v>
      </c>
      <c r="F9" s="1878" t="s">
        <v>1257</v>
      </c>
      <c r="G9" s="1794">
        <f>SDÖ1!O27</f>
        <v>83.166666666666686</v>
      </c>
      <c r="H9" s="1877">
        <f>J6*E9</f>
        <v>17.587500000000002</v>
      </c>
      <c r="I9" s="1873">
        <f>H9*G9</f>
        <v>1462.6937500000006</v>
      </c>
      <c r="J9" s="43"/>
      <c r="K9" s="1876">
        <f>M6*E9</f>
        <v>23.450000000000003</v>
      </c>
      <c r="L9" s="1875">
        <f>K9*G9</f>
        <v>1950.2583333333341</v>
      </c>
      <c r="M9" s="1854"/>
      <c r="N9" s="1874">
        <f>P6*E9</f>
        <v>29.3125</v>
      </c>
      <c r="O9" s="1873">
        <f>N9*G9</f>
        <v>2437.8229166666674</v>
      </c>
      <c r="P9" s="43"/>
      <c r="Q9" s="32"/>
      <c r="R9" s="935"/>
      <c r="S9" s="265" t="s">
        <v>1265</v>
      </c>
      <c r="T9" s="1872"/>
    </row>
    <row r="10" spans="1:41" s="1842" customFormat="1" ht="15" customHeight="1">
      <c r="A10" s="377"/>
      <c r="B10" s="239"/>
      <c r="C10" s="281" t="s">
        <v>1689</v>
      </c>
      <c r="D10" s="1851"/>
      <c r="E10" s="4873"/>
      <c r="F10" s="4874"/>
      <c r="G10" s="1871">
        <v>25</v>
      </c>
      <c r="H10" s="1866">
        <f>J6-H9</f>
        <v>8.6624999999999979</v>
      </c>
      <c r="I10" s="1865">
        <f>H10*G10</f>
        <v>216.56249999999994</v>
      </c>
      <c r="J10" s="1870"/>
      <c r="K10" s="1869">
        <f>M6-K9</f>
        <v>11.549999999999997</v>
      </c>
      <c r="L10" s="1868">
        <f>K10*G10</f>
        <v>288.74999999999994</v>
      </c>
      <c r="M10" s="1867"/>
      <c r="N10" s="1866">
        <f>P6-N9</f>
        <v>14.4375</v>
      </c>
      <c r="O10" s="1865">
        <f>N10*G10</f>
        <v>360.9375</v>
      </c>
      <c r="P10" s="1864"/>
      <c r="Q10" s="38"/>
      <c r="R10" s="1863">
        <f>I10+I11+I12</f>
        <v>454.5625</v>
      </c>
      <c r="S10" s="1862">
        <f>L10+L11+L12</f>
        <v>606.08333333333326</v>
      </c>
      <c r="T10" s="1861">
        <f>O10+O11+O12</f>
        <v>757.60416666666674</v>
      </c>
      <c r="W10" s="252" t="s">
        <v>1254</v>
      </c>
    </row>
    <row r="11" spans="1:41" s="1842" customFormat="1" ht="15" customHeight="1">
      <c r="A11" s="377"/>
      <c r="B11" s="274"/>
      <c r="C11" s="45" t="s">
        <v>1253</v>
      </c>
      <c r="D11" s="377"/>
      <c r="E11" s="1860">
        <v>0.8</v>
      </c>
      <c r="F11" s="45" t="s">
        <v>1252</v>
      </c>
      <c r="G11" s="1859">
        <f>SDÖ1!$O$51</f>
        <v>11.333333333333336</v>
      </c>
      <c r="H11" s="1858">
        <f>IF($T$3=FALSE,0,J6*$E$11)</f>
        <v>21</v>
      </c>
      <c r="I11" s="1852">
        <f>H11*$G$11</f>
        <v>238.00000000000006</v>
      </c>
      <c r="J11" s="1857"/>
      <c r="K11" s="1856">
        <f>IF($T$3=FALSE,0,M6*$E$11)</f>
        <v>28</v>
      </c>
      <c r="L11" s="1855">
        <f>K11*$G$11</f>
        <v>317.33333333333337</v>
      </c>
      <c r="M11" s="1854"/>
      <c r="N11" s="1853">
        <f>IF($T$3=FALSE,0,P6*$E$11)</f>
        <v>35</v>
      </c>
      <c r="O11" s="1852">
        <f>N11*$G$11</f>
        <v>396.66666666666674</v>
      </c>
      <c r="P11" s="43"/>
      <c r="Q11" s="1877">
        <f>(S8-Q12)*$E$9</f>
        <v>0</v>
      </c>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21</v>
      </c>
      <c r="Y12" s="1839">
        <f>IF(OR(T3=TRUE,T4=TRUE),M6*$E$11,"0")</f>
        <v>28</v>
      </c>
      <c r="Z12" s="1838">
        <f>IF(OR(T3=TRUE,T4=TRUE),P6*$E$11,"0")</f>
        <v>35</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3306"/>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13"/>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260</v>
      </c>
      <c r="K23" s="1619"/>
      <c r="L23" s="1618"/>
      <c r="M23" s="1800">
        <f>SUM(L25:L26)</f>
        <v>260</v>
      </c>
      <c r="N23" s="1616"/>
      <c r="O23" s="1615"/>
      <c r="P23" s="1599">
        <f>SUM(O25:O26)</f>
        <v>260</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1.3</v>
      </c>
      <c r="G25" s="1794">
        <f>F25*(100+$D$24)/100</f>
        <v>1.3</v>
      </c>
      <c r="H25" s="1793">
        <v>200</v>
      </c>
      <c r="I25" s="1754">
        <f>H25*$G25</f>
        <v>260</v>
      </c>
      <c r="J25" s="45"/>
      <c r="K25" s="1793">
        <f>H25</f>
        <v>200</v>
      </c>
      <c r="L25" s="1596">
        <f>K25*$G25</f>
        <v>260</v>
      </c>
      <c r="M25" s="1589"/>
      <c r="N25" s="1793">
        <f>H25</f>
        <v>200</v>
      </c>
      <c r="O25" s="1754">
        <f>N25*$G25</f>
        <v>260</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335.14166666666665</v>
      </c>
      <c r="K27" s="1748"/>
      <c r="L27" s="1747"/>
      <c r="M27" s="1617">
        <f>SUM(L30:L33)</f>
        <v>416.63333333333327</v>
      </c>
      <c r="N27" s="1746"/>
      <c r="O27" s="1745"/>
      <c r="P27" s="1614">
        <f>SUM(O30:O33)</f>
        <v>498.125</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VLOOKUP('SD8'!B17,'SD8'!B9:K44,3,FALSE)</f>
        <v>1.6</v>
      </c>
      <c r="F30" s="1774"/>
      <c r="G30" s="1773">
        <v>20</v>
      </c>
      <c r="H30" s="1771">
        <f>IF(J$6=0,0,(J$6*$E30+$G30+X13))</f>
        <v>62</v>
      </c>
      <c r="I30" s="1754">
        <f>H30*$D30</f>
        <v>281.06666666666666</v>
      </c>
      <c r="J30" s="45"/>
      <c r="K30" s="1772">
        <f>IF(M$6=0,0,(M$6*$E30+$G30+AA14))</f>
        <v>76</v>
      </c>
      <c r="L30" s="1596">
        <f>K30*$D30</f>
        <v>344.5333333333333</v>
      </c>
      <c r="M30" s="1589"/>
      <c r="N30" s="1771">
        <f>IF(P$6=0,0,(P$6*$E30+$G30+AD14))</f>
        <v>90</v>
      </c>
      <c r="O30" s="1754">
        <f>N30*$D30</f>
        <v>408</v>
      </c>
      <c r="P30" s="1718"/>
      <c r="Q30" s="32"/>
    </row>
    <row r="31" spans="1:20" s="42" customFormat="1" ht="15" customHeight="1">
      <c r="A31" s="1306"/>
      <c r="B31" s="274"/>
      <c r="C31" s="1306" t="s">
        <v>244</v>
      </c>
      <c r="D31" s="1723">
        <f>IF(SDÖ1!$U$17=TRUE,SDÖ1!O56,0)</f>
        <v>1.3999999999999997</v>
      </c>
      <c r="E31" s="1774">
        <f>VLOOKUP('SD8'!B17,'SD8'!B9:K44,4,FALSE)</f>
        <v>0.8</v>
      </c>
      <c r="F31" s="1774"/>
      <c r="G31" s="1773"/>
      <c r="H31" s="1771">
        <f>IF(J$6=0,0,(J$6*$E31+$G31+X14))</f>
        <v>21</v>
      </c>
      <c r="I31" s="1754">
        <f>H31*$D31</f>
        <v>29.399999999999995</v>
      </c>
      <c r="J31" s="45"/>
      <c r="K31" s="1772">
        <f>IF(M$6=0,0,(M$6*$E31+$G31+Y14))</f>
        <v>28</v>
      </c>
      <c r="L31" s="1596">
        <f>K31*$D31</f>
        <v>39.199999999999989</v>
      </c>
      <c r="M31" s="1589"/>
      <c r="N31" s="1771">
        <f>IF(P$6=0,0,(P$6*$E31+$G31+Z14))</f>
        <v>35</v>
      </c>
      <c r="O31" s="1754">
        <f>N31*$D31</f>
        <v>48.999999999999986</v>
      </c>
      <c r="P31" s="1718"/>
      <c r="Q31" s="32"/>
    </row>
    <row r="32" spans="1:20" s="708" customFormat="1" ht="18.75" customHeight="1">
      <c r="A32" s="1270"/>
      <c r="B32" s="274"/>
      <c r="C32" s="1306" t="s">
        <v>242</v>
      </c>
      <c r="D32" s="1723">
        <f>IF(SDÖ1!$U$17=TRUE,SDÖ1!O57,0)</f>
        <v>1.3999999999999997</v>
      </c>
      <c r="E32" s="1774">
        <v>0.6</v>
      </c>
      <c r="F32" s="1774"/>
      <c r="G32" s="1773"/>
      <c r="H32" s="1771">
        <f>IF(J$6=0,0,(J$6*$E32+$G32+X15))</f>
        <v>15.75</v>
      </c>
      <c r="I32" s="1754">
        <f>H32*$D32</f>
        <v>22.049999999999994</v>
      </c>
      <c r="J32" s="45"/>
      <c r="K32" s="1772">
        <f>IF(M$6=0,0,(M$6*$E32+$G32+Y15))</f>
        <v>21</v>
      </c>
      <c r="L32" s="1596">
        <f>K32*$D32</f>
        <v>29.399999999999995</v>
      </c>
      <c r="M32" s="1589"/>
      <c r="N32" s="1771">
        <f>IF(P$6=0,0,(P$6*$E32+$G32+Z15))</f>
        <v>26.25</v>
      </c>
      <c r="O32" s="1754">
        <f>N32*$D32</f>
        <v>36.749999999999993</v>
      </c>
      <c r="P32" s="1718"/>
      <c r="Q32" s="32"/>
    </row>
    <row r="33" spans="1:17" s="708" customFormat="1" ht="13.15" customHeight="1">
      <c r="A33" s="1270"/>
      <c r="B33" s="239"/>
      <c r="C33" s="1331" t="s">
        <v>240</v>
      </c>
      <c r="D33" s="1706">
        <f>IF(SDÖ1!$U$17=TRUE,SDÖ1!O58,0)</f>
        <v>0.5</v>
      </c>
      <c r="E33" s="1770">
        <f>VLOOKUP('SD8'!B17,'SD8'!B9:K44,6,FALSE)</f>
        <v>0.2</v>
      </c>
      <c r="F33" s="1770"/>
      <c r="G33" s="1769"/>
      <c r="H33" s="1767">
        <f>IF(J$6=0,0,(J$6*$E33+$G33+X16))</f>
        <v>5.25</v>
      </c>
      <c r="I33" s="1750">
        <f>H33*$D33</f>
        <v>2.625</v>
      </c>
      <c r="J33" s="45"/>
      <c r="K33" s="1768">
        <f>IF(M$6=0,0,(M$6*$E33+$G33+Y16))</f>
        <v>7</v>
      </c>
      <c r="L33" s="1590">
        <f>K33*$D33</f>
        <v>3.5</v>
      </c>
      <c r="M33" s="1589"/>
      <c r="N33" s="1767">
        <f>IF(P$6=0,0,(P$6*$E33+$G33+Z16))</f>
        <v>8.75</v>
      </c>
      <c r="O33" s="1750">
        <f>N33*$D33</f>
        <v>4.375</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165.05200464260503</v>
      </c>
      <c r="K43" s="1748"/>
      <c r="L43" s="1747"/>
      <c r="M43" s="1617">
        <f>SUM(M46:M57)</f>
        <v>169.76115878084033</v>
      </c>
      <c r="N43" s="1746"/>
      <c r="O43" s="1745"/>
      <c r="P43" s="1614">
        <f>SUM(P46:P57)</f>
        <v>174.47031291907561</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2</v>
      </c>
      <c r="I50" s="1719">
        <f t="shared" si="4"/>
        <v>0.54</v>
      </c>
      <c r="J50" s="1718">
        <f t="shared" si="5"/>
        <v>11.675802555294117</v>
      </c>
      <c r="K50" s="1720">
        <v>2</v>
      </c>
      <c r="L50" s="1722">
        <f t="shared" si="6"/>
        <v>0.54</v>
      </c>
      <c r="M50" s="1721">
        <f t="shared" si="7"/>
        <v>11.675802555294117</v>
      </c>
      <c r="N50" s="1720">
        <v>2</v>
      </c>
      <c r="O50" s="1719">
        <f t="shared" si="8"/>
        <v>0.54</v>
      </c>
      <c r="P50" s="1718">
        <f t="shared" si="9"/>
        <v>11.675802555294117</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8"/>
    </row>
    <row r="53" spans="1:17" s="42" customFormat="1" ht="15" customHeight="1">
      <c r="A53" s="1306"/>
      <c r="B53" s="1726"/>
      <c r="C53" s="4835" t="s">
        <v>435</v>
      </c>
      <c r="D53" s="4836"/>
      <c r="E53" s="1725">
        <f>IF($C53=0,0,VLOOKUP($C53,SDÖ3!$C$24:$O$99,4,FALSE))</f>
        <v>83</v>
      </c>
      <c r="F53" s="1724">
        <f>IF($C53=0,0,VLOOKUP($C53,SDÖ3!$C$24:$O$99,12,FALSE))</f>
        <v>0.4</v>
      </c>
      <c r="G53" s="1723">
        <f>IF($C53=0,0,VLOOKUP($C53,SDÖ3!$C$24:$O$99,13,FALSE))</f>
        <v>6.8857796705882359</v>
      </c>
      <c r="H53" s="1720">
        <f>J$6/40+0.3</f>
        <v>0.95625000000000004</v>
      </c>
      <c r="I53" s="1719">
        <f t="shared" si="4"/>
        <v>0.38250000000000006</v>
      </c>
      <c r="J53" s="1718">
        <f t="shared" si="5"/>
        <v>6.5845268100000007</v>
      </c>
      <c r="K53" s="1720">
        <f>M$6/40+0.3</f>
        <v>1.175</v>
      </c>
      <c r="L53" s="1722">
        <f t="shared" si="6"/>
        <v>0.47000000000000003</v>
      </c>
      <c r="M53" s="1721">
        <f t="shared" si="7"/>
        <v>8.0907911129411776</v>
      </c>
      <c r="N53" s="1720">
        <f>P$6/40+0.3</f>
        <v>1.39375</v>
      </c>
      <c r="O53" s="1719">
        <f t="shared" si="8"/>
        <v>0.5575</v>
      </c>
      <c r="P53" s="1718">
        <f t="shared" si="9"/>
        <v>9.5970554158823536</v>
      </c>
      <c r="Q53" s="38"/>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6"/>
        <v>1.08</v>
      </c>
      <c r="M55" s="1721">
        <f t="shared" si="7"/>
        <v>32.755390400000003</v>
      </c>
      <c r="N55" s="1720">
        <v>2</v>
      </c>
      <c r="O55" s="1719">
        <f t="shared" si="8"/>
        <v>1.08</v>
      </c>
      <c r="P55" s="1718">
        <f t="shared" si="9"/>
        <v>32.755390400000003</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0.6</v>
      </c>
      <c r="I57" s="1703">
        <f t="shared" si="4"/>
        <v>0.6</v>
      </c>
      <c r="J57" s="1702">
        <f t="shared" si="5"/>
        <v>9.6086695058823519</v>
      </c>
      <c r="K57" s="3687">
        <f>K11/35</f>
        <v>0.8</v>
      </c>
      <c r="L57" s="1705">
        <f t="shared" si="6"/>
        <v>0.8</v>
      </c>
      <c r="M57" s="1652">
        <f t="shared" si="7"/>
        <v>12.811559341176471</v>
      </c>
      <c r="N57" s="3686">
        <f>N11/35</f>
        <v>1</v>
      </c>
      <c r="O57" s="1703">
        <f t="shared" si="8"/>
        <v>1</v>
      </c>
      <c r="P57" s="1702">
        <f t="shared" si="9"/>
        <v>16.014449176470588</v>
      </c>
      <c r="Q57" s="3678"/>
    </row>
    <row r="58" spans="1:17" s="708" customFormat="1" ht="18.75" customHeight="1">
      <c r="A58" s="1270"/>
      <c r="B58" s="1276" t="s">
        <v>1223</v>
      </c>
      <c r="C58" s="1373"/>
      <c r="D58" s="1373"/>
      <c r="E58" s="1373"/>
      <c r="F58" s="38"/>
      <c r="G58" s="1620"/>
      <c r="H58" s="1697"/>
      <c r="I58" s="1696">
        <f>SUM($I$46:$I$57)</f>
        <v>5.6624999999999996</v>
      </c>
      <c r="J58" s="1701"/>
      <c r="K58" s="1700"/>
      <c r="L58" s="1699">
        <f>SUM($L$46:$L$57)</f>
        <v>5.9499999999999993</v>
      </c>
      <c r="M58" s="1698"/>
      <c r="N58" s="1697"/>
      <c r="O58" s="1696">
        <f>SUM($O$46:$O$57)</f>
        <v>6.2374999999999998</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10.192499999999999</v>
      </c>
      <c r="J59" s="1686"/>
      <c r="K59" s="1691"/>
      <c r="L59" s="1690">
        <f>IF(L58+SUM($L$46:$L$57)*$E$59%&gt;L58+10,L58+10,L58+SUM($L$46:$L$57)*$E$59%)</f>
        <v>10.709999999999999</v>
      </c>
      <c r="M59" s="1689"/>
      <c r="N59" s="1688"/>
      <c r="O59" s="1687">
        <f>IF(O58+SUM($O$46:$O$57)*$E$59%&gt;O58+10,O58+10,O58+SUM($O$46:$O$57)*$E$59%)</f>
        <v>11.227499999999999</v>
      </c>
      <c r="P59" s="1686"/>
      <c r="Q59" s="32"/>
    </row>
    <row r="60" spans="1:17" s="65" customFormat="1" ht="18.75" customHeight="1">
      <c r="A60" s="1373"/>
      <c r="B60" s="1276" t="s">
        <v>1220</v>
      </c>
      <c r="C60" s="1373"/>
      <c r="D60" s="1373"/>
      <c r="E60" s="45"/>
      <c r="F60" s="45"/>
      <c r="G60" s="1685"/>
      <c r="H60" s="3960"/>
      <c r="I60" s="3959"/>
      <c r="J60" s="1684">
        <f>IF(J6=0,0,SUM(I62:I64))</f>
        <v>188.5</v>
      </c>
      <c r="K60" s="3962"/>
      <c r="L60" s="3961"/>
      <c r="M60" s="1617">
        <f>IF(M6=0,0,SUM(L62:L64))</f>
        <v>206</v>
      </c>
      <c r="N60" s="3960"/>
      <c r="O60" s="3959"/>
      <c r="P60" s="1684">
        <f>IF(P6=0,0,SUM(O62:O64))</f>
        <v>223.5</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52.5</v>
      </c>
      <c r="J64" s="227"/>
      <c r="K64" s="1654"/>
      <c r="L64" s="1653">
        <f>K11*$G$64</f>
        <v>70</v>
      </c>
      <c r="M64" s="1652"/>
      <c r="N64" s="1651"/>
      <c r="O64" s="1650">
        <f>N11*$G$64</f>
        <v>87.5</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3915" t="s">
        <v>1218</v>
      </c>
      <c r="C67" s="3914"/>
      <c r="D67" s="3914"/>
      <c r="E67" s="3910"/>
      <c r="F67" s="3931"/>
      <c r="G67" s="1620"/>
      <c r="H67" s="1639" t="s">
        <v>1217</v>
      </c>
      <c r="I67" s="1638" t="s">
        <v>1216</v>
      </c>
      <c r="J67" s="1614">
        <f>R68*(H9+H10)*I68%+F68</f>
        <v>47.381250000000001</v>
      </c>
      <c r="K67" s="1641" t="s">
        <v>1217</v>
      </c>
      <c r="L67" s="1640" t="s">
        <v>1216</v>
      </c>
      <c r="M67" s="1617">
        <f>S68*(K9+K10)*L68%+F68</f>
        <v>63.175000000000004</v>
      </c>
      <c r="N67" s="1639" t="s">
        <v>1217</v>
      </c>
      <c r="O67" s="1638" t="s">
        <v>1216</v>
      </c>
      <c r="P67" s="1614">
        <f>T68*(N9+N10)*O68%+F68</f>
        <v>78.96875</v>
      </c>
      <c r="Q67" s="32"/>
    </row>
    <row r="68" spans="1:20" s="708" customFormat="1" ht="15" customHeight="1">
      <c r="A68" s="1270"/>
      <c r="B68" s="1637"/>
      <c r="C68" s="4839" t="s">
        <v>1215</v>
      </c>
      <c r="D68" s="4839"/>
      <c r="E68" s="4839"/>
      <c r="F68" s="3930"/>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26.868100000000009</v>
      </c>
      <c r="K69" s="1630"/>
      <c r="L69" s="1629"/>
      <c r="M69" s="1617">
        <f>K70*$F70/1000</f>
        <v>35.824133333333343</v>
      </c>
      <c r="N69" s="44"/>
      <c r="O69" s="73"/>
      <c r="P69" s="1614">
        <f>N70*$F70/1000</f>
        <v>44.78016666666668</v>
      </c>
      <c r="Q69" s="32"/>
    </row>
    <row r="70" spans="1:20" s="708" customFormat="1" ht="15" customHeight="1">
      <c r="A70" s="1270"/>
      <c r="B70" s="1332"/>
      <c r="C70" s="1331" t="s">
        <v>896</v>
      </c>
      <c r="D70" s="353"/>
      <c r="E70" s="280"/>
      <c r="F70" s="1628">
        <f>'SDK7'!G102</f>
        <v>16</v>
      </c>
      <c r="G70" s="1627" t="s">
        <v>171</v>
      </c>
      <c r="H70" s="1623">
        <f>I9+I10</f>
        <v>1679.2562500000006</v>
      </c>
      <c r="I70" s="1622"/>
      <c r="J70" s="1621"/>
      <c r="K70" s="1626">
        <f>L9+L10</f>
        <v>2239.0083333333341</v>
      </c>
      <c r="L70" s="1625"/>
      <c r="M70" s="1624"/>
      <c r="N70" s="1623">
        <f>O9+O10</f>
        <v>2798.7604166666674</v>
      </c>
      <c r="O70" s="1622"/>
      <c r="P70" s="1621"/>
      <c r="Q70" s="32"/>
    </row>
    <row r="71" spans="1:20" ht="18.75" customHeight="1">
      <c r="A71" s="377"/>
      <c r="B71" s="311" t="s">
        <v>1213</v>
      </c>
      <c r="C71" s="377"/>
      <c r="D71" s="377"/>
      <c r="E71" s="229"/>
      <c r="F71" s="38"/>
      <c r="G71" s="1620"/>
      <c r="H71" s="1616"/>
      <c r="I71" s="1615"/>
      <c r="J71" s="1614">
        <f>SUM(I73:I74)</f>
        <v>211.05</v>
      </c>
      <c r="K71" s="1619"/>
      <c r="L71" s="1618"/>
      <c r="M71" s="1617">
        <f>SUM(L73:L74)</f>
        <v>281.40000000000003</v>
      </c>
      <c r="N71" s="1616"/>
      <c r="O71" s="1615"/>
      <c r="P71" s="1614">
        <f>SUM(O73:O74)</f>
        <v>351.75</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t="s">
        <v>2052</v>
      </c>
      <c r="D73" s="4846"/>
      <c r="E73" s="4846"/>
      <c r="F73" s="1598">
        <v>12</v>
      </c>
      <c r="G73" s="1597"/>
      <c r="H73" s="1591">
        <f>$F$73*(J$6-H$10)</f>
        <v>211.05</v>
      </c>
      <c r="I73" s="1595">
        <f>(100+$D$72)/100*H73</f>
        <v>211.05</v>
      </c>
      <c r="J73" s="45"/>
      <c r="K73" s="1591">
        <f>$F$73*(M$6-K$10)</f>
        <v>281.40000000000003</v>
      </c>
      <c r="L73" s="1596">
        <f>(100+$D$72)/100*K73</f>
        <v>281.40000000000003</v>
      </c>
      <c r="M73" s="1589"/>
      <c r="N73" s="1591">
        <f>$F$73*(P$6-N$10)</f>
        <v>351.75</v>
      </c>
      <c r="O73" s="1595">
        <f>(100+$D$72)/100*N73</f>
        <v>351.75</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10.797438936456125</v>
      </c>
      <c r="K75" s="3063"/>
      <c r="L75" s="1056"/>
      <c r="M75" s="1578">
        <f>(M23+M27+M34+M43+M60+M65+M67+M69+M71)*('SDK1'!$O$59%*$G$75/12)</f>
        <v>12.536944222665683</v>
      </c>
      <c r="N75" s="1580"/>
      <c r="O75" s="1579"/>
      <c r="P75" s="1578">
        <f>(P23+P27+P34+P43+P60+P65+P67+P69+P71)*('SDK1'!$O$59%*$G$75/12)</f>
        <v>14.276449508875244</v>
      </c>
      <c r="Q75" s="32"/>
    </row>
    <row r="76" spans="1:20">
      <c r="L76" s="33"/>
    </row>
    <row r="77" spans="1:20">
      <c r="L77" s="33"/>
      <c r="N77" s="3637"/>
      <c r="O77" s="3637"/>
      <c r="P77" s="3637"/>
    </row>
    <row r="78" spans="1:20" ht="14.25">
      <c r="C78" s="4921" t="s">
        <v>1946</v>
      </c>
      <c r="D78" s="4922"/>
      <c r="E78" s="4922"/>
      <c r="F78" s="4923"/>
      <c r="G78" s="3637"/>
      <c r="H78" s="3637"/>
      <c r="I78" s="3637"/>
      <c r="J78" s="3637"/>
      <c r="L78" s="33"/>
      <c r="N78" s="3637"/>
      <c r="O78" s="3637"/>
      <c r="P78" s="3637"/>
    </row>
    <row r="79" spans="1:20">
      <c r="C79" s="4913" t="s">
        <v>295</v>
      </c>
      <c r="D79" s="4914"/>
      <c r="E79" s="4914"/>
      <c r="F79" s="4915"/>
      <c r="G79" s="3637"/>
      <c r="H79" s="3637"/>
      <c r="I79" s="3637"/>
      <c r="J79" s="3637"/>
      <c r="L79" s="33"/>
      <c r="N79" s="3637"/>
      <c r="O79" s="3637"/>
      <c r="P79" s="3637"/>
    </row>
    <row r="80" spans="1:20" ht="14.25">
      <c r="B80" s="3078"/>
      <c r="C80" s="3074" t="s">
        <v>1942</v>
      </c>
      <c r="D80" s="3075"/>
      <c r="E80" s="3075"/>
      <c r="F80" s="3076"/>
      <c r="G80" s="3637"/>
      <c r="H80" s="3637"/>
      <c r="I80" s="3637"/>
      <c r="J80" s="3637"/>
      <c r="L80" s="33"/>
      <c r="N80" s="3637"/>
      <c r="O80" s="3637"/>
      <c r="P80" s="3637"/>
    </row>
    <row r="81" spans="2:16" ht="14.25">
      <c r="B81" s="3078"/>
      <c r="C81" s="3074" t="s">
        <v>1943</v>
      </c>
      <c r="D81" s="3075"/>
      <c r="E81" s="3075"/>
      <c r="F81" s="3076"/>
      <c r="G81" s="3637"/>
      <c r="H81" s="3637"/>
      <c r="I81" s="3637"/>
      <c r="J81" s="3637"/>
      <c r="L81" s="33"/>
      <c r="N81" s="3637"/>
      <c r="O81" s="3637"/>
      <c r="P81" s="3637"/>
    </row>
    <row r="82" spans="2:16">
      <c r="B82" s="3078"/>
      <c r="C82" s="3066" t="s">
        <v>294</v>
      </c>
      <c r="D82" s="3067"/>
      <c r="E82" s="3067"/>
      <c r="F82" s="3068"/>
      <c r="G82" s="3637"/>
      <c r="H82" s="3637"/>
      <c r="I82" s="3637"/>
      <c r="J82" s="3637"/>
      <c r="L82" s="33"/>
      <c r="N82" s="3637"/>
      <c r="O82" s="3637"/>
      <c r="P82" s="3637"/>
    </row>
    <row r="83" spans="2:16" ht="14.25">
      <c r="B83" s="3078"/>
      <c r="C83" s="3074" t="s">
        <v>1944</v>
      </c>
      <c r="D83" s="3075"/>
      <c r="E83" s="3075"/>
      <c r="F83" s="3076"/>
      <c r="G83" s="3637"/>
      <c r="H83" s="3637"/>
      <c r="I83" s="3637"/>
      <c r="J83" s="3637"/>
      <c r="L83" s="33"/>
      <c r="N83" s="3637"/>
      <c r="O83" s="3637"/>
      <c r="P83" s="3637"/>
    </row>
    <row r="84" spans="2:16" ht="14.25">
      <c r="B84" s="3078"/>
      <c r="C84" s="3074" t="s">
        <v>1945</v>
      </c>
      <c r="D84" s="3075"/>
      <c r="E84" s="3075"/>
      <c r="F84" s="3076"/>
      <c r="G84" s="3637"/>
      <c r="H84" s="3637"/>
      <c r="I84" s="3637"/>
      <c r="J84" s="3637"/>
      <c r="L84" s="33"/>
      <c r="N84" s="3637"/>
      <c r="O84" s="3637"/>
      <c r="P84" s="3637"/>
    </row>
    <row r="85" spans="2:16">
      <c r="B85" s="3078"/>
      <c r="C85" s="3066" t="s">
        <v>293</v>
      </c>
      <c r="D85" s="3067"/>
      <c r="E85" s="3067"/>
      <c r="F85" s="3068"/>
      <c r="G85" s="3637"/>
      <c r="H85" s="3637"/>
      <c r="I85" s="3637"/>
      <c r="J85" s="3637"/>
      <c r="L85" s="33"/>
      <c r="N85" s="3637"/>
      <c r="O85" s="3637"/>
      <c r="P85" s="3637"/>
    </row>
    <row r="86" spans="2:16">
      <c r="B86" s="3078"/>
      <c r="C86" s="3066" t="s">
        <v>292</v>
      </c>
      <c r="D86" s="3067"/>
      <c r="E86" s="3067"/>
      <c r="F86" s="3068"/>
      <c r="G86" s="3637"/>
      <c r="H86" s="3637"/>
      <c r="I86" s="3637"/>
      <c r="J86" s="3637"/>
      <c r="L86" s="33"/>
      <c r="N86" s="3637"/>
      <c r="O86" s="3637"/>
      <c r="P86" s="3637"/>
    </row>
    <row r="87" spans="2:16" ht="14.25">
      <c r="B87" s="3078"/>
      <c r="C87" s="3066" t="s">
        <v>291</v>
      </c>
      <c r="D87" s="3067"/>
      <c r="E87" s="3067"/>
      <c r="F87" s="3068"/>
      <c r="G87" s="3637"/>
      <c r="H87" s="3637"/>
      <c r="I87" s="3637"/>
      <c r="J87" s="3637"/>
      <c r="L87" s="33"/>
      <c r="N87" s="3637"/>
      <c r="O87" s="3637"/>
      <c r="P87" s="3637"/>
    </row>
    <row r="88" spans="2:16" ht="13.15" customHeight="1">
      <c r="B88" s="3078"/>
      <c r="C88" s="3066" t="s">
        <v>290</v>
      </c>
      <c r="D88" s="3069"/>
      <c r="E88" s="3069"/>
      <c r="F88" s="3070"/>
      <c r="G88" s="3637"/>
      <c r="H88" s="3637"/>
      <c r="I88" s="3637"/>
      <c r="J88" s="3637"/>
      <c r="L88" s="33"/>
      <c r="N88" s="3637"/>
      <c r="O88" s="3637"/>
      <c r="P88" s="3637"/>
    </row>
    <row r="89" spans="2:16">
      <c r="B89" s="3078"/>
      <c r="C89" s="3066" t="s">
        <v>289</v>
      </c>
      <c r="D89" s="3069"/>
      <c r="E89" s="3069"/>
      <c r="F89" s="3070"/>
      <c r="G89" s="3637"/>
      <c r="H89" s="3637"/>
      <c r="I89" s="3637"/>
      <c r="J89" s="3637"/>
      <c r="L89" s="33"/>
      <c r="N89" s="3637"/>
      <c r="O89" s="3637"/>
      <c r="P89" s="3637"/>
    </row>
    <row r="90" spans="2:16" ht="25.5">
      <c r="B90" s="3078"/>
      <c r="C90" s="3071" t="s">
        <v>288</v>
      </c>
      <c r="D90" s="3072"/>
      <c r="E90" s="3072"/>
      <c r="F90" s="3073"/>
      <c r="G90" s="3637"/>
      <c r="H90" s="3637"/>
      <c r="I90" s="3637"/>
      <c r="J90" s="3637"/>
      <c r="L90" s="33"/>
      <c r="N90" s="3637"/>
      <c r="O90" s="3637"/>
      <c r="P90" s="3637"/>
    </row>
    <row r="91" spans="2:16">
      <c r="C91" s="2538"/>
      <c r="D91" s="2538"/>
      <c r="E91" s="2538"/>
      <c r="F91" s="2538"/>
      <c r="G91" s="3637"/>
      <c r="H91" s="3637"/>
      <c r="I91" s="3637"/>
      <c r="J91" s="3637"/>
      <c r="L91" s="33"/>
      <c r="N91" s="3637"/>
      <c r="O91" s="3637"/>
      <c r="P91" s="3637"/>
    </row>
    <row r="92" spans="2:16">
      <c r="C92" s="2538"/>
      <c r="D92" s="2538"/>
      <c r="E92" s="2538"/>
      <c r="F92" s="2538"/>
      <c r="G92" s="3637"/>
      <c r="H92" s="3637"/>
      <c r="I92" s="3637"/>
      <c r="J92" s="3637"/>
      <c r="L92" s="33"/>
      <c r="N92" s="3637"/>
      <c r="O92" s="3637"/>
      <c r="P92" s="3637"/>
    </row>
    <row r="93" spans="2:16">
      <c r="C93" s="2538"/>
      <c r="D93" s="2538"/>
      <c r="E93" s="2538"/>
      <c r="F93" s="2538"/>
      <c r="G93" s="3637"/>
      <c r="H93" s="3637"/>
      <c r="I93" s="3637"/>
      <c r="J93" s="3637"/>
      <c r="L93" s="33"/>
      <c r="N93" s="3637"/>
      <c r="O93" s="3637"/>
      <c r="P93" s="3637"/>
    </row>
    <row r="94" spans="2:16">
      <c r="C94" s="2538"/>
      <c r="D94" s="2538"/>
      <c r="E94" s="2538"/>
      <c r="F94" s="2538"/>
      <c r="G94" s="3637"/>
      <c r="H94" s="3637"/>
      <c r="I94" s="3637"/>
      <c r="J94" s="3637"/>
      <c r="L94" s="33"/>
      <c r="N94" s="3637"/>
      <c r="O94" s="3637"/>
      <c r="P94" s="3637"/>
    </row>
    <row r="95" spans="2:16">
      <c r="C95" s="2538"/>
      <c r="D95" s="2538"/>
      <c r="E95" s="2538"/>
      <c r="F95" s="2538"/>
      <c r="G95" s="3637"/>
      <c r="H95" s="3637"/>
      <c r="I95" s="3637"/>
      <c r="J95" s="3637"/>
      <c r="L95" s="33"/>
      <c r="N95" s="3637"/>
      <c r="O95" s="3637"/>
      <c r="P95" s="3637"/>
    </row>
    <row r="96" spans="2:16">
      <c r="C96" s="2538"/>
      <c r="D96" s="2538"/>
      <c r="E96" s="2538"/>
      <c r="F96" s="2538"/>
      <c r="G96" s="3637"/>
      <c r="H96" s="3637"/>
      <c r="I96" s="3637"/>
      <c r="J96" s="3637"/>
      <c r="L96" s="33"/>
      <c r="N96" s="3637"/>
      <c r="O96" s="3637"/>
      <c r="P96" s="3637"/>
    </row>
    <row r="97" spans="2:16">
      <c r="C97" s="2538"/>
      <c r="D97" s="2538"/>
      <c r="E97" s="2538"/>
      <c r="F97" s="2538"/>
      <c r="G97" s="3637"/>
      <c r="H97" s="3637"/>
      <c r="I97" s="3637"/>
      <c r="J97" s="3637"/>
      <c r="L97" s="33"/>
      <c r="N97" s="3637"/>
      <c r="O97" s="3637"/>
      <c r="P97" s="3637"/>
    </row>
    <row r="98" spans="2:16">
      <c r="C98" s="2538"/>
      <c r="D98" s="2538"/>
      <c r="E98" s="2538"/>
      <c r="F98" s="2538"/>
      <c r="G98" s="3637"/>
      <c r="H98" s="3637"/>
      <c r="I98" s="3637"/>
      <c r="J98" s="3637"/>
      <c r="L98" s="33"/>
      <c r="N98" s="3637"/>
      <c r="O98" s="3637"/>
      <c r="P98" s="3637"/>
    </row>
    <row r="99" spans="2:16">
      <c r="B99" s="33"/>
      <c r="C99" s="2538"/>
      <c r="D99" s="2538"/>
      <c r="E99" s="2538"/>
      <c r="F99" s="2538"/>
      <c r="G99" s="3637"/>
      <c r="H99" s="3637"/>
      <c r="I99" s="3637"/>
      <c r="J99" s="3637"/>
      <c r="L99" s="33"/>
      <c r="N99" s="3637"/>
      <c r="O99" s="3637"/>
      <c r="P99" s="3637"/>
    </row>
    <row r="100" spans="2:16">
      <c r="B100" s="33"/>
      <c r="C100" s="2538"/>
      <c r="D100" s="2538"/>
      <c r="F100" s="2538"/>
      <c r="G100" s="3637"/>
      <c r="H100" s="3637"/>
      <c r="I100" s="3637"/>
      <c r="J100" s="3637"/>
      <c r="L100" s="33"/>
      <c r="N100" s="3637"/>
      <c r="O100" s="3637"/>
      <c r="P100" s="3637"/>
    </row>
    <row r="101" spans="2:16">
      <c r="B101" s="33"/>
      <c r="C101" s="33"/>
      <c r="D101" s="33"/>
      <c r="G101" s="3637"/>
      <c r="H101" s="3637"/>
      <c r="I101" s="3637"/>
      <c r="J101" s="3637"/>
      <c r="L101" s="33"/>
      <c r="N101" s="3637"/>
      <c r="O101" s="3637"/>
      <c r="P101" s="3637"/>
    </row>
    <row r="102" spans="2:16">
      <c r="B102" s="33"/>
      <c r="C102" s="33"/>
      <c r="D102" s="33"/>
      <c r="G102" s="3637"/>
      <c r="H102" s="3637"/>
      <c r="I102" s="3637"/>
      <c r="J102" s="3637"/>
      <c r="L102" s="33"/>
      <c r="N102" s="3637"/>
      <c r="O102" s="3637"/>
      <c r="P102" s="3637"/>
    </row>
    <row r="103" spans="2:16">
      <c r="B103" s="33"/>
      <c r="C103" s="33"/>
      <c r="D103" s="33"/>
      <c r="G103" s="3637"/>
      <c r="H103" s="3637"/>
      <c r="I103" s="3637"/>
      <c r="J103" s="3637"/>
      <c r="L103" s="33"/>
      <c r="N103" s="3637"/>
      <c r="O103" s="3637"/>
      <c r="P103" s="3637"/>
    </row>
    <row r="104" spans="2:16">
      <c r="B104" s="33"/>
      <c r="C104" s="33"/>
      <c r="D104" s="33"/>
      <c r="G104" s="3637"/>
      <c r="H104" s="3637"/>
      <c r="I104" s="3637"/>
      <c r="J104" s="3637"/>
      <c r="L104" s="33"/>
      <c r="N104" s="3637"/>
      <c r="O104" s="3637"/>
      <c r="P104" s="3637"/>
    </row>
    <row r="105" spans="2:16">
      <c r="B105" s="33"/>
      <c r="C105" s="33"/>
      <c r="D105" s="33"/>
      <c r="G105" s="3637"/>
      <c r="H105" s="3637"/>
      <c r="I105" s="3637"/>
      <c r="J105" s="3637"/>
      <c r="L105" s="33"/>
      <c r="N105" s="3637"/>
      <c r="O105" s="3637"/>
      <c r="P105" s="3637"/>
    </row>
    <row r="106" spans="2:16">
      <c r="B106" s="33"/>
      <c r="C106" s="33"/>
      <c r="D106" s="33"/>
      <c r="G106" s="3637"/>
      <c r="H106" s="3637"/>
      <c r="I106" s="3637"/>
      <c r="J106" s="3637"/>
      <c r="L106" s="33"/>
      <c r="N106" s="3637"/>
      <c r="O106" s="3637"/>
      <c r="P106" s="3637"/>
    </row>
    <row r="107" spans="2:16">
      <c r="B107" s="33"/>
      <c r="C107" s="33"/>
      <c r="D107" s="33"/>
      <c r="G107" s="3637"/>
      <c r="H107" s="3637"/>
      <c r="I107" s="3637"/>
      <c r="J107" s="3637"/>
      <c r="L107" s="33"/>
      <c r="N107" s="3637"/>
      <c r="O107" s="3637"/>
      <c r="P107" s="3637"/>
    </row>
    <row r="108" spans="2:16">
      <c r="G108" s="3637"/>
      <c r="H108" s="3637"/>
      <c r="I108" s="3637"/>
      <c r="J108" s="3637"/>
      <c r="L108" s="33"/>
      <c r="N108" s="3637"/>
      <c r="O108" s="3637"/>
      <c r="P108" s="3637"/>
    </row>
    <row r="109" spans="2:16">
      <c r="G109" s="3637"/>
      <c r="H109" s="3637"/>
      <c r="I109" s="3637"/>
      <c r="J109" s="3637"/>
      <c r="L109" s="33"/>
      <c r="N109" s="3637"/>
      <c r="O109" s="3637"/>
      <c r="P109" s="3637"/>
    </row>
    <row r="110" spans="2:16">
      <c r="G110" s="3637"/>
      <c r="H110" s="3637"/>
      <c r="I110" s="3637"/>
      <c r="J110" s="3637"/>
      <c r="L110" s="33"/>
      <c r="N110" s="3637"/>
      <c r="O110" s="3637"/>
      <c r="P110" s="3637"/>
    </row>
    <row r="111" spans="2:16">
      <c r="G111" s="3637"/>
      <c r="H111" s="3637"/>
      <c r="I111" s="3637"/>
      <c r="J111" s="3637"/>
      <c r="L111" s="33"/>
      <c r="N111" s="3637"/>
      <c r="O111" s="3637"/>
      <c r="P111" s="3637"/>
    </row>
    <row r="112" spans="2:16">
      <c r="G112" s="3637"/>
      <c r="H112" s="3637"/>
      <c r="I112" s="3637"/>
      <c r="J112" s="3637"/>
      <c r="L112" s="33"/>
      <c r="N112" s="3637"/>
      <c r="O112" s="3637"/>
      <c r="P112" s="3637"/>
    </row>
    <row r="113" spans="2:16">
      <c r="G113" s="3637"/>
      <c r="H113" s="3637"/>
      <c r="I113" s="3637"/>
      <c r="J113" s="3637"/>
      <c r="L113" s="33"/>
      <c r="N113" s="3637"/>
      <c r="O113" s="3637"/>
      <c r="P113" s="3637"/>
    </row>
    <row r="114" spans="2:16">
      <c r="G114" s="3637"/>
      <c r="H114" s="3637"/>
      <c r="I114" s="3637"/>
      <c r="J114" s="3637"/>
      <c r="L114" s="33"/>
      <c r="N114" s="3637"/>
      <c r="O114" s="3637"/>
      <c r="P114" s="3637"/>
    </row>
    <row r="115" spans="2:16">
      <c r="G115" s="3637"/>
      <c r="H115" s="3637"/>
      <c r="I115" s="3637"/>
      <c r="J115" s="3637"/>
      <c r="L115" s="33"/>
      <c r="N115" s="3637"/>
      <c r="O115" s="3637"/>
      <c r="P115" s="3637"/>
    </row>
    <row r="116" spans="2:16">
      <c r="L116" s="33"/>
      <c r="N116" s="3637"/>
      <c r="O116" s="3637"/>
      <c r="P116" s="3637"/>
    </row>
    <row r="117" spans="2:16">
      <c r="L117" s="33"/>
      <c r="N117" s="3637"/>
      <c r="O117" s="3637"/>
      <c r="P117" s="3637"/>
    </row>
    <row r="118" spans="2:16">
      <c r="B118" s="622"/>
      <c r="C118" s="33"/>
      <c r="L118" s="33"/>
      <c r="N118" s="3637"/>
      <c r="O118" s="3637"/>
      <c r="P118" s="3637"/>
    </row>
    <row r="119" spans="2:16">
      <c r="B119" s="622"/>
      <c r="C119" s="33"/>
      <c r="L119" s="33"/>
      <c r="N119" s="3637"/>
      <c r="O119" s="3637"/>
      <c r="P119" s="3637"/>
    </row>
    <row r="120" spans="2:16">
      <c r="B120" s="622"/>
      <c r="C120" s="33"/>
      <c r="L120" s="33"/>
      <c r="N120" s="3637"/>
      <c r="O120" s="3637"/>
      <c r="P120" s="3637"/>
    </row>
    <row r="121" spans="2:16">
      <c r="B121" s="622"/>
      <c r="C121" s="33"/>
      <c r="L121" s="33"/>
      <c r="N121" s="3637"/>
      <c r="O121" s="3637"/>
      <c r="P121" s="3637"/>
    </row>
    <row r="122" spans="2:16">
      <c r="B122" s="622"/>
      <c r="C122" s="33"/>
      <c r="L122" s="33"/>
      <c r="N122" s="3637"/>
      <c r="O122" s="3637"/>
      <c r="P122" s="3637"/>
    </row>
    <row r="123" spans="2:16">
      <c r="B123" s="622"/>
      <c r="C123" s="33"/>
      <c r="L123" s="33"/>
      <c r="N123" s="3637"/>
      <c r="O123" s="3637"/>
      <c r="P123" s="3637"/>
    </row>
    <row r="124" spans="2:16">
      <c r="B124" s="622"/>
      <c r="C124" s="33"/>
      <c r="L124" s="33"/>
      <c r="N124" s="3637"/>
      <c r="O124" s="3637"/>
      <c r="P124" s="3637"/>
    </row>
    <row r="125" spans="2:16">
      <c r="B125" s="622"/>
      <c r="C125" s="33"/>
      <c r="L125" s="33"/>
      <c r="N125" s="3637"/>
      <c r="O125" s="3637"/>
      <c r="P125" s="3637"/>
    </row>
    <row r="126" spans="2:16">
      <c r="B126" s="622"/>
      <c r="C126" s="33"/>
      <c r="L126" s="33"/>
      <c r="N126" s="3637"/>
      <c r="O126" s="3637"/>
      <c r="P126" s="3637"/>
    </row>
    <row r="127" spans="2:16">
      <c r="B127" s="622"/>
      <c r="C127" s="33"/>
      <c r="L127" s="33"/>
      <c r="N127" s="3637"/>
      <c r="O127" s="3637"/>
      <c r="P127" s="3637"/>
    </row>
    <row r="128" spans="2:16">
      <c r="B128" s="622"/>
      <c r="C128" s="33"/>
      <c r="L128" s="33"/>
      <c r="N128" s="3637"/>
      <c r="O128" s="3637"/>
      <c r="P128" s="3637"/>
    </row>
    <row r="129" spans="2:17">
      <c r="B129" s="622"/>
      <c r="C129" s="33"/>
      <c r="L129" s="33"/>
      <c r="N129" s="3637"/>
      <c r="O129" s="3637"/>
      <c r="P129" s="3637"/>
    </row>
    <row r="130" spans="2:17">
      <c r="B130" s="622"/>
      <c r="C130" s="33"/>
      <c r="L130" s="33"/>
      <c r="N130" s="3637"/>
      <c r="O130" s="3637"/>
      <c r="P130" s="3637"/>
    </row>
    <row r="131" spans="2:17">
      <c r="B131" s="622"/>
      <c r="C131" s="33"/>
      <c r="L131" s="33"/>
      <c r="N131" s="3637"/>
      <c r="O131" s="3637"/>
      <c r="P131" s="3637"/>
    </row>
    <row r="132" spans="2:17">
      <c r="B132" s="622"/>
      <c r="C132" s="33"/>
      <c r="L132" s="33"/>
      <c r="N132" s="3637"/>
      <c r="O132" s="3637"/>
      <c r="P132" s="3637"/>
    </row>
    <row r="133" spans="2:17">
      <c r="B133" s="622"/>
      <c r="C133" s="33"/>
      <c r="L133" s="3637"/>
      <c r="M133" s="3637"/>
      <c r="N133" s="3637"/>
      <c r="O133" s="3637"/>
      <c r="P133" s="3637"/>
      <c r="Q133" s="3637"/>
    </row>
    <row r="134" spans="2:17">
      <c r="B134" s="622"/>
      <c r="C134" s="33"/>
      <c r="L134" s="3637"/>
      <c r="M134" s="3637"/>
      <c r="N134" s="3637"/>
      <c r="O134" s="3637"/>
      <c r="P134" s="3637"/>
      <c r="Q134" s="3637"/>
    </row>
    <row r="135" spans="2:17">
      <c r="B135" s="622"/>
      <c r="C135" s="33"/>
      <c r="L135" s="3637"/>
      <c r="M135" s="3637"/>
      <c r="N135" s="3637"/>
      <c r="O135" s="3637"/>
      <c r="P135" s="3637"/>
      <c r="Q135" s="3637"/>
    </row>
    <row r="136" spans="2:17">
      <c r="B136" s="622"/>
      <c r="C136" s="33"/>
      <c r="L136" s="3637"/>
      <c r="M136" s="3637"/>
      <c r="N136" s="3637"/>
      <c r="O136" s="3637"/>
      <c r="P136" s="3637"/>
      <c r="Q136" s="3637"/>
    </row>
    <row r="137" spans="2:17">
      <c r="B137" s="622"/>
      <c r="C137" s="33"/>
      <c r="L137" s="3637"/>
      <c r="M137" s="3637"/>
      <c r="N137" s="3637"/>
      <c r="O137" s="3637"/>
      <c r="P137" s="3637"/>
      <c r="Q137" s="3637"/>
    </row>
    <row r="138" spans="2:17">
      <c r="B138" s="622"/>
      <c r="C138" s="33"/>
      <c r="L138" s="3637"/>
      <c r="M138" s="3637"/>
      <c r="N138" s="3637"/>
      <c r="O138" s="3637"/>
      <c r="P138" s="3637"/>
      <c r="Q138" s="3637"/>
    </row>
    <row r="139" spans="2:17">
      <c r="B139" s="622"/>
      <c r="C139" s="33"/>
      <c r="L139" s="3637"/>
      <c r="M139" s="3637"/>
      <c r="N139" s="3637"/>
      <c r="O139" s="3637"/>
      <c r="P139" s="3637"/>
      <c r="Q139" s="3637"/>
    </row>
    <row r="140" spans="2:17">
      <c r="B140" s="622"/>
      <c r="C140" s="33"/>
      <c r="L140" s="33"/>
    </row>
    <row r="141" spans="2:17">
      <c r="B141" s="622"/>
      <c r="C141" s="33"/>
      <c r="L141" s="33"/>
    </row>
    <row r="142" spans="2:17">
      <c r="B142" s="622"/>
      <c r="C142" s="33"/>
      <c r="L142" s="33"/>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E22:G22"/>
    <mergeCell ref="C55:D55"/>
    <mergeCell ref="C63:E63"/>
    <mergeCell ref="C68:E68"/>
    <mergeCell ref="C73:E73"/>
    <mergeCell ref="C52:D52"/>
    <mergeCell ref="C46:D46"/>
    <mergeCell ref="C50:D50"/>
    <mergeCell ref="C48:D48"/>
    <mergeCell ref="C49:D49"/>
    <mergeCell ref="C54:D54"/>
    <mergeCell ref="C56:D56"/>
    <mergeCell ref="C64:E64"/>
    <mergeCell ref="C62:E62"/>
    <mergeCell ref="C40:E40"/>
    <mergeCell ref="C53:D53"/>
    <mergeCell ref="C47:D47"/>
    <mergeCell ref="C37:E37"/>
    <mergeCell ref="C41:E41"/>
    <mergeCell ref="C38:E38"/>
    <mergeCell ref="C39:E39"/>
    <mergeCell ref="N1:O1"/>
    <mergeCell ref="K2:P2"/>
    <mergeCell ref="J3:L3"/>
    <mergeCell ref="C14:F14"/>
    <mergeCell ref="N3:O4"/>
    <mergeCell ref="E4:I4"/>
    <mergeCell ref="J4:L4"/>
    <mergeCell ref="G1:I1"/>
    <mergeCell ref="H6:I6"/>
    <mergeCell ref="K6:L6"/>
    <mergeCell ref="K1:L1"/>
    <mergeCell ref="N6:O6"/>
    <mergeCell ref="E10:F10"/>
    <mergeCell ref="C78:F78"/>
    <mergeCell ref="C79:F79"/>
    <mergeCell ref="C15:F15"/>
    <mergeCell ref="C36:E36"/>
    <mergeCell ref="C16:F16"/>
    <mergeCell ref="C17:F17"/>
    <mergeCell ref="C19:F19"/>
    <mergeCell ref="F23:G23"/>
    <mergeCell ref="C74:E74"/>
    <mergeCell ref="B75:C75"/>
    <mergeCell ref="D25:E25"/>
    <mergeCell ref="D26:E26"/>
    <mergeCell ref="F34:G34"/>
    <mergeCell ref="C42:E42"/>
    <mergeCell ref="C57:D57"/>
    <mergeCell ref="C51:D51"/>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Gmünd&amp;C26&amp;R&amp;11&amp;F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19" r:id="rId4" name="Check Box 15">
              <controlPr defaultSize="0" autoFill="0" autoLine="0" autoPict="0">
                <anchor moveWithCells="1">
                  <from>
                    <xdr:col>12</xdr:col>
                    <xdr:colOff>104775</xdr:colOff>
                    <xdr:row>2</xdr:row>
                    <xdr:rowOff>247650</xdr:rowOff>
                  </from>
                  <to>
                    <xdr:col>12</xdr:col>
                    <xdr:colOff>371475</xdr:colOff>
                    <xdr:row>3</xdr:row>
                    <xdr:rowOff>200025</xdr:rowOff>
                  </to>
                </anchor>
              </controlPr>
            </control>
          </mc:Choice>
        </mc:AlternateContent>
        <mc:AlternateContent xmlns:mc="http://schemas.openxmlformats.org/markup-compatibility/2006">
          <mc:Choice Requires="x14">
            <control shapeId="72720" r:id="rId5" name="Check Box 16">
              <controlPr defaultSize="0" autoFill="0" autoLine="0" autoPict="0">
                <anchor moveWithCells="1">
                  <from>
                    <xdr:col>12</xdr:col>
                    <xdr:colOff>95250</xdr:colOff>
                    <xdr:row>2</xdr:row>
                    <xdr:rowOff>38100</xdr:rowOff>
                  </from>
                  <to>
                    <xdr:col>12</xdr:col>
                    <xdr:colOff>381000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SDÖ5!$C$6:$C$33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3">
    <tabColor rgb="FFA9B533"/>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3" width="10.5" style="31" customWidth="1"/>
    <col min="34" max="16384" width="10.5" style="31"/>
  </cols>
  <sheetData>
    <row r="1" spans="1:41" s="276" customFormat="1" ht="30.2" customHeight="1">
      <c r="A1" s="2507"/>
      <c r="B1" s="326"/>
      <c r="C1" s="1908"/>
      <c r="D1" s="136"/>
      <c r="E1" s="323"/>
      <c r="F1" s="323"/>
      <c r="G1" s="4908" t="s">
        <v>1694</v>
      </c>
      <c r="H1" s="4908"/>
      <c r="I1" s="4908"/>
      <c r="J1" s="1906">
        <f>(J7+J13+J18+J22+I11+I12)-(J23+J27+J34+J43+J60+J65+J67+J69+J71+J75)</f>
        <v>1033.8496995770424</v>
      </c>
      <c r="K1" s="4859">
        <f>M1-J1</f>
        <v>312.51069954520335</v>
      </c>
      <c r="L1" s="4859"/>
      <c r="M1" s="1906">
        <f>(M7+M13+M18+M22+L11+L12)-(M23+M27+M34+M43+M60+M65+M67+M69+M71+M75)</f>
        <v>1346.3603991222458</v>
      </c>
      <c r="N1" s="4859">
        <f>P1-M1</f>
        <v>350.43006357357081</v>
      </c>
      <c r="O1" s="4859"/>
      <c r="P1" s="1906">
        <f>(P7+P13+P18+P22+O11+O12)-(P23+P27+P34+P43+P60+P65+P67+P69+P71+P75)</f>
        <v>1696.7904626958166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1951</v>
      </c>
      <c r="L2" s="4870"/>
      <c r="M2" s="4870"/>
      <c r="N2" s="4870"/>
      <c r="O2" s="4870"/>
      <c r="P2" s="4870"/>
      <c r="Q2" s="2507"/>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30</v>
      </c>
      <c r="K6" s="4849" t="s">
        <v>152</v>
      </c>
      <c r="L6" s="4850"/>
      <c r="M6" s="1887">
        <v>40</v>
      </c>
      <c r="N6" s="4864" t="s">
        <v>178</v>
      </c>
      <c r="O6" s="4865"/>
      <c r="P6" s="1886">
        <f>M6*1.25</f>
        <v>50</v>
      </c>
      <c r="Q6" s="70"/>
    </row>
    <row r="7" spans="1:41" s="252" customFormat="1" ht="18.75" customHeight="1">
      <c r="A7" s="47"/>
      <c r="B7" s="311" t="s">
        <v>1691</v>
      </c>
      <c r="C7" s="47"/>
      <c r="D7" s="47"/>
      <c r="E7" s="47"/>
      <c r="F7" s="47"/>
      <c r="G7" s="1884" t="s">
        <v>171</v>
      </c>
      <c r="H7" s="1881"/>
      <c r="I7" s="1880"/>
      <c r="J7" s="1614">
        <f>SUM(I9:I10)</f>
        <v>1058.5000000000002</v>
      </c>
      <c r="K7" s="1883"/>
      <c r="L7" s="1882"/>
      <c r="M7" s="1617">
        <f>SUM(L9:L10)</f>
        <v>1411.3333333333335</v>
      </c>
      <c r="N7" s="1881"/>
      <c r="O7" s="1880"/>
      <c r="P7" s="1614">
        <f>SUM(O9:O10)</f>
        <v>1764.166666666667</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SDÖ1!O19</f>
        <v>35.283333333333339</v>
      </c>
      <c r="H9" s="1877">
        <f>J6-H10</f>
        <v>30</v>
      </c>
      <c r="I9" s="1873">
        <f>H9*G9</f>
        <v>1058.5000000000002</v>
      </c>
      <c r="J9" s="43"/>
      <c r="K9" s="1876">
        <f>M6-K10</f>
        <v>40</v>
      </c>
      <c r="L9" s="1875">
        <f>K9*G9</f>
        <v>1411.3333333333335</v>
      </c>
      <c r="M9" s="1854"/>
      <c r="N9" s="1874">
        <f>P6-N10</f>
        <v>50</v>
      </c>
      <c r="O9" s="1873">
        <f>N9*G9</f>
        <v>1764.166666666667</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306.00000000000006</v>
      </c>
      <c r="S10" s="1862">
        <f>L10+L11+L12</f>
        <v>408.00000000000011</v>
      </c>
      <c r="T10" s="1861">
        <f>O10+O11+O12</f>
        <v>510.00000000000011</v>
      </c>
      <c r="W10" s="252" t="s">
        <v>1254</v>
      </c>
    </row>
    <row r="11" spans="1:41" s="1842" customFormat="1" ht="15" customHeight="1">
      <c r="A11" s="377"/>
      <c r="B11" s="274"/>
      <c r="C11" s="45" t="s">
        <v>1253</v>
      </c>
      <c r="D11" s="377"/>
      <c r="E11" s="1860">
        <v>0.9</v>
      </c>
      <c r="F11" s="45" t="s">
        <v>1252</v>
      </c>
      <c r="G11" s="1859">
        <f>SDÖ1!$O$51</f>
        <v>11.333333333333336</v>
      </c>
      <c r="H11" s="1858">
        <f>IF($T$3=FALSE,0,J6*$E$11)</f>
        <v>27</v>
      </c>
      <c r="I11" s="1852">
        <f>H11*$G$11</f>
        <v>306.00000000000006</v>
      </c>
      <c r="J11" s="1857"/>
      <c r="K11" s="1856">
        <f>IF($T$3=FALSE,0,M6*$E$11)</f>
        <v>36</v>
      </c>
      <c r="L11" s="1855">
        <f>K11*$G$11</f>
        <v>408.00000000000011</v>
      </c>
      <c r="M11" s="1854"/>
      <c r="N11" s="1853">
        <f>IF($T$3=FALSE,0,P6*$E$11)</f>
        <v>45</v>
      </c>
      <c r="O11" s="1852">
        <f>N11*$G$11</f>
        <v>510.00000000000011</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27</v>
      </c>
      <c r="Y12" s="1839">
        <f>IF(OR(T3=TRUE,T4=TRUE),M6*$E$11,"0")</f>
        <v>36</v>
      </c>
      <c r="Z12" s="1838">
        <f>IF(OR(T3=TRUE,T4=TRUE),P6*$E$11,"0")</f>
        <v>45</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122.99999999999999</v>
      </c>
      <c r="K23" s="1619"/>
      <c r="L23" s="1618"/>
      <c r="M23" s="1800">
        <f>SUM(L25:L26)</f>
        <v>122.99999999999999</v>
      </c>
      <c r="N23" s="1616"/>
      <c r="O23" s="1615"/>
      <c r="P23" s="1599">
        <f>SUM(O25:O26)</f>
        <v>122.99999999999999</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0.82</v>
      </c>
      <c r="G25" s="1794">
        <f>F25*(100+$D$24)/100</f>
        <v>0.82</v>
      </c>
      <c r="H25" s="1793">
        <v>150</v>
      </c>
      <c r="I25" s="1754">
        <f>H25*$G25</f>
        <v>122.99999999999999</v>
      </c>
      <c r="J25" s="45"/>
      <c r="K25" s="1793">
        <f>H25</f>
        <v>150</v>
      </c>
      <c r="L25" s="1596">
        <f>K25*$G25</f>
        <v>122.99999999999999</v>
      </c>
      <c r="M25" s="1589"/>
      <c r="N25" s="1793">
        <f>H25</f>
        <v>150</v>
      </c>
      <c r="O25" s="1754">
        <f>N25*$G25</f>
        <v>122.99999999999999</v>
      </c>
      <c r="P25" s="1718"/>
      <c r="Q25" s="32"/>
    </row>
    <row r="26" spans="1:20" s="708" customFormat="1" ht="13.9" customHeight="1">
      <c r="A26" s="1270"/>
      <c r="B26" s="1332"/>
      <c r="C26" s="1792" t="s">
        <v>191</v>
      </c>
      <c r="D26" s="4853"/>
      <c r="E26" s="4854"/>
      <c r="F26" s="1791"/>
      <c r="G26" s="1790">
        <f>F26*(100+$D$24)/100</f>
        <v>0</v>
      </c>
      <c r="H26" s="1789"/>
      <c r="I26" s="1750">
        <f>H26*$G26</f>
        <v>0</v>
      </c>
      <c r="J26" s="45"/>
      <c r="K26" s="1789">
        <f>H26</f>
        <v>0</v>
      </c>
      <c r="L26" s="1590">
        <f>K26*$G26</f>
        <v>0</v>
      </c>
      <c r="M26" s="1589"/>
      <c r="N26" s="1789">
        <v>90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357.82666666666665</v>
      </c>
      <c r="K27" s="1748"/>
      <c r="L27" s="1747"/>
      <c r="M27" s="1617">
        <f>SUM(L30:L33)</f>
        <v>446.88</v>
      </c>
      <c r="N27" s="1746"/>
      <c r="O27" s="1745"/>
      <c r="P27" s="1614">
        <f>SUM(O30:O33)</f>
        <v>535.93333333333328</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VLOOKUP('SD8'!B14,'SD8'!B9:K44,3,FALSE)</f>
        <v>1.51</v>
      </c>
      <c r="F30" s="1774"/>
      <c r="G30" s="1773">
        <v>20</v>
      </c>
      <c r="H30" s="1771">
        <f>IF(J$6=0,0,(J$6*$E30+$G30+X13))</f>
        <v>65.3</v>
      </c>
      <c r="I30" s="1754">
        <f>H30*$D30</f>
        <v>296.02666666666664</v>
      </c>
      <c r="J30" s="45"/>
      <c r="K30" s="1772">
        <f>IF(M$6=0,0,(M$6*$E30+$G30+AA14))</f>
        <v>80.400000000000006</v>
      </c>
      <c r="L30" s="1596">
        <f>K30*$D30</f>
        <v>364.48</v>
      </c>
      <c r="M30" s="1589"/>
      <c r="N30" s="1771">
        <f>IF(P$6=0,0,(P$6*$E30+$G30+AD14))</f>
        <v>95.5</v>
      </c>
      <c r="O30" s="1754">
        <f>N30*$D30</f>
        <v>432.93333333333334</v>
      </c>
      <c r="P30" s="1718"/>
      <c r="Q30" s="32"/>
    </row>
    <row r="31" spans="1:20" s="42" customFormat="1" ht="15" customHeight="1">
      <c r="A31" s="1306"/>
      <c r="B31" s="274"/>
      <c r="C31" s="1306" t="s">
        <v>244</v>
      </c>
      <c r="D31" s="1723">
        <f>IF(SDÖ1!$U$17=TRUE,SDÖ1!O56,0)</f>
        <v>1.3999999999999997</v>
      </c>
      <c r="E31" s="1774">
        <f>VLOOKUP('SD8'!B14,'SD8'!B9:K44,4,FALSE)</f>
        <v>0.8</v>
      </c>
      <c r="F31" s="1774"/>
      <c r="G31" s="1773"/>
      <c r="H31" s="1771">
        <f>IF(J$6=0,0,(J$6*$E31+$G31+X14))</f>
        <v>24</v>
      </c>
      <c r="I31" s="1754">
        <f>H31*$D31</f>
        <v>33.599999999999994</v>
      </c>
      <c r="J31" s="45"/>
      <c r="K31" s="1772">
        <f>IF(M$6=0,0,(M$6*$E31+$G31+Y14))</f>
        <v>32</v>
      </c>
      <c r="L31" s="1596">
        <f>K31*$D31</f>
        <v>44.79999999999999</v>
      </c>
      <c r="M31" s="1589"/>
      <c r="N31" s="1771">
        <f>IF(P$6=0,0,(P$6*$E31+$G31+Z14))</f>
        <v>40</v>
      </c>
      <c r="O31" s="1754">
        <f>N31*$D31</f>
        <v>55.999999999999986</v>
      </c>
      <c r="P31" s="1718"/>
      <c r="Q31" s="32"/>
    </row>
    <row r="32" spans="1:20" s="708" customFormat="1" ht="18.75" customHeight="1">
      <c r="A32" s="1270"/>
      <c r="B32" s="274"/>
      <c r="C32" s="1306" t="s">
        <v>242</v>
      </c>
      <c r="D32" s="1723">
        <f>IF(SDÖ1!$U$17=TRUE,SDÖ1!O57,0)</f>
        <v>1.3999999999999997</v>
      </c>
      <c r="E32" s="1774">
        <f>VLOOKUP('SD8'!B14,'SD8'!B9:K44,5,FALSE)</f>
        <v>0.6</v>
      </c>
      <c r="F32" s="1774"/>
      <c r="G32" s="1773"/>
      <c r="H32" s="1771">
        <f>IF(J$6=0,0,(J$6*$E32+$G32+X15))</f>
        <v>18</v>
      </c>
      <c r="I32" s="1754">
        <f>H32*$D32</f>
        <v>25.199999999999996</v>
      </c>
      <c r="J32" s="45"/>
      <c r="K32" s="1772">
        <f>IF(M$6=0,0,(M$6*$E32+$G32+Y15))</f>
        <v>24</v>
      </c>
      <c r="L32" s="1596">
        <f>K32*$D32</f>
        <v>33.599999999999994</v>
      </c>
      <c r="M32" s="1589"/>
      <c r="N32" s="1771">
        <f>IF(P$6=0,0,(P$6*$E32+$G32+Z15))</f>
        <v>30</v>
      </c>
      <c r="O32" s="1754">
        <f>N32*$D32</f>
        <v>41.999999999999993</v>
      </c>
      <c r="P32" s="1718"/>
      <c r="Q32" s="32"/>
    </row>
    <row r="33" spans="1:17" s="708" customFormat="1" ht="13.15" customHeight="1">
      <c r="A33" s="1270"/>
      <c r="B33" s="239"/>
      <c r="C33" s="1331" t="s">
        <v>240</v>
      </c>
      <c r="D33" s="1706">
        <f>IF(SDÖ1!$U$17=TRUE,SDÖ1!O58,0)</f>
        <v>0.5</v>
      </c>
      <c r="E33" s="1770">
        <f>VLOOKUP('SD8'!B14,'SD8'!B9:K44,6,FALSE)</f>
        <v>0.2</v>
      </c>
      <c r="F33" s="1770"/>
      <c r="G33" s="1769"/>
      <c r="H33" s="1767">
        <f>IF(J$6=0,0,(J$6*$E33+$G33+X16))</f>
        <v>6</v>
      </c>
      <c r="I33" s="1750">
        <f>H33*$D33</f>
        <v>3</v>
      </c>
      <c r="J33" s="45"/>
      <c r="K33" s="1768">
        <f>IF(M$6=0,0,(M$6*$E33+$G33+Y16))</f>
        <v>8</v>
      </c>
      <c r="L33" s="1590">
        <f>K33*$D33</f>
        <v>4</v>
      </c>
      <c r="M33" s="1589"/>
      <c r="N33" s="1767">
        <f>IF(P$6=0,0,(P$6*$E33+$G33+Z16))</f>
        <v>10</v>
      </c>
      <c r="O33" s="1750">
        <f>N33*$D33</f>
        <v>5</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162.60497935361346</v>
      </c>
      <c r="K43" s="1748"/>
      <c r="L43" s="1747"/>
      <c r="M43" s="1617">
        <f>SUM(M46:M57)</f>
        <v>168.44442548806725</v>
      </c>
      <c r="N43" s="1746"/>
      <c r="O43" s="1745"/>
      <c r="P43" s="1614">
        <f>SUM(P46:P57)</f>
        <v>136.6934240107563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v>1</v>
      </c>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v>1</v>
      </c>
      <c r="O50" s="1719">
        <f t="shared" si="8"/>
        <v>0</v>
      </c>
      <c r="P50" s="1718">
        <f t="shared" si="9"/>
        <v>0</v>
      </c>
      <c r="Q50" s="32"/>
    </row>
    <row r="51" spans="1:17" s="42" customFormat="1" ht="15" customHeight="1">
      <c r="A51" s="1306"/>
      <c r="B51" s="1726"/>
      <c r="C51" s="4835" t="s">
        <v>444</v>
      </c>
      <c r="D51" s="4836"/>
      <c r="E51" s="1725">
        <f>IF($C51=0,0,VLOOKUP($C51,SDÖ3!$C$24:$O$99,4,FALSE))</f>
        <v>83</v>
      </c>
      <c r="F51" s="1724">
        <f>IF($C51=0,0,VLOOKUP($C51,SDÖ3!$C$24:$O$99,12,FALSE))</f>
        <v>0.27</v>
      </c>
      <c r="G51" s="1723">
        <f>IF($C51=0,0,VLOOKUP($C51,SDÖ3!$C$24:$O$99,13,FALSE))</f>
        <v>5.8379012776470587</v>
      </c>
      <c r="H51" s="1720">
        <v>1</v>
      </c>
      <c r="I51" s="1719">
        <f t="shared" si="4"/>
        <v>0.27</v>
      </c>
      <c r="J51" s="1718">
        <f t="shared" si="5"/>
        <v>5.8379012776470587</v>
      </c>
      <c r="K51" s="1720">
        <v>1</v>
      </c>
      <c r="L51" s="1722">
        <f t="shared" si="6"/>
        <v>0.27</v>
      </c>
      <c r="M51" s="1721">
        <f t="shared" si="7"/>
        <v>5.8379012776470587</v>
      </c>
      <c r="N51" s="1720">
        <v>2</v>
      </c>
      <c r="O51" s="1719">
        <f t="shared" si="8"/>
        <v>0.54</v>
      </c>
      <c r="P51" s="1718">
        <f t="shared" si="9"/>
        <v>11.675802555294117</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t="s">
        <v>435</v>
      </c>
      <c r="D54" s="4836"/>
      <c r="E54" s="1725">
        <f>IF($C54=0,0,VLOOKUP($C54,SDÖ3!$C$24:$O$99,4,FALSE))</f>
        <v>83</v>
      </c>
      <c r="F54" s="1724">
        <f>IF($C54=0,0,VLOOKUP($C54,SDÖ3!$C$24:$O$99,12,FALSE))</f>
        <v>0.4</v>
      </c>
      <c r="G54" s="1723">
        <f>IF($C54=0,0,VLOOKUP($C54,SDÖ3!$C$24:$O$99,13,FALSE))</f>
        <v>6.8857796705882359</v>
      </c>
      <c r="H54" s="1720">
        <v>1.05</v>
      </c>
      <c r="I54" s="1719">
        <f t="shared" si="4"/>
        <v>0.42000000000000004</v>
      </c>
      <c r="J54" s="1718">
        <f t="shared" si="5"/>
        <v>7.2300686541176482</v>
      </c>
      <c r="K54" s="1720">
        <v>1.3</v>
      </c>
      <c r="L54" s="1722">
        <f t="shared" si="6"/>
        <v>0.52</v>
      </c>
      <c r="M54" s="1721">
        <f t="shared" si="7"/>
        <v>8.951513571764707</v>
      </c>
      <c r="N54" s="1720"/>
      <c r="O54" s="1719">
        <f t="shared" si="8"/>
        <v>0</v>
      </c>
      <c r="P54" s="1718">
        <f t="shared" si="9"/>
        <v>0</v>
      </c>
      <c r="Q54" s="3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6"/>
        <v>1.08</v>
      </c>
      <c r="M55" s="1721">
        <f t="shared" si="7"/>
        <v>32.755390400000003</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0.77142857142857146</v>
      </c>
      <c r="I57" s="1703">
        <f t="shared" si="4"/>
        <v>0.77142857142857146</v>
      </c>
      <c r="J57" s="1702">
        <f t="shared" si="5"/>
        <v>12.354003650420168</v>
      </c>
      <c r="K57" s="3687">
        <f>K11/35</f>
        <v>1.0285714285714285</v>
      </c>
      <c r="L57" s="1705">
        <f t="shared" si="6"/>
        <v>1.0285714285714285</v>
      </c>
      <c r="M57" s="1652">
        <f t="shared" si="7"/>
        <v>16.47200486722689</v>
      </c>
      <c r="N57" s="3686">
        <f>N11/35</f>
        <v>1.2857142857142858</v>
      </c>
      <c r="O57" s="1703">
        <f t="shared" si="8"/>
        <v>1.2857142857142858</v>
      </c>
      <c r="P57" s="1702">
        <f t="shared" si="9"/>
        <v>20.590006084033615</v>
      </c>
      <c r="Q57" s="3678"/>
    </row>
    <row r="58" spans="1:17" s="708" customFormat="1" ht="18.75" customHeight="1">
      <c r="A58" s="1270"/>
      <c r="B58" s="1276" t="s">
        <v>1223</v>
      </c>
      <c r="C58" s="1373"/>
      <c r="D58" s="1373"/>
      <c r="E58" s="1373"/>
      <c r="F58" s="38"/>
      <c r="G58" s="1620"/>
      <c r="H58" s="1697"/>
      <c r="I58" s="1696">
        <f>SUM($I$46:$I$57)</f>
        <v>5.6014285714285714</v>
      </c>
      <c r="J58" s="1701"/>
      <c r="K58" s="1700"/>
      <c r="L58" s="1699">
        <f>SUM($L$46:$L$57)</f>
        <v>5.9585714285714282</v>
      </c>
      <c r="M58" s="1698"/>
      <c r="N58" s="1697"/>
      <c r="O58" s="1696">
        <f>SUM($O$46:$O$57)</f>
        <v>4.8857142857142852</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10.082571428571429</v>
      </c>
      <c r="J59" s="1686"/>
      <c r="K59" s="1691"/>
      <c r="L59" s="1690">
        <f>IF(L58+SUM($L$46:$L$57)*$E$59%&gt;L58+10,L58+10,L58+SUM($L$46:$L$57)*$E$59%)</f>
        <v>10.725428571428571</v>
      </c>
      <c r="M59" s="1689"/>
      <c r="N59" s="1688"/>
      <c r="O59" s="1687">
        <f>IF(O58+SUM($O$46:$O$57)*$E$59%&gt;O58+10,O58+10,O58+SUM($O$46:$O$57)*$E$59%)</f>
        <v>8.7942857142857136</v>
      </c>
      <c r="P59" s="1686"/>
      <c r="Q59" s="32"/>
    </row>
    <row r="60" spans="1:17" s="65" customFormat="1" ht="18.75" customHeight="1">
      <c r="A60" s="1373"/>
      <c r="B60" s="1276" t="s">
        <v>1220</v>
      </c>
      <c r="C60" s="1373"/>
      <c r="D60" s="1373"/>
      <c r="E60" s="45"/>
      <c r="F60" s="45"/>
      <c r="G60" s="1685"/>
      <c r="H60" s="1677"/>
      <c r="I60" s="1676"/>
      <c r="J60" s="1684">
        <f>IF(J6=0,0,SUM(I62:I64))</f>
        <v>203.5</v>
      </c>
      <c r="K60" s="1680"/>
      <c r="L60" s="1679"/>
      <c r="M60" s="1617">
        <f>IF(M6=0,0,SUM(L62:L64))</f>
        <v>226</v>
      </c>
      <c r="N60" s="1677"/>
      <c r="O60" s="1676"/>
      <c r="P60" s="1684">
        <f>IF(P6=0,0,SUM(O62:O64))</f>
        <v>248.5</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67.5</v>
      </c>
      <c r="J64" s="227"/>
      <c r="K64" s="1654"/>
      <c r="L64" s="1653">
        <f>K11*$G$64</f>
        <v>90</v>
      </c>
      <c r="M64" s="1652"/>
      <c r="N64" s="1651"/>
      <c r="O64" s="1650">
        <f>N11*$G$64</f>
        <v>112.5</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54.150000000000006</v>
      </c>
      <c r="K67" s="1641" t="s">
        <v>1217</v>
      </c>
      <c r="L67" s="1640" t="s">
        <v>1216</v>
      </c>
      <c r="M67" s="1617">
        <f>S68*(K9+K10)*L68%+F68</f>
        <v>72.2</v>
      </c>
      <c r="N67" s="1639" t="s">
        <v>1217</v>
      </c>
      <c r="O67" s="1638" t="s">
        <v>1216</v>
      </c>
      <c r="P67" s="1614">
        <f>T68*(N9+N10)*O68%+F68</f>
        <v>90.250000000000014</v>
      </c>
      <c r="Q67" s="32"/>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16.936000000000003</v>
      </c>
      <c r="K69" s="1630"/>
      <c r="L69" s="1629"/>
      <c r="M69" s="1617">
        <f>K70*$F70/1000</f>
        <v>22.581333333333337</v>
      </c>
      <c r="N69" s="44"/>
      <c r="O69" s="73"/>
      <c r="P69" s="1614">
        <f>N70*$F70/1000</f>
        <v>28.22666666666667</v>
      </c>
      <c r="Q69" s="32"/>
    </row>
    <row r="70" spans="1:20" s="708" customFormat="1" ht="15" customHeight="1">
      <c r="A70" s="1270"/>
      <c r="B70" s="1332"/>
      <c r="C70" s="1331" t="s">
        <v>896</v>
      </c>
      <c r="D70" s="353"/>
      <c r="E70" s="280"/>
      <c r="F70" s="1628">
        <f>'SDK7'!G102</f>
        <v>16</v>
      </c>
      <c r="G70" s="1627" t="s">
        <v>171</v>
      </c>
      <c r="H70" s="1623">
        <f>I9+I10</f>
        <v>1058.5000000000002</v>
      </c>
      <c r="I70" s="1622"/>
      <c r="J70" s="1621"/>
      <c r="K70" s="1626">
        <f>L9+L10</f>
        <v>1411.3333333333335</v>
      </c>
      <c r="L70" s="1625"/>
      <c r="M70" s="1624"/>
      <c r="N70" s="1623">
        <f>O9+O10</f>
        <v>1764.166666666667</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8.0326544026774513</v>
      </c>
      <c r="K75" s="3063"/>
      <c r="L75" s="1056"/>
      <c r="M75" s="1578">
        <f>(M23+M27+M34+M43+M60+M65+M67+M69+M71)*('SDK1'!$O$59%*$G$75/12)</f>
        <v>9.2671753896872531</v>
      </c>
      <c r="N75" s="1580"/>
      <c r="O75" s="1579"/>
      <c r="P75" s="1578">
        <f>(P23+P27+P34+P43+P60+P65+P67+P69+P71)*('SDK1'!$O$59%*$G$75/12)</f>
        <v>10.172779960094116</v>
      </c>
      <c r="Q75" s="32"/>
    </row>
    <row r="76" spans="1:20">
      <c r="L76" s="33"/>
    </row>
    <row r="77" spans="1:20">
      <c r="L77" s="33"/>
      <c r="N77" s="3637"/>
      <c r="O77" s="3637"/>
      <c r="P77" s="3637"/>
    </row>
    <row r="78" spans="1:20" ht="14.25">
      <c r="C78" s="4921" t="s">
        <v>1946</v>
      </c>
      <c r="D78" s="4922"/>
      <c r="E78" s="4922"/>
      <c r="F78" s="4923"/>
      <c r="G78" s="3637"/>
      <c r="H78" s="3637"/>
      <c r="I78" s="3637"/>
      <c r="J78" s="3637"/>
      <c r="K78" s="3637"/>
      <c r="L78" s="3637"/>
      <c r="M78" s="3637"/>
      <c r="N78" s="3637"/>
      <c r="O78" s="3637"/>
      <c r="P78" s="3637"/>
    </row>
    <row r="79" spans="1:20">
      <c r="C79" s="4913" t="s">
        <v>295</v>
      </c>
      <c r="D79" s="4914"/>
      <c r="E79" s="4914"/>
      <c r="F79" s="4915"/>
      <c r="G79" s="3637"/>
      <c r="H79" s="3637"/>
      <c r="I79" s="3637"/>
      <c r="J79" s="3637"/>
      <c r="K79" s="3637"/>
      <c r="L79" s="3637"/>
      <c r="M79" s="3637"/>
      <c r="N79" s="3637"/>
      <c r="O79" s="3637"/>
      <c r="P79" s="3637"/>
    </row>
    <row r="80" spans="1:20" ht="14.25">
      <c r="B80" s="3078"/>
      <c r="C80" s="3074" t="s">
        <v>1942</v>
      </c>
      <c r="D80" s="3075"/>
      <c r="E80" s="3075"/>
      <c r="F80" s="3076"/>
      <c r="G80" s="3637"/>
      <c r="H80" s="3637"/>
      <c r="I80" s="3637"/>
      <c r="J80" s="3637"/>
      <c r="K80" s="3637"/>
      <c r="L80" s="3637"/>
      <c r="M80" s="3637"/>
      <c r="N80" s="3637"/>
      <c r="O80" s="3637"/>
      <c r="P80" s="3637"/>
    </row>
    <row r="81" spans="2:17" ht="14.25">
      <c r="B81" s="3078"/>
      <c r="C81" s="3074" t="s">
        <v>1943</v>
      </c>
      <c r="D81" s="3075"/>
      <c r="E81" s="3075"/>
      <c r="F81" s="3076"/>
      <c r="G81" s="3637"/>
      <c r="H81" s="3637"/>
      <c r="I81" s="3637"/>
      <c r="J81" s="3637"/>
      <c r="K81" s="3637"/>
      <c r="L81" s="3637"/>
      <c r="M81" s="3637"/>
      <c r="N81" s="3637"/>
      <c r="O81" s="3637"/>
      <c r="P81" s="3637"/>
    </row>
    <row r="82" spans="2:17">
      <c r="B82" s="3078"/>
      <c r="C82" s="3066" t="s">
        <v>294</v>
      </c>
      <c r="D82" s="3067"/>
      <c r="E82" s="3067"/>
      <c r="F82" s="3068"/>
      <c r="G82" s="3637"/>
      <c r="H82" s="3637"/>
      <c r="I82" s="3637"/>
      <c r="J82" s="3637"/>
      <c r="K82" s="3637"/>
      <c r="L82" s="3637"/>
      <c r="M82" s="3637"/>
      <c r="N82" s="3637"/>
      <c r="O82" s="3637"/>
      <c r="P82" s="3637"/>
      <c r="Q82" s="3637"/>
    </row>
    <row r="83" spans="2:17" ht="14.25">
      <c r="B83" s="3078"/>
      <c r="C83" s="3074" t="s">
        <v>1944</v>
      </c>
      <c r="D83" s="3075"/>
      <c r="E83" s="3075"/>
      <c r="F83" s="3076"/>
      <c r="G83" s="3637"/>
      <c r="H83" s="3637"/>
      <c r="I83" s="3637"/>
      <c r="J83" s="3637"/>
      <c r="K83" s="3637"/>
      <c r="L83" s="3637"/>
      <c r="M83" s="3637"/>
      <c r="N83" s="3637"/>
      <c r="O83" s="3637"/>
      <c r="P83" s="3637"/>
    </row>
    <row r="84" spans="2:17" ht="14.25">
      <c r="B84" s="3078"/>
      <c r="C84" s="3074" t="s">
        <v>1945</v>
      </c>
      <c r="D84" s="3075"/>
      <c r="E84" s="3075"/>
      <c r="F84" s="3076"/>
      <c r="G84" s="3637"/>
      <c r="H84" s="3637"/>
      <c r="I84" s="3637"/>
      <c r="J84" s="3637"/>
      <c r="K84" s="3637"/>
      <c r="L84" s="3637"/>
      <c r="M84" s="3637"/>
      <c r="N84" s="3637"/>
      <c r="O84" s="3637"/>
      <c r="P84" s="3637"/>
    </row>
    <row r="85" spans="2:17">
      <c r="B85" s="3078"/>
      <c r="C85" s="3066" t="s">
        <v>293</v>
      </c>
      <c r="D85" s="3067"/>
      <c r="E85" s="3067"/>
      <c r="F85" s="3068"/>
      <c r="G85" s="3637"/>
      <c r="H85" s="3637"/>
      <c r="I85" s="3637"/>
      <c r="J85" s="3637"/>
      <c r="K85" s="3637"/>
      <c r="L85" s="3637"/>
      <c r="M85" s="3637"/>
      <c r="N85" s="3637"/>
      <c r="O85" s="3637"/>
      <c r="P85" s="3637"/>
    </row>
    <row r="86" spans="2:17">
      <c r="B86" s="3078"/>
      <c r="C86" s="3066" t="s">
        <v>292</v>
      </c>
      <c r="D86" s="3067"/>
      <c r="E86" s="3067"/>
      <c r="F86" s="3068"/>
      <c r="G86" s="3637"/>
      <c r="H86" s="3637"/>
      <c r="I86" s="3637"/>
      <c r="J86" s="3637"/>
      <c r="K86" s="3637"/>
      <c r="L86" s="3637"/>
      <c r="M86" s="3637"/>
      <c r="N86" s="3637"/>
      <c r="O86" s="3637"/>
      <c r="P86" s="3637"/>
    </row>
    <row r="87" spans="2:17" ht="14.25">
      <c r="B87" s="3078"/>
      <c r="C87" s="3066" t="s">
        <v>291</v>
      </c>
      <c r="D87" s="3067"/>
      <c r="E87" s="3067"/>
      <c r="F87" s="3068"/>
      <c r="G87" s="3637"/>
      <c r="H87" s="3637"/>
      <c r="I87" s="3637"/>
      <c r="J87" s="3637"/>
      <c r="K87" s="3637"/>
      <c r="L87" s="3637"/>
      <c r="M87" s="3637"/>
      <c r="N87" s="3637"/>
      <c r="O87" s="3637"/>
      <c r="P87" s="3637"/>
    </row>
    <row r="88" spans="2:17" ht="13.15" customHeight="1">
      <c r="B88" s="3078"/>
      <c r="C88" s="3066" t="s">
        <v>290</v>
      </c>
      <c r="D88" s="3069"/>
      <c r="E88" s="3069"/>
      <c r="F88" s="3070"/>
      <c r="G88" s="3637"/>
      <c r="H88" s="3637"/>
      <c r="I88" s="3637"/>
      <c r="J88" s="3637"/>
      <c r="K88" s="3637"/>
      <c r="L88" s="3637"/>
      <c r="M88" s="3637"/>
      <c r="N88" s="3637"/>
      <c r="O88" s="3637"/>
      <c r="P88" s="3637"/>
    </row>
    <row r="89" spans="2:17">
      <c r="B89" s="3078"/>
      <c r="C89" s="3066" t="s">
        <v>289</v>
      </c>
      <c r="D89" s="3069"/>
      <c r="E89" s="3069"/>
      <c r="F89" s="3070"/>
      <c r="G89" s="3637"/>
      <c r="H89" s="3637"/>
      <c r="I89" s="3637"/>
      <c r="J89" s="3637"/>
      <c r="K89" s="3637"/>
      <c r="L89" s="3637"/>
      <c r="M89" s="3637"/>
      <c r="N89" s="3637"/>
      <c r="O89" s="3637"/>
      <c r="P89" s="3637"/>
    </row>
    <row r="90" spans="2:17" ht="25.5">
      <c r="B90" s="3078"/>
      <c r="C90" s="3071" t="s">
        <v>288</v>
      </c>
      <c r="D90" s="3072"/>
      <c r="E90" s="3072"/>
      <c r="F90" s="3073"/>
      <c r="G90" s="3637"/>
      <c r="H90" s="3637"/>
      <c r="I90" s="3637"/>
      <c r="J90" s="3637"/>
      <c r="K90" s="3637"/>
      <c r="L90" s="3637"/>
      <c r="M90" s="3637"/>
      <c r="N90" s="3637"/>
      <c r="O90" s="3637"/>
      <c r="P90" s="3637"/>
    </row>
    <row r="91" spans="2:17">
      <c r="C91" s="2538"/>
      <c r="D91" s="2538"/>
      <c r="E91" s="2538"/>
      <c r="F91" s="2538"/>
      <c r="G91" s="3637"/>
      <c r="H91" s="3637"/>
      <c r="I91" s="3637"/>
      <c r="J91" s="3637"/>
      <c r="K91" s="3637"/>
      <c r="L91" s="3637"/>
      <c r="M91" s="3637"/>
      <c r="N91" s="3637"/>
      <c r="O91" s="3637"/>
      <c r="P91" s="3637"/>
    </row>
    <row r="92" spans="2:17">
      <c r="C92" s="2538"/>
      <c r="D92" s="2538"/>
      <c r="E92" s="2538"/>
      <c r="F92" s="2538"/>
      <c r="G92" s="3637"/>
      <c r="H92" s="3637"/>
      <c r="I92" s="3637"/>
      <c r="J92" s="3637"/>
      <c r="K92" s="3637"/>
      <c r="L92" s="3637"/>
      <c r="M92" s="3637"/>
      <c r="N92" s="3637"/>
      <c r="O92" s="3637"/>
      <c r="P92" s="3637"/>
    </row>
    <row r="93" spans="2:17">
      <c r="C93" s="2538"/>
      <c r="D93" s="2538"/>
      <c r="E93" s="2538"/>
      <c r="F93" s="2538"/>
      <c r="G93" s="3637"/>
      <c r="H93" s="3637"/>
      <c r="I93" s="3637"/>
      <c r="J93" s="3637"/>
      <c r="K93" s="3637"/>
      <c r="L93" s="3637"/>
      <c r="M93" s="3637"/>
      <c r="N93" s="3637"/>
      <c r="O93" s="3637"/>
      <c r="P93" s="3637"/>
    </row>
    <row r="94" spans="2:17">
      <c r="C94" s="2538"/>
      <c r="D94" s="2538"/>
      <c r="E94" s="2538"/>
      <c r="F94" s="2538"/>
      <c r="G94" s="3637"/>
      <c r="H94" s="3637"/>
      <c r="I94" s="3637"/>
      <c r="J94" s="3637"/>
      <c r="K94" s="3637"/>
      <c r="L94" s="3637"/>
      <c r="M94" s="3637"/>
      <c r="N94" s="3637"/>
      <c r="O94" s="3637"/>
      <c r="P94" s="3637"/>
    </row>
    <row r="95" spans="2:17">
      <c r="C95" s="2538"/>
      <c r="D95" s="2538"/>
      <c r="E95" s="2538"/>
      <c r="F95" s="2538"/>
      <c r="G95" s="3637"/>
      <c r="H95" s="3637"/>
      <c r="I95" s="3637"/>
      <c r="J95" s="3637"/>
      <c r="K95" s="3637"/>
      <c r="L95" s="3637"/>
      <c r="M95" s="3637"/>
      <c r="N95" s="3637"/>
      <c r="O95" s="3637"/>
      <c r="P95" s="3637"/>
    </row>
    <row r="96" spans="2:17">
      <c r="C96" s="2538"/>
      <c r="D96" s="2538"/>
      <c r="E96" s="2538"/>
      <c r="F96" s="2538"/>
      <c r="G96" s="3637"/>
      <c r="H96" s="3637"/>
      <c r="I96" s="3637"/>
      <c r="J96" s="3637"/>
      <c r="K96" s="3637"/>
      <c r="L96" s="3637"/>
      <c r="M96" s="3637"/>
      <c r="N96" s="3637"/>
      <c r="O96" s="3637"/>
      <c r="P96" s="3637"/>
    </row>
    <row r="97" spans="2:17">
      <c r="C97" s="2538"/>
      <c r="E97" s="2538"/>
      <c r="G97" s="3637"/>
      <c r="H97" s="3637"/>
      <c r="I97" s="3637"/>
      <c r="J97" s="3637"/>
      <c r="K97" s="3637"/>
      <c r="L97" s="3637"/>
      <c r="M97" s="3637"/>
      <c r="N97" s="3637"/>
      <c r="O97" s="3637"/>
      <c r="P97" s="3637"/>
    </row>
    <row r="98" spans="2:17">
      <c r="C98" s="2538"/>
      <c r="D98" s="2538"/>
      <c r="E98" s="2538"/>
      <c r="G98" s="3637"/>
      <c r="H98" s="3637"/>
      <c r="I98" s="3637"/>
      <c r="J98" s="3637"/>
      <c r="K98" s="3637"/>
      <c r="L98" s="3637"/>
      <c r="M98" s="3637"/>
      <c r="N98" s="3637"/>
      <c r="O98" s="3637"/>
      <c r="P98" s="3637"/>
    </row>
    <row r="99" spans="2:17">
      <c r="B99" s="33"/>
      <c r="C99" s="2538"/>
      <c r="D99" s="2538"/>
      <c r="E99" s="2538"/>
      <c r="G99" s="3637"/>
      <c r="H99" s="3637"/>
      <c r="I99" s="3637"/>
      <c r="J99" s="3637"/>
      <c r="K99" s="3637"/>
      <c r="L99" s="3637"/>
      <c r="M99" s="3637"/>
      <c r="N99" s="3637"/>
      <c r="O99" s="3637"/>
      <c r="P99" s="3637"/>
    </row>
    <row r="100" spans="2:17">
      <c r="B100" s="33"/>
      <c r="C100" s="2538"/>
      <c r="D100" s="2538"/>
      <c r="E100" s="2538"/>
      <c r="G100" s="3637"/>
      <c r="H100" s="3637"/>
      <c r="I100" s="3637"/>
      <c r="J100" s="3637"/>
      <c r="K100" s="3637"/>
      <c r="L100" s="3637"/>
      <c r="M100" s="3637"/>
      <c r="N100" s="3637"/>
      <c r="O100" s="3637"/>
      <c r="P100" s="3637"/>
    </row>
    <row r="101" spans="2:17">
      <c r="B101" s="33"/>
      <c r="C101" s="33"/>
      <c r="D101" s="33"/>
      <c r="G101" s="3637"/>
      <c r="H101" s="3637"/>
      <c r="I101" s="3637"/>
      <c r="J101" s="3637"/>
      <c r="K101" s="3637"/>
      <c r="L101" s="3637"/>
      <c r="M101" s="3637"/>
      <c r="N101" s="3637"/>
      <c r="O101" s="3637"/>
      <c r="P101" s="3637"/>
    </row>
    <row r="102" spans="2:17">
      <c r="B102" s="33"/>
      <c r="C102" s="33"/>
      <c r="D102" s="33"/>
      <c r="G102" s="3637"/>
      <c r="H102" s="3637"/>
      <c r="I102" s="3637"/>
      <c r="J102" s="3637"/>
      <c r="K102" s="3637"/>
      <c r="L102" s="3637"/>
      <c r="M102" s="3637"/>
      <c r="N102" s="3637"/>
      <c r="O102" s="3637"/>
      <c r="P102" s="3637"/>
    </row>
    <row r="103" spans="2:17">
      <c r="B103" s="33"/>
      <c r="C103" s="33"/>
      <c r="D103" s="33"/>
      <c r="G103" s="3637"/>
      <c r="H103" s="3637"/>
      <c r="I103" s="3637"/>
      <c r="J103" s="3637"/>
      <c r="K103" s="3637"/>
      <c r="L103" s="3637"/>
      <c r="M103" s="3637"/>
      <c r="N103" s="3637"/>
      <c r="O103" s="3637"/>
      <c r="P103" s="3637"/>
    </row>
    <row r="104" spans="2:17">
      <c r="B104" s="33"/>
      <c r="C104" s="33"/>
      <c r="D104" s="33"/>
      <c r="G104" s="3637"/>
      <c r="H104" s="3637"/>
      <c r="I104" s="3637"/>
      <c r="J104" s="3637"/>
      <c r="K104" s="3637"/>
      <c r="L104" s="3637"/>
      <c r="M104" s="3637"/>
      <c r="N104" s="3637"/>
      <c r="O104" s="3637"/>
      <c r="P104" s="3637"/>
    </row>
    <row r="105" spans="2:17">
      <c r="B105" s="33"/>
      <c r="C105" s="33"/>
      <c r="D105" s="33"/>
      <c r="G105" s="3637"/>
      <c r="H105" s="3637"/>
      <c r="I105" s="3637"/>
      <c r="J105" s="3637"/>
      <c r="K105" s="3637"/>
      <c r="L105" s="3637"/>
      <c r="M105" s="3637"/>
      <c r="N105" s="3637"/>
      <c r="O105" s="3637"/>
      <c r="P105" s="3637"/>
    </row>
    <row r="106" spans="2:17">
      <c r="B106" s="33"/>
      <c r="C106" s="33"/>
      <c r="D106" s="33"/>
      <c r="G106" s="3637"/>
      <c r="H106" s="3637"/>
      <c r="I106" s="3637"/>
      <c r="J106" s="3637"/>
      <c r="K106" s="3637"/>
      <c r="L106" s="3637"/>
      <c r="M106" s="3637"/>
      <c r="N106" s="3637"/>
      <c r="O106" s="3637"/>
      <c r="P106" s="3637"/>
    </row>
    <row r="107" spans="2:17">
      <c r="B107" s="33"/>
      <c r="C107" s="33"/>
      <c r="D107" s="33"/>
      <c r="G107" s="3637"/>
      <c r="H107" s="3637"/>
      <c r="I107" s="3637"/>
      <c r="J107" s="3637"/>
      <c r="K107" s="3637"/>
      <c r="L107" s="3637"/>
      <c r="M107" s="3637"/>
      <c r="N107" s="3637"/>
      <c r="O107" s="3637"/>
      <c r="P107" s="3637"/>
    </row>
    <row r="108" spans="2:17">
      <c r="G108" s="3637"/>
      <c r="H108" s="3637"/>
      <c r="I108" s="3637"/>
      <c r="J108" s="3637"/>
      <c r="K108" s="3637"/>
      <c r="L108" s="3637"/>
      <c r="M108" s="3637"/>
      <c r="N108" s="3637"/>
      <c r="O108" s="3637"/>
      <c r="P108" s="3637"/>
    </row>
    <row r="109" spans="2:17">
      <c r="G109" s="3637"/>
      <c r="H109" s="3637"/>
      <c r="I109" s="3637"/>
      <c r="J109" s="3637"/>
      <c r="K109" s="3637"/>
      <c r="L109" s="3637"/>
      <c r="M109" s="3637"/>
      <c r="N109" s="3637"/>
      <c r="O109" s="3637"/>
      <c r="P109" s="3637"/>
    </row>
    <row r="110" spans="2:17">
      <c r="G110" s="3637"/>
      <c r="H110" s="3637"/>
      <c r="I110" s="3637"/>
      <c r="J110" s="3637"/>
      <c r="K110" s="3637"/>
      <c r="L110" s="3637"/>
      <c r="M110" s="3637"/>
      <c r="N110" s="3637"/>
      <c r="O110" s="3637"/>
      <c r="P110" s="3637"/>
    </row>
    <row r="111" spans="2:17">
      <c r="F111" s="3637"/>
      <c r="G111" s="3637"/>
      <c r="H111" s="3637"/>
      <c r="I111" s="3637"/>
      <c r="J111" s="3637"/>
      <c r="K111" s="3637"/>
      <c r="L111" s="3637"/>
      <c r="M111" s="3637"/>
      <c r="N111" s="3637"/>
      <c r="O111" s="3637"/>
      <c r="P111" s="3637"/>
      <c r="Q111" s="3637"/>
    </row>
    <row r="112" spans="2:17">
      <c r="F112" s="3637"/>
      <c r="G112" s="3637"/>
      <c r="H112" s="3637"/>
      <c r="I112" s="3637"/>
      <c r="J112" s="3637"/>
      <c r="K112" s="3637"/>
      <c r="L112" s="3637"/>
      <c r="M112" s="3637"/>
      <c r="N112" s="3637"/>
      <c r="O112" s="3637"/>
      <c r="P112" s="3637"/>
      <c r="Q112" s="3637"/>
    </row>
    <row r="113" spans="2:17">
      <c r="F113" s="3637"/>
      <c r="G113" s="3637"/>
      <c r="H113" s="3637"/>
      <c r="I113" s="3637"/>
      <c r="J113" s="3637"/>
      <c r="K113" s="3637"/>
      <c r="L113" s="3637"/>
      <c r="M113" s="3637"/>
      <c r="N113" s="3637"/>
      <c r="O113" s="3637"/>
      <c r="P113" s="3637"/>
      <c r="Q113" s="3637"/>
    </row>
    <row r="114" spans="2:17">
      <c r="F114" s="3637"/>
      <c r="G114" s="3637"/>
      <c r="H114" s="3637"/>
      <c r="I114" s="3637"/>
      <c r="J114" s="3637"/>
      <c r="K114" s="3637"/>
      <c r="L114" s="3637"/>
      <c r="M114" s="3637"/>
      <c r="N114" s="3637"/>
      <c r="O114" s="3637"/>
      <c r="P114" s="3637"/>
      <c r="Q114" s="3637"/>
    </row>
    <row r="115" spans="2:17">
      <c r="F115" s="3637"/>
      <c r="G115" s="3637"/>
      <c r="H115" s="3637"/>
      <c r="I115" s="3637"/>
      <c r="J115" s="3637"/>
      <c r="K115" s="3637"/>
      <c r="L115" s="3637"/>
      <c r="M115" s="3637"/>
      <c r="N115" s="3637"/>
      <c r="O115" s="3637"/>
      <c r="P115" s="3637"/>
      <c r="Q115" s="3637"/>
    </row>
    <row r="116" spans="2:17">
      <c r="F116" s="3637"/>
      <c r="G116" s="3637"/>
      <c r="H116" s="3637"/>
      <c r="I116" s="3637"/>
      <c r="J116" s="3637"/>
      <c r="K116" s="3637"/>
      <c r="L116" s="3637"/>
      <c r="M116" s="3637"/>
      <c r="N116" s="3637"/>
      <c r="O116" s="3637"/>
      <c r="P116" s="3637"/>
      <c r="Q116" s="3637"/>
    </row>
    <row r="117" spans="2:17">
      <c r="F117" s="3637"/>
      <c r="G117" s="3637"/>
      <c r="H117" s="3637"/>
      <c r="I117" s="3637"/>
      <c r="J117" s="3637"/>
      <c r="K117" s="3637"/>
      <c r="L117" s="3637"/>
      <c r="M117" s="3637"/>
      <c r="N117" s="3637"/>
      <c r="O117" s="3637"/>
      <c r="P117" s="3637"/>
      <c r="Q117" s="3637"/>
    </row>
    <row r="118" spans="2:17">
      <c r="B118" s="622"/>
      <c r="C118" s="33"/>
      <c r="F118" s="3637"/>
      <c r="G118" s="3637"/>
      <c r="H118" s="3637"/>
      <c r="I118" s="3637"/>
      <c r="J118" s="3637"/>
      <c r="K118" s="3637"/>
      <c r="L118" s="3637"/>
      <c r="M118" s="3637"/>
      <c r="N118" s="3637"/>
      <c r="O118" s="3637"/>
      <c r="P118" s="3637"/>
      <c r="Q118" s="3637"/>
    </row>
    <row r="119" spans="2:17">
      <c r="B119" s="622"/>
      <c r="C119" s="33"/>
      <c r="F119" s="3637"/>
      <c r="G119" s="3637"/>
      <c r="H119" s="3637"/>
      <c r="I119" s="3637"/>
      <c r="J119" s="3637"/>
      <c r="K119" s="3637"/>
      <c r="L119" s="3637"/>
      <c r="M119" s="3637"/>
      <c r="N119" s="3637"/>
      <c r="O119" s="3637"/>
      <c r="P119" s="3637"/>
      <c r="Q119" s="3637"/>
    </row>
    <row r="120" spans="2:17">
      <c r="B120" s="622"/>
      <c r="C120" s="33"/>
      <c r="F120" s="3637"/>
      <c r="G120" s="3637"/>
      <c r="H120" s="3637"/>
      <c r="I120" s="3637"/>
      <c r="J120" s="3637"/>
      <c r="K120" s="3637"/>
      <c r="L120" s="3637"/>
      <c r="M120" s="3637"/>
      <c r="N120" s="3637"/>
      <c r="O120" s="3637"/>
      <c r="P120" s="3637"/>
      <c r="Q120" s="3637"/>
    </row>
    <row r="121" spans="2:17">
      <c r="B121" s="622"/>
      <c r="C121" s="33"/>
      <c r="F121" s="3637"/>
      <c r="G121" s="3637"/>
      <c r="H121" s="3637"/>
      <c r="I121" s="3637"/>
      <c r="J121" s="3637"/>
      <c r="K121" s="3637"/>
      <c r="L121" s="3637"/>
      <c r="M121" s="3637"/>
      <c r="N121" s="3637"/>
      <c r="O121" s="3637"/>
      <c r="P121" s="3637"/>
      <c r="Q121" s="3637"/>
    </row>
    <row r="122" spans="2:17">
      <c r="B122" s="622"/>
      <c r="C122" s="33"/>
      <c r="F122" s="3637"/>
      <c r="G122" s="3637"/>
      <c r="H122" s="3637"/>
      <c r="I122" s="3637"/>
      <c r="J122" s="3637"/>
      <c r="K122" s="3637"/>
      <c r="L122" s="3637"/>
      <c r="M122" s="3637"/>
      <c r="N122" s="3637"/>
      <c r="O122" s="3637"/>
      <c r="P122" s="3637"/>
      <c r="Q122" s="3637"/>
    </row>
    <row r="123" spans="2:17">
      <c r="B123" s="622"/>
      <c r="C123" s="33"/>
      <c r="F123" s="3637"/>
      <c r="G123" s="3637"/>
      <c r="H123" s="3637"/>
      <c r="I123" s="3637"/>
      <c r="J123" s="3637"/>
      <c r="K123" s="3637"/>
      <c r="L123" s="3637"/>
      <c r="M123" s="3637"/>
      <c r="N123" s="3637"/>
      <c r="O123" s="3637"/>
      <c r="P123" s="3637"/>
      <c r="Q123" s="3637"/>
    </row>
    <row r="124" spans="2:17">
      <c r="B124" s="622"/>
      <c r="C124" s="33"/>
      <c r="F124" s="3637"/>
      <c r="G124" s="3637"/>
      <c r="H124" s="3637"/>
      <c r="I124" s="3637"/>
      <c r="J124" s="3637"/>
      <c r="K124" s="3637"/>
      <c r="L124" s="3637"/>
      <c r="M124" s="3637"/>
      <c r="N124" s="3637"/>
      <c r="O124" s="3637"/>
      <c r="P124" s="3637"/>
      <c r="Q124" s="3637"/>
    </row>
    <row r="125" spans="2:17">
      <c r="B125" s="622"/>
      <c r="C125" s="33"/>
      <c r="F125" s="3637"/>
      <c r="G125" s="3637"/>
      <c r="H125" s="3637"/>
      <c r="I125" s="3637"/>
      <c r="J125" s="3637"/>
      <c r="K125" s="3637"/>
      <c r="L125" s="3637"/>
      <c r="M125" s="3637"/>
      <c r="N125" s="3637"/>
      <c r="O125" s="3637"/>
      <c r="P125" s="3637"/>
      <c r="Q125" s="3637"/>
    </row>
    <row r="126" spans="2:17">
      <c r="B126" s="622"/>
      <c r="C126" s="33"/>
      <c r="F126" s="3637"/>
      <c r="G126" s="3637"/>
      <c r="H126" s="3637"/>
      <c r="I126" s="3637"/>
      <c r="J126" s="3637"/>
      <c r="K126" s="3637"/>
      <c r="L126" s="3637"/>
      <c r="M126" s="3637"/>
      <c r="N126" s="3637"/>
      <c r="O126" s="3637"/>
      <c r="P126" s="3637"/>
      <c r="Q126" s="3637"/>
    </row>
    <row r="127" spans="2:17">
      <c r="B127" s="622"/>
      <c r="C127" s="33"/>
      <c r="F127" s="3637"/>
      <c r="G127" s="3637"/>
      <c r="H127" s="3637"/>
      <c r="I127" s="3637"/>
      <c r="J127" s="3637"/>
      <c r="K127" s="3637"/>
      <c r="L127" s="3637"/>
      <c r="M127" s="3637"/>
      <c r="N127" s="3637"/>
      <c r="O127" s="3637"/>
      <c r="P127" s="3637"/>
      <c r="Q127" s="3637"/>
    </row>
    <row r="128" spans="2:17">
      <c r="B128" s="622"/>
      <c r="C128" s="33"/>
      <c r="F128" s="3637"/>
      <c r="G128" s="3637"/>
      <c r="H128" s="3637"/>
      <c r="I128" s="3637"/>
      <c r="J128" s="3637"/>
      <c r="K128" s="3637"/>
      <c r="L128" s="3637"/>
      <c r="M128" s="3637"/>
      <c r="N128" s="3637"/>
      <c r="O128" s="3637"/>
      <c r="P128" s="3637"/>
      <c r="Q128" s="3637"/>
    </row>
    <row r="129" spans="2:17">
      <c r="B129" s="622"/>
      <c r="C129" s="33"/>
      <c r="F129" s="3637"/>
      <c r="G129" s="3637"/>
      <c r="H129" s="3637"/>
      <c r="I129" s="3637"/>
      <c r="J129" s="3637"/>
      <c r="K129" s="3637"/>
      <c r="L129" s="3637"/>
      <c r="M129" s="3637"/>
      <c r="N129" s="3637"/>
      <c r="O129" s="3637"/>
      <c r="P129" s="3637"/>
      <c r="Q129" s="3637"/>
    </row>
    <row r="130" spans="2:17">
      <c r="B130" s="622"/>
      <c r="C130" s="33"/>
      <c r="F130" s="3637"/>
      <c r="G130" s="3637"/>
      <c r="H130" s="3637"/>
      <c r="I130" s="3637"/>
      <c r="J130" s="3637"/>
      <c r="K130" s="3637"/>
      <c r="L130" s="3637"/>
      <c r="M130" s="3637"/>
      <c r="N130" s="3637"/>
      <c r="O130" s="3637"/>
      <c r="P130" s="3637"/>
      <c r="Q130" s="3637"/>
    </row>
    <row r="131" spans="2:17">
      <c r="B131" s="622"/>
      <c r="C131" s="33"/>
      <c r="F131" s="3637"/>
      <c r="G131" s="3637"/>
      <c r="H131" s="3637"/>
      <c r="I131" s="3637"/>
      <c r="J131" s="3637"/>
      <c r="K131" s="3637"/>
      <c r="L131" s="3637"/>
      <c r="M131" s="3637"/>
      <c r="N131" s="3637"/>
      <c r="O131" s="3637"/>
      <c r="P131" s="3637"/>
      <c r="Q131" s="3637"/>
    </row>
    <row r="132" spans="2:17">
      <c r="B132" s="622"/>
      <c r="C132" s="33"/>
      <c r="F132" s="3637"/>
      <c r="G132" s="3637"/>
      <c r="H132" s="3637"/>
      <c r="I132" s="3637"/>
      <c r="J132" s="3637"/>
      <c r="K132" s="3637"/>
      <c r="L132" s="3637"/>
      <c r="M132" s="3637"/>
      <c r="N132" s="3637"/>
      <c r="O132" s="3637"/>
      <c r="P132" s="3637"/>
      <c r="Q132" s="3637"/>
    </row>
    <row r="133" spans="2:17">
      <c r="B133" s="622"/>
      <c r="C133" s="33"/>
      <c r="F133" s="3637"/>
      <c r="G133" s="3637"/>
      <c r="H133" s="3637"/>
      <c r="I133" s="3637"/>
      <c r="J133" s="3637"/>
      <c r="K133" s="3637"/>
      <c r="L133" s="3637"/>
      <c r="M133" s="3637"/>
      <c r="N133" s="3637"/>
      <c r="O133" s="3637"/>
      <c r="P133" s="3637"/>
      <c r="Q133" s="3637"/>
    </row>
    <row r="134" spans="2:17">
      <c r="B134" s="622"/>
      <c r="C134" s="33"/>
      <c r="F134" s="3637"/>
      <c r="G134" s="3637"/>
      <c r="H134" s="3637"/>
      <c r="I134" s="3637"/>
      <c r="J134" s="3637"/>
      <c r="K134" s="3637"/>
      <c r="L134" s="3637"/>
      <c r="M134" s="3637"/>
      <c r="N134" s="3637"/>
      <c r="O134" s="3637"/>
      <c r="P134" s="3637"/>
      <c r="Q134" s="3637"/>
    </row>
    <row r="135" spans="2:17">
      <c r="B135" s="622"/>
      <c r="C135" s="33"/>
      <c r="F135" s="3637"/>
      <c r="G135" s="3637"/>
      <c r="H135" s="3637"/>
      <c r="I135" s="3637"/>
      <c r="J135" s="3637"/>
      <c r="K135" s="3637"/>
      <c r="L135" s="3637"/>
      <c r="M135" s="3637"/>
      <c r="N135" s="3637"/>
      <c r="O135" s="3637"/>
      <c r="P135" s="3637"/>
      <c r="Q135" s="3637"/>
    </row>
    <row r="136" spans="2:17">
      <c r="B136" s="622"/>
      <c r="C136" s="33"/>
      <c r="F136" s="3637"/>
      <c r="G136" s="3637"/>
      <c r="H136" s="3637"/>
      <c r="I136" s="3637"/>
      <c r="J136" s="3637"/>
      <c r="K136" s="3637"/>
      <c r="L136" s="3637"/>
      <c r="M136" s="3637"/>
      <c r="N136" s="3637"/>
      <c r="O136" s="3637"/>
      <c r="P136" s="3637"/>
      <c r="Q136" s="3637"/>
    </row>
    <row r="137" spans="2:17">
      <c r="B137" s="622"/>
      <c r="C137" s="33"/>
      <c r="F137" s="3637"/>
      <c r="G137" s="3637"/>
      <c r="H137" s="3637"/>
      <c r="I137" s="3637"/>
      <c r="J137" s="3637"/>
      <c r="K137" s="3637"/>
      <c r="L137" s="3637"/>
      <c r="M137" s="3637"/>
      <c r="N137" s="3637"/>
      <c r="O137" s="3637"/>
      <c r="P137" s="3637"/>
      <c r="Q137" s="3637"/>
    </row>
    <row r="138" spans="2:17">
      <c r="B138" s="622"/>
      <c r="C138" s="33"/>
      <c r="F138" s="3637"/>
      <c r="G138" s="3637"/>
      <c r="H138" s="3637"/>
      <c r="I138" s="3637"/>
      <c r="J138" s="3637"/>
      <c r="K138" s="3637"/>
      <c r="L138" s="3637"/>
      <c r="M138" s="3637"/>
      <c r="N138" s="3637"/>
      <c r="O138" s="3637"/>
      <c r="P138" s="3637"/>
      <c r="Q138" s="3637"/>
    </row>
    <row r="139" spans="2:17">
      <c r="B139" s="622"/>
      <c r="C139" s="33"/>
      <c r="F139" s="3637"/>
      <c r="G139" s="3637"/>
      <c r="H139" s="3637"/>
      <c r="I139" s="3637"/>
      <c r="J139" s="3637"/>
      <c r="K139" s="3637"/>
      <c r="L139" s="3637"/>
      <c r="M139" s="3637"/>
      <c r="N139" s="3637"/>
      <c r="O139" s="3637"/>
      <c r="P139" s="3637"/>
      <c r="Q139" s="3637"/>
    </row>
    <row r="140" spans="2:17">
      <c r="B140" s="622"/>
      <c r="C140" s="33"/>
      <c r="L140" s="33"/>
    </row>
    <row r="141" spans="2:17">
      <c r="B141" s="622"/>
      <c r="C141" s="33"/>
      <c r="L141" s="33"/>
    </row>
    <row r="142" spans="2:17">
      <c r="B142" s="622"/>
      <c r="C142" s="33"/>
      <c r="L142" s="33"/>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c r="F147" s="33"/>
      <c r="G147" s="33"/>
      <c r="H147" s="33"/>
      <c r="I147" s="33"/>
      <c r="J147" s="33"/>
    </row>
    <row r="148" spans="2:12">
      <c r="B148" s="622"/>
      <c r="C148" s="33"/>
      <c r="D148" s="33"/>
      <c r="F148" s="33"/>
      <c r="G148" s="33"/>
      <c r="H148" s="33"/>
      <c r="I148" s="33"/>
      <c r="J148" s="33"/>
    </row>
    <row r="149" spans="2:12">
      <c r="B149" s="622"/>
      <c r="C149" s="33"/>
      <c r="D149" s="33"/>
      <c r="F149" s="33"/>
      <c r="G149" s="33"/>
      <c r="H149" s="33"/>
      <c r="I149" s="33"/>
      <c r="J149" s="33"/>
    </row>
    <row r="150" spans="2:12">
      <c r="B150" s="622"/>
      <c r="C150" s="33"/>
      <c r="D150" s="33"/>
      <c r="F150" s="33"/>
      <c r="G150" s="33"/>
      <c r="H150" s="33"/>
      <c r="I150" s="33"/>
      <c r="J150" s="33"/>
    </row>
    <row r="151" spans="2:12">
      <c r="B151" s="622"/>
      <c r="C151" s="33"/>
      <c r="D151" s="33"/>
      <c r="F151" s="33"/>
      <c r="G151" s="33"/>
      <c r="H151" s="33"/>
      <c r="I151" s="33"/>
      <c r="J151" s="33"/>
    </row>
    <row r="152" spans="2:12">
      <c r="B152" s="622"/>
      <c r="C152" s="33"/>
      <c r="D152" s="33"/>
      <c r="F152" s="33"/>
      <c r="G152" s="33"/>
      <c r="H152" s="33"/>
      <c r="I152" s="33"/>
      <c r="J152" s="33"/>
    </row>
    <row r="153" spans="2:12">
      <c r="B153" s="622"/>
      <c r="C153" s="33"/>
      <c r="D153" s="33"/>
      <c r="F153" s="33"/>
      <c r="G153" s="33"/>
      <c r="H153" s="33"/>
      <c r="I153" s="33"/>
      <c r="J153" s="33"/>
    </row>
    <row r="154" spans="2:12">
      <c r="B154" s="622"/>
      <c r="C154" s="33"/>
      <c r="D154" s="33"/>
      <c r="F154" s="33"/>
      <c r="G154" s="33"/>
      <c r="H154" s="33"/>
      <c r="I154" s="33"/>
      <c r="J154" s="33"/>
    </row>
    <row r="155" spans="2:12">
      <c r="B155" s="622"/>
      <c r="C155" s="33"/>
      <c r="D155" s="33"/>
      <c r="F155" s="33"/>
      <c r="G155" s="33"/>
      <c r="H155" s="33"/>
      <c r="I155" s="33"/>
      <c r="J155" s="33"/>
    </row>
    <row r="156" spans="2:12">
      <c r="B156" s="622"/>
      <c r="C156" s="33"/>
      <c r="D156" s="33"/>
      <c r="F156" s="33"/>
      <c r="G156" s="33"/>
      <c r="H156" s="33"/>
      <c r="I156" s="33"/>
      <c r="J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B75:C75"/>
    <mergeCell ref="D26:E26"/>
    <mergeCell ref="F34:G34"/>
    <mergeCell ref="C42:E42"/>
    <mergeCell ref="C57:D57"/>
    <mergeCell ref="C55:D55"/>
    <mergeCell ref="C62:E62"/>
    <mergeCell ref="C63:E63"/>
    <mergeCell ref="C68:E68"/>
    <mergeCell ref="C73:E73"/>
    <mergeCell ref="C74:E74"/>
    <mergeCell ref="C41:E41"/>
    <mergeCell ref="C47:D47"/>
    <mergeCell ref="K2:P2"/>
    <mergeCell ref="C14:F14"/>
    <mergeCell ref="C15:F15"/>
    <mergeCell ref="N6:O6"/>
    <mergeCell ref="E10:F10"/>
    <mergeCell ref="K6:L6"/>
    <mergeCell ref="E4:I4"/>
    <mergeCell ref="N3:O4"/>
    <mergeCell ref="J3:L3"/>
    <mergeCell ref="J4:L4"/>
    <mergeCell ref="H6:I6"/>
    <mergeCell ref="C17:F17"/>
    <mergeCell ref="C56:D56"/>
    <mergeCell ref="C36:E36"/>
    <mergeCell ref="C51:D51"/>
    <mergeCell ref="C52:D52"/>
    <mergeCell ref="C54:D54"/>
    <mergeCell ref="C19:F19"/>
    <mergeCell ref="F23:G23"/>
    <mergeCell ref="D25:E25"/>
    <mergeCell ref="E22:G22"/>
    <mergeCell ref="C78:F78"/>
    <mergeCell ref="C79:F79"/>
    <mergeCell ref="C50:D50"/>
    <mergeCell ref="K1:L1"/>
    <mergeCell ref="N1:O1"/>
    <mergeCell ref="C16:F16"/>
    <mergeCell ref="C64:E64"/>
    <mergeCell ref="C49:D49"/>
    <mergeCell ref="C53:D53"/>
    <mergeCell ref="C48:D48"/>
    <mergeCell ref="C46:D46"/>
    <mergeCell ref="C37:E37"/>
    <mergeCell ref="G1:I1"/>
    <mergeCell ref="C38:E38"/>
    <mergeCell ref="C39:E39"/>
    <mergeCell ref="C40:E40"/>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43" r:id="rId4" name="Check Box 15">
              <controlPr defaultSize="0" autoFill="0" autoLine="0" autoPict="0">
                <anchor moveWithCells="1">
                  <from>
                    <xdr:col>12</xdr:col>
                    <xdr:colOff>133350</xdr:colOff>
                    <xdr:row>2</xdr:row>
                    <xdr:rowOff>257175</xdr:rowOff>
                  </from>
                  <to>
                    <xdr:col>12</xdr:col>
                    <xdr:colOff>285750</xdr:colOff>
                    <xdr:row>3</xdr:row>
                    <xdr:rowOff>209550</xdr:rowOff>
                  </to>
                </anchor>
              </controlPr>
            </control>
          </mc:Choice>
        </mc:AlternateContent>
        <mc:AlternateContent xmlns:mc="http://schemas.openxmlformats.org/markup-compatibility/2006">
          <mc:Choice Requires="x14">
            <control shapeId="73744" r:id="rId5" name="Check Box 16">
              <controlPr defaultSize="0" autoFill="0" autoLine="0" autoPict="0">
                <anchor moveWithCells="1">
                  <from>
                    <xdr:col>12</xdr:col>
                    <xdr:colOff>133350</xdr:colOff>
                    <xdr:row>2</xdr:row>
                    <xdr:rowOff>57150</xdr:rowOff>
                  </from>
                  <to>
                    <xdr:col>12</xdr:col>
                    <xdr:colOff>419100</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4">
    <tabColor rgb="FFFFFF99"/>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1135.6457017111438</v>
      </c>
      <c r="K1" s="4859">
        <f>M1-J1</f>
        <v>345.09770025657053</v>
      </c>
      <c r="L1" s="4859"/>
      <c r="M1" s="1906">
        <f>(M7+M13+M18+M22+L11+L12)-(M23+M27+M34+M43+M60+M65+M67+M69+M71+M75)</f>
        <v>1480.7434019677144</v>
      </c>
      <c r="N1" s="4859">
        <f>P1-M1</f>
        <v>339.20871734274328</v>
      </c>
      <c r="O1" s="4859"/>
      <c r="P1" s="1906">
        <f>(P7+P13+P18+P22+O11+O12)-(P23+P27+P34+P43+P60+P65+P67+P69+P71+P75)</f>
        <v>1819.9521193104576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1952</v>
      </c>
      <c r="L2" s="4870"/>
      <c r="M2" s="4870"/>
      <c r="N2" s="4870"/>
      <c r="O2" s="4870"/>
      <c r="P2" s="4870"/>
      <c r="Q2" s="2507"/>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30</v>
      </c>
      <c r="K6" s="4849" t="s">
        <v>152</v>
      </c>
      <c r="L6" s="4850"/>
      <c r="M6" s="1887">
        <v>40</v>
      </c>
      <c r="N6" s="4864" t="s">
        <v>178</v>
      </c>
      <c r="O6" s="4865"/>
      <c r="P6" s="1886">
        <f>M6*1.25</f>
        <v>50</v>
      </c>
      <c r="Q6" s="70"/>
    </row>
    <row r="7" spans="1:41" s="252" customFormat="1" ht="18.75" customHeight="1">
      <c r="A7" s="47"/>
      <c r="B7" s="311" t="s">
        <v>1691</v>
      </c>
      <c r="C7" s="47"/>
      <c r="D7" s="47"/>
      <c r="E7" s="47"/>
      <c r="F7" s="47"/>
      <c r="G7" s="1884" t="s">
        <v>171</v>
      </c>
      <c r="H7" s="1881"/>
      <c r="I7" s="1880"/>
      <c r="J7" s="1614">
        <f>SUM(I9:I10)</f>
        <v>1157.5999999999999</v>
      </c>
      <c r="K7" s="1883"/>
      <c r="L7" s="1882"/>
      <c r="M7" s="1617">
        <f>SUM(L9:L10)</f>
        <v>1543.4666666666667</v>
      </c>
      <c r="N7" s="1881"/>
      <c r="O7" s="1880"/>
      <c r="P7" s="1614">
        <f>SUM(O9:O10)</f>
        <v>1929.3333333333333</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SDÖ1!O20</f>
        <v>38.586666666666666</v>
      </c>
      <c r="H9" s="1877">
        <f>J6-H10</f>
        <v>30</v>
      </c>
      <c r="I9" s="1873">
        <f>H9*G9</f>
        <v>1157.5999999999999</v>
      </c>
      <c r="J9" s="43"/>
      <c r="K9" s="1876">
        <f>M6-K10</f>
        <v>40</v>
      </c>
      <c r="L9" s="1875">
        <f>K9*G9</f>
        <v>1543.4666666666667</v>
      </c>
      <c r="M9" s="1854"/>
      <c r="N9" s="1874">
        <f>P6-N10</f>
        <v>50</v>
      </c>
      <c r="O9" s="1873">
        <f>N9*G9</f>
        <v>1929.3333333333333</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306.00000000000006</v>
      </c>
      <c r="S10" s="1862">
        <f>L10+L11+L12</f>
        <v>408.00000000000011</v>
      </c>
      <c r="T10" s="1861">
        <f>O10+O11+O12</f>
        <v>510.00000000000011</v>
      </c>
      <c r="W10" s="252" t="s">
        <v>1254</v>
      </c>
    </row>
    <row r="11" spans="1:41" s="1842" customFormat="1" ht="15" customHeight="1">
      <c r="A11" s="377"/>
      <c r="B11" s="274"/>
      <c r="C11" s="45" t="s">
        <v>1253</v>
      </c>
      <c r="D11" s="377"/>
      <c r="E11" s="1860">
        <v>0.9</v>
      </c>
      <c r="F11" s="45" t="s">
        <v>1252</v>
      </c>
      <c r="G11" s="1859">
        <f>SDÖ1!$O$51</f>
        <v>11.333333333333336</v>
      </c>
      <c r="H11" s="1858">
        <f>IF($T$3=FALSE,0,J6*$E$11)</f>
        <v>27</v>
      </c>
      <c r="I11" s="1852">
        <f>H11*$G$11</f>
        <v>306.00000000000006</v>
      </c>
      <c r="J11" s="1857"/>
      <c r="K11" s="1856">
        <f>IF($T$3=FALSE,0,M6*$E$11)</f>
        <v>36</v>
      </c>
      <c r="L11" s="1855">
        <f>K11*$G$11</f>
        <v>408.00000000000011</v>
      </c>
      <c r="M11" s="1854"/>
      <c r="N11" s="1853">
        <f>IF($T$3=FALSE,0,P6*$E$11)</f>
        <v>45</v>
      </c>
      <c r="O11" s="1852">
        <f>N11*$G$11</f>
        <v>510.00000000000011</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27</v>
      </c>
      <c r="Y12" s="1839">
        <f>IF(OR(T3=TRUE,T4=TRUE),M6*$E$11,"0")</f>
        <v>36</v>
      </c>
      <c r="Z12" s="1838">
        <f>IF(OR(T3=TRUE,T4=TRUE),P6*$E$11,"0")</f>
        <v>45</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119</v>
      </c>
      <c r="K23" s="1619"/>
      <c r="L23" s="1618"/>
      <c r="M23" s="1800">
        <f>SUM(L25:L26)</f>
        <v>119</v>
      </c>
      <c r="N23" s="1616"/>
      <c r="O23" s="1615"/>
      <c r="P23" s="1599">
        <f>SUM(O25:O26)</f>
        <v>119</v>
      </c>
      <c r="Q23" s="4098"/>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0.85</v>
      </c>
      <c r="G25" s="1794">
        <f>F25*(100+$D$24)/100</f>
        <v>0.85</v>
      </c>
      <c r="H25" s="1793">
        <v>140</v>
      </c>
      <c r="I25" s="1754">
        <f>H25*$G25</f>
        <v>119</v>
      </c>
      <c r="J25" s="45"/>
      <c r="K25" s="1793">
        <f>H25</f>
        <v>140</v>
      </c>
      <c r="L25" s="1596">
        <f>K25*$G25</f>
        <v>119</v>
      </c>
      <c r="M25" s="1589"/>
      <c r="N25" s="1793">
        <f>H25</f>
        <v>140</v>
      </c>
      <c r="O25" s="1754">
        <f>N25*$G25</f>
        <v>119</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357.82666666666665</v>
      </c>
      <c r="K27" s="1748"/>
      <c r="L27" s="1747"/>
      <c r="M27" s="1617">
        <f>SUM(L30:L33)</f>
        <v>446.88</v>
      </c>
      <c r="N27" s="1746"/>
      <c r="O27" s="1745"/>
      <c r="P27" s="1614">
        <f>SUM(O30:O33)</f>
        <v>535.93333333333328</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VLOOKUP('SD8'!B21,'SD8'!B9:K44,3,FALSE)</f>
        <v>1.51</v>
      </c>
      <c r="F30" s="1774"/>
      <c r="G30" s="1773">
        <v>20</v>
      </c>
      <c r="H30" s="1771">
        <f>IF(J$6=0,0,(J$6*$E30+$G30+X13))</f>
        <v>65.3</v>
      </c>
      <c r="I30" s="1754">
        <f>H30*$D30</f>
        <v>296.02666666666664</v>
      </c>
      <c r="J30" s="45"/>
      <c r="K30" s="1772">
        <f>IF(M$6=0,0,(M$6*$E30+$G30+AA14))</f>
        <v>80.400000000000006</v>
      </c>
      <c r="L30" s="1596">
        <f>K30*$D30</f>
        <v>364.48</v>
      </c>
      <c r="M30" s="1589"/>
      <c r="N30" s="1771">
        <f>IF(P$6=0,0,(P$6*$E30+$G30+AD14))</f>
        <v>95.5</v>
      </c>
      <c r="O30" s="1754">
        <f>N30*$D30</f>
        <v>432.93333333333334</v>
      </c>
      <c r="P30" s="1718"/>
      <c r="Q30" s="32"/>
    </row>
    <row r="31" spans="1:20" s="42" customFormat="1" ht="15" customHeight="1">
      <c r="A31" s="1306"/>
      <c r="B31" s="274"/>
      <c r="C31" s="1306" t="s">
        <v>244</v>
      </c>
      <c r="D31" s="1723">
        <f>IF(SDÖ1!$U$17=TRUE,SDÖ1!O56,0)</f>
        <v>1.3999999999999997</v>
      </c>
      <c r="E31" s="1774">
        <f>VLOOKUP('SD8'!B21,'SD8'!B9:K44,4,FALSE)</f>
        <v>0.8</v>
      </c>
      <c r="F31" s="1774"/>
      <c r="G31" s="1773"/>
      <c r="H31" s="1771">
        <f>IF(J$6=0,0,(J$6*$E31+$G31+X14))</f>
        <v>24</v>
      </c>
      <c r="I31" s="1754">
        <f>H31*$D31</f>
        <v>33.599999999999994</v>
      </c>
      <c r="J31" s="45"/>
      <c r="K31" s="1772">
        <f>IF(M$6=0,0,(M$6*$E31+$G31+Y14))</f>
        <v>32</v>
      </c>
      <c r="L31" s="1596">
        <f>K31*$D31</f>
        <v>44.79999999999999</v>
      </c>
      <c r="M31" s="1589"/>
      <c r="N31" s="1771">
        <f>IF(P$6=0,0,(P$6*$E31+$G31+Z14))</f>
        <v>40</v>
      </c>
      <c r="O31" s="1754">
        <f>N31*$D31</f>
        <v>55.999999999999986</v>
      </c>
      <c r="P31" s="1718"/>
      <c r="Q31" s="32"/>
    </row>
    <row r="32" spans="1:20" s="708" customFormat="1" ht="18.75" customHeight="1">
      <c r="A32" s="1270"/>
      <c r="B32" s="274"/>
      <c r="C32" s="1306" t="s">
        <v>242</v>
      </c>
      <c r="D32" s="1723">
        <f>IF(SDÖ1!$U$17=TRUE,SDÖ1!O57,0)</f>
        <v>1.3999999999999997</v>
      </c>
      <c r="E32" s="1774">
        <f>VLOOKUP('SD8'!B21,'SD8'!B9:K44,5,FALSE)</f>
        <v>0.6</v>
      </c>
      <c r="F32" s="1774"/>
      <c r="G32" s="1773"/>
      <c r="H32" s="1771">
        <f>IF(J$6=0,0,(J$6*$E32+$G32+X15))</f>
        <v>18</v>
      </c>
      <c r="I32" s="1754">
        <f>H32*$D32</f>
        <v>25.199999999999996</v>
      </c>
      <c r="J32" s="45"/>
      <c r="K32" s="1772">
        <f>IF(M$6=0,0,(M$6*$E32+$G32+Y15))</f>
        <v>24</v>
      </c>
      <c r="L32" s="1596">
        <f>K32*$D32</f>
        <v>33.599999999999994</v>
      </c>
      <c r="M32" s="1589"/>
      <c r="N32" s="1771">
        <f>IF(P$6=0,0,(P$6*$E32+$G32+Z15))</f>
        <v>30</v>
      </c>
      <c r="O32" s="1754">
        <f>N32*$D32</f>
        <v>41.999999999999993</v>
      </c>
      <c r="P32" s="1718"/>
      <c r="Q32" s="32"/>
    </row>
    <row r="33" spans="1:17" s="708" customFormat="1" ht="13.15" customHeight="1">
      <c r="A33" s="1270"/>
      <c r="B33" s="239"/>
      <c r="C33" s="1331" t="s">
        <v>240</v>
      </c>
      <c r="D33" s="1706">
        <f>IF(SDÖ1!$U$17=TRUE,SDÖ1!O58,0)</f>
        <v>0.5</v>
      </c>
      <c r="E33" s="1770">
        <f>VLOOKUP('SD8'!B21,'SD8'!B9:K44,6,FALSE)</f>
        <v>0.2</v>
      </c>
      <c r="F33" s="1770"/>
      <c r="G33" s="1769"/>
      <c r="H33" s="1767">
        <f>IF(J$6=0,0,(J$6*$E33+$G33+X16))</f>
        <v>6</v>
      </c>
      <c r="I33" s="1750">
        <f>H33*$D33</f>
        <v>3</v>
      </c>
      <c r="J33" s="45"/>
      <c r="K33" s="1768">
        <f>IF(M$6=0,0,(M$6*$E33+$G33+Y16))</f>
        <v>8</v>
      </c>
      <c r="L33" s="1590">
        <f>K33*$D33</f>
        <v>4</v>
      </c>
      <c r="M33" s="1589"/>
      <c r="N33" s="1767">
        <f>IF(P$6=0,0,(P$6*$E33+$G33+Z16))</f>
        <v>10</v>
      </c>
      <c r="O33" s="1750">
        <f>N33*$D33</f>
        <v>5</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162.34676261596638</v>
      </c>
      <c r="K43" s="1748"/>
      <c r="L43" s="1747"/>
      <c r="M43" s="1617">
        <f>SUM(M46:M57)</f>
        <v>168.10013650453783</v>
      </c>
      <c r="N43" s="1746"/>
      <c r="O43" s="1745"/>
      <c r="P43" s="1614">
        <f>SUM(P46:P57)</f>
        <v>179.69141167075628</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t="s">
        <v>444</v>
      </c>
      <c r="D51" s="4836"/>
      <c r="E51" s="1725">
        <f>IF($C51=0,0,VLOOKUP($C51,SDÖ3!$C$24:$O$99,4,FALSE))</f>
        <v>83</v>
      </c>
      <c r="F51" s="1724">
        <f>IF($C51=0,0,VLOOKUP($C51,SDÖ3!$C$24:$O$99,12,FALSE))</f>
        <v>0.27</v>
      </c>
      <c r="G51" s="1723">
        <f>IF($C51=0,0,VLOOKUP($C51,SDÖ3!$C$24:$O$99,13,FALSE))</f>
        <v>5.8379012776470587</v>
      </c>
      <c r="H51" s="1720">
        <v>1</v>
      </c>
      <c r="I51" s="1719">
        <f t="shared" si="4"/>
        <v>0.27</v>
      </c>
      <c r="J51" s="1718">
        <f t="shared" si="5"/>
        <v>5.8379012776470587</v>
      </c>
      <c r="K51" s="1720">
        <v>1</v>
      </c>
      <c r="L51" s="1722">
        <f t="shared" si="6"/>
        <v>0.27</v>
      </c>
      <c r="M51" s="1721">
        <f t="shared" si="7"/>
        <v>5.8379012776470587</v>
      </c>
      <c r="N51" s="1720">
        <v>2</v>
      </c>
      <c r="O51" s="1719">
        <f t="shared" si="8"/>
        <v>0.54</v>
      </c>
      <c r="P51" s="1718">
        <f t="shared" si="9"/>
        <v>11.675802555294117</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t="s">
        <v>435</v>
      </c>
      <c r="D54" s="4836"/>
      <c r="E54" s="1725">
        <f>IF($C54=0,0,VLOOKUP($C54,SDÖ3!$C$24:$O$99,4,FALSE))</f>
        <v>83</v>
      </c>
      <c r="F54" s="1724">
        <f>IF($C54=0,0,VLOOKUP($C54,SDÖ3!$C$24:$O$99,12,FALSE))</f>
        <v>0.4</v>
      </c>
      <c r="G54" s="1723">
        <f>IF($C54=0,0,VLOOKUP($C54,SDÖ3!$C$24:$O$99,13,FALSE))</f>
        <v>6.8857796705882359</v>
      </c>
      <c r="H54" s="1720">
        <v>1.0125</v>
      </c>
      <c r="I54" s="1719">
        <f t="shared" si="4"/>
        <v>0.40500000000000003</v>
      </c>
      <c r="J54" s="1718">
        <f t="shared" si="5"/>
        <v>6.9718519164705883</v>
      </c>
      <c r="K54" s="1720">
        <v>1.25</v>
      </c>
      <c r="L54" s="1722">
        <f t="shared" si="6"/>
        <v>0.5</v>
      </c>
      <c r="M54" s="1721">
        <f t="shared" si="7"/>
        <v>8.6072245882352956</v>
      </c>
      <c r="N54" s="1720">
        <v>1.4875</v>
      </c>
      <c r="O54" s="1719">
        <f t="shared" si="8"/>
        <v>0.59500000000000008</v>
      </c>
      <c r="P54" s="1718">
        <f t="shared" si="9"/>
        <v>10.242597260000002</v>
      </c>
      <c r="Q54" s="3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6"/>
        <v>1.08</v>
      </c>
      <c r="M55" s="1721">
        <f t="shared" si="7"/>
        <v>32.755390400000003</v>
      </c>
      <c r="N55" s="1720">
        <v>2</v>
      </c>
      <c r="O55" s="1719">
        <f t="shared" si="8"/>
        <v>1.08</v>
      </c>
      <c r="P55" s="1718">
        <f t="shared" si="9"/>
        <v>32.755390400000003</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0.77142857142857146</v>
      </c>
      <c r="I57" s="1703">
        <f t="shared" si="4"/>
        <v>0.77142857142857146</v>
      </c>
      <c r="J57" s="1702">
        <f t="shared" si="5"/>
        <v>12.354003650420168</v>
      </c>
      <c r="K57" s="3687">
        <f>K11/35</f>
        <v>1.0285714285714285</v>
      </c>
      <c r="L57" s="1705">
        <f t="shared" si="6"/>
        <v>1.0285714285714285</v>
      </c>
      <c r="M57" s="1652">
        <f t="shared" si="7"/>
        <v>16.47200486722689</v>
      </c>
      <c r="N57" s="3686">
        <f>N11/35</f>
        <v>1.2857142857142858</v>
      </c>
      <c r="O57" s="1703">
        <f t="shared" si="8"/>
        <v>1.2857142857142858</v>
      </c>
      <c r="P57" s="1702">
        <f t="shared" si="9"/>
        <v>20.590006084033615</v>
      </c>
      <c r="Q57" s="3678"/>
    </row>
    <row r="58" spans="1:17" s="708" customFormat="1" ht="18.75" customHeight="1">
      <c r="A58" s="1270"/>
      <c r="B58" s="1276" t="s">
        <v>1223</v>
      </c>
      <c r="C58" s="1373"/>
      <c r="D58" s="1373"/>
      <c r="E58" s="1373"/>
      <c r="F58" s="38"/>
      <c r="G58" s="1620"/>
      <c r="H58" s="1697"/>
      <c r="I58" s="1696">
        <f>SUM($I$46:$I$57)</f>
        <v>5.5864285714285709</v>
      </c>
      <c r="J58" s="1701"/>
      <c r="K58" s="1700"/>
      <c r="L58" s="1699">
        <f>SUM($L$46:$L$57)</f>
        <v>5.9385714285714286</v>
      </c>
      <c r="M58" s="1698"/>
      <c r="N58" s="1697"/>
      <c r="O58" s="1696">
        <f>SUM($O$46:$O$57)</f>
        <v>6.5607142857142851</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10.055571428571428</v>
      </c>
      <c r="J59" s="1686"/>
      <c r="K59" s="1691"/>
      <c r="L59" s="1690">
        <f>IF(L58+SUM($L$46:$L$57)*$E$59%&gt;L58+10,L58+10,L58+SUM($L$46:$L$57)*$E$59%)</f>
        <v>10.689428571428572</v>
      </c>
      <c r="M59" s="1689"/>
      <c r="N59" s="1688"/>
      <c r="O59" s="1687">
        <f>IF(O58+SUM($O$46:$O$57)*$E$59%&gt;O58+10,O58+10,O58+SUM($O$46:$O$57)*$E$59%)</f>
        <v>11.809285714285714</v>
      </c>
      <c r="P59" s="1686"/>
      <c r="Q59" s="32"/>
    </row>
    <row r="60" spans="1:17" s="65" customFormat="1" ht="18.75" customHeight="1">
      <c r="A60" s="1373"/>
      <c r="B60" s="1276" t="s">
        <v>1220</v>
      </c>
      <c r="C60" s="1373"/>
      <c r="D60" s="1373"/>
      <c r="E60" s="45"/>
      <c r="F60" s="45"/>
      <c r="G60" s="1685"/>
      <c r="H60" s="1677"/>
      <c r="I60" s="1676"/>
      <c r="J60" s="1684">
        <f>IF(J6=0,0,SUM(I62:I64))</f>
        <v>203.5</v>
      </c>
      <c r="K60" s="1680"/>
      <c r="L60" s="1679"/>
      <c r="M60" s="1617">
        <f>IF(M6=0,0,SUM(L62:L64))</f>
        <v>226</v>
      </c>
      <c r="N60" s="1677"/>
      <c r="O60" s="1676"/>
      <c r="P60" s="1684">
        <f>IF(P6=0,0,SUM(O62:O64))</f>
        <v>248.5</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67.5</v>
      </c>
      <c r="J64" s="227"/>
      <c r="K64" s="1654"/>
      <c r="L64" s="1653">
        <f>K11*$G$64</f>
        <v>90</v>
      </c>
      <c r="M64" s="1652"/>
      <c r="N64" s="1651"/>
      <c r="O64" s="1650">
        <f>N11*$G$64</f>
        <v>112.5</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54.150000000000006</v>
      </c>
      <c r="K67" s="1641" t="s">
        <v>1217</v>
      </c>
      <c r="L67" s="1640" t="s">
        <v>1216</v>
      </c>
      <c r="M67" s="1617">
        <f>S68*(K9+K10)*L68%+F68</f>
        <v>72.2</v>
      </c>
      <c r="N67" s="1639" t="s">
        <v>1217</v>
      </c>
      <c r="O67" s="1638" t="s">
        <v>1216</v>
      </c>
      <c r="P67" s="1614">
        <f>T68*(N9+N10)*O68%+F68</f>
        <v>90.250000000000014</v>
      </c>
      <c r="Q67" s="32"/>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3.6100000000000003</v>
      </c>
    </row>
    <row r="69" spans="1:20" s="708" customFormat="1" ht="18.75" customHeight="1">
      <c r="A69" s="1270"/>
      <c r="B69" s="1276" t="s">
        <v>1214</v>
      </c>
      <c r="C69" s="1270"/>
      <c r="D69" s="1270"/>
      <c r="E69" s="38"/>
      <c r="F69" s="38"/>
      <c r="G69" s="1620"/>
      <c r="H69" s="44"/>
      <c r="I69" s="73"/>
      <c r="J69" s="1614">
        <f>H70*$F70/1000</f>
        <v>18.521599999999999</v>
      </c>
      <c r="K69" s="1630"/>
      <c r="L69" s="1629"/>
      <c r="M69" s="1617">
        <f>K70*$F70/1000</f>
        <v>24.695466666666668</v>
      </c>
      <c r="N69" s="44"/>
      <c r="O69" s="73"/>
      <c r="P69" s="1614">
        <f>N70*$F70/1000</f>
        <v>30.869333333333334</v>
      </c>
      <c r="Q69" s="32"/>
    </row>
    <row r="70" spans="1:20" s="708" customFormat="1" ht="15" customHeight="1">
      <c r="A70" s="1270"/>
      <c r="B70" s="1332"/>
      <c r="C70" s="1331" t="s">
        <v>896</v>
      </c>
      <c r="D70" s="353"/>
      <c r="E70" s="280"/>
      <c r="F70" s="1628">
        <f>'SDK7'!G102</f>
        <v>16</v>
      </c>
      <c r="G70" s="1627" t="s">
        <v>171</v>
      </c>
      <c r="H70" s="1623">
        <f>I9+I10</f>
        <v>1157.5999999999999</v>
      </c>
      <c r="I70" s="1622"/>
      <c r="J70" s="1621"/>
      <c r="K70" s="1626">
        <f>L9+L10</f>
        <v>1543.4666666666667</v>
      </c>
      <c r="L70" s="1625"/>
      <c r="M70" s="1624"/>
      <c r="N70" s="1623">
        <f>O9+O10</f>
        <v>1929.3333333333333</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8.0092690062230378</v>
      </c>
      <c r="K75" s="3063"/>
      <c r="L75" s="1056"/>
      <c r="M75" s="1578">
        <f>(M23+M27+M34+M43+M60+M65+M67+M69+M71)*('SDK1'!$O$59%*$G$75/12)</f>
        <v>9.2476615277480381</v>
      </c>
      <c r="N75" s="1580"/>
      <c r="O75" s="1579"/>
      <c r="P75" s="1578">
        <f>(P23+P27+P34+P43+P60+P65+P67+P69+P71)*('SDK1'!$O$59%*$G$75/12)</f>
        <v>10.53713568545245</v>
      </c>
      <c r="Q75" s="32"/>
    </row>
    <row r="76" spans="1:20">
      <c r="L76" s="33"/>
    </row>
    <row r="77" spans="1:20">
      <c r="L77" s="33"/>
      <c r="M77" s="3642"/>
      <c r="N77" s="3642"/>
      <c r="O77" s="3642"/>
      <c r="P77" s="3642"/>
      <c r="Q77" s="3642"/>
    </row>
    <row r="78" spans="1:20" ht="14.25">
      <c r="C78" s="4921" t="s">
        <v>1946</v>
      </c>
      <c r="D78" s="4922"/>
      <c r="E78" s="4922"/>
      <c r="F78" s="4923"/>
      <c r="G78" s="3642"/>
      <c r="H78" s="3642"/>
      <c r="I78" s="3642"/>
      <c r="J78" s="3642"/>
      <c r="K78" s="3642"/>
      <c r="L78" s="3642"/>
      <c r="M78" s="3642"/>
      <c r="N78" s="3642"/>
      <c r="O78" s="3642"/>
      <c r="P78" s="3642"/>
      <c r="Q78" s="3642"/>
    </row>
    <row r="79" spans="1:20">
      <c r="C79" s="4913" t="s">
        <v>295</v>
      </c>
      <c r="D79" s="4914"/>
      <c r="E79" s="4914"/>
      <c r="F79" s="4915"/>
      <c r="G79" s="3642"/>
      <c r="H79" s="3642"/>
      <c r="I79" s="3642"/>
      <c r="J79" s="3642"/>
      <c r="K79" s="3642"/>
      <c r="L79" s="3642"/>
      <c r="M79" s="3642"/>
      <c r="N79" s="3642"/>
      <c r="O79" s="3642"/>
      <c r="P79" s="3642"/>
      <c r="Q79" s="3642"/>
    </row>
    <row r="80" spans="1:20" ht="14.25">
      <c r="B80" s="3078"/>
      <c r="C80" s="3074" t="s">
        <v>1942</v>
      </c>
      <c r="D80" s="3075"/>
      <c r="E80" s="3075"/>
      <c r="F80" s="3076"/>
      <c r="G80" s="3642"/>
      <c r="H80" s="3642"/>
      <c r="I80" s="3642"/>
      <c r="J80" s="3642"/>
      <c r="K80" s="3642"/>
      <c r="L80" s="3642"/>
      <c r="M80" s="3642"/>
      <c r="N80" s="3642"/>
      <c r="O80" s="3642"/>
      <c r="P80" s="3642"/>
      <c r="Q80" s="3642"/>
    </row>
    <row r="81" spans="2:17" ht="14.25">
      <c r="B81" s="3078"/>
      <c r="C81" s="3074" t="s">
        <v>1943</v>
      </c>
      <c r="D81" s="3075"/>
      <c r="E81" s="3075"/>
      <c r="F81" s="3076"/>
      <c r="G81" s="3642"/>
      <c r="H81" s="3642"/>
      <c r="I81" s="3642"/>
      <c r="J81" s="3642"/>
      <c r="K81" s="3642"/>
      <c r="L81" s="3642"/>
      <c r="M81" s="3642"/>
      <c r="N81" s="3642"/>
      <c r="O81" s="3642"/>
      <c r="P81" s="3642"/>
      <c r="Q81" s="3642"/>
    </row>
    <row r="82" spans="2:17">
      <c r="B82" s="3078"/>
      <c r="C82" s="3066" t="s">
        <v>294</v>
      </c>
      <c r="D82" s="3067"/>
      <c r="E82" s="3067"/>
      <c r="F82" s="3068"/>
      <c r="G82" s="3642"/>
      <c r="H82" s="3642"/>
      <c r="I82" s="3642"/>
      <c r="J82" s="3642"/>
      <c r="K82" s="3642"/>
      <c r="L82" s="3642"/>
      <c r="M82" s="3642"/>
      <c r="N82" s="3642"/>
      <c r="O82" s="3642"/>
      <c r="P82" s="3642"/>
      <c r="Q82" s="3642"/>
    </row>
    <row r="83" spans="2:17" ht="14.25">
      <c r="B83" s="3078"/>
      <c r="C83" s="3074" t="s">
        <v>1944</v>
      </c>
      <c r="D83" s="3075"/>
      <c r="E83" s="3075"/>
      <c r="F83" s="3076"/>
      <c r="G83" s="3642"/>
      <c r="H83" s="3642"/>
      <c r="I83" s="3642"/>
      <c r="J83" s="3642"/>
      <c r="K83" s="3642"/>
      <c r="L83" s="3642"/>
      <c r="M83" s="3642"/>
      <c r="N83" s="3642"/>
      <c r="O83" s="3642"/>
      <c r="P83" s="3642"/>
      <c r="Q83" s="3642"/>
    </row>
    <row r="84" spans="2:17" ht="14.25">
      <c r="B84" s="3078"/>
      <c r="C84" s="3074" t="s">
        <v>1945</v>
      </c>
      <c r="D84" s="3075"/>
      <c r="E84" s="3075"/>
      <c r="F84" s="3076"/>
      <c r="G84" s="3642"/>
      <c r="H84" s="3642"/>
      <c r="I84" s="3642"/>
      <c r="J84" s="3642"/>
      <c r="K84" s="3642"/>
      <c r="L84" s="3642"/>
      <c r="M84" s="3642"/>
      <c r="N84" s="3642"/>
      <c r="O84" s="3642"/>
      <c r="P84" s="3642"/>
    </row>
    <row r="85" spans="2:17">
      <c r="B85" s="3078"/>
      <c r="C85" s="3066" t="s">
        <v>293</v>
      </c>
      <c r="D85" s="3067"/>
      <c r="E85" s="3067"/>
      <c r="F85" s="3068"/>
      <c r="G85" s="3642"/>
      <c r="H85" s="3642"/>
      <c r="I85" s="3642"/>
      <c r="J85" s="3642"/>
      <c r="K85" s="3642"/>
      <c r="L85" s="3642"/>
      <c r="M85" s="3642"/>
      <c r="N85" s="3642"/>
      <c r="O85" s="3642"/>
      <c r="P85" s="3642"/>
      <c r="Q85" s="3642"/>
    </row>
    <row r="86" spans="2:17">
      <c r="B86" s="3078"/>
      <c r="C86" s="3066" t="s">
        <v>292</v>
      </c>
      <c r="D86" s="3067"/>
      <c r="E86" s="3067"/>
      <c r="F86" s="3068"/>
      <c r="G86" s="3642"/>
      <c r="H86" s="3642"/>
      <c r="I86" s="3642"/>
      <c r="J86" s="3642"/>
      <c r="K86" s="3642"/>
      <c r="L86" s="3642"/>
      <c r="M86" s="3642"/>
      <c r="N86" s="3642"/>
      <c r="O86" s="3642"/>
      <c r="P86" s="3642"/>
      <c r="Q86" s="3642"/>
    </row>
    <row r="87" spans="2:17" ht="14.25">
      <c r="B87" s="3078"/>
      <c r="C87" s="3066" t="s">
        <v>291</v>
      </c>
      <c r="D87" s="3067"/>
      <c r="E87" s="3067"/>
      <c r="F87" s="3068"/>
      <c r="G87" s="3642"/>
      <c r="H87" s="3642"/>
      <c r="I87" s="3642"/>
      <c r="J87" s="3642"/>
      <c r="K87" s="3642"/>
      <c r="L87" s="3642"/>
      <c r="M87" s="3642"/>
      <c r="N87" s="3642"/>
      <c r="O87" s="3642"/>
      <c r="P87" s="3642"/>
      <c r="Q87" s="3642"/>
    </row>
    <row r="88" spans="2:17" ht="13.15" customHeight="1">
      <c r="B88" s="3078"/>
      <c r="C88" s="3066" t="s">
        <v>290</v>
      </c>
      <c r="D88" s="3069"/>
      <c r="E88" s="3069"/>
      <c r="F88" s="3070"/>
      <c r="G88" s="3642"/>
      <c r="H88" s="3642"/>
      <c r="I88" s="3642"/>
      <c r="J88" s="3642"/>
      <c r="K88" s="3642"/>
      <c r="L88" s="3642"/>
      <c r="M88" s="3642"/>
      <c r="N88" s="3642"/>
      <c r="O88" s="3642"/>
      <c r="P88" s="3642"/>
      <c r="Q88" s="3642"/>
    </row>
    <row r="89" spans="2:17">
      <c r="B89" s="3078"/>
      <c r="C89" s="3066" t="s">
        <v>289</v>
      </c>
      <c r="D89" s="3069"/>
      <c r="E89" s="3069"/>
      <c r="F89" s="3070"/>
      <c r="G89" s="3642"/>
      <c r="H89" s="3642"/>
      <c r="I89" s="3642"/>
      <c r="J89" s="3642"/>
      <c r="K89" s="3642"/>
      <c r="L89" s="3642"/>
      <c r="M89" s="3642"/>
      <c r="N89" s="3642"/>
      <c r="O89" s="3642"/>
      <c r="P89" s="3642"/>
      <c r="Q89" s="3642"/>
    </row>
    <row r="90" spans="2:17" ht="25.5">
      <c r="B90" s="3078"/>
      <c r="C90" s="3071" t="s">
        <v>288</v>
      </c>
      <c r="D90" s="3072"/>
      <c r="E90" s="3072"/>
      <c r="F90" s="3073"/>
      <c r="G90" s="3642"/>
      <c r="H90" s="3642"/>
      <c r="I90" s="3642"/>
      <c r="J90" s="3642"/>
      <c r="K90" s="3642"/>
      <c r="L90" s="3642"/>
      <c r="M90" s="3642"/>
      <c r="N90" s="3642"/>
      <c r="O90" s="3642"/>
      <c r="P90" s="3642"/>
      <c r="Q90" s="3642"/>
    </row>
    <row r="91" spans="2:17">
      <c r="C91" s="33"/>
      <c r="D91" s="33"/>
      <c r="E91" s="33"/>
      <c r="F91" s="2538"/>
      <c r="G91" s="3642"/>
      <c r="H91" s="3642"/>
      <c r="I91" s="3642"/>
      <c r="J91" s="3642"/>
      <c r="K91" s="3642"/>
      <c r="L91" s="3642"/>
      <c r="M91" s="3642"/>
      <c r="N91" s="3642"/>
      <c r="O91" s="3642"/>
      <c r="P91" s="3642"/>
      <c r="Q91" s="3642"/>
    </row>
    <row r="92" spans="2:17">
      <c r="C92" s="33"/>
      <c r="D92" s="33"/>
      <c r="E92" s="33"/>
      <c r="F92" s="2538"/>
      <c r="G92" s="3642"/>
      <c r="H92" s="3642"/>
      <c r="I92" s="3642"/>
      <c r="J92" s="3642"/>
      <c r="K92" s="3642"/>
      <c r="L92" s="3642"/>
      <c r="M92" s="3642"/>
      <c r="N92" s="3642"/>
      <c r="O92" s="3642"/>
      <c r="P92" s="3642"/>
      <c r="Q92" s="3642"/>
    </row>
    <row r="93" spans="2:17">
      <c r="C93" s="33"/>
      <c r="D93" s="33"/>
      <c r="E93" s="33"/>
      <c r="F93" s="2538"/>
      <c r="G93" s="3642"/>
      <c r="H93" s="3642"/>
      <c r="I93" s="3642"/>
      <c r="J93" s="3642"/>
      <c r="K93" s="3642"/>
      <c r="L93" s="3642"/>
      <c r="M93" s="3642"/>
      <c r="N93" s="3642"/>
      <c r="O93" s="3642"/>
      <c r="P93" s="3642"/>
      <c r="Q93" s="3642"/>
    </row>
    <row r="94" spans="2:17">
      <c r="C94" s="33"/>
      <c r="D94" s="33"/>
      <c r="E94" s="33"/>
      <c r="F94" s="2538"/>
      <c r="G94" s="3642"/>
      <c r="H94" s="3642"/>
      <c r="I94" s="3642"/>
      <c r="J94" s="3642"/>
      <c r="K94" s="3642"/>
      <c r="L94" s="3642"/>
      <c r="M94" s="3642"/>
      <c r="N94" s="3642"/>
      <c r="O94" s="3642"/>
      <c r="P94" s="3642"/>
      <c r="Q94" s="3642"/>
    </row>
    <row r="95" spans="2:17">
      <c r="C95" s="33"/>
      <c r="D95" s="33"/>
      <c r="E95" s="33"/>
      <c r="F95" s="2538"/>
      <c r="G95" s="3642"/>
      <c r="H95" s="3642"/>
      <c r="I95" s="3642"/>
      <c r="J95" s="3642"/>
      <c r="K95" s="3642"/>
      <c r="L95" s="3642"/>
      <c r="M95" s="3642"/>
      <c r="N95" s="3642"/>
      <c r="O95" s="3642"/>
      <c r="P95" s="3642"/>
      <c r="Q95" s="3642"/>
    </row>
    <row r="96" spans="2:17">
      <c r="C96" s="33"/>
      <c r="D96" s="33"/>
      <c r="E96" s="33"/>
      <c r="F96" s="2538"/>
      <c r="G96" s="3642"/>
      <c r="H96" s="3642"/>
      <c r="I96" s="3642"/>
      <c r="J96" s="3642"/>
      <c r="K96" s="3642"/>
      <c r="L96" s="3642"/>
      <c r="M96" s="3642"/>
      <c r="N96" s="3642"/>
      <c r="O96" s="3642"/>
      <c r="P96" s="3642"/>
      <c r="Q96" s="3642"/>
    </row>
    <row r="97" spans="2:17">
      <c r="C97" s="33"/>
      <c r="D97" s="33"/>
      <c r="E97" s="33"/>
      <c r="G97" s="3642"/>
      <c r="H97" s="3642"/>
      <c r="I97" s="3642"/>
      <c r="J97" s="3642"/>
      <c r="K97" s="3642"/>
      <c r="L97" s="3642"/>
      <c r="M97" s="3642"/>
      <c r="N97" s="3642"/>
      <c r="O97" s="3642"/>
      <c r="P97" s="3642"/>
      <c r="Q97" s="3642"/>
    </row>
    <row r="98" spans="2:17">
      <c r="C98" s="33"/>
      <c r="D98" s="33"/>
      <c r="E98" s="33"/>
      <c r="G98" s="3642"/>
      <c r="H98" s="3642"/>
      <c r="I98" s="3642"/>
      <c r="J98" s="3642"/>
      <c r="K98" s="3642"/>
      <c r="L98" s="3642"/>
      <c r="M98" s="3642"/>
      <c r="N98" s="3642"/>
      <c r="O98" s="3642"/>
      <c r="P98" s="3642"/>
      <c r="Q98" s="3642"/>
    </row>
    <row r="99" spans="2:17">
      <c r="B99" s="33"/>
      <c r="C99" s="33"/>
      <c r="D99" s="33"/>
      <c r="E99" s="33"/>
      <c r="G99" s="3642"/>
      <c r="H99" s="3642"/>
      <c r="I99" s="3642"/>
      <c r="J99" s="3642"/>
      <c r="K99" s="3642"/>
      <c r="L99" s="3642"/>
      <c r="M99" s="3642"/>
      <c r="N99" s="3642"/>
      <c r="O99" s="3642"/>
      <c r="P99" s="3642"/>
      <c r="Q99" s="3642"/>
    </row>
    <row r="100" spans="2:17">
      <c r="B100" s="33"/>
      <c r="C100" s="33"/>
      <c r="D100" s="33"/>
      <c r="E100" s="33"/>
      <c r="G100" s="3642"/>
      <c r="H100" s="3642"/>
      <c r="I100" s="3642"/>
      <c r="J100" s="3642"/>
      <c r="K100" s="3642"/>
      <c r="L100" s="3642"/>
      <c r="M100" s="3642"/>
      <c r="N100" s="3642"/>
      <c r="O100" s="3642"/>
      <c r="P100" s="3642"/>
      <c r="Q100" s="3642"/>
    </row>
    <row r="101" spans="2:17">
      <c r="B101" s="33"/>
      <c r="C101" s="33"/>
      <c r="D101" s="33"/>
      <c r="E101" s="33"/>
      <c r="G101" s="3642"/>
      <c r="H101" s="3642"/>
      <c r="I101" s="3642"/>
      <c r="J101" s="3642"/>
      <c r="K101" s="3642"/>
      <c r="L101" s="3642"/>
      <c r="M101" s="3642"/>
      <c r="N101" s="3642"/>
      <c r="O101" s="3642"/>
      <c r="P101" s="3642"/>
      <c r="Q101" s="3642"/>
    </row>
    <row r="102" spans="2:17">
      <c r="B102" s="33"/>
      <c r="C102" s="33"/>
      <c r="D102" s="33"/>
      <c r="E102" s="33"/>
      <c r="G102" s="3642"/>
      <c r="H102" s="3642"/>
      <c r="I102" s="3642"/>
      <c r="J102" s="3642"/>
      <c r="K102" s="3642"/>
      <c r="L102" s="3642"/>
      <c r="M102" s="3642"/>
      <c r="N102" s="3642"/>
      <c r="O102" s="3642"/>
      <c r="P102" s="3642"/>
      <c r="Q102" s="3642"/>
    </row>
    <row r="103" spans="2:17">
      <c r="B103" s="33"/>
      <c r="C103" s="33"/>
      <c r="D103" s="33"/>
      <c r="E103" s="33"/>
      <c r="G103" s="3642"/>
      <c r="H103" s="3642"/>
      <c r="I103" s="3642"/>
      <c r="J103" s="3642"/>
      <c r="K103" s="3642"/>
      <c r="L103" s="3642"/>
      <c r="M103" s="3642"/>
      <c r="N103" s="3642"/>
      <c r="O103" s="3642"/>
      <c r="P103" s="3642"/>
      <c r="Q103" s="3642"/>
    </row>
    <row r="104" spans="2:17">
      <c r="B104" s="33"/>
      <c r="C104" s="33"/>
      <c r="D104" s="33"/>
      <c r="E104" s="33"/>
      <c r="G104" s="3642"/>
      <c r="H104" s="3642"/>
      <c r="I104" s="3642"/>
      <c r="J104" s="3642"/>
      <c r="K104" s="3642"/>
      <c r="L104" s="3642"/>
      <c r="M104" s="3642"/>
      <c r="N104" s="3642"/>
      <c r="O104" s="3642"/>
      <c r="P104" s="3642"/>
      <c r="Q104" s="3642"/>
    </row>
    <row r="105" spans="2:17">
      <c r="B105" s="33"/>
      <c r="C105" s="33"/>
      <c r="D105" s="33"/>
      <c r="G105" s="3642"/>
      <c r="H105" s="3642"/>
      <c r="I105" s="3642"/>
      <c r="J105" s="3642"/>
      <c r="K105" s="3642"/>
      <c r="L105" s="3642"/>
      <c r="M105" s="3642"/>
      <c r="N105" s="3642"/>
      <c r="O105" s="3642"/>
      <c r="P105" s="3642"/>
      <c r="Q105" s="3642"/>
    </row>
    <row r="106" spans="2:17">
      <c r="B106" s="33"/>
      <c r="C106" s="33"/>
      <c r="D106" s="33"/>
      <c r="G106" s="3642"/>
      <c r="H106" s="3642"/>
      <c r="I106" s="3642"/>
      <c r="J106" s="3642"/>
      <c r="K106" s="3642"/>
      <c r="L106" s="3642"/>
      <c r="M106" s="3642"/>
      <c r="N106" s="3642"/>
      <c r="O106" s="3642"/>
      <c r="P106" s="3642"/>
      <c r="Q106" s="3642"/>
    </row>
    <row r="107" spans="2:17">
      <c r="B107" s="33"/>
      <c r="C107" s="33"/>
      <c r="D107" s="33"/>
      <c r="G107" s="3642"/>
      <c r="H107" s="3642"/>
      <c r="I107" s="3642"/>
      <c r="J107" s="3642"/>
      <c r="K107" s="3642"/>
      <c r="L107" s="3642"/>
      <c r="M107" s="3642"/>
      <c r="N107" s="3642"/>
      <c r="O107" s="3642"/>
      <c r="P107" s="3642"/>
      <c r="Q107" s="3642"/>
    </row>
    <row r="108" spans="2:17">
      <c r="G108" s="3642"/>
      <c r="H108" s="3642"/>
      <c r="I108" s="3642"/>
      <c r="J108" s="3642"/>
      <c r="K108" s="3642"/>
      <c r="L108" s="3642"/>
      <c r="M108" s="3642"/>
      <c r="N108" s="3642"/>
      <c r="O108" s="3642"/>
      <c r="P108" s="3642"/>
      <c r="Q108" s="3642"/>
    </row>
    <row r="109" spans="2:17">
      <c r="G109" s="3642"/>
      <c r="H109" s="3642"/>
      <c r="I109" s="3642"/>
      <c r="J109" s="3642"/>
      <c r="K109" s="3642"/>
      <c r="L109" s="3642"/>
      <c r="M109" s="3642"/>
      <c r="N109" s="3642"/>
      <c r="O109" s="3642"/>
      <c r="P109" s="3642"/>
      <c r="Q109" s="3642"/>
    </row>
    <row r="110" spans="2:17">
      <c r="G110" s="3642"/>
      <c r="H110" s="3642"/>
      <c r="I110" s="3642"/>
      <c r="J110" s="3642"/>
      <c r="K110" s="3642"/>
      <c r="L110" s="3642"/>
      <c r="M110" s="3642"/>
      <c r="N110" s="3642"/>
      <c r="O110" s="3642"/>
      <c r="P110" s="3642"/>
      <c r="Q110" s="3642"/>
    </row>
    <row r="111" spans="2:17">
      <c r="G111" s="3642"/>
      <c r="H111" s="3642"/>
      <c r="I111" s="3642"/>
      <c r="J111" s="3642"/>
      <c r="K111" s="3642"/>
      <c r="L111" s="3642"/>
      <c r="M111" s="3642"/>
      <c r="N111" s="3642"/>
      <c r="O111" s="3642"/>
      <c r="P111" s="3642"/>
      <c r="Q111" s="3642"/>
    </row>
    <row r="112" spans="2:17">
      <c r="G112" s="3642"/>
      <c r="H112" s="3642"/>
      <c r="I112" s="3642"/>
      <c r="J112" s="3642"/>
      <c r="K112" s="3642"/>
      <c r="L112" s="3642"/>
      <c r="M112" s="3642"/>
      <c r="N112" s="3642"/>
      <c r="O112" s="3642"/>
      <c r="P112" s="3642"/>
      <c r="Q112" s="3642"/>
    </row>
    <row r="113" spans="2:17">
      <c r="G113" s="3642"/>
      <c r="H113" s="3642"/>
      <c r="I113" s="3642"/>
      <c r="J113" s="3642"/>
      <c r="K113" s="3642"/>
      <c r="L113" s="3642"/>
      <c r="M113" s="3642"/>
      <c r="N113" s="3642"/>
      <c r="O113" s="3642"/>
      <c r="P113" s="3642"/>
      <c r="Q113" s="3642"/>
    </row>
    <row r="114" spans="2:17">
      <c r="G114" s="3642"/>
      <c r="H114" s="3642"/>
      <c r="I114" s="3642"/>
      <c r="J114" s="3642"/>
      <c r="K114" s="3642"/>
      <c r="L114" s="3642"/>
      <c r="M114" s="3642"/>
      <c r="N114" s="3642"/>
      <c r="O114" s="3642"/>
      <c r="P114" s="3642"/>
      <c r="Q114" s="3642"/>
    </row>
    <row r="115" spans="2:17">
      <c r="G115" s="3642"/>
      <c r="H115" s="3642"/>
      <c r="I115" s="3642"/>
      <c r="J115" s="3642"/>
      <c r="K115" s="3642"/>
      <c r="L115" s="3642"/>
      <c r="M115" s="3642"/>
      <c r="N115" s="3642"/>
      <c r="O115" s="3642"/>
      <c r="P115" s="3642"/>
      <c r="Q115" s="3642"/>
    </row>
    <row r="116" spans="2:17">
      <c r="G116" s="3642"/>
      <c r="H116" s="3642"/>
      <c r="I116" s="3642"/>
      <c r="J116" s="3642"/>
      <c r="K116" s="3642"/>
      <c r="L116" s="3642"/>
      <c r="M116" s="3642"/>
      <c r="N116" s="3642"/>
      <c r="O116" s="3642"/>
      <c r="P116" s="3642"/>
      <c r="Q116" s="3642"/>
    </row>
    <row r="117" spans="2:17">
      <c r="L117" s="3642"/>
      <c r="M117" s="3642"/>
      <c r="N117" s="3642"/>
      <c r="O117" s="3642"/>
      <c r="P117" s="3642"/>
      <c r="Q117" s="3642"/>
    </row>
    <row r="118" spans="2:17">
      <c r="B118" s="622"/>
      <c r="C118" s="33"/>
      <c r="L118" s="3642"/>
      <c r="M118" s="3642"/>
      <c r="N118" s="3642"/>
      <c r="O118" s="3642"/>
      <c r="P118" s="3642"/>
      <c r="Q118" s="3642"/>
    </row>
    <row r="119" spans="2:17">
      <c r="B119" s="622"/>
      <c r="C119" s="33"/>
      <c r="L119" s="3642"/>
      <c r="M119" s="3642"/>
      <c r="N119" s="3642"/>
      <c r="O119" s="3642"/>
      <c r="P119" s="3642"/>
      <c r="Q119" s="3642"/>
    </row>
    <row r="120" spans="2:17">
      <c r="B120" s="622"/>
      <c r="C120" s="33"/>
      <c r="L120" s="3642"/>
      <c r="M120" s="3642"/>
      <c r="N120" s="3642"/>
      <c r="O120" s="3642"/>
      <c r="P120" s="3642"/>
      <c r="Q120" s="3642"/>
    </row>
    <row r="121" spans="2:17">
      <c r="B121" s="622"/>
      <c r="C121" s="33"/>
      <c r="L121" s="3642"/>
      <c r="M121" s="3642"/>
      <c r="N121" s="3642"/>
      <c r="O121" s="3642"/>
      <c r="P121" s="3642"/>
      <c r="Q121" s="3642"/>
    </row>
    <row r="122" spans="2:17">
      <c r="B122" s="622"/>
      <c r="C122" s="33"/>
      <c r="L122" s="3642"/>
      <c r="M122" s="3642"/>
      <c r="N122" s="3642"/>
      <c r="O122" s="3642"/>
      <c r="P122" s="3642"/>
      <c r="Q122" s="3642"/>
    </row>
    <row r="123" spans="2:17">
      <c r="B123" s="622"/>
      <c r="C123" s="33"/>
      <c r="L123" s="3642"/>
      <c r="M123" s="3642"/>
      <c r="N123" s="3642"/>
      <c r="O123" s="3642"/>
      <c r="P123" s="3642"/>
      <c r="Q123" s="3642"/>
    </row>
    <row r="124" spans="2:17">
      <c r="B124" s="622"/>
      <c r="C124" s="33"/>
      <c r="L124" s="3642"/>
      <c r="M124" s="3642"/>
      <c r="N124" s="3642"/>
      <c r="O124" s="3642"/>
      <c r="P124" s="3642"/>
      <c r="Q124" s="3642"/>
    </row>
    <row r="125" spans="2:17">
      <c r="B125" s="622"/>
      <c r="C125" s="33"/>
      <c r="L125" s="3642"/>
      <c r="M125" s="3642"/>
      <c r="N125" s="3642"/>
      <c r="O125" s="3642"/>
      <c r="P125" s="3642"/>
      <c r="Q125" s="3642"/>
    </row>
    <row r="126" spans="2:17">
      <c r="B126" s="622"/>
      <c r="C126" s="33"/>
      <c r="L126" s="3642"/>
      <c r="M126" s="3642"/>
      <c r="N126" s="3642"/>
      <c r="O126" s="3642"/>
      <c r="P126" s="3642"/>
      <c r="Q126" s="3642"/>
    </row>
    <row r="127" spans="2:17">
      <c r="B127" s="622"/>
      <c r="C127" s="33"/>
      <c r="L127" s="3642"/>
      <c r="M127" s="3642"/>
      <c r="N127" s="3642"/>
      <c r="O127" s="3642"/>
      <c r="P127" s="3642"/>
      <c r="Q127" s="3642"/>
    </row>
    <row r="128" spans="2:17">
      <c r="B128" s="622"/>
      <c r="C128" s="33"/>
      <c r="L128" s="3642"/>
      <c r="M128" s="3642"/>
      <c r="N128" s="3642"/>
      <c r="O128" s="3642"/>
      <c r="P128" s="3642"/>
      <c r="Q128" s="3642"/>
    </row>
    <row r="129" spans="2:17">
      <c r="B129" s="622"/>
      <c r="C129" s="33"/>
      <c r="L129" s="3642"/>
      <c r="M129" s="3642"/>
      <c r="N129" s="3642"/>
      <c r="O129" s="3642"/>
      <c r="P129" s="3642"/>
      <c r="Q129" s="3642"/>
    </row>
    <row r="130" spans="2:17">
      <c r="B130" s="622"/>
      <c r="C130" s="33"/>
      <c r="L130" s="3642"/>
      <c r="M130" s="3642"/>
      <c r="N130" s="3642"/>
      <c r="O130" s="3642"/>
      <c r="P130" s="3642"/>
      <c r="Q130" s="3642"/>
    </row>
    <row r="131" spans="2:17">
      <c r="B131" s="622"/>
      <c r="C131" s="33"/>
      <c r="L131" s="3642"/>
      <c r="M131" s="3642"/>
      <c r="N131" s="3642"/>
      <c r="O131" s="3642"/>
      <c r="P131" s="3642"/>
      <c r="Q131" s="3642"/>
    </row>
    <row r="132" spans="2:17">
      <c r="B132" s="622"/>
      <c r="C132" s="33"/>
      <c r="L132" s="3642"/>
      <c r="M132" s="3642"/>
      <c r="N132" s="3642"/>
      <c r="O132" s="3642"/>
      <c r="P132" s="3642"/>
      <c r="Q132" s="3642"/>
    </row>
    <row r="133" spans="2:17">
      <c r="B133" s="622"/>
      <c r="C133" s="33"/>
      <c r="L133" s="3642"/>
      <c r="M133" s="3642"/>
      <c r="N133" s="3642"/>
      <c r="O133" s="3642"/>
      <c r="P133" s="3642"/>
      <c r="Q133" s="3642"/>
    </row>
    <row r="134" spans="2:17">
      <c r="B134" s="622"/>
      <c r="C134" s="33"/>
      <c r="L134" s="3642"/>
      <c r="M134" s="3642"/>
      <c r="N134" s="3642"/>
      <c r="O134" s="3642"/>
      <c r="P134" s="3642"/>
      <c r="Q134" s="3642"/>
    </row>
    <row r="135" spans="2:17">
      <c r="B135" s="622"/>
      <c r="C135" s="33"/>
      <c r="L135" s="3642"/>
      <c r="M135" s="3642"/>
      <c r="N135" s="3642"/>
      <c r="O135" s="3642"/>
      <c r="P135" s="3642"/>
      <c r="Q135" s="3642"/>
    </row>
    <row r="136" spans="2:17">
      <c r="B136" s="622"/>
      <c r="C136" s="33"/>
      <c r="L136" s="3642"/>
      <c r="M136" s="3642"/>
      <c r="N136" s="3642"/>
      <c r="O136" s="3642"/>
      <c r="P136" s="3642"/>
      <c r="Q136" s="3642"/>
    </row>
    <row r="137" spans="2:17">
      <c r="B137" s="622"/>
      <c r="C137" s="33"/>
      <c r="L137" s="3642"/>
      <c r="M137" s="3642"/>
      <c r="N137" s="3642"/>
      <c r="O137" s="3642"/>
      <c r="P137" s="3642"/>
      <c r="Q137" s="3642"/>
    </row>
    <row r="138" spans="2:17">
      <c r="B138" s="622"/>
      <c r="C138" s="33"/>
      <c r="L138" s="3642"/>
      <c r="M138" s="3642"/>
      <c r="N138" s="3642"/>
      <c r="O138" s="3642"/>
      <c r="P138" s="3642"/>
      <c r="Q138" s="3642"/>
    </row>
    <row r="139" spans="2:17">
      <c r="B139" s="622"/>
      <c r="C139" s="33"/>
      <c r="L139" s="3642"/>
      <c r="M139" s="3642"/>
      <c r="N139" s="3642"/>
      <c r="O139" s="3642"/>
      <c r="P139" s="3642"/>
      <c r="Q139" s="3642"/>
    </row>
    <row r="140" spans="2:17">
      <c r="B140" s="622"/>
      <c r="C140" s="33"/>
      <c r="L140" s="3642"/>
      <c r="M140" s="3642"/>
      <c r="N140" s="3642"/>
      <c r="O140" s="3642"/>
      <c r="P140" s="3642"/>
      <c r="Q140" s="3642"/>
    </row>
    <row r="141" spans="2:17">
      <c r="B141" s="622"/>
      <c r="C141" s="33"/>
      <c r="L141" s="3642"/>
      <c r="M141" s="3642"/>
      <c r="N141" s="3642"/>
      <c r="O141" s="3642"/>
      <c r="P141" s="3642"/>
      <c r="Q141" s="3642"/>
    </row>
    <row r="142" spans="2:17">
      <c r="B142" s="622"/>
      <c r="C142" s="33"/>
      <c r="L142" s="3642"/>
      <c r="M142" s="3642"/>
      <c r="N142" s="3642"/>
      <c r="O142" s="3642"/>
      <c r="P142" s="3642"/>
      <c r="Q142" s="3642"/>
    </row>
    <row r="143" spans="2:17">
      <c r="B143" s="622"/>
      <c r="C143" s="33"/>
      <c r="L143" s="3642"/>
      <c r="M143" s="3642"/>
      <c r="N143" s="3642"/>
      <c r="O143" s="3642"/>
      <c r="P143" s="3642"/>
      <c r="Q143" s="3642"/>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c r="H149" s="1929"/>
      <c r="J149" s="2389"/>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C48:D48"/>
    <mergeCell ref="C49:D49"/>
    <mergeCell ref="C50:D50"/>
    <mergeCell ref="C47:D47"/>
    <mergeCell ref="C36:E36"/>
    <mergeCell ref="C37:E37"/>
    <mergeCell ref="C40:E40"/>
    <mergeCell ref="C41:E41"/>
    <mergeCell ref="C39:E39"/>
    <mergeCell ref="C46:D46"/>
    <mergeCell ref="C74:E74"/>
    <mergeCell ref="B75:C75"/>
    <mergeCell ref="C51:D51"/>
    <mergeCell ref="C52:D52"/>
    <mergeCell ref="C53:D53"/>
    <mergeCell ref="C57:D57"/>
    <mergeCell ref="C62:E62"/>
    <mergeCell ref="C54:D54"/>
    <mergeCell ref="C56:D56"/>
    <mergeCell ref="C64:E64"/>
    <mergeCell ref="C55:D55"/>
    <mergeCell ref="C63:E63"/>
    <mergeCell ref="C68:E68"/>
    <mergeCell ref="C73:E73"/>
    <mergeCell ref="H6:I6"/>
    <mergeCell ref="C14:F14"/>
    <mergeCell ref="C15:F15"/>
    <mergeCell ref="C17:F17"/>
    <mergeCell ref="C19:F19"/>
    <mergeCell ref="F23:G23"/>
    <mergeCell ref="F34:G34"/>
    <mergeCell ref="E22:G22"/>
    <mergeCell ref="D25:E25"/>
    <mergeCell ref="D26:E26"/>
    <mergeCell ref="C78:F78"/>
    <mergeCell ref="C79:F79"/>
    <mergeCell ref="G1:I1"/>
    <mergeCell ref="K1:L1"/>
    <mergeCell ref="N1:O1"/>
    <mergeCell ref="K2:P2"/>
    <mergeCell ref="J3:L3"/>
    <mergeCell ref="N3:O4"/>
    <mergeCell ref="N6:O6"/>
    <mergeCell ref="E10:F10"/>
    <mergeCell ref="C16:F16"/>
    <mergeCell ref="E4:I4"/>
    <mergeCell ref="J4:L4"/>
    <mergeCell ref="C38:E38"/>
    <mergeCell ref="C42:E42"/>
    <mergeCell ref="K6:L6"/>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4767" r:id="rId4" name="Check Box 15">
              <controlPr defaultSize="0" autoFill="0" autoLine="0" autoPict="0">
                <anchor moveWithCells="1">
                  <from>
                    <xdr:col>12</xdr:col>
                    <xdr:colOff>0</xdr:colOff>
                    <xdr:row>3</xdr:row>
                    <xdr:rowOff>19050</xdr:rowOff>
                  </from>
                  <to>
                    <xdr:col>12</xdr:col>
                    <xdr:colOff>266700</xdr:colOff>
                    <xdr:row>4</xdr:row>
                    <xdr:rowOff>0</xdr:rowOff>
                  </to>
                </anchor>
              </controlPr>
            </control>
          </mc:Choice>
        </mc:AlternateContent>
        <mc:AlternateContent xmlns:mc="http://schemas.openxmlformats.org/markup-compatibility/2006">
          <mc:Choice Requires="x14">
            <control shapeId="74768" r:id="rId5" name="Check Box 16">
              <controlPr defaultSize="0" autoFill="0" autoLine="0" autoPict="0">
                <anchor moveWithCells="1">
                  <from>
                    <xdr:col>12</xdr:col>
                    <xdr:colOff>9525</xdr:colOff>
                    <xdr:row>2</xdr:row>
                    <xdr:rowOff>38100</xdr:rowOff>
                  </from>
                  <to>
                    <xdr:col>12</xdr:col>
                    <xdr:colOff>285750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A9B533"/>
    <pageSetUpPr fitToPage="1"/>
  </sheetPr>
  <dimension ref="A1:AO206"/>
  <sheetViews>
    <sheetView showZeros="0" workbookViewId="0"/>
  </sheetViews>
  <sheetFormatPr baseColWidth="10" defaultColWidth="10.5" defaultRowHeight="12.75"/>
  <cols>
    <col min="1" max="1" width="1.5" style="3622" customWidth="1"/>
    <col min="2" max="2" width="3.25" style="3622" customWidth="1"/>
    <col min="3" max="3" width="13.25" style="3622" customWidth="1"/>
    <col min="4" max="6" width="9.25" style="3622" customWidth="1"/>
    <col min="7" max="7" width="9.25" style="39" customWidth="1"/>
    <col min="8" max="8" width="9.25" style="3622" customWidth="1"/>
    <col min="9" max="16" width="7.25" style="3622" customWidth="1"/>
    <col min="17" max="17" width="25.625" style="3622" customWidth="1"/>
    <col min="18" max="27" width="10.5" style="3624" hidden="1" customWidth="1"/>
    <col min="28" max="16384" width="10.5" style="3624"/>
  </cols>
  <sheetData>
    <row r="1" spans="1:41" s="276" customFormat="1" ht="30.2" customHeight="1">
      <c r="A1" s="2507"/>
      <c r="B1" s="326"/>
      <c r="C1" s="1908"/>
      <c r="D1" s="136"/>
      <c r="E1" s="323"/>
      <c r="F1" s="323"/>
      <c r="G1" s="4908" t="s">
        <v>1694</v>
      </c>
      <c r="H1" s="4908"/>
      <c r="I1" s="4908"/>
      <c r="J1" s="1906">
        <f>(J7+J13+J18+J22+I11+I12)-(J23+J27+J34+J43+J60+J65+J67+J69+J71+J75)</f>
        <v>974.02437157704242</v>
      </c>
      <c r="K1" s="4859">
        <f>M1-J1</f>
        <v>212.23419063137669</v>
      </c>
      <c r="L1" s="4859"/>
      <c r="M1" s="1906">
        <f>(M7+M13+M18+M22+L11+L12)-(M23+M27+M34+M43+M60+M65+M67+M69+M71+M75)</f>
        <v>1186.2585622084191</v>
      </c>
      <c r="N1" s="4859">
        <f>P1-M1</f>
        <v>317.98942354520295</v>
      </c>
      <c r="O1" s="4859"/>
      <c r="P1" s="1906">
        <f>(P7+P13+P18+P22+O11+O12)-(P23+P27+P34+P43+P60+P65+P67+P69+P71+P75)</f>
        <v>1504.2479857536221</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2043</v>
      </c>
      <c r="L2" s="4870"/>
      <c r="M2" s="4870"/>
      <c r="N2" s="4870"/>
      <c r="O2" s="4870"/>
      <c r="P2" s="4870"/>
      <c r="Q2" s="2507"/>
    </row>
    <row r="3" spans="1:41" s="276" customFormat="1" ht="21.75" customHeight="1">
      <c r="A3" s="2507"/>
      <c r="B3" s="1903" t="s">
        <v>1693</v>
      </c>
      <c r="G3" s="1891"/>
      <c r="H3" s="1902"/>
      <c r="J3" s="4866" t="s">
        <v>1262</v>
      </c>
      <c r="K3" s="4916"/>
      <c r="L3" s="4916"/>
      <c r="M3" s="3627"/>
      <c r="N3" s="4909" t="str">
        <f>IF(AND(T3=TRUE,T4=TRUE),"nur 1 Strohnutzung möglich","")</f>
        <v/>
      </c>
      <c r="O3" s="4872"/>
      <c r="P3" s="1900"/>
      <c r="Q3" s="2507"/>
      <c r="T3" s="1918" t="b">
        <v>1</v>
      </c>
    </row>
    <row r="4" spans="1:41" s="276" customFormat="1" ht="20.25" customHeight="1">
      <c r="A4" s="2507"/>
      <c r="B4" s="377" t="s">
        <v>1154</v>
      </c>
      <c r="C4" s="3624"/>
      <c r="D4" s="3624"/>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30</v>
      </c>
      <c r="K6" s="4849" t="s">
        <v>152</v>
      </c>
      <c r="L6" s="4850"/>
      <c r="M6" s="1887">
        <v>40</v>
      </c>
      <c r="N6" s="4864" t="s">
        <v>178</v>
      </c>
      <c r="O6" s="4865"/>
      <c r="P6" s="1886">
        <f>M6*1.25</f>
        <v>50</v>
      </c>
      <c r="Q6" s="70"/>
    </row>
    <row r="7" spans="1:41" s="252" customFormat="1" ht="18.75" customHeight="1">
      <c r="A7" s="47"/>
      <c r="B7" s="311" t="s">
        <v>1691</v>
      </c>
      <c r="C7" s="47"/>
      <c r="D7" s="47"/>
      <c r="E7" s="47"/>
      <c r="F7" s="47"/>
      <c r="G7" s="1884" t="s">
        <v>171</v>
      </c>
      <c r="H7" s="1881"/>
      <c r="I7" s="1880"/>
      <c r="J7" s="1614">
        <f>SUM(I9:I10)</f>
        <v>1031.2</v>
      </c>
      <c r="K7" s="1883"/>
      <c r="L7" s="1882"/>
      <c r="M7" s="1617">
        <f>SUM(L9:L10)</f>
        <v>1374.9333333333334</v>
      </c>
      <c r="N7" s="1881"/>
      <c r="O7" s="1880"/>
      <c r="P7" s="1614">
        <f>SUM(O9:O10)</f>
        <v>1718.6666666666667</v>
      </c>
      <c r="Q7" s="362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622"/>
    </row>
    <row r="9" spans="1:41" s="252" customFormat="1" ht="16.5" customHeight="1">
      <c r="A9" s="47"/>
      <c r="B9" s="311"/>
      <c r="C9" s="45" t="s">
        <v>1690</v>
      </c>
      <c r="D9" s="47"/>
      <c r="E9" s="47"/>
      <c r="F9" s="1878" t="s">
        <v>1257</v>
      </c>
      <c r="G9" s="1794">
        <f>SDÖ1!O21</f>
        <v>34.373333333333335</v>
      </c>
      <c r="H9" s="1877">
        <f>J6-H10</f>
        <v>30</v>
      </c>
      <c r="I9" s="1873">
        <f>H9*G9</f>
        <v>1031.2</v>
      </c>
      <c r="J9" s="43"/>
      <c r="K9" s="1876">
        <f>M6-K10</f>
        <v>40</v>
      </c>
      <c r="L9" s="1875">
        <f>K9*G9</f>
        <v>1374.9333333333334</v>
      </c>
      <c r="M9" s="1854"/>
      <c r="N9" s="1874">
        <f>P6-N10</f>
        <v>50</v>
      </c>
      <c r="O9" s="1873">
        <f>N9*G9</f>
        <v>1718.6666666666667</v>
      </c>
      <c r="P9" s="43"/>
      <c r="Q9" s="362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306.00000000000006</v>
      </c>
      <c r="S10" s="1862">
        <f>L10+L11+L12</f>
        <v>408.00000000000011</v>
      </c>
      <c r="T10" s="1861">
        <f>O10+O11+O12</f>
        <v>510.00000000000011</v>
      </c>
      <c r="W10" s="252" t="s">
        <v>1254</v>
      </c>
    </row>
    <row r="11" spans="1:41" s="1842" customFormat="1" ht="15" customHeight="1">
      <c r="A11" s="377"/>
      <c r="B11" s="274"/>
      <c r="C11" s="45" t="s">
        <v>1253</v>
      </c>
      <c r="D11" s="377"/>
      <c r="E11" s="1860">
        <v>0.9</v>
      </c>
      <c r="F11" s="45" t="s">
        <v>1252</v>
      </c>
      <c r="G11" s="1859">
        <f>SDÖ1!$O$51</f>
        <v>11.333333333333336</v>
      </c>
      <c r="H11" s="1858">
        <f>IF($T$3=FALSE,0,J6*$E$11)</f>
        <v>27</v>
      </c>
      <c r="I11" s="1852">
        <f>H11*$G$11</f>
        <v>306.00000000000006</v>
      </c>
      <c r="J11" s="1857"/>
      <c r="K11" s="1856">
        <f>IF($T$3=FALSE,0,M6*$E$11)</f>
        <v>36</v>
      </c>
      <c r="L11" s="1855">
        <f>K11*$G$11</f>
        <v>408.00000000000011</v>
      </c>
      <c r="M11" s="1854"/>
      <c r="N11" s="1853">
        <f>IF($T$3=FALSE,0,P6*$E$11)</f>
        <v>45</v>
      </c>
      <c r="O11" s="1852">
        <f>N11*$G$11</f>
        <v>510.00000000000011</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27</v>
      </c>
      <c r="Y12" s="1839">
        <f>IF(OR(T3=TRUE,T4=TRUE),M6*$E$11,"0")</f>
        <v>36</v>
      </c>
      <c r="Z12" s="1838">
        <f>IF(OR(T3=TRUE,T4=TRUE),P6*$E$11,"0")</f>
        <v>45</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62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3621"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622"/>
      <c r="R18" s="715" t="s">
        <v>1245</v>
      </c>
      <c r="S18" s="376"/>
      <c r="T18" s="1822"/>
    </row>
    <row r="19" spans="1:20" ht="15.6" customHeight="1">
      <c r="A19" s="377"/>
      <c r="B19" s="1821"/>
      <c r="C19" s="4833" t="s">
        <v>2172</v>
      </c>
      <c r="D19" s="4833"/>
      <c r="E19" s="4833"/>
      <c r="F19" s="4833"/>
      <c r="G19" s="1820" t="s">
        <v>171</v>
      </c>
      <c r="H19" s="1818"/>
      <c r="I19" s="3965">
        <f>IF(OR($C19=0,$J$6=0),0,VLOOKUP($C19,'SD2'!C59:N75,12,FALSE))</f>
        <v>158</v>
      </c>
      <c r="J19" s="3908">
        <f>SUM(I23:I24)</f>
        <v>0</v>
      </c>
      <c r="K19" s="1819"/>
      <c r="L19" s="3955">
        <f>IF(OR($C19=0,$M$6=0),0,VLOOKUP($C19,'SD2'!$C$59:$N$75,12,FALSE))</f>
        <v>158</v>
      </c>
      <c r="M19" s="1854">
        <f>SUM(L23:L24)</f>
        <v>0</v>
      </c>
      <c r="N19" s="1818"/>
      <c r="O19" s="3965">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4100"/>
      <c r="H20" s="1818"/>
      <c r="I20" s="3965">
        <f>IF(OR($C20=0,$J$6=0),0,VLOOKUP($C20,'SD2'!C60:N76,12,FALSE))</f>
        <v>63.4</v>
      </c>
      <c r="J20" s="43"/>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59"/>
      <c r="E21" s="4059"/>
      <c r="F21" s="4059"/>
      <c r="G21" s="4100"/>
      <c r="H21" s="1818"/>
      <c r="I21" s="3965">
        <f>IF(OR($C21=0,$J$6=0),0,VLOOKUP($C21,'SD2'!C61:N77,12,FALSE))</f>
        <v>134</v>
      </c>
      <c r="J21" s="3908"/>
      <c r="K21" s="1819"/>
      <c r="L21" s="3955">
        <f>IF(OR($C21=0,$M$6=0),0,VLOOKUP($C21,'SD2'!$C$59:$N$75,12,FALSE))</f>
        <v>134</v>
      </c>
      <c r="M21" s="1854"/>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117.6</v>
      </c>
      <c r="K23" s="1619"/>
      <c r="L23" s="1618"/>
      <c r="M23" s="1800">
        <f>SUM(L25:L26)</f>
        <v>117.6</v>
      </c>
      <c r="N23" s="1616"/>
      <c r="O23" s="1615"/>
      <c r="P23" s="1599">
        <f>SUM(O25:O26)</f>
        <v>117.6</v>
      </c>
      <c r="Q23" s="362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622"/>
    </row>
    <row r="25" spans="1:20" s="3621" customFormat="1" ht="18.75" customHeight="1">
      <c r="A25" s="1270"/>
      <c r="B25" s="1796"/>
      <c r="C25" s="1306" t="s">
        <v>1241</v>
      </c>
      <c r="D25" s="4851"/>
      <c r="E25" s="4852"/>
      <c r="F25" s="1795">
        <v>0.84</v>
      </c>
      <c r="G25" s="1794">
        <f>F25*(100+$D$24)/100</f>
        <v>0.84</v>
      </c>
      <c r="H25" s="1793">
        <v>140</v>
      </c>
      <c r="I25" s="1754">
        <f>H25*$G25</f>
        <v>117.6</v>
      </c>
      <c r="J25" s="45"/>
      <c r="K25" s="1793">
        <f>H25</f>
        <v>140</v>
      </c>
      <c r="L25" s="1596">
        <f>K25*$G25</f>
        <v>117.6</v>
      </c>
      <c r="M25" s="1589"/>
      <c r="N25" s="1793">
        <f>H25</f>
        <v>140</v>
      </c>
      <c r="O25" s="1754">
        <f>N25*$G25</f>
        <v>117.6</v>
      </c>
      <c r="P25" s="1718"/>
      <c r="Q25" s="3622"/>
    </row>
    <row r="26" spans="1:20" s="3621"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622"/>
    </row>
    <row r="27" spans="1:20" s="3621"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395.90666666666669</v>
      </c>
      <c r="K27" s="1748"/>
      <c r="L27" s="1747"/>
      <c r="M27" s="1617">
        <f>SUM(L30:L33)</f>
        <v>497.65333333333331</v>
      </c>
      <c r="N27" s="1746"/>
      <c r="O27" s="1745"/>
      <c r="P27" s="1614">
        <f>SUM(O30:O33)</f>
        <v>599.4</v>
      </c>
      <c r="Q27" s="3622"/>
    </row>
    <row r="28" spans="1:20" s="42" customFormat="1" ht="15" customHeight="1">
      <c r="A28" s="1306"/>
      <c r="B28" s="1334"/>
      <c r="C28" s="3625"/>
      <c r="D28" s="1786" t="s">
        <v>1075</v>
      </c>
      <c r="E28" s="1786" t="s">
        <v>1239</v>
      </c>
      <c r="F28" s="1786" t="s">
        <v>1239</v>
      </c>
      <c r="G28" s="1785" t="s">
        <v>1238</v>
      </c>
      <c r="H28" s="1745"/>
      <c r="I28" s="1782"/>
      <c r="J28" s="3626"/>
      <c r="K28" s="1748"/>
      <c r="L28" s="1678"/>
      <c r="M28" s="1783"/>
      <c r="N28" s="1746"/>
      <c r="O28" s="1782"/>
      <c r="P28" s="1599"/>
      <c r="Q28" s="3622"/>
    </row>
    <row r="29" spans="1:20" s="42" customFormat="1" ht="15" customHeight="1">
      <c r="A29" s="1306"/>
      <c r="B29" s="1781"/>
      <c r="C29" s="1307" t="s">
        <v>1237</v>
      </c>
      <c r="D29" s="1607" t="s">
        <v>908</v>
      </c>
      <c r="E29" s="1607" t="s">
        <v>1236</v>
      </c>
      <c r="F29" s="1607" t="s">
        <v>1235</v>
      </c>
      <c r="G29" s="1607" t="s">
        <v>1686</v>
      </c>
      <c r="H29" s="1778" t="s">
        <v>909</v>
      </c>
      <c r="I29" s="1600" t="s">
        <v>171</v>
      </c>
      <c r="J29" s="3625"/>
      <c r="K29" s="1780" t="s">
        <v>909</v>
      </c>
      <c r="L29" s="1603" t="s">
        <v>171</v>
      </c>
      <c r="M29" s="1779"/>
      <c r="N29" s="1778" t="s">
        <v>909</v>
      </c>
      <c r="O29" s="1600" t="s">
        <v>171</v>
      </c>
      <c r="P29" s="1777"/>
      <c r="Q29" s="3622"/>
    </row>
    <row r="30" spans="1:20" s="42" customFormat="1" ht="15" customHeight="1">
      <c r="A30" s="1306"/>
      <c r="B30" s="1776"/>
      <c r="C30" s="1775" t="s">
        <v>246</v>
      </c>
      <c r="D30" s="1723">
        <f>IF(SDÖ1!$U$17=TRUE,SDÖ1!O55,0)</f>
        <v>4.5333333333333332</v>
      </c>
      <c r="E30" s="1774">
        <f>VLOOKUP('SD8'!B16,'SD8'!B9:K44,3,FALSE)</f>
        <v>1.79</v>
      </c>
      <c r="F30" s="1774"/>
      <c r="G30" s="1773">
        <v>20</v>
      </c>
      <c r="H30" s="1771">
        <f>IF(J$6=0,0,(J$6*$E30+$G30+X13))</f>
        <v>73.7</v>
      </c>
      <c r="I30" s="1754">
        <f>H30*$D30</f>
        <v>334.10666666666668</v>
      </c>
      <c r="J30" s="45"/>
      <c r="K30" s="1772">
        <f>IF(M$6=0,0,(M$6*$E30+$G30+AA14))</f>
        <v>91.6</v>
      </c>
      <c r="L30" s="1596">
        <f>K30*$D30</f>
        <v>415.25333333333327</v>
      </c>
      <c r="M30" s="1589"/>
      <c r="N30" s="1771">
        <f>IF(P$6=0,0,(P$6*$E30+$G30+AD14))</f>
        <v>109.5</v>
      </c>
      <c r="O30" s="1754">
        <f>N30*$D30</f>
        <v>496.4</v>
      </c>
      <c r="P30" s="1718"/>
      <c r="Q30" s="3622"/>
    </row>
    <row r="31" spans="1:20" s="42" customFormat="1" ht="15" customHeight="1">
      <c r="A31" s="1306"/>
      <c r="B31" s="274"/>
      <c r="C31" s="1306" t="s">
        <v>244</v>
      </c>
      <c r="D31" s="1723">
        <f>IF(SDÖ1!$U$17=TRUE,SDÖ1!O56,0)</f>
        <v>1.3999999999999997</v>
      </c>
      <c r="E31" s="1774">
        <f>VLOOKUP('SD8'!B16,'SD8'!B9:K44,4,FALSE)</f>
        <v>0.8</v>
      </c>
      <c r="F31" s="1774"/>
      <c r="G31" s="1773"/>
      <c r="H31" s="1771">
        <f>IF(J$6=0,0,(J$6*$E31+$G31+X14))</f>
        <v>24</v>
      </c>
      <c r="I31" s="1754">
        <f>H31*$D31</f>
        <v>33.599999999999994</v>
      </c>
      <c r="J31" s="45"/>
      <c r="K31" s="1772">
        <f>IF(M$6=0,0,(M$6*$E31+$G31+Y14))</f>
        <v>32</v>
      </c>
      <c r="L31" s="1596">
        <f>K31*$D31</f>
        <v>44.79999999999999</v>
      </c>
      <c r="M31" s="1589"/>
      <c r="N31" s="1771">
        <f>IF(P$6=0,0,(P$6*$E31+$G31+Z14))</f>
        <v>40</v>
      </c>
      <c r="O31" s="1754">
        <f>N31*$D31</f>
        <v>55.999999999999986</v>
      </c>
      <c r="P31" s="1718"/>
      <c r="Q31" s="3622"/>
    </row>
    <row r="32" spans="1:20" s="3621" customFormat="1" ht="18.75" customHeight="1">
      <c r="A32" s="1270"/>
      <c r="B32" s="274"/>
      <c r="C32" s="1306" t="s">
        <v>242</v>
      </c>
      <c r="D32" s="1723">
        <f>IF(SDÖ1!$U$17=TRUE,SDÖ1!O57,0)</f>
        <v>1.3999999999999997</v>
      </c>
      <c r="E32" s="1774">
        <f>VLOOKUP('SD8'!B16,'SD8'!B9:K44,5,FALSE)</f>
        <v>0.6</v>
      </c>
      <c r="F32" s="1774"/>
      <c r="G32" s="1773"/>
      <c r="H32" s="1771">
        <f>IF(J$6=0,0,(J$6*$E32+$G32+X15))</f>
        <v>18</v>
      </c>
      <c r="I32" s="1754">
        <f>H32*$D32</f>
        <v>25.199999999999996</v>
      </c>
      <c r="J32" s="45"/>
      <c r="K32" s="1772">
        <f>IF(M$6=0,0,(M$6*$E32+$G32+Y15))</f>
        <v>24</v>
      </c>
      <c r="L32" s="1596">
        <f>K32*$D32</f>
        <v>33.599999999999994</v>
      </c>
      <c r="M32" s="1589"/>
      <c r="N32" s="1771">
        <f>IF(P$6=0,0,(P$6*$E32+$G32+Z15))</f>
        <v>30</v>
      </c>
      <c r="O32" s="1754">
        <f>N32*$D32</f>
        <v>41.999999999999993</v>
      </c>
      <c r="P32" s="1718"/>
      <c r="Q32" s="3622"/>
    </row>
    <row r="33" spans="1:17" s="3621" customFormat="1" ht="13.15" customHeight="1">
      <c r="A33" s="1270"/>
      <c r="B33" s="239"/>
      <c r="C33" s="1331" t="s">
        <v>240</v>
      </c>
      <c r="D33" s="1706">
        <f>IF(SDÖ1!$U$17=TRUE,SDÖ1!O58,0)</f>
        <v>0.5</v>
      </c>
      <c r="E33" s="1770">
        <f>VLOOKUP('SD8'!B16,'SD8'!B9:K44,6,FALSE)</f>
        <v>0.2</v>
      </c>
      <c r="F33" s="1770"/>
      <c r="G33" s="1769"/>
      <c r="H33" s="1767">
        <f>IF(J$6=0,0,(J$6*$E33+$G33+X16))</f>
        <v>6</v>
      </c>
      <c r="I33" s="1750">
        <f>H33*$D33</f>
        <v>3</v>
      </c>
      <c r="J33" s="45"/>
      <c r="K33" s="1768">
        <f>IF(M$6=0,0,(M$6*$E33+$G33+Y16))</f>
        <v>8</v>
      </c>
      <c r="L33" s="1590">
        <f>K33*$D33</f>
        <v>4</v>
      </c>
      <c r="M33" s="1589"/>
      <c r="N33" s="1767">
        <f>IF(P$6=0,0,(P$6*$E33+$G33+Z16))</f>
        <v>10</v>
      </c>
      <c r="O33" s="1750">
        <f>N33*$D33</f>
        <v>5</v>
      </c>
      <c r="P33" s="1749"/>
      <c r="Q33" s="3622"/>
    </row>
    <row r="34" spans="1:17" s="42" customFormat="1" ht="15" customHeight="1">
      <c r="A34" s="1306"/>
      <c r="B34" s="1276" t="s">
        <v>1685</v>
      </c>
      <c r="C34" s="1270"/>
      <c r="D34" s="3625"/>
      <c r="E34" s="3625"/>
      <c r="F34" s="4831"/>
      <c r="G34" s="4832" t="s">
        <v>171</v>
      </c>
      <c r="H34" s="1764"/>
      <c r="I34" s="1763"/>
      <c r="J34" s="1614">
        <f>SUM(I36:I42)</f>
        <v>0</v>
      </c>
      <c r="K34" s="1766"/>
      <c r="L34" s="1765"/>
      <c r="M34" s="1617">
        <f>SUM(L36:L42)</f>
        <v>0</v>
      </c>
      <c r="N34" s="1764"/>
      <c r="O34" s="1763"/>
      <c r="P34" s="1614">
        <f>SUM(O36:O42)</f>
        <v>0</v>
      </c>
      <c r="Q34" s="3622"/>
    </row>
    <row r="35" spans="1:17" s="42" customFormat="1" ht="15" customHeight="1">
      <c r="A35" s="1306"/>
      <c r="B35" s="1613"/>
      <c r="C35" s="1612" t="s">
        <v>1212</v>
      </c>
      <c r="D35" s="1683">
        <f>SDÖ1!$O$11</f>
        <v>0</v>
      </c>
      <c r="E35" s="1610"/>
      <c r="F35" s="1606" t="s">
        <v>249</v>
      </c>
      <c r="G35" s="1682" t="s">
        <v>1211</v>
      </c>
      <c r="H35" s="1759" t="s">
        <v>1232</v>
      </c>
      <c r="I35" s="1600" t="s">
        <v>171</v>
      </c>
      <c r="J35" s="3620"/>
      <c r="K35" s="1761" t="s">
        <v>1232</v>
      </c>
      <c r="L35" s="1603" t="s">
        <v>171</v>
      </c>
      <c r="M35" s="1760"/>
      <c r="N35" s="1759" t="s">
        <v>1232</v>
      </c>
      <c r="O35" s="1600" t="s">
        <v>171</v>
      </c>
      <c r="P35" s="1599"/>
      <c r="Q35" s="362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62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62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62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62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62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622"/>
    </row>
    <row r="42" spans="1:17" s="3621"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622"/>
    </row>
    <row r="43" spans="1:17" s="42" customFormat="1" ht="15" customHeight="1">
      <c r="A43" s="1306"/>
      <c r="B43" s="1276" t="s">
        <v>1231</v>
      </c>
      <c r="C43" s="1270"/>
      <c r="D43" s="1270"/>
      <c r="E43" s="1270"/>
      <c r="F43" s="1270"/>
      <c r="G43" s="1620"/>
      <c r="H43" s="1746"/>
      <c r="I43" s="1745"/>
      <c r="J43" s="1614">
        <f>SUM(J46:J57)</f>
        <v>162.60497935361346</v>
      </c>
      <c r="K43" s="1748"/>
      <c r="L43" s="1747"/>
      <c r="M43" s="1617">
        <f>SUM(M46:M57)</f>
        <v>174.28232676571429</v>
      </c>
      <c r="N43" s="1746"/>
      <c r="O43" s="1745"/>
      <c r="P43" s="1614">
        <f>SUM(P46:P57)</f>
        <v>180.12177290016805</v>
      </c>
      <c r="Q43" s="362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62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62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62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62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62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62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622"/>
    </row>
    <row r="51" spans="1:17" s="42" customFormat="1" ht="15" customHeight="1">
      <c r="A51" s="1306"/>
      <c r="B51" s="1726"/>
      <c r="C51" s="4835" t="s">
        <v>444</v>
      </c>
      <c r="D51" s="4836"/>
      <c r="E51" s="1725">
        <f>IF($C51=0,0,VLOOKUP($C51,SDÖ3!$C$24:$O$99,4,FALSE))</f>
        <v>83</v>
      </c>
      <c r="F51" s="1724">
        <f>IF($C51=0,0,VLOOKUP($C51,SDÖ3!$C$24:$O$99,12,FALSE))</f>
        <v>0.27</v>
      </c>
      <c r="G51" s="1723">
        <f>IF($C51=0,0,VLOOKUP($C51,SDÖ3!$C$24:$O$99,13,FALSE))</f>
        <v>5.8379012776470587</v>
      </c>
      <c r="H51" s="1720">
        <v>1</v>
      </c>
      <c r="I51" s="1719">
        <f t="shared" si="4"/>
        <v>0.27</v>
      </c>
      <c r="J51" s="1718">
        <f t="shared" si="5"/>
        <v>5.8379012776470587</v>
      </c>
      <c r="K51" s="1720">
        <v>2</v>
      </c>
      <c r="L51" s="1722">
        <f t="shared" si="6"/>
        <v>0.54</v>
      </c>
      <c r="M51" s="1721">
        <f t="shared" si="7"/>
        <v>11.675802555294117</v>
      </c>
      <c r="N51" s="1720">
        <v>2</v>
      </c>
      <c r="O51" s="1719">
        <f t="shared" si="8"/>
        <v>0.54</v>
      </c>
      <c r="P51" s="1718">
        <f t="shared" si="9"/>
        <v>11.675802555294117</v>
      </c>
      <c r="Q51" s="362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62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622"/>
    </row>
    <row r="54" spans="1:17" s="42" customFormat="1" ht="15" customHeight="1">
      <c r="A54" s="1306"/>
      <c r="B54" s="1726"/>
      <c r="C54" s="4835" t="s">
        <v>435</v>
      </c>
      <c r="D54" s="4836"/>
      <c r="E54" s="1725">
        <f>IF($C54=0,0,VLOOKUP($C54,SDÖ3!$C$24:$O$99,4,FALSE))</f>
        <v>83</v>
      </c>
      <c r="F54" s="1724">
        <f>IF($C54=0,0,VLOOKUP($C54,SDÖ3!$C$24:$O$99,12,FALSE))</f>
        <v>0.4</v>
      </c>
      <c r="G54" s="1723">
        <f>IF($C54=0,0,VLOOKUP($C54,SDÖ3!$C$24:$O$99,13,FALSE))</f>
        <v>6.8857796705882359</v>
      </c>
      <c r="H54" s="1720">
        <v>1.05</v>
      </c>
      <c r="I54" s="1719">
        <f t="shared" si="4"/>
        <v>0.42000000000000004</v>
      </c>
      <c r="J54" s="1718">
        <f t="shared" si="5"/>
        <v>7.2300686541176482</v>
      </c>
      <c r="K54" s="1720">
        <v>1.3</v>
      </c>
      <c r="L54" s="1722">
        <f t="shared" si="6"/>
        <v>0.52</v>
      </c>
      <c r="M54" s="1721">
        <f t="shared" si="7"/>
        <v>8.951513571764707</v>
      </c>
      <c r="N54" s="1720">
        <v>1.55</v>
      </c>
      <c r="O54" s="1719">
        <f t="shared" si="8"/>
        <v>0.62000000000000011</v>
      </c>
      <c r="P54" s="1718">
        <f t="shared" si="9"/>
        <v>10.672958489411766</v>
      </c>
      <c r="Q54" s="362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6"/>
        <v>1.08</v>
      </c>
      <c r="M55" s="1721">
        <f t="shared" si="7"/>
        <v>32.755390400000003</v>
      </c>
      <c r="N55" s="1720">
        <v>2</v>
      </c>
      <c r="O55" s="1719">
        <f t="shared" si="8"/>
        <v>1.08</v>
      </c>
      <c r="P55" s="1718">
        <f t="shared" si="9"/>
        <v>32.755390400000003</v>
      </c>
      <c r="Q55" s="362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62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0.77142857142857146</v>
      </c>
      <c r="I57" s="1703">
        <f t="shared" si="4"/>
        <v>0.77142857142857146</v>
      </c>
      <c r="J57" s="1702">
        <f t="shared" si="5"/>
        <v>12.354003650420168</v>
      </c>
      <c r="K57" s="3687">
        <f>K11/35</f>
        <v>1.0285714285714285</v>
      </c>
      <c r="L57" s="1705">
        <f t="shared" si="6"/>
        <v>1.0285714285714285</v>
      </c>
      <c r="M57" s="1652">
        <f t="shared" si="7"/>
        <v>16.47200486722689</v>
      </c>
      <c r="N57" s="3686">
        <f>N11/35</f>
        <v>1.2857142857142858</v>
      </c>
      <c r="O57" s="1703">
        <f t="shared" si="8"/>
        <v>1.2857142857142858</v>
      </c>
      <c r="P57" s="1702">
        <f t="shared" si="9"/>
        <v>20.590006084033615</v>
      </c>
      <c r="Q57" s="3678"/>
    </row>
    <row r="58" spans="1:17" s="3621" customFormat="1" ht="18.75" customHeight="1">
      <c r="A58" s="1270"/>
      <c r="B58" s="1276" t="s">
        <v>1223</v>
      </c>
      <c r="C58" s="1373"/>
      <c r="D58" s="1373"/>
      <c r="E58" s="1373"/>
      <c r="F58" s="38"/>
      <c r="G58" s="1620"/>
      <c r="H58" s="1697"/>
      <c r="I58" s="1696">
        <f>SUM($I$46:$I$57)</f>
        <v>5.6014285714285714</v>
      </c>
      <c r="J58" s="1701"/>
      <c r="K58" s="1700"/>
      <c r="L58" s="1699">
        <f>SUM($L$46:$L$57)</f>
        <v>6.2285714285714278</v>
      </c>
      <c r="M58" s="1698"/>
      <c r="N58" s="1697"/>
      <c r="O58" s="1696">
        <f>SUM($O$46:$O$57)</f>
        <v>6.5857142857142854</v>
      </c>
      <c r="P58" s="1695"/>
      <c r="Q58" s="3622"/>
    </row>
    <row r="59" spans="1:17" s="3621" customFormat="1" ht="15" customHeight="1">
      <c r="A59" s="1270"/>
      <c r="B59" s="1694"/>
      <c r="C59" s="353"/>
      <c r="D59" s="280" t="s">
        <v>1222</v>
      </c>
      <c r="E59" s="1693">
        <v>80</v>
      </c>
      <c r="F59" s="353" t="s">
        <v>1221</v>
      </c>
      <c r="G59" s="1692"/>
      <c r="H59" s="1688"/>
      <c r="I59" s="1687">
        <f>IF(I58+SUM($I$46:$I$57)*$E$59%&gt;I58+10,I58+10,I58+SUM($I$46:$I$57)*$E$59%)</f>
        <v>10.082571428571429</v>
      </c>
      <c r="J59" s="1686"/>
      <c r="K59" s="1691"/>
      <c r="L59" s="1690">
        <f>IF(L58+SUM($L$46:$L$57)*$E$59%&gt;L58+10,L58+10,L58+SUM($L$46:$L$57)*$E$59%)</f>
        <v>11.21142857142857</v>
      </c>
      <c r="M59" s="1689"/>
      <c r="N59" s="1688"/>
      <c r="O59" s="1687">
        <f>IF(O58+SUM($O$46:$O$57)*$E$59%&gt;O58+10,O58+10,O58+SUM($O$46:$O$57)*$E$59%)</f>
        <v>11.854285714285714</v>
      </c>
      <c r="P59" s="1686"/>
      <c r="Q59" s="3622"/>
    </row>
    <row r="60" spans="1:17" s="65" customFormat="1" ht="18.75" customHeight="1">
      <c r="A60" s="1373"/>
      <c r="B60" s="1276" t="s">
        <v>1220</v>
      </c>
      <c r="C60" s="1373"/>
      <c r="D60" s="1373"/>
      <c r="E60" s="45"/>
      <c r="F60" s="45"/>
      <c r="G60" s="1685"/>
      <c r="H60" s="1677"/>
      <c r="I60" s="1676"/>
      <c r="J60" s="1684">
        <f>IF(J6=0,0,SUM(I62:I64))</f>
        <v>203.5</v>
      </c>
      <c r="K60" s="1680"/>
      <c r="L60" s="1679"/>
      <c r="M60" s="1617">
        <f>IF(M6=0,0,SUM(L62:L64))</f>
        <v>226</v>
      </c>
      <c r="N60" s="1677"/>
      <c r="O60" s="1676"/>
      <c r="P60" s="1684">
        <f>IF(P6=0,0,SUM(O62:O64))</f>
        <v>248.5</v>
      </c>
      <c r="Q60" s="362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622"/>
    </row>
    <row r="62" spans="1:17" s="42" customFormat="1" ht="18.75" customHeight="1">
      <c r="A62" s="1306"/>
      <c r="B62" s="1594"/>
      <c r="C62" s="4833" t="s">
        <v>348</v>
      </c>
      <c r="D62" s="4833"/>
      <c r="E62" s="4833"/>
      <c r="F62" s="1674">
        <f>IF($C62=0,0,VLOOKUP($C62,'SDK3'!$C$98:$D$119,2,FALSE))</f>
        <v>136</v>
      </c>
      <c r="G62" s="1673">
        <f>(100+$D$61)/100*F62</f>
        <v>136</v>
      </c>
      <c r="H62" s="227"/>
      <c r="I62" s="1669">
        <f>$G$62</f>
        <v>136</v>
      </c>
      <c r="J62" s="227"/>
      <c r="K62" s="1672"/>
      <c r="L62" s="1671">
        <f>$G$62</f>
        <v>136</v>
      </c>
      <c r="M62" s="1589"/>
      <c r="N62" s="1670"/>
      <c r="O62" s="1669">
        <f>$G$62</f>
        <v>136</v>
      </c>
      <c r="P62" s="1668"/>
      <c r="Q62" s="362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622"/>
    </row>
    <row r="64" spans="1:17" s="42" customFormat="1" ht="15" customHeight="1">
      <c r="A64" s="1306"/>
      <c r="B64" s="1657"/>
      <c r="C64" s="4842" t="s">
        <v>322</v>
      </c>
      <c r="D64" s="4842"/>
      <c r="E64" s="4842"/>
      <c r="F64" s="1656">
        <f>IF($T$3=FALSE,0,VLOOKUP($C64,'SDK3'!$C$98:$D$119,2,FALSE))</f>
        <v>2.5</v>
      </c>
      <c r="G64" s="1655">
        <f>(100+$D$61)/100*F64</f>
        <v>2.5</v>
      </c>
      <c r="H64" s="1651"/>
      <c r="I64" s="1650">
        <f>H11*$G$64</f>
        <v>67.5</v>
      </c>
      <c r="J64" s="227"/>
      <c r="K64" s="1654"/>
      <c r="L64" s="1653">
        <f>K11*$G$64</f>
        <v>90</v>
      </c>
      <c r="M64" s="1652"/>
      <c r="N64" s="1651"/>
      <c r="O64" s="1650">
        <f>N11*$G$64</f>
        <v>112.5</v>
      </c>
      <c r="P64" s="1649"/>
      <c r="Q64" s="362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62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622"/>
    </row>
    <row r="67" spans="1:20" s="3621" customFormat="1" ht="22.9" customHeight="1">
      <c r="A67" s="1270"/>
      <c r="B67" s="1276" t="s">
        <v>1218</v>
      </c>
      <c r="C67" s="1270"/>
      <c r="D67" s="1270"/>
      <c r="E67" s="229"/>
      <c r="F67" s="1642"/>
      <c r="G67" s="1620"/>
      <c r="H67" s="1639" t="s">
        <v>1217</v>
      </c>
      <c r="I67" s="1638" t="s">
        <v>1216</v>
      </c>
      <c r="J67" s="1614">
        <f>R68*(H9+H10)*I68%+F68</f>
        <v>54.150000000000006</v>
      </c>
      <c r="K67" s="1641" t="s">
        <v>1217</v>
      </c>
      <c r="L67" s="1640" t="s">
        <v>1216</v>
      </c>
      <c r="M67" s="1617">
        <f>S68*(K9+K10)*L68%+F68</f>
        <v>144.19999999999999</v>
      </c>
      <c r="N67" s="1639" t="s">
        <v>1217</v>
      </c>
      <c r="O67" s="1638" t="s">
        <v>1216</v>
      </c>
      <c r="P67" s="1614">
        <f>T68*(N9+N10)*O68%+F68</f>
        <v>135.25</v>
      </c>
      <c r="Q67" s="3622"/>
    </row>
    <row r="68" spans="1:20" s="3621" customFormat="1" ht="15" customHeight="1">
      <c r="A68" s="1270"/>
      <c r="B68" s="1637"/>
      <c r="C68" s="4839" t="s">
        <v>1215</v>
      </c>
      <c r="D68" s="4839"/>
      <c r="E68" s="4839"/>
      <c r="F68" s="1636"/>
      <c r="G68" s="1627" t="s">
        <v>171</v>
      </c>
      <c r="H68" s="1634">
        <v>16</v>
      </c>
      <c r="I68" s="1633">
        <v>50</v>
      </c>
      <c r="J68" s="1632"/>
      <c r="K68" s="1634">
        <v>20</v>
      </c>
      <c r="L68" s="1633">
        <v>50</v>
      </c>
      <c r="M68" s="1635"/>
      <c r="N68" s="1634">
        <v>18</v>
      </c>
      <c r="O68" s="1633">
        <v>50</v>
      </c>
      <c r="P68" s="1632"/>
      <c r="Q68" s="3622"/>
      <c r="R68" s="1631">
        <f>IF($H$68=0,0,VLOOKUP($H$68,'SD6'!B8:C101,'SD6'!C1,FALSE))*(1+'SDK1'!O11/100)</f>
        <v>3.6100000000000003</v>
      </c>
      <c r="S68" s="1631">
        <f>IF($K$68=0,0,VLOOKUP($K$68,'SD6'!B8:C101,'SD6'!C1,FALSE))*(1+'SDK1'!O11/100)</f>
        <v>7.2099999999999991</v>
      </c>
      <c r="T68" s="1631">
        <f>IF($N$68=0,0,VLOOKUP($N$68,'SD6'!B8:C101,'SD6'!C1,FALSE))*(1+'SDK1'!O11/100)</f>
        <v>5.41</v>
      </c>
    </row>
    <row r="69" spans="1:20" s="3621" customFormat="1" ht="18.75" customHeight="1">
      <c r="A69" s="1270"/>
      <c r="B69" s="1276" t="s">
        <v>1214</v>
      </c>
      <c r="C69" s="1270"/>
      <c r="D69" s="1270"/>
      <c r="E69" s="38"/>
      <c r="F69" s="38"/>
      <c r="G69" s="1620"/>
      <c r="H69" s="44"/>
      <c r="I69" s="73"/>
      <c r="J69" s="1614">
        <f>H70*$F70/1000</f>
        <v>16.499200000000002</v>
      </c>
      <c r="K69" s="1630"/>
      <c r="L69" s="1629"/>
      <c r="M69" s="1617">
        <f>K70*$F70/1000</f>
        <v>21.998933333333333</v>
      </c>
      <c r="N69" s="44"/>
      <c r="O69" s="73"/>
      <c r="P69" s="1614">
        <f>N70*$F70/1000</f>
        <v>27.498666666666669</v>
      </c>
      <c r="Q69" s="3622"/>
    </row>
    <row r="70" spans="1:20" s="3621" customFormat="1" ht="15" customHeight="1">
      <c r="A70" s="1270"/>
      <c r="B70" s="1332"/>
      <c r="C70" s="1331" t="s">
        <v>896</v>
      </c>
      <c r="D70" s="353"/>
      <c r="E70" s="280"/>
      <c r="F70" s="1628">
        <f>'SDK7'!G102</f>
        <v>16</v>
      </c>
      <c r="G70" s="1627" t="s">
        <v>171</v>
      </c>
      <c r="H70" s="1623">
        <f>I9+I10</f>
        <v>1031.2</v>
      </c>
      <c r="I70" s="1622"/>
      <c r="J70" s="1621"/>
      <c r="K70" s="1626">
        <f>L9+L10</f>
        <v>1374.9333333333334</v>
      </c>
      <c r="L70" s="1625"/>
      <c r="M70" s="1624"/>
      <c r="N70" s="1623">
        <f>O9+O10</f>
        <v>1718.6666666666667</v>
      </c>
      <c r="O70" s="1622"/>
      <c r="P70" s="1621"/>
      <c r="Q70" s="362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62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622"/>
    </row>
    <row r="75" spans="1:20" s="3621"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8.3147824026774497</v>
      </c>
      <c r="K75" s="3623"/>
      <c r="L75" s="1056"/>
      <c r="M75" s="1578">
        <f>(M23+M27+M34+M43+M60+M65+M67+M69+M71)*('SDK1'!$O$59%*$G$75/12)</f>
        <v>10.340177692533333</v>
      </c>
      <c r="N75" s="1580"/>
      <c r="O75" s="1579"/>
      <c r="P75" s="1578">
        <f>(P23+P27+P34+P43+P60+P65+P67+P69+P71)*('SDK1'!$O$59%*$G$75/12)</f>
        <v>11.448241346209802</v>
      </c>
      <c r="Q75" s="3622"/>
    </row>
    <row r="76" spans="1:20">
      <c r="L76" s="33"/>
    </row>
    <row r="77" spans="1:20">
      <c r="L77" s="33"/>
      <c r="N77" s="3637"/>
      <c r="O77" s="3637"/>
      <c r="P77" s="3637"/>
    </row>
    <row r="78" spans="1:20" ht="14.25">
      <c r="C78" s="4921" t="s">
        <v>1946</v>
      </c>
      <c r="D78" s="4922"/>
      <c r="E78" s="4922"/>
      <c r="F78" s="4923"/>
      <c r="G78" s="3637"/>
      <c r="H78" s="3637"/>
      <c r="I78" s="3637"/>
      <c r="J78" s="3637"/>
      <c r="K78" s="3637"/>
      <c r="L78" s="3637"/>
      <c r="M78" s="3637"/>
      <c r="N78" s="3637"/>
      <c r="O78" s="3637"/>
      <c r="P78" s="3637"/>
      <c r="Q78" s="3637"/>
    </row>
    <row r="79" spans="1:20">
      <c r="C79" s="4913" t="s">
        <v>295</v>
      </c>
      <c r="D79" s="4914"/>
      <c r="E79" s="4914"/>
      <c r="F79" s="4915"/>
      <c r="G79" s="3637"/>
      <c r="H79" s="3637"/>
      <c r="I79" s="3637"/>
      <c r="J79" s="3637"/>
      <c r="K79" s="3637"/>
      <c r="L79" s="3637"/>
      <c r="M79" s="3637"/>
      <c r="N79" s="3637"/>
      <c r="O79" s="3637"/>
      <c r="P79" s="3637"/>
      <c r="Q79" s="3637"/>
    </row>
    <row r="80" spans="1:20" ht="14.25">
      <c r="C80" s="3631" t="s">
        <v>1942</v>
      </c>
      <c r="D80" s="3632"/>
      <c r="E80" s="3632"/>
      <c r="F80" s="3633"/>
      <c r="G80" s="3637"/>
      <c r="H80" s="3637"/>
      <c r="I80" s="3637"/>
      <c r="J80" s="3637"/>
      <c r="K80" s="3637"/>
      <c r="L80" s="3637"/>
      <c r="M80" s="3637"/>
      <c r="N80" s="3637"/>
      <c r="O80" s="3637"/>
      <c r="P80" s="3637"/>
      <c r="Q80" s="3637"/>
    </row>
    <row r="81" spans="3:17" ht="14.25">
      <c r="C81" s="3631" t="s">
        <v>1943</v>
      </c>
      <c r="D81" s="3632"/>
      <c r="E81" s="3632"/>
      <c r="F81" s="3633"/>
      <c r="G81" s="3637"/>
      <c r="H81" s="3637"/>
      <c r="I81" s="3637"/>
      <c r="J81" s="3637"/>
      <c r="K81" s="3637"/>
      <c r="L81" s="3637"/>
      <c r="M81" s="3637"/>
      <c r="N81" s="3637"/>
      <c r="O81" s="3637"/>
      <c r="P81" s="3637"/>
      <c r="Q81" s="3637"/>
    </row>
    <row r="82" spans="3:17">
      <c r="C82" s="3628" t="s">
        <v>294</v>
      </c>
      <c r="D82" s="3067"/>
      <c r="E82" s="3067"/>
      <c r="F82" s="3068"/>
      <c r="G82" s="3637"/>
      <c r="H82" s="3637"/>
      <c r="I82" s="3637"/>
      <c r="J82" s="3637"/>
      <c r="K82" s="3637"/>
      <c r="L82" s="3637"/>
      <c r="M82" s="3637"/>
      <c r="N82" s="3637"/>
      <c r="O82" s="3637"/>
      <c r="P82" s="3637"/>
      <c r="Q82" s="3637"/>
    </row>
    <row r="83" spans="3:17" ht="14.25">
      <c r="C83" s="3631" t="s">
        <v>1944</v>
      </c>
      <c r="D83" s="3632"/>
      <c r="E83" s="3632"/>
      <c r="F83" s="3633"/>
      <c r="G83" s="3637"/>
      <c r="H83" s="3637"/>
      <c r="I83" s="3637"/>
      <c r="J83" s="3637"/>
      <c r="K83" s="3637"/>
      <c r="L83" s="3637"/>
      <c r="M83" s="3637"/>
      <c r="N83" s="3637"/>
      <c r="O83" s="3637"/>
      <c r="P83" s="3637"/>
      <c r="Q83" s="3637"/>
    </row>
    <row r="84" spans="3:17" ht="14.25">
      <c r="C84" s="3631" t="s">
        <v>1945</v>
      </c>
      <c r="D84" s="3632"/>
      <c r="E84" s="3632"/>
      <c r="F84" s="3633"/>
      <c r="G84" s="3637"/>
      <c r="H84" s="3637"/>
      <c r="I84" s="3637"/>
      <c r="J84" s="3637"/>
      <c r="K84" s="3637"/>
      <c r="L84" s="3637"/>
      <c r="M84" s="3637"/>
      <c r="N84" s="3637"/>
      <c r="O84" s="3637"/>
      <c r="P84" s="3637"/>
      <c r="Q84" s="3637"/>
    </row>
    <row r="85" spans="3:17">
      <c r="C85" s="3628" t="s">
        <v>293</v>
      </c>
      <c r="D85" s="3067"/>
      <c r="E85" s="3067"/>
      <c r="F85" s="3068"/>
      <c r="G85" s="3637"/>
      <c r="H85" s="3637"/>
      <c r="I85" s="3637"/>
      <c r="J85" s="3637"/>
      <c r="K85" s="3637"/>
      <c r="L85" s="3637"/>
      <c r="M85" s="3637"/>
      <c r="N85" s="3637"/>
      <c r="O85" s="3637"/>
      <c r="P85" s="3637"/>
      <c r="Q85" s="3637"/>
    </row>
    <row r="86" spans="3:17">
      <c r="C86" s="3628" t="s">
        <v>292</v>
      </c>
      <c r="D86" s="3067"/>
      <c r="E86" s="3067"/>
      <c r="F86" s="3068"/>
      <c r="G86" s="3637"/>
      <c r="H86" s="3637"/>
      <c r="I86" s="3637"/>
      <c r="J86" s="3637"/>
      <c r="K86" s="3637"/>
      <c r="L86" s="3637"/>
      <c r="M86" s="3637"/>
      <c r="N86" s="3637"/>
      <c r="O86" s="3637"/>
      <c r="P86" s="3637"/>
      <c r="Q86" s="3637"/>
    </row>
    <row r="87" spans="3:17" ht="14.25">
      <c r="C87" s="3628" t="s">
        <v>291</v>
      </c>
      <c r="D87" s="3067"/>
      <c r="E87" s="3067"/>
      <c r="F87" s="3068"/>
      <c r="G87" s="3637"/>
      <c r="H87" s="3637"/>
      <c r="I87" s="3637"/>
      <c r="J87" s="3637"/>
      <c r="K87" s="3637"/>
      <c r="L87" s="3637"/>
      <c r="M87" s="3637"/>
      <c r="N87" s="3637"/>
      <c r="O87" s="3637"/>
      <c r="P87" s="3637"/>
      <c r="Q87" s="3637"/>
    </row>
    <row r="88" spans="3:17" ht="13.15" customHeight="1">
      <c r="C88" s="3628" t="s">
        <v>290</v>
      </c>
      <c r="D88" s="3629"/>
      <c r="E88" s="3629"/>
      <c r="F88" s="3630"/>
      <c r="G88" s="3637"/>
      <c r="H88" s="3637"/>
      <c r="I88" s="3637"/>
      <c r="J88" s="3637"/>
      <c r="K88" s="3637"/>
      <c r="L88" s="3637"/>
      <c r="M88" s="3637"/>
      <c r="N88" s="3637"/>
      <c r="O88" s="3637"/>
      <c r="P88" s="3637"/>
      <c r="Q88" s="3637"/>
    </row>
    <row r="89" spans="3:17">
      <c r="C89" s="3628" t="s">
        <v>289</v>
      </c>
      <c r="D89" s="3629"/>
      <c r="E89" s="3629"/>
      <c r="F89" s="3630"/>
      <c r="G89" s="3637"/>
      <c r="H89" s="3637"/>
      <c r="I89" s="3637"/>
      <c r="J89" s="3637"/>
      <c r="K89" s="3637"/>
      <c r="L89" s="3637"/>
      <c r="M89" s="3637"/>
      <c r="N89" s="3637"/>
      <c r="O89" s="3637"/>
      <c r="P89" s="3637"/>
      <c r="Q89" s="3637"/>
    </row>
    <row r="90" spans="3:17" ht="25.5">
      <c r="C90" s="3071" t="s">
        <v>288</v>
      </c>
      <c r="D90" s="3072"/>
      <c r="E90" s="3072"/>
      <c r="F90" s="3073"/>
      <c r="G90" s="3637"/>
      <c r="H90" s="3637"/>
      <c r="I90" s="3637"/>
      <c r="J90" s="3637"/>
      <c r="K90" s="3637"/>
      <c r="L90" s="3637"/>
      <c r="M90" s="3637"/>
      <c r="N90" s="3637"/>
      <c r="O90" s="3637"/>
      <c r="P90" s="3637"/>
      <c r="Q90" s="3637"/>
    </row>
    <row r="91" spans="3:17">
      <c r="G91" s="3637"/>
      <c r="H91" s="3637"/>
      <c r="I91" s="3637"/>
      <c r="J91" s="3637"/>
      <c r="K91" s="3637"/>
      <c r="L91" s="3637"/>
      <c r="M91" s="3637"/>
      <c r="N91" s="3637"/>
      <c r="O91" s="3637"/>
      <c r="P91" s="3637"/>
      <c r="Q91" s="3637"/>
    </row>
    <row r="92" spans="3:17">
      <c r="G92" s="3637"/>
      <c r="H92" s="3637"/>
      <c r="I92" s="3637"/>
      <c r="J92" s="3637"/>
      <c r="K92" s="3637"/>
      <c r="L92" s="3637"/>
      <c r="M92" s="3637"/>
      <c r="N92" s="3637"/>
      <c r="O92" s="3637"/>
      <c r="P92" s="3637"/>
      <c r="Q92" s="3637"/>
    </row>
    <row r="93" spans="3:17">
      <c r="G93" s="3637"/>
      <c r="H93" s="3637"/>
      <c r="I93" s="3637"/>
      <c r="J93" s="3637"/>
      <c r="K93" s="3637"/>
      <c r="L93" s="3637"/>
      <c r="M93" s="3637"/>
      <c r="N93" s="3637"/>
      <c r="O93" s="3637"/>
      <c r="P93" s="3637"/>
      <c r="Q93" s="3637"/>
    </row>
    <row r="94" spans="3:17">
      <c r="G94" s="3637"/>
      <c r="H94" s="3637"/>
      <c r="I94" s="3637"/>
      <c r="J94" s="3637"/>
      <c r="K94" s="3637"/>
      <c r="L94" s="3637"/>
      <c r="M94" s="3637"/>
      <c r="N94" s="3637"/>
      <c r="O94" s="3637"/>
      <c r="P94" s="3637"/>
      <c r="Q94" s="3637"/>
    </row>
    <row r="95" spans="3:17">
      <c r="G95" s="3637"/>
      <c r="H95" s="3637"/>
      <c r="I95" s="3637"/>
      <c r="J95" s="3637"/>
      <c r="K95" s="3637"/>
      <c r="L95" s="3637"/>
      <c r="M95" s="3637"/>
      <c r="N95" s="3637"/>
      <c r="O95" s="3637"/>
      <c r="P95" s="3637"/>
      <c r="Q95" s="3637"/>
    </row>
    <row r="96" spans="3:17">
      <c r="G96" s="3637"/>
      <c r="H96" s="3637"/>
      <c r="I96" s="3637"/>
      <c r="J96" s="3637"/>
      <c r="K96" s="3637"/>
      <c r="L96" s="3637"/>
      <c r="M96" s="3637"/>
      <c r="N96" s="3637"/>
      <c r="O96" s="3637"/>
      <c r="P96" s="3637"/>
      <c r="Q96" s="3637"/>
    </row>
    <row r="97" spans="2:17">
      <c r="G97" s="3637"/>
      <c r="H97" s="3637"/>
      <c r="I97" s="3637"/>
      <c r="J97" s="3637"/>
      <c r="K97" s="3637"/>
      <c r="L97" s="3637"/>
      <c r="M97" s="3637"/>
      <c r="N97" s="3637"/>
      <c r="O97" s="3637"/>
      <c r="P97" s="3637"/>
    </row>
    <row r="98" spans="2:17">
      <c r="G98" s="3637"/>
      <c r="H98" s="3637"/>
      <c r="I98" s="3637"/>
      <c r="J98" s="3637"/>
      <c r="K98" s="3637"/>
      <c r="L98" s="3637"/>
      <c r="M98" s="3637"/>
      <c r="N98" s="3637"/>
      <c r="O98" s="3637"/>
      <c r="P98" s="3637"/>
      <c r="Q98" s="3637"/>
    </row>
    <row r="99" spans="2:17">
      <c r="B99" s="33"/>
      <c r="G99" s="3637"/>
      <c r="H99" s="3637"/>
      <c r="I99" s="3637"/>
      <c r="J99" s="3637"/>
      <c r="K99" s="3637"/>
      <c r="L99" s="3637"/>
      <c r="M99" s="3637"/>
      <c r="N99" s="3637"/>
      <c r="O99" s="3637"/>
      <c r="P99" s="3637"/>
      <c r="Q99" s="3637"/>
    </row>
    <row r="100" spans="2:17">
      <c r="B100" s="33"/>
      <c r="G100" s="3637"/>
      <c r="H100" s="3637"/>
      <c r="I100" s="3637"/>
      <c r="J100" s="3637"/>
      <c r="K100" s="3637"/>
      <c r="L100" s="3637"/>
      <c r="M100" s="3637"/>
      <c r="N100" s="3637"/>
      <c r="O100" s="3637"/>
      <c r="P100" s="3637"/>
      <c r="Q100" s="3637"/>
    </row>
    <row r="101" spans="2:17">
      <c r="B101" s="33"/>
      <c r="C101" s="33"/>
      <c r="D101" s="33"/>
      <c r="G101" s="3637"/>
      <c r="H101" s="3637"/>
      <c r="I101" s="3637"/>
      <c r="J101" s="3637"/>
      <c r="K101" s="3637"/>
      <c r="L101" s="3637"/>
      <c r="M101" s="3637"/>
      <c r="N101" s="3637"/>
      <c r="O101" s="3637"/>
      <c r="P101" s="3637"/>
      <c r="Q101" s="3637"/>
    </row>
    <row r="102" spans="2:17">
      <c r="B102" s="33"/>
      <c r="C102" s="33"/>
      <c r="D102" s="33"/>
      <c r="G102" s="3637"/>
      <c r="H102" s="3637"/>
      <c r="I102" s="3637"/>
      <c r="J102" s="3637"/>
      <c r="K102" s="3637"/>
      <c r="L102" s="3637"/>
      <c r="M102" s="3637"/>
      <c r="N102" s="3637"/>
      <c r="O102" s="3637"/>
      <c r="P102" s="3637"/>
      <c r="Q102" s="3637"/>
    </row>
    <row r="103" spans="2:17">
      <c r="B103" s="33"/>
      <c r="C103" s="33"/>
      <c r="D103" s="33"/>
      <c r="G103" s="3637"/>
      <c r="H103" s="3637"/>
      <c r="I103" s="3637"/>
      <c r="J103" s="3637"/>
      <c r="K103" s="3637"/>
      <c r="L103" s="3637"/>
      <c r="M103" s="3637"/>
      <c r="N103" s="3637"/>
      <c r="O103" s="3637"/>
      <c r="P103" s="3637"/>
      <c r="Q103" s="3637"/>
    </row>
    <row r="104" spans="2:17">
      <c r="B104" s="33"/>
      <c r="C104" s="33"/>
      <c r="D104" s="33"/>
      <c r="G104" s="3637"/>
      <c r="H104" s="3637"/>
      <c r="I104" s="3637"/>
      <c r="J104" s="3637"/>
      <c r="K104" s="3637"/>
      <c r="L104" s="3637"/>
      <c r="M104" s="3637"/>
      <c r="N104" s="3637"/>
      <c r="O104" s="3637"/>
      <c r="P104" s="3637"/>
      <c r="Q104" s="3637"/>
    </row>
    <row r="105" spans="2:17">
      <c r="B105" s="33"/>
      <c r="C105" s="33"/>
      <c r="D105" s="33"/>
      <c r="G105" s="3637"/>
      <c r="H105" s="3637"/>
      <c r="I105" s="3637"/>
      <c r="J105" s="3637"/>
      <c r="K105" s="3637"/>
      <c r="L105" s="3637"/>
      <c r="M105" s="3637"/>
      <c r="N105" s="3637"/>
      <c r="O105" s="3637"/>
      <c r="P105" s="3637"/>
      <c r="Q105" s="3637"/>
    </row>
    <row r="106" spans="2:17">
      <c r="B106" s="33"/>
      <c r="C106" s="33"/>
      <c r="D106" s="33"/>
      <c r="G106" s="3637"/>
      <c r="H106" s="3637"/>
      <c r="I106" s="3637"/>
      <c r="J106" s="3637"/>
      <c r="K106" s="3637"/>
      <c r="L106" s="3637"/>
      <c r="M106" s="3637"/>
      <c r="N106" s="3637"/>
      <c r="O106" s="3637"/>
      <c r="P106" s="3637"/>
      <c r="Q106" s="3637"/>
    </row>
    <row r="107" spans="2:17">
      <c r="B107" s="33"/>
      <c r="C107" s="33"/>
      <c r="D107" s="33"/>
      <c r="G107" s="3637"/>
      <c r="H107" s="3637"/>
      <c r="I107" s="3637"/>
      <c r="J107" s="3637"/>
      <c r="K107" s="3637"/>
      <c r="L107" s="3637"/>
      <c r="M107" s="3637"/>
      <c r="N107" s="3637"/>
      <c r="O107" s="3637"/>
      <c r="P107" s="3637"/>
      <c r="Q107" s="3637"/>
    </row>
    <row r="108" spans="2:17">
      <c r="G108" s="3637"/>
      <c r="H108" s="3637"/>
      <c r="I108" s="3637"/>
      <c r="J108" s="3637"/>
      <c r="K108" s="3637"/>
      <c r="L108" s="3637"/>
      <c r="M108" s="3637"/>
      <c r="N108" s="3637"/>
      <c r="O108" s="3637"/>
      <c r="P108" s="3637"/>
      <c r="Q108" s="3637"/>
    </row>
    <row r="109" spans="2:17">
      <c r="G109" s="3637"/>
      <c r="H109" s="3637"/>
      <c r="I109" s="3637"/>
      <c r="J109" s="3637"/>
      <c r="K109" s="3637"/>
      <c r="L109" s="3637"/>
      <c r="M109" s="3637"/>
      <c r="N109" s="3637"/>
      <c r="O109" s="3637"/>
      <c r="P109" s="3637"/>
      <c r="Q109" s="3637"/>
    </row>
    <row r="110" spans="2:17">
      <c r="G110" s="3637"/>
      <c r="H110" s="3637"/>
      <c r="I110" s="3637"/>
      <c r="J110" s="3637"/>
      <c r="K110" s="3637"/>
      <c r="L110" s="3637"/>
      <c r="M110" s="3637"/>
      <c r="N110" s="3637"/>
      <c r="O110" s="3637"/>
      <c r="P110" s="3637"/>
      <c r="Q110" s="3637"/>
    </row>
    <row r="111" spans="2:17">
      <c r="G111" s="3637"/>
      <c r="H111" s="3637"/>
      <c r="I111" s="3637"/>
      <c r="J111" s="3637"/>
      <c r="K111" s="3637"/>
      <c r="L111" s="3637"/>
      <c r="M111" s="3637"/>
      <c r="N111" s="3637"/>
      <c r="O111" s="3637"/>
      <c r="P111" s="3637"/>
      <c r="Q111" s="3637"/>
    </row>
    <row r="112" spans="2:17">
      <c r="G112" s="3637"/>
      <c r="H112" s="3637"/>
      <c r="I112" s="3637"/>
      <c r="J112" s="3637"/>
      <c r="K112" s="3637"/>
      <c r="L112" s="3637"/>
      <c r="M112" s="3637"/>
      <c r="N112" s="3637"/>
      <c r="O112" s="3637"/>
      <c r="P112" s="3637"/>
      <c r="Q112" s="3637"/>
    </row>
    <row r="113" spans="2:18">
      <c r="G113" s="3637"/>
      <c r="H113" s="3637"/>
      <c r="I113" s="3637"/>
      <c r="J113" s="3637"/>
      <c r="K113" s="3637"/>
      <c r="L113" s="3637"/>
      <c r="M113" s="3637"/>
      <c r="N113" s="3637"/>
      <c r="O113" s="3637"/>
      <c r="P113" s="3637"/>
      <c r="Q113" s="3637"/>
    </row>
    <row r="114" spans="2:18">
      <c r="G114" s="3637"/>
      <c r="H114" s="3637"/>
      <c r="I114" s="3637"/>
      <c r="J114" s="3637"/>
      <c r="K114" s="3637"/>
      <c r="L114" s="3637"/>
      <c r="M114" s="3637"/>
      <c r="N114" s="3637"/>
      <c r="O114" s="3637"/>
      <c r="P114" s="3637"/>
      <c r="Q114" s="3637"/>
      <c r="R114" s="3637"/>
    </row>
    <row r="115" spans="2:18">
      <c r="G115" s="3637"/>
      <c r="H115" s="3637"/>
      <c r="I115" s="3637"/>
      <c r="J115" s="3637"/>
      <c r="K115" s="3637"/>
      <c r="L115" s="3637"/>
      <c r="M115" s="3637"/>
      <c r="N115" s="3637"/>
      <c r="O115" s="3637"/>
      <c r="P115" s="3637"/>
      <c r="Q115" s="3637"/>
      <c r="R115" s="3637"/>
    </row>
    <row r="116" spans="2:18">
      <c r="I116" s="3637"/>
      <c r="J116" s="3637"/>
      <c r="K116" s="3637"/>
      <c r="L116" s="3637"/>
      <c r="M116" s="3637"/>
      <c r="N116" s="3637"/>
      <c r="O116" s="3637"/>
      <c r="P116" s="3637"/>
      <c r="Q116" s="3637"/>
      <c r="R116" s="3637"/>
    </row>
    <row r="117" spans="2:18">
      <c r="I117" s="3637"/>
      <c r="J117" s="3637"/>
      <c r="K117" s="3637"/>
      <c r="L117" s="3637"/>
      <c r="M117" s="3637"/>
      <c r="N117" s="3637"/>
      <c r="O117" s="3637"/>
      <c r="P117" s="3637"/>
      <c r="Q117" s="3637"/>
      <c r="R117" s="3637"/>
    </row>
    <row r="118" spans="2:18">
      <c r="B118" s="622"/>
      <c r="C118" s="33"/>
      <c r="I118" s="3637"/>
      <c r="J118" s="3637"/>
      <c r="K118" s="3637"/>
      <c r="L118" s="3637"/>
      <c r="M118" s="3637"/>
      <c r="N118" s="3637"/>
      <c r="O118" s="3637"/>
      <c r="P118" s="3637"/>
      <c r="Q118" s="3637"/>
      <c r="R118" s="3637"/>
    </row>
    <row r="119" spans="2:18">
      <c r="B119" s="622"/>
      <c r="C119" s="33"/>
      <c r="I119" s="3637"/>
      <c r="J119" s="3637"/>
      <c r="K119" s="3637"/>
      <c r="L119" s="3637"/>
      <c r="M119" s="3637"/>
      <c r="N119" s="3637"/>
      <c r="O119" s="3637"/>
      <c r="P119" s="3637"/>
      <c r="Q119" s="3637"/>
      <c r="R119" s="3637"/>
    </row>
    <row r="120" spans="2:18">
      <c r="B120" s="622"/>
      <c r="C120" s="33"/>
      <c r="I120" s="3637"/>
      <c r="J120" s="3637"/>
      <c r="K120" s="3637"/>
      <c r="L120" s="3637"/>
      <c r="M120" s="3637"/>
      <c r="N120" s="3637"/>
      <c r="O120" s="3637"/>
      <c r="P120" s="3637"/>
      <c r="Q120" s="3637"/>
      <c r="R120" s="3637"/>
    </row>
    <row r="121" spans="2:18">
      <c r="B121" s="622"/>
      <c r="C121" s="33"/>
      <c r="I121" s="3637"/>
      <c r="J121" s="3637"/>
      <c r="K121" s="3637"/>
      <c r="L121" s="3637"/>
      <c r="M121" s="3637"/>
      <c r="N121" s="3637"/>
      <c r="O121" s="3637"/>
      <c r="P121" s="3637"/>
      <c r="Q121" s="3637"/>
      <c r="R121" s="3637"/>
    </row>
    <row r="122" spans="2:18">
      <c r="B122" s="622"/>
      <c r="C122" s="33"/>
      <c r="I122" s="3637"/>
      <c r="J122" s="3637"/>
      <c r="K122" s="3637"/>
      <c r="L122" s="3637"/>
      <c r="M122" s="3637"/>
      <c r="N122" s="3637"/>
      <c r="O122" s="3637"/>
      <c r="P122" s="3637"/>
      <c r="Q122" s="3637"/>
      <c r="R122" s="3637"/>
    </row>
    <row r="123" spans="2:18">
      <c r="B123" s="622"/>
      <c r="C123" s="33"/>
      <c r="I123" s="3637"/>
      <c r="J123" s="3637"/>
      <c r="K123" s="3637"/>
      <c r="L123" s="3637"/>
      <c r="M123" s="3637"/>
      <c r="N123" s="3637"/>
      <c r="O123" s="3637"/>
      <c r="P123" s="3637"/>
      <c r="Q123" s="3637"/>
      <c r="R123" s="3637"/>
    </row>
    <row r="124" spans="2:18">
      <c r="B124" s="622"/>
      <c r="C124" s="33"/>
      <c r="I124" s="3637"/>
      <c r="J124" s="3637"/>
      <c r="K124" s="3637"/>
      <c r="L124" s="3637"/>
      <c r="M124" s="3637"/>
      <c r="N124" s="3637"/>
      <c r="O124" s="3637"/>
      <c r="P124" s="3637"/>
      <c r="Q124" s="3637"/>
      <c r="R124" s="3637"/>
    </row>
    <row r="125" spans="2:18">
      <c r="B125" s="622"/>
      <c r="C125" s="33"/>
      <c r="I125" s="3637"/>
      <c r="J125" s="3637"/>
      <c r="K125" s="3637"/>
      <c r="L125" s="3637"/>
      <c r="M125" s="3637"/>
      <c r="N125" s="3637"/>
      <c r="O125" s="3637"/>
      <c r="P125" s="3637"/>
      <c r="Q125" s="3637"/>
      <c r="R125" s="3637"/>
    </row>
    <row r="126" spans="2:18">
      <c r="B126" s="622"/>
      <c r="C126" s="33"/>
      <c r="I126" s="3637"/>
      <c r="J126" s="3637"/>
      <c r="K126" s="3637"/>
      <c r="L126" s="3637"/>
      <c r="M126" s="3637"/>
      <c r="N126" s="3637"/>
      <c r="O126" s="3637"/>
      <c r="P126" s="3637"/>
      <c r="Q126" s="3637"/>
      <c r="R126" s="3637"/>
    </row>
    <row r="127" spans="2:18">
      <c r="B127" s="622"/>
      <c r="C127" s="33"/>
      <c r="I127" s="3637"/>
      <c r="J127" s="3637"/>
      <c r="K127" s="3637"/>
      <c r="L127" s="3637"/>
      <c r="M127" s="3637"/>
      <c r="N127" s="3637"/>
      <c r="O127" s="3637"/>
      <c r="P127" s="3637"/>
      <c r="Q127" s="3637"/>
      <c r="R127" s="3637"/>
    </row>
    <row r="128" spans="2:18">
      <c r="B128" s="622"/>
      <c r="C128" s="33"/>
      <c r="I128" s="3637"/>
      <c r="J128" s="3637"/>
      <c r="K128" s="3637"/>
      <c r="L128" s="3637"/>
      <c r="M128" s="3637"/>
      <c r="N128" s="3637"/>
      <c r="O128" s="3637"/>
      <c r="P128" s="3637"/>
      <c r="Q128" s="3637"/>
      <c r="R128" s="3637"/>
    </row>
    <row r="129" spans="2:18">
      <c r="B129" s="622"/>
      <c r="C129" s="33"/>
      <c r="I129" s="3637"/>
      <c r="J129" s="3637"/>
      <c r="K129" s="3637"/>
      <c r="L129" s="3637"/>
      <c r="M129" s="3637"/>
      <c r="N129" s="3637"/>
      <c r="O129" s="3637"/>
      <c r="P129" s="3637"/>
      <c r="Q129" s="3637"/>
      <c r="R129" s="3637"/>
    </row>
    <row r="130" spans="2:18">
      <c r="B130" s="622"/>
      <c r="C130" s="33"/>
      <c r="I130" s="3637"/>
      <c r="J130" s="3637"/>
      <c r="K130" s="3637"/>
      <c r="L130" s="3637"/>
      <c r="M130" s="3637"/>
      <c r="N130" s="3637"/>
      <c r="O130" s="3637"/>
      <c r="P130" s="3637"/>
      <c r="Q130" s="3637"/>
      <c r="R130" s="3637"/>
    </row>
    <row r="131" spans="2:18">
      <c r="B131" s="622"/>
      <c r="C131" s="33"/>
      <c r="I131" s="3637"/>
      <c r="J131" s="3637"/>
      <c r="K131" s="3637"/>
      <c r="L131" s="3637"/>
      <c r="M131" s="3637"/>
      <c r="N131" s="3637"/>
      <c r="O131" s="3637"/>
      <c r="P131" s="3637"/>
      <c r="Q131" s="3637"/>
      <c r="R131" s="3637"/>
    </row>
    <row r="132" spans="2:18">
      <c r="B132" s="622"/>
      <c r="C132" s="33"/>
      <c r="I132" s="3637"/>
      <c r="J132" s="3637"/>
      <c r="K132" s="3637"/>
      <c r="L132" s="3637"/>
      <c r="M132" s="3637"/>
      <c r="N132" s="3637"/>
      <c r="O132" s="3637"/>
      <c r="P132" s="3637"/>
      <c r="Q132" s="3637"/>
      <c r="R132" s="3637"/>
    </row>
    <row r="133" spans="2:18">
      <c r="B133" s="622"/>
      <c r="C133" s="33"/>
      <c r="I133" s="3637"/>
      <c r="J133" s="3637"/>
      <c r="K133" s="3637"/>
      <c r="L133" s="3637"/>
      <c r="M133" s="3637"/>
      <c r="N133" s="3637"/>
      <c r="O133" s="3637"/>
      <c r="P133" s="3637"/>
      <c r="Q133" s="3637"/>
      <c r="R133" s="3637"/>
    </row>
    <row r="134" spans="2:18">
      <c r="B134" s="622"/>
      <c r="C134" s="33"/>
      <c r="I134" s="3637"/>
      <c r="J134" s="3637"/>
      <c r="K134" s="3637"/>
      <c r="L134" s="3637"/>
      <c r="M134" s="3637"/>
      <c r="N134" s="3637"/>
      <c r="O134" s="3637"/>
      <c r="P134" s="3637"/>
      <c r="Q134" s="3637"/>
      <c r="R134" s="3637"/>
    </row>
    <row r="135" spans="2:18">
      <c r="B135" s="622"/>
      <c r="C135" s="33"/>
      <c r="I135" s="3637"/>
      <c r="J135" s="3637"/>
      <c r="K135" s="3637"/>
      <c r="L135" s="3637"/>
      <c r="M135" s="3637"/>
      <c r="N135" s="3637"/>
      <c r="O135" s="3637"/>
      <c r="P135" s="3637"/>
      <c r="Q135" s="3637"/>
      <c r="R135" s="3637"/>
    </row>
    <row r="136" spans="2:18">
      <c r="B136" s="622"/>
      <c r="C136" s="33"/>
      <c r="I136" s="3637"/>
      <c r="J136" s="3637"/>
      <c r="K136" s="3637"/>
      <c r="L136" s="3637"/>
      <c r="M136" s="3637"/>
      <c r="N136" s="3637"/>
      <c r="O136" s="3637"/>
      <c r="P136" s="3637"/>
      <c r="Q136" s="3637"/>
      <c r="R136" s="3637"/>
    </row>
    <row r="137" spans="2:18">
      <c r="B137" s="622"/>
      <c r="C137" s="33"/>
      <c r="I137" s="3637"/>
      <c r="J137" s="3637"/>
      <c r="K137" s="3637"/>
      <c r="L137" s="3637"/>
      <c r="M137" s="3637"/>
      <c r="N137" s="3637"/>
      <c r="O137" s="3637"/>
      <c r="P137" s="3637"/>
      <c r="Q137" s="3637"/>
      <c r="R137" s="3637"/>
    </row>
    <row r="138" spans="2:18">
      <c r="B138" s="622"/>
      <c r="C138" s="33"/>
      <c r="I138" s="3637"/>
      <c r="J138" s="3637"/>
      <c r="K138" s="3637"/>
      <c r="L138" s="3637"/>
      <c r="M138" s="3637"/>
      <c r="N138" s="3637"/>
      <c r="O138" s="3637"/>
      <c r="P138" s="3637"/>
      <c r="Q138" s="3637"/>
      <c r="R138" s="3637"/>
    </row>
    <row r="139" spans="2:18">
      <c r="B139" s="622"/>
      <c r="C139" s="33"/>
      <c r="L139" s="33"/>
    </row>
    <row r="140" spans="2:18">
      <c r="B140" s="622"/>
      <c r="C140" s="33"/>
      <c r="L140" s="33"/>
    </row>
    <row r="141" spans="2:18">
      <c r="B141" s="622"/>
      <c r="C141" s="33"/>
      <c r="L141" s="33"/>
    </row>
    <row r="142" spans="2:18">
      <c r="B142" s="622"/>
      <c r="C142" s="33"/>
      <c r="L142" s="33"/>
    </row>
    <row r="143" spans="2:18">
      <c r="B143" s="622"/>
      <c r="C143" s="33"/>
      <c r="L143" s="33"/>
    </row>
    <row r="144" spans="2:18">
      <c r="B144" s="622"/>
      <c r="C144" s="33"/>
      <c r="L144" s="33"/>
    </row>
    <row r="145" spans="2:12">
      <c r="B145" s="622"/>
      <c r="C145" s="33"/>
      <c r="L145" s="33"/>
    </row>
    <row r="146" spans="2:12">
      <c r="B146" s="622"/>
      <c r="C146" s="33"/>
      <c r="L146" s="33"/>
    </row>
    <row r="147" spans="2:12">
      <c r="B147" s="622"/>
      <c r="C147" s="33"/>
      <c r="F147" s="33"/>
      <c r="G147" s="33"/>
      <c r="H147" s="33"/>
      <c r="I147" s="33"/>
      <c r="J147" s="33"/>
    </row>
    <row r="148" spans="2:12">
      <c r="B148" s="622"/>
      <c r="C148" s="33"/>
      <c r="D148" s="33"/>
      <c r="F148" s="33"/>
      <c r="G148" s="33"/>
      <c r="H148" s="33"/>
      <c r="I148" s="33"/>
      <c r="J148" s="33"/>
    </row>
    <row r="149" spans="2:12">
      <c r="B149" s="622"/>
      <c r="C149" s="33"/>
      <c r="D149" s="33"/>
      <c r="F149" s="33"/>
      <c r="G149" s="33"/>
      <c r="H149" s="33"/>
      <c r="I149" s="33"/>
      <c r="J149" s="33"/>
    </row>
    <row r="150" spans="2:12">
      <c r="B150" s="622"/>
      <c r="C150" s="33"/>
      <c r="D150" s="33"/>
      <c r="F150" s="33"/>
      <c r="G150" s="33"/>
      <c r="H150" s="33"/>
      <c r="I150" s="33"/>
      <c r="J150" s="33"/>
    </row>
    <row r="151" spans="2:12">
      <c r="B151" s="622"/>
      <c r="C151" s="33"/>
      <c r="D151" s="33"/>
      <c r="F151" s="33"/>
      <c r="G151" s="33"/>
      <c r="H151" s="33"/>
      <c r="I151" s="33"/>
      <c r="J151" s="33"/>
    </row>
    <row r="152" spans="2:12">
      <c r="B152" s="622"/>
      <c r="C152" s="33"/>
      <c r="D152" s="33"/>
      <c r="F152" s="33"/>
      <c r="G152" s="33"/>
      <c r="H152" s="33"/>
      <c r="I152" s="33"/>
      <c r="J152" s="33"/>
    </row>
    <row r="153" spans="2:12">
      <c r="B153" s="622"/>
      <c r="C153" s="33"/>
      <c r="D153" s="33"/>
      <c r="F153" s="33"/>
      <c r="G153" s="33"/>
      <c r="H153" s="33"/>
      <c r="I153" s="33"/>
      <c r="J153" s="33"/>
    </row>
    <row r="154" spans="2:12">
      <c r="B154" s="622"/>
      <c r="C154" s="33"/>
      <c r="D154" s="33"/>
      <c r="F154" s="33"/>
      <c r="G154" s="33"/>
      <c r="H154" s="33"/>
      <c r="I154" s="33"/>
      <c r="J154" s="33"/>
    </row>
    <row r="155" spans="2:12">
      <c r="B155" s="622"/>
      <c r="C155" s="33"/>
      <c r="D155" s="33"/>
      <c r="F155" s="33"/>
      <c r="G155" s="33"/>
      <c r="H155" s="33"/>
      <c r="I155" s="33"/>
      <c r="J155" s="33"/>
    </row>
    <row r="156" spans="2:12">
      <c r="B156" s="622"/>
      <c r="C156" s="33"/>
      <c r="D156" s="33"/>
      <c r="F156" s="33"/>
      <c r="G156" s="33"/>
      <c r="H156" s="33"/>
      <c r="I156" s="33"/>
      <c r="J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C79:F79"/>
    <mergeCell ref="C64:E64"/>
    <mergeCell ref="C68:E68"/>
    <mergeCell ref="C73:E73"/>
    <mergeCell ref="C74:E74"/>
    <mergeCell ref="B75:C75"/>
    <mergeCell ref="C78:F78"/>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19:F19"/>
    <mergeCell ref="E22:G22"/>
    <mergeCell ref="G1:I1"/>
    <mergeCell ref="K1:L1"/>
    <mergeCell ref="N1:O1"/>
    <mergeCell ref="K2:P2"/>
    <mergeCell ref="J3:L3"/>
    <mergeCell ref="N3:O4"/>
    <mergeCell ref="E4:I4"/>
    <mergeCell ref="J4:L4"/>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12</xdr:col>
                    <xdr:colOff>133350</xdr:colOff>
                    <xdr:row>2</xdr:row>
                    <xdr:rowOff>257175</xdr:rowOff>
                  </from>
                  <to>
                    <xdr:col>12</xdr:col>
                    <xdr:colOff>295275</xdr:colOff>
                    <xdr:row>3</xdr:row>
                    <xdr:rowOff>219075</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12</xdr:col>
                    <xdr:colOff>133350</xdr:colOff>
                    <xdr:row>2</xdr:row>
                    <xdr:rowOff>57150</xdr:rowOff>
                  </from>
                  <to>
                    <xdr:col>12</xdr:col>
                    <xdr:colOff>419100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5">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7" width="0" style="31" hidden="1" customWidth="1"/>
    <col min="28" max="16384" width="10.5" style="31"/>
  </cols>
  <sheetData>
    <row r="1" spans="1:41" s="276" customFormat="1" ht="30.2" customHeight="1">
      <c r="A1" s="2507"/>
      <c r="B1" s="326"/>
      <c r="C1" s="1908"/>
      <c r="D1" s="136"/>
      <c r="E1" s="323"/>
      <c r="F1" s="323"/>
      <c r="G1" s="4908" t="s">
        <v>1694</v>
      </c>
      <c r="H1" s="4908"/>
      <c r="I1" s="4908"/>
      <c r="J1" s="1906">
        <f>(J7+J13+J18+J22+I11+I12)-(J23+J27+J34+J43+J60+J65+J67+J69+J71+J75)</f>
        <v>1199.2063145940183</v>
      </c>
      <c r="K1" s="4859">
        <f>M1-J1</f>
        <v>373.12319052213729</v>
      </c>
      <c r="L1" s="4859"/>
      <c r="M1" s="1906">
        <f>(M7+M13+M18+M22+L11+L12)-(M23+M27+M34+M43+M60+M65+M67+M69+M71+M75)</f>
        <v>1572.3295051161556</v>
      </c>
      <c r="N1" s="4859">
        <f>P1-M1</f>
        <v>333.40365927213725</v>
      </c>
      <c r="O1" s="4859"/>
      <c r="P1" s="1906">
        <f>(P7+P13+P18+P22+O11+O12)-(P23+P27+P34+P43+P60+P65+P67+P69+P71+P75)</f>
        <v>1905.7331643882928</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1953</v>
      </c>
      <c r="L2" s="4870"/>
      <c r="M2" s="4870"/>
      <c r="N2" s="4870"/>
      <c r="O2" s="4870"/>
      <c r="P2" s="4870"/>
      <c r="Q2" s="2507"/>
    </row>
    <row r="3" spans="1:41" s="276" customFormat="1" ht="21.75" customHeight="1">
      <c r="A3" s="2507"/>
      <c r="B3" s="1903" t="s">
        <v>1693</v>
      </c>
      <c r="G3" s="1891"/>
      <c r="H3" s="1902"/>
      <c r="J3" s="4866" t="s">
        <v>1262</v>
      </c>
      <c r="K3" s="4916"/>
      <c r="L3" s="4916"/>
      <c r="M3" s="2515"/>
      <c r="N3" s="4909" t="str">
        <f>IF(AND(T3=TRUE,T4=TRUE),"nur 1 Strohnutzung möglich","")</f>
        <v/>
      </c>
      <c r="O3" s="4872"/>
      <c r="P3" s="1900"/>
      <c r="Q3" s="2507"/>
      <c r="T3" s="1918" t="b">
        <v>1</v>
      </c>
    </row>
    <row r="4" spans="1:41" s="276" customFormat="1" ht="20.25" customHeight="1">
      <c r="A4" s="2507"/>
      <c r="B4" s="377" t="s">
        <v>1154</v>
      </c>
      <c r="C4" s="31"/>
      <c r="D4" s="31"/>
      <c r="E4" s="4830" t="s">
        <v>1268</v>
      </c>
      <c r="F4" s="4830"/>
      <c r="G4" s="4830"/>
      <c r="H4" s="4830"/>
      <c r="I4" s="4830"/>
      <c r="J4" s="4866" t="s">
        <v>1250</v>
      </c>
      <c r="K4" s="4916"/>
      <c r="L4" s="4916"/>
      <c r="M4" s="2514"/>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t="s">
        <v>179</v>
      </c>
      <c r="I6" s="4865"/>
      <c r="J6" s="1887">
        <f>M6*0.75</f>
        <v>26.25</v>
      </c>
      <c r="K6" s="4849" t="s">
        <v>152</v>
      </c>
      <c r="L6" s="4850"/>
      <c r="M6" s="1887">
        <v>35</v>
      </c>
      <c r="N6" s="4864" t="s">
        <v>178</v>
      </c>
      <c r="O6" s="4865"/>
      <c r="P6" s="1886">
        <f>M6*1.25</f>
        <v>43.75</v>
      </c>
      <c r="Q6" s="70"/>
    </row>
    <row r="7" spans="1:41" s="252" customFormat="1" ht="18.75" customHeight="1">
      <c r="A7" s="47"/>
      <c r="B7" s="311" t="s">
        <v>1691</v>
      </c>
      <c r="C7" s="47"/>
      <c r="D7" s="47"/>
      <c r="E7" s="47"/>
      <c r="F7" s="47"/>
      <c r="G7" s="1884" t="s">
        <v>171</v>
      </c>
      <c r="H7" s="1881"/>
      <c r="I7" s="1880"/>
      <c r="J7" s="1614">
        <f>SUM(I9:I10)</f>
        <v>1213.5987499999999</v>
      </c>
      <c r="K7" s="1883"/>
      <c r="L7" s="1882"/>
      <c r="M7" s="1617">
        <f>SUM(L9:L10)</f>
        <v>1618.1316666666664</v>
      </c>
      <c r="N7" s="1881"/>
      <c r="O7" s="1880"/>
      <c r="P7" s="1614">
        <f>SUM(O9:O10)</f>
        <v>2022.6645833333332</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SDÖ1!O22</f>
        <v>47.55</v>
      </c>
      <c r="H9" s="1877">
        <f>J6-H10</f>
        <v>23.625</v>
      </c>
      <c r="I9" s="1873">
        <f>H9*G9</f>
        <v>1123.3687499999999</v>
      </c>
      <c r="J9" s="43"/>
      <c r="K9" s="1876">
        <f>M6-K10</f>
        <v>31.5</v>
      </c>
      <c r="L9" s="1875">
        <f>K9*G9</f>
        <v>1497.8249999999998</v>
      </c>
      <c r="M9" s="1854"/>
      <c r="N9" s="1874">
        <f>P6-N10</f>
        <v>39.375</v>
      </c>
      <c r="O9" s="1873">
        <f>N9*G9</f>
        <v>1872.28125</v>
      </c>
      <c r="P9" s="43"/>
      <c r="Q9" s="32"/>
      <c r="R9" s="935"/>
      <c r="S9" s="265" t="s">
        <v>1265</v>
      </c>
      <c r="T9" s="1872"/>
    </row>
    <row r="10" spans="1:41" s="1842" customFormat="1" ht="15" customHeight="1">
      <c r="A10" s="377"/>
      <c r="B10" s="239"/>
      <c r="C10" s="281" t="s">
        <v>1689</v>
      </c>
      <c r="D10" s="1851"/>
      <c r="E10" s="4873" t="s">
        <v>1269</v>
      </c>
      <c r="F10" s="4874"/>
      <c r="G10" s="1871">
        <f>SDÖ1!O49</f>
        <v>34.373333333333335</v>
      </c>
      <c r="H10" s="1866">
        <f>J6*0.1</f>
        <v>2.625</v>
      </c>
      <c r="I10" s="1865">
        <f>H10*G10</f>
        <v>90.23</v>
      </c>
      <c r="J10" s="1870"/>
      <c r="K10" s="1869">
        <f>M6*0.1</f>
        <v>3.5</v>
      </c>
      <c r="L10" s="1868">
        <f>K10*G10</f>
        <v>120.30666666666667</v>
      </c>
      <c r="M10" s="1867"/>
      <c r="N10" s="1866">
        <f>P6*0.1</f>
        <v>4.375</v>
      </c>
      <c r="O10" s="1865">
        <f>N10*G10</f>
        <v>150.38333333333333</v>
      </c>
      <c r="P10" s="1864"/>
      <c r="Q10" s="38"/>
      <c r="R10" s="1863">
        <f>I10+I11+I12</f>
        <v>357.98000000000008</v>
      </c>
      <c r="S10" s="1862">
        <f>L10+L11+L12</f>
        <v>477.30666666666673</v>
      </c>
      <c r="T10" s="1861">
        <f>O10+O11+O12</f>
        <v>596.63333333333344</v>
      </c>
      <c r="W10" s="252" t="s">
        <v>1254</v>
      </c>
    </row>
    <row r="11" spans="1:41" s="1842" customFormat="1" ht="15" customHeight="1">
      <c r="A11" s="377"/>
      <c r="B11" s="274"/>
      <c r="C11" s="45" t="s">
        <v>1253</v>
      </c>
      <c r="D11" s="377"/>
      <c r="E11" s="1860">
        <v>0.9</v>
      </c>
      <c r="F11" s="45" t="s">
        <v>1252</v>
      </c>
      <c r="G11" s="1859">
        <f>SDÖ1!$O$51</f>
        <v>11.333333333333336</v>
      </c>
      <c r="H11" s="1858">
        <f>IF($T$3=FALSE,0,J6*$E$11)</f>
        <v>23.625</v>
      </c>
      <c r="I11" s="1852">
        <f>H11*$G$11</f>
        <v>267.75000000000006</v>
      </c>
      <c r="J11" s="1857"/>
      <c r="K11" s="1856">
        <f>IF($T$3=FALSE,0,M6*$E$11)</f>
        <v>31.5</v>
      </c>
      <c r="L11" s="1855">
        <f>K11*$G$11</f>
        <v>357.00000000000006</v>
      </c>
      <c r="M11" s="1854"/>
      <c r="N11" s="1853">
        <f>IF($T$3=FALSE,0,P6*$E$11)</f>
        <v>39.375</v>
      </c>
      <c r="O11" s="1852">
        <f>N11*$G$11</f>
        <v>446.25000000000011</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23.625</v>
      </c>
      <c r="Y12" s="1839">
        <f>IF(OR(T3=TRUE,T4=TRUE),M6*$E$11,"0")</f>
        <v>31.5</v>
      </c>
      <c r="Z12" s="1838">
        <f>IF(OR(T3=TRUE,T4=TRUE),P6*$E$11,"0")</f>
        <v>39.375</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99" t="s">
        <v>2183</v>
      </c>
      <c r="D21" s="4099"/>
      <c r="E21" s="4099"/>
      <c r="F21" s="4099"/>
      <c r="G21" s="182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117.6</v>
      </c>
      <c r="K23" s="1619"/>
      <c r="L23" s="1618"/>
      <c r="M23" s="1800">
        <f>SUM(L25:L26)</f>
        <v>117.6</v>
      </c>
      <c r="N23" s="1616"/>
      <c r="O23" s="1615"/>
      <c r="P23" s="1599">
        <f>SUM(O25:O26)</f>
        <v>117.6</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0.84</v>
      </c>
      <c r="G25" s="1794">
        <f>F25*(100+$D$24)/100</f>
        <v>0.84</v>
      </c>
      <c r="H25" s="1793">
        <v>140</v>
      </c>
      <c r="I25" s="1754">
        <f>H25*$G25</f>
        <v>117.6</v>
      </c>
      <c r="J25" s="45"/>
      <c r="K25" s="1793">
        <f>H25</f>
        <v>140</v>
      </c>
      <c r="L25" s="1596">
        <f>K25*$G25</f>
        <v>117.6</v>
      </c>
      <c r="M25" s="1589"/>
      <c r="N25" s="1793">
        <f>H25</f>
        <v>140</v>
      </c>
      <c r="O25" s="1754">
        <f>N25*$G25</f>
        <v>117.6</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308.96166666666664</v>
      </c>
      <c r="K27" s="1748"/>
      <c r="L27" s="1747"/>
      <c r="M27" s="1617">
        <f>SUM(L30:L33)</f>
        <v>381.72666666666663</v>
      </c>
      <c r="N27" s="1746"/>
      <c r="O27" s="1745"/>
      <c r="P27" s="1614">
        <f>SUM(O30:O33)</f>
        <v>454.49166666666667</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8"/>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VLOOKUP('SD8'!B20,'SD8'!B9:K44,3,FALSE)</f>
        <v>1.38</v>
      </c>
      <c r="F30" s="1774"/>
      <c r="G30" s="1773">
        <v>20</v>
      </c>
      <c r="H30" s="1771">
        <f>IF(J$6=0,0,(J$6*$E30+$G30+X13))</f>
        <v>56.224999999999994</v>
      </c>
      <c r="I30" s="1754">
        <f>H30*$D30</f>
        <v>254.88666666666663</v>
      </c>
      <c r="J30" s="45"/>
      <c r="K30" s="1772">
        <f>IF(M$6=0,0,(M$6*$E30+$G30+AA14))</f>
        <v>68.3</v>
      </c>
      <c r="L30" s="1596">
        <f>K30*$D30</f>
        <v>309.62666666666667</v>
      </c>
      <c r="M30" s="1589"/>
      <c r="N30" s="1771">
        <f>IF(P$6=0,0,(P$6*$E30+$G30+AD14))</f>
        <v>80.375</v>
      </c>
      <c r="O30" s="1754">
        <f>N30*$D30</f>
        <v>364.36666666666667</v>
      </c>
      <c r="P30" s="1718"/>
      <c r="Q30" s="32"/>
    </row>
    <row r="31" spans="1:20" s="42" customFormat="1" ht="15" customHeight="1">
      <c r="A31" s="1306"/>
      <c r="B31" s="274"/>
      <c r="C31" s="1306" t="s">
        <v>244</v>
      </c>
      <c r="D31" s="1723">
        <f>IF(SDÖ1!$U$17=TRUE,SDÖ1!O56,0)</f>
        <v>1.3999999999999997</v>
      </c>
      <c r="E31" s="1774">
        <f>VLOOKUP('SD8'!B20,'SD8'!B9:K44,4,FALSE)</f>
        <v>0.8</v>
      </c>
      <c r="F31" s="1774"/>
      <c r="G31" s="1773"/>
      <c r="H31" s="1771">
        <f>IF(J$6=0,0,(J$6*$E31+$G31+X14))</f>
        <v>21</v>
      </c>
      <c r="I31" s="1754">
        <f>H31*$D31</f>
        <v>29.399999999999995</v>
      </c>
      <c r="J31" s="45"/>
      <c r="K31" s="1772">
        <f>IF(M$6=0,0,(M$6*$E31+$G31+Y14))</f>
        <v>28</v>
      </c>
      <c r="L31" s="1596">
        <f>K31*$D31</f>
        <v>39.199999999999989</v>
      </c>
      <c r="M31" s="1589"/>
      <c r="N31" s="1771">
        <f>IF(P$6=0,0,(P$6*$E31+$G31+Z14))</f>
        <v>35</v>
      </c>
      <c r="O31" s="1754">
        <f>N31*$D31</f>
        <v>48.999999999999986</v>
      </c>
      <c r="P31" s="1718"/>
      <c r="Q31" s="32"/>
    </row>
    <row r="32" spans="1:20" s="708" customFormat="1" ht="18.75" customHeight="1">
      <c r="A32" s="1270"/>
      <c r="B32" s="274"/>
      <c r="C32" s="1306" t="s">
        <v>242</v>
      </c>
      <c r="D32" s="1723">
        <f>IF(SDÖ1!$U$17=TRUE,SDÖ1!O57,0)</f>
        <v>1.3999999999999997</v>
      </c>
      <c r="E32" s="1774">
        <f>VLOOKUP('SD8'!B20,'SD8'!B9:K44,5,FALSE)</f>
        <v>0.6</v>
      </c>
      <c r="F32" s="1774"/>
      <c r="G32" s="1773"/>
      <c r="H32" s="1771">
        <f>IF(J$6=0,0,(J$6*$E32+$G32+X15))</f>
        <v>15.75</v>
      </c>
      <c r="I32" s="1754">
        <f>H32*$D32</f>
        <v>22.049999999999994</v>
      </c>
      <c r="J32" s="45"/>
      <c r="K32" s="1772">
        <f>IF(M$6=0,0,(M$6*$E32+$G32+Y15))</f>
        <v>21</v>
      </c>
      <c r="L32" s="1596">
        <f>K32*$D32</f>
        <v>29.399999999999995</v>
      </c>
      <c r="M32" s="1589"/>
      <c r="N32" s="1771">
        <f>IF(P$6=0,0,(P$6*$E32+$G32+Z15))</f>
        <v>26.25</v>
      </c>
      <c r="O32" s="1754">
        <f>N32*$D32</f>
        <v>36.749999999999993</v>
      </c>
      <c r="P32" s="1718"/>
      <c r="Q32" s="32"/>
    </row>
    <row r="33" spans="1:17" s="708" customFormat="1" ht="13.15" customHeight="1">
      <c r="A33" s="1270"/>
      <c r="B33" s="239"/>
      <c r="C33" s="1331" t="s">
        <v>240</v>
      </c>
      <c r="D33" s="1706">
        <f>IF(SDÖ1!$U$17=TRUE,SDÖ1!O58,0)</f>
        <v>0.5</v>
      </c>
      <c r="E33" s="1770">
        <f>VLOOKUP('SD8'!B20,'SD8'!B9:K44,6,FALSE)</f>
        <v>0.2</v>
      </c>
      <c r="F33" s="1770"/>
      <c r="G33" s="1769"/>
      <c r="H33" s="1767">
        <f>IF(J$6=0,0,(J$6*$E33+$G33+X16))</f>
        <v>5.25</v>
      </c>
      <c r="I33" s="1750">
        <f>H33*$D33</f>
        <v>2.625</v>
      </c>
      <c r="J33" s="45"/>
      <c r="K33" s="1768">
        <f>IF(M$6=0,0,(M$6*$E33+$G33+Y16))</f>
        <v>7</v>
      </c>
      <c r="L33" s="1590">
        <f>K33*$D33</f>
        <v>3.5</v>
      </c>
      <c r="M33" s="1589"/>
      <c r="N33" s="1767">
        <f>IF(P$6=0,0,(P$6*$E33+$G33+Z16))</f>
        <v>8.75</v>
      </c>
      <c r="O33" s="1750">
        <f>N33*$D33</f>
        <v>4.375</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165.6075464867227</v>
      </c>
      <c r="K43" s="1748"/>
      <c r="L43" s="1747"/>
      <c r="M43" s="1617">
        <f>SUM(M46:M57)</f>
        <v>170.50188123966385</v>
      </c>
      <c r="N43" s="1746"/>
      <c r="O43" s="1745"/>
      <c r="P43" s="1614">
        <f>SUM(P46:P57)</f>
        <v>175.39621599260505</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2</v>
      </c>
      <c r="I50" s="1719">
        <f t="shared" si="4"/>
        <v>0.54</v>
      </c>
      <c r="J50" s="1718">
        <f t="shared" si="5"/>
        <v>11.675802555294117</v>
      </c>
      <c r="K50" s="1720">
        <v>2</v>
      </c>
      <c r="L50" s="1722">
        <f t="shared" si="6"/>
        <v>0.54</v>
      </c>
      <c r="M50" s="1721">
        <f t="shared" si="7"/>
        <v>11.675802555294117</v>
      </c>
      <c r="N50" s="1720">
        <v>2</v>
      </c>
      <c r="O50" s="1719">
        <f t="shared" si="8"/>
        <v>0.54</v>
      </c>
      <c r="P50" s="1718">
        <f t="shared" si="9"/>
        <v>11.675802555294117</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t="s">
        <v>435</v>
      </c>
      <c r="D53" s="4836"/>
      <c r="E53" s="1725">
        <f>IF($C53=0,0,VLOOKUP($C53,SDÖ3!$C$24:$O$99,4,FALSE))</f>
        <v>83</v>
      </c>
      <c r="F53" s="1724">
        <f>IF($C53=0,0,VLOOKUP($C53,SDÖ3!$C$24:$O$99,12,FALSE))</f>
        <v>0.4</v>
      </c>
      <c r="G53" s="1723">
        <f>IF($C53=0,0,VLOOKUP($C53,SDÖ3!$C$24:$O$99,13,FALSE))</f>
        <v>6.8857796705882359</v>
      </c>
      <c r="H53" s="1720">
        <v>0.86250000000000004</v>
      </c>
      <c r="I53" s="1719">
        <f t="shared" si="4"/>
        <v>0.34500000000000003</v>
      </c>
      <c r="J53" s="1718">
        <f t="shared" si="5"/>
        <v>5.9389849658823541</v>
      </c>
      <c r="K53" s="1720">
        <v>1.05</v>
      </c>
      <c r="L53" s="1722">
        <f t="shared" si="6"/>
        <v>0.42000000000000004</v>
      </c>
      <c r="M53" s="1721">
        <f t="shared" si="7"/>
        <v>7.2300686541176482</v>
      </c>
      <c r="N53" s="1720">
        <v>1.2375</v>
      </c>
      <c r="O53" s="1719">
        <f t="shared" si="8"/>
        <v>0.49500000000000005</v>
      </c>
      <c r="P53" s="1718">
        <f t="shared" si="9"/>
        <v>8.5211523423529414</v>
      </c>
      <c r="Q53" s="32"/>
    </row>
    <row r="54" spans="1:17" s="42" customFormat="1" ht="15" customHeight="1">
      <c r="A54" s="1306"/>
      <c r="B54" s="1726"/>
      <c r="C54" s="4835" t="s">
        <v>508</v>
      </c>
      <c r="D54" s="4836"/>
      <c r="E54" s="1725">
        <f>IF($C54=0,0,VLOOKUP($C54,SDÖ3!$C$24:$O$99,4,FALSE))</f>
        <v>102</v>
      </c>
      <c r="F54" s="1724">
        <f>IF($C54=0,0,VLOOKUP($C54,SDÖ3!$C$24:$O$99,12,FALSE))</f>
        <v>0.54</v>
      </c>
      <c r="G54" s="1723">
        <f>IF($C54=0,0,VLOOKUP($C54,SDÖ3!$C$24:$O$99,13,FALSE))</f>
        <v>16.377695200000002</v>
      </c>
      <c r="H54" s="1720">
        <v>2</v>
      </c>
      <c r="I54" s="1719">
        <f t="shared" si="4"/>
        <v>1.08</v>
      </c>
      <c r="J54" s="1718">
        <f t="shared" si="5"/>
        <v>32.755390400000003</v>
      </c>
      <c r="K54" s="1720">
        <v>2</v>
      </c>
      <c r="L54" s="1722">
        <f t="shared" si="6"/>
        <v>1.08</v>
      </c>
      <c r="M54" s="1721">
        <f t="shared" si="7"/>
        <v>32.755390400000003</v>
      </c>
      <c r="N54" s="1720">
        <v>2</v>
      </c>
      <c r="O54" s="1719">
        <f t="shared" si="8"/>
        <v>1.08</v>
      </c>
      <c r="P54" s="1718">
        <f t="shared" si="9"/>
        <v>32.755390400000003</v>
      </c>
      <c r="Q54" s="32"/>
    </row>
    <row r="55" spans="1:17" s="42" customFormat="1" ht="15" customHeight="1">
      <c r="A55" s="1306"/>
      <c r="B55" s="1726"/>
      <c r="C55" s="4835"/>
      <c r="D55" s="4836"/>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0.67500000000000004</v>
      </c>
      <c r="I57" s="1703">
        <f t="shared" si="4"/>
        <v>0.67500000000000004</v>
      </c>
      <c r="J57" s="1702">
        <f t="shared" si="5"/>
        <v>10.809753194117647</v>
      </c>
      <c r="K57" s="3687">
        <f>K11/35</f>
        <v>0.9</v>
      </c>
      <c r="L57" s="1705">
        <f t="shared" si="6"/>
        <v>0.9</v>
      </c>
      <c r="M57" s="1652">
        <f t="shared" si="7"/>
        <v>14.413004258823531</v>
      </c>
      <c r="N57" s="3686">
        <f>N11/35</f>
        <v>1.125</v>
      </c>
      <c r="O57" s="1703">
        <f t="shared" si="8"/>
        <v>1.125</v>
      </c>
      <c r="P57" s="1702">
        <f t="shared" si="9"/>
        <v>18.016255323529411</v>
      </c>
      <c r="Q57" s="3678"/>
    </row>
    <row r="58" spans="1:17" s="708" customFormat="1" ht="18.75" customHeight="1">
      <c r="A58" s="1270"/>
      <c r="B58" s="1276" t="s">
        <v>1223</v>
      </c>
      <c r="C58" s="1373"/>
      <c r="D58" s="1373"/>
      <c r="E58" s="1373"/>
      <c r="F58" s="38"/>
      <c r="G58" s="1620"/>
      <c r="H58" s="1697"/>
      <c r="I58" s="1696">
        <f>SUM($I$46:$I$57)</f>
        <v>5.7</v>
      </c>
      <c r="J58" s="1701"/>
      <c r="K58" s="1700"/>
      <c r="L58" s="1699">
        <f>SUM($L$46:$L$57)</f>
        <v>6</v>
      </c>
      <c r="M58" s="1698"/>
      <c r="N58" s="1697"/>
      <c r="O58" s="1696">
        <f>SUM($O$46:$O$57)</f>
        <v>6.3</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10.260000000000002</v>
      </c>
      <c r="J59" s="1686"/>
      <c r="K59" s="1691"/>
      <c r="L59" s="1690">
        <f>IF(L58+SUM($L$46:$L$57)*$E$59%&gt;L58+10,L58+10,L58+SUM($L$46:$L$57)*$E$59%)</f>
        <v>10.8</v>
      </c>
      <c r="M59" s="1689"/>
      <c r="N59" s="1688"/>
      <c r="O59" s="1687">
        <f>IF(O58+SUM($O$46:$O$57)*$E$59%&gt;O58+10,O58+10,O58+SUM($O$46:$O$57)*$E$59%)</f>
        <v>11.34</v>
      </c>
      <c r="P59" s="1686"/>
      <c r="Q59" s="32"/>
    </row>
    <row r="60" spans="1:17" s="65" customFormat="1" ht="18.75" customHeight="1">
      <c r="A60" s="1373"/>
      <c r="B60" s="1276" t="s">
        <v>1220</v>
      </c>
      <c r="C60" s="1373"/>
      <c r="D60" s="1373"/>
      <c r="E60" s="45"/>
      <c r="F60" s="45"/>
      <c r="G60" s="1685"/>
      <c r="H60" s="1677"/>
      <c r="I60" s="1676"/>
      <c r="J60" s="1684">
        <f>IF(J6=0,0,SUM(I62:I64))</f>
        <v>210.96250000000001</v>
      </c>
      <c r="K60" s="1680"/>
      <c r="L60" s="1679"/>
      <c r="M60" s="1617">
        <f>IF(M6=0,0,SUM(L62:L64))</f>
        <v>230.65</v>
      </c>
      <c r="N60" s="1677"/>
      <c r="O60" s="1676"/>
      <c r="P60" s="1684">
        <f>IF(P6=0,0,SUM(O62:O64))</f>
        <v>250.33750000000001</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2.5</v>
      </c>
      <c r="H64" s="1651"/>
      <c r="I64" s="1650">
        <f>H11*$G$64</f>
        <v>59.0625</v>
      </c>
      <c r="J64" s="227"/>
      <c r="K64" s="1654"/>
      <c r="L64" s="1653">
        <f>K11*$G$64</f>
        <v>78.75</v>
      </c>
      <c r="M64" s="1652"/>
      <c r="N64" s="1651"/>
      <c r="O64" s="1650">
        <f>N11*$G$64</f>
        <v>98.4375</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47.381250000000001</v>
      </c>
      <c r="K67" s="1641" t="s">
        <v>1217</v>
      </c>
      <c r="L67" s="1640" t="s">
        <v>1216</v>
      </c>
      <c r="M67" s="1617">
        <f>S68*(K9+K10)*L68%+F68</f>
        <v>63.175000000000004</v>
      </c>
      <c r="N67" s="1639" t="s">
        <v>1217</v>
      </c>
      <c r="O67" s="1638" t="s">
        <v>1216</v>
      </c>
      <c r="P67" s="1614">
        <f>T68*(N9+N10)*O68%+F68</f>
        <v>118.34375</v>
      </c>
      <c r="Q67" s="32"/>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18</v>
      </c>
      <c r="O68" s="1633">
        <v>50</v>
      </c>
      <c r="P68" s="1632"/>
      <c r="Q68" s="32"/>
      <c r="R68" s="1631">
        <f>IF($H$68=0,0,VLOOKUP($H$68,'SD6'!B8:C101,'SD6'!C1,FALSE))*(1+'SDK1'!O11/100)</f>
        <v>3.6100000000000003</v>
      </c>
      <c r="S68" s="1631">
        <f>IF($K$68=0,0,VLOOKUP($K$68,'SD6'!B8:C101,'SD6'!C1,FALSE))*(1+'SDK1'!O11/100)</f>
        <v>3.6100000000000003</v>
      </c>
      <c r="T68" s="1631">
        <f>IF($N$68=0,0,VLOOKUP($N$68,'SD6'!B8:C101,'SD6'!C1,FALSE))*(1+'SDK1'!O11/100)</f>
        <v>5.41</v>
      </c>
    </row>
    <row r="69" spans="1:20" s="708" customFormat="1" ht="18.75" customHeight="1">
      <c r="A69" s="1270"/>
      <c r="B69" s="1276" t="s">
        <v>1214</v>
      </c>
      <c r="C69" s="1270"/>
      <c r="D69" s="1270"/>
      <c r="E69" s="38"/>
      <c r="F69" s="38"/>
      <c r="G69" s="1620"/>
      <c r="H69" s="44"/>
      <c r="I69" s="73"/>
      <c r="J69" s="1614">
        <f>H70*$F70/1000</f>
        <v>19.417579999999997</v>
      </c>
      <c r="K69" s="1630"/>
      <c r="L69" s="1629"/>
      <c r="M69" s="1617">
        <f>K70*$F70/1000</f>
        <v>25.890106666666664</v>
      </c>
      <c r="N69" s="44"/>
      <c r="O69" s="73"/>
      <c r="P69" s="1614">
        <f>N70*$F70/1000</f>
        <v>32.362633333333335</v>
      </c>
      <c r="Q69" s="32"/>
    </row>
    <row r="70" spans="1:20" s="708" customFormat="1" ht="15" customHeight="1">
      <c r="A70" s="1270"/>
      <c r="B70" s="1332"/>
      <c r="C70" s="1331" t="s">
        <v>896</v>
      </c>
      <c r="D70" s="353"/>
      <c r="E70" s="280"/>
      <c r="F70" s="1628">
        <f>'SDK7'!G102</f>
        <v>16</v>
      </c>
      <c r="G70" s="1627" t="s">
        <v>171</v>
      </c>
      <c r="H70" s="1623">
        <f>I9+I10</f>
        <v>1213.5987499999999</v>
      </c>
      <c r="I70" s="1622"/>
      <c r="J70" s="1621"/>
      <c r="K70" s="1626">
        <f>L9+L10</f>
        <v>1618.1316666666664</v>
      </c>
      <c r="L70" s="1625"/>
      <c r="M70" s="1624"/>
      <c r="N70" s="1623">
        <f>O9+O10</f>
        <v>2022.6645833333332</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7.6118922525921562</v>
      </c>
      <c r="K75" s="3063"/>
      <c r="L75" s="1056"/>
      <c r="M75" s="1578">
        <f>(M23+M27+M34+M43+M60+M65+M67+M69+M71)*('SDK1'!$O$59%*$G$75/12)</f>
        <v>8.6585069775137224</v>
      </c>
      <c r="N75" s="1580"/>
      <c r="O75" s="1579"/>
      <c r="P75" s="1578">
        <f>(P23+P27+P34+P43+P60+P65+P67+P69+P71)*('SDK1'!$O$59%*$G$75/12)</f>
        <v>10.049652952435295</v>
      </c>
      <c r="Q75" s="32"/>
    </row>
    <row r="76" spans="1:20">
      <c r="L76" s="3642"/>
      <c r="M76" s="3642"/>
      <c r="N76" s="3642"/>
      <c r="O76" s="3642"/>
      <c r="P76" s="3642"/>
      <c r="Q76" s="3642"/>
    </row>
    <row r="77" spans="1:20">
      <c r="L77" s="3642"/>
      <c r="M77" s="3642"/>
      <c r="N77" s="3642"/>
      <c r="O77" s="3642"/>
      <c r="P77" s="3642"/>
      <c r="Q77" s="3642"/>
    </row>
    <row r="78" spans="1:20" ht="14.25">
      <c r="C78" s="4921" t="s">
        <v>1946</v>
      </c>
      <c r="D78" s="4922"/>
      <c r="E78" s="4922"/>
      <c r="F78" s="4923"/>
      <c r="G78" s="3642"/>
      <c r="H78" s="3642"/>
      <c r="I78" s="3642"/>
      <c r="J78" s="3642"/>
      <c r="K78" s="3642"/>
      <c r="L78" s="3642"/>
      <c r="M78" s="3642"/>
      <c r="N78" s="3642"/>
      <c r="O78" s="3642"/>
      <c r="P78" s="3642"/>
      <c r="Q78" s="3642"/>
    </row>
    <row r="79" spans="1:20">
      <c r="C79" s="4913" t="s">
        <v>295</v>
      </c>
      <c r="D79" s="4914"/>
      <c r="E79" s="4914"/>
      <c r="F79" s="4915"/>
      <c r="G79" s="3642"/>
      <c r="H79" s="3642"/>
      <c r="I79" s="3642"/>
      <c r="J79" s="3642"/>
      <c r="K79" s="3642"/>
      <c r="L79" s="3642"/>
      <c r="M79" s="3642"/>
      <c r="N79" s="3642"/>
      <c r="O79" s="3642"/>
      <c r="P79" s="3642"/>
      <c r="Q79" s="3642"/>
    </row>
    <row r="80" spans="1:20" ht="14.25">
      <c r="B80" s="3078"/>
      <c r="C80" s="3074" t="s">
        <v>1942</v>
      </c>
      <c r="D80" s="3075"/>
      <c r="E80" s="3075"/>
      <c r="F80" s="3076"/>
      <c r="G80" s="3642"/>
      <c r="H80" s="3642"/>
      <c r="I80" s="3642"/>
      <c r="J80" s="3642"/>
      <c r="K80" s="3642"/>
      <c r="L80" s="3642"/>
      <c r="M80" s="3642"/>
      <c r="N80" s="3642"/>
      <c r="O80" s="3642"/>
      <c r="P80" s="3642"/>
      <c r="Q80" s="3642"/>
    </row>
    <row r="81" spans="2:17" ht="14.25">
      <c r="B81" s="3078"/>
      <c r="C81" s="3074" t="s">
        <v>1943</v>
      </c>
      <c r="D81" s="3075"/>
      <c r="E81" s="3075"/>
      <c r="F81" s="3076"/>
      <c r="G81" s="3642"/>
      <c r="H81" s="3642"/>
      <c r="I81" s="3642"/>
      <c r="J81" s="3642"/>
      <c r="K81" s="3642"/>
      <c r="L81" s="3642"/>
      <c r="M81" s="3642"/>
      <c r="N81" s="3642"/>
      <c r="O81" s="3642"/>
      <c r="P81" s="3642"/>
      <c r="Q81" s="3642"/>
    </row>
    <row r="82" spans="2:17">
      <c r="B82" s="3078"/>
      <c r="C82" s="3066" t="s">
        <v>294</v>
      </c>
      <c r="D82" s="3067"/>
      <c r="E82" s="3067"/>
      <c r="F82" s="3068"/>
      <c r="G82" s="3642"/>
      <c r="H82" s="3642"/>
      <c r="I82" s="3642"/>
      <c r="J82" s="3642"/>
      <c r="K82" s="3642"/>
      <c r="L82" s="3642"/>
      <c r="M82" s="3642"/>
      <c r="N82" s="3642"/>
      <c r="O82" s="3642"/>
      <c r="P82" s="3642"/>
    </row>
    <row r="83" spans="2:17" ht="14.25">
      <c r="B83" s="3078"/>
      <c r="C83" s="3074" t="s">
        <v>1944</v>
      </c>
      <c r="D83" s="3075"/>
      <c r="E83" s="3075"/>
      <c r="F83" s="3076"/>
      <c r="G83" s="3642"/>
      <c r="H83" s="3642"/>
      <c r="I83" s="3642"/>
      <c r="J83" s="3642"/>
      <c r="K83" s="3642"/>
      <c r="L83" s="3642"/>
      <c r="M83" s="3642"/>
      <c r="N83" s="3642"/>
      <c r="O83" s="3642"/>
      <c r="P83" s="3642"/>
    </row>
    <row r="84" spans="2:17" ht="14.25">
      <c r="B84" s="3078"/>
      <c r="C84" s="3074" t="s">
        <v>1945</v>
      </c>
      <c r="D84" s="3075"/>
      <c r="E84" s="3075"/>
      <c r="F84" s="3076"/>
      <c r="G84" s="3642"/>
      <c r="H84" s="3642"/>
      <c r="I84" s="3642"/>
      <c r="J84" s="3642"/>
      <c r="K84" s="3642"/>
      <c r="L84" s="3642"/>
      <c r="M84" s="3642"/>
      <c r="N84" s="3642"/>
      <c r="O84" s="3642"/>
      <c r="P84" s="3642"/>
    </row>
    <row r="85" spans="2:17">
      <c r="B85" s="3078"/>
      <c r="C85" s="3066" t="s">
        <v>293</v>
      </c>
      <c r="D85" s="3067"/>
      <c r="E85" s="3067"/>
      <c r="F85" s="3068"/>
      <c r="G85" s="3642"/>
      <c r="H85" s="3642"/>
      <c r="I85" s="3642"/>
      <c r="J85" s="3642"/>
      <c r="K85" s="3642"/>
      <c r="L85" s="3642"/>
      <c r="M85" s="3642"/>
      <c r="N85" s="3642"/>
      <c r="O85" s="3642"/>
      <c r="P85" s="3642"/>
    </row>
    <row r="86" spans="2:17">
      <c r="B86" s="3078"/>
      <c r="C86" s="3066" t="s">
        <v>292</v>
      </c>
      <c r="D86" s="3067"/>
      <c r="E86" s="3067"/>
      <c r="F86" s="3068"/>
      <c r="G86" s="3642"/>
      <c r="H86" s="3642"/>
      <c r="I86" s="3642"/>
      <c r="J86" s="3642"/>
      <c r="K86" s="3642"/>
      <c r="L86" s="3642"/>
      <c r="M86" s="3642"/>
      <c r="N86" s="3642"/>
      <c r="O86" s="3642"/>
      <c r="P86" s="3642"/>
    </row>
    <row r="87" spans="2:17" ht="14.25">
      <c r="B87" s="3078"/>
      <c r="C87" s="3066" t="s">
        <v>291</v>
      </c>
      <c r="D87" s="3067"/>
      <c r="E87" s="3067"/>
      <c r="F87" s="3068"/>
      <c r="G87" s="3642"/>
      <c r="H87" s="3642"/>
      <c r="I87" s="3642"/>
      <c r="J87" s="3642"/>
      <c r="K87" s="3642"/>
      <c r="L87" s="3642"/>
      <c r="M87" s="3642"/>
      <c r="N87" s="3642"/>
      <c r="O87" s="3642"/>
      <c r="P87" s="3642"/>
    </row>
    <row r="88" spans="2:17" ht="13.15" customHeight="1">
      <c r="B88" s="3078"/>
      <c r="C88" s="3066" t="s">
        <v>290</v>
      </c>
      <c r="D88" s="3069"/>
      <c r="E88" s="3069"/>
      <c r="F88" s="3070"/>
      <c r="G88" s="3642"/>
      <c r="H88" s="3642"/>
      <c r="I88" s="3642"/>
      <c r="J88" s="3642"/>
      <c r="K88" s="3642"/>
      <c r="L88" s="3642"/>
      <c r="M88" s="3642"/>
      <c r="N88" s="3642"/>
      <c r="O88" s="3642"/>
      <c r="P88" s="3642"/>
    </row>
    <row r="89" spans="2:17">
      <c r="B89" s="3078"/>
      <c r="C89" s="3066" t="s">
        <v>289</v>
      </c>
      <c r="D89" s="3069"/>
      <c r="E89" s="3069"/>
      <c r="F89" s="3070"/>
      <c r="G89" s="3642"/>
      <c r="H89" s="3642"/>
      <c r="I89" s="3642"/>
      <c r="J89" s="3642"/>
      <c r="K89" s="3642"/>
      <c r="L89" s="3642"/>
      <c r="M89" s="3642"/>
      <c r="N89" s="3642"/>
      <c r="O89" s="3642"/>
      <c r="P89" s="3642"/>
    </row>
    <row r="90" spans="2:17" ht="25.5">
      <c r="B90" s="3078"/>
      <c r="C90" s="3071" t="s">
        <v>288</v>
      </c>
      <c r="D90" s="3072"/>
      <c r="E90" s="3072"/>
      <c r="F90" s="3073"/>
      <c r="G90" s="3642"/>
      <c r="H90" s="3642"/>
      <c r="I90" s="3642"/>
      <c r="J90" s="3642"/>
      <c r="K90" s="3642"/>
      <c r="L90" s="3642"/>
      <c r="M90" s="3642"/>
      <c r="N90" s="3642"/>
      <c r="O90" s="3642"/>
      <c r="P90" s="3642"/>
    </row>
    <row r="91" spans="2:17">
      <c r="C91" s="33"/>
      <c r="D91" s="33"/>
      <c r="E91" s="33"/>
      <c r="F91" s="2538"/>
      <c r="G91" s="3642"/>
      <c r="H91" s="3642"/>
      <c r="I91" s="3642"/>
      <c r="J91" s="3642"/>
      <c r="K91" s="3642"/>
      <c r="L91" s="3642"/>
      <c r="M91" s="3642"/>
      <c r="N91" s="3642"/>
      <c r="O91" s="3642"/>
      <c r="P91" s="3642"/>
    </row>
    <row r="92" spans="2:17">
      <c r="C92" s="33"/>
      <c r="D92" s="33"/>
      <c r="E92" s="33"/>
      <c r="F92" s="2538"/>
      <c r="G92" s="3642"/>
      <c r="H92" s="3642"/>
      <c r="I92" s="3642"/>
      <c r="J92" s="3642"/>
      <c r="K92" s="3642"/>
      <c r="L92" s="3642"/>
      <c r="M92" s="3642"/>
      <c r="N92" s="3642"/>
      <c r="O92" s="3642"/>
      <c r="P92" s="3642"/>
    </row>
    <row r="93" spans="2:17">
      <c r="C93" s="33"/>
      <c r="D93" s="33"/>
      <c r="E93" s="33"/>
      <c r="F93" s="2538"/>
      <c r="G93" s="3642"/>
      <c r="H93" s="3642"/>
      <c r="I93" s="3642"/>
      <c r="J93" s="3642"/>
      <c r="K93" s="3642"/>
      <c r="L93" s="3642"/>
      <c r="M93" s="3642"/>
      <c r="N93" s="3642"/>
      <c r="O93" s="3642"/>
      <c r="P93" s="3642"/>
    </row>
    <row r="94" spans="2:17">
      <c r="C94" s="33"/>
      <c r="D94" s="33"/>
      <c r="E94" s="33"/>
      <c r="F94" s="2538"/>
      <c r="G94" s="3642"/>
      <c r="H94" s="3642"/>
      <c r="I94" s="3642"/>
      <c r="J94" s="3642"/>
      <c r="K94" s="3642"/>
      <c r="L94" s="3642"/>
      <c r="M94" s="3642"/>
      <c r="N94" s="3642"/>
      <c r="O94" s="3642"/>
      <c r="P94" s="3642"/>
    </row>
    <row r="95" spans="2:17">
      <c r="C95" s="33"/>
      <c r="D95" s="33"/>
      <c r="E95" s="33"/>
      <c r="F95" s="2538"/>
      <c r="G95" s="3642"/>
      <c r="H95" s="3642"/>
      <c r="I95" s="3642"/>
      <c r="J95" s="3642"/>
      <c r="K95" s="3642"/>
      <c r="L95" s="3642"/>
      <c r="M95" s="3642"/>
      <c r="N95" s="3642"/>
      <c r="O95" s="3642"/>
      <c r="P95" s="3642"/>
    </row>
    <row r="96" spans="2:17">
      <c r="C96" s="33"/>
      <c r="D96" s="33"/>
      <c r="E96" s="33"/>
      <c r="F96" s="2538"/>
      <c r="G96" s="3642"/>
      <c r="H96" s="3642"/>
      <c r="I96" s="3642"/>
      <c r="J96" s="3642"/>
      <c r="K96" s="3642"/>
      <c r="L96" s="3642"/>
      <c r="M96" s="3642"/>
      <c r="N96" s="3642"/>
      <c r="O96" s="3642"/>
      <c r="P96" s="3642"/>
    </row>
    <row r="97" spans="2:17">
      <c r="C97" s="33"/>
      <c r="D97" s="33"/>
      <c r="E97" s="33"/>
      <c r="G97" s="3642"/>
      <c r="H97" s="3642"/>
      <c r="I97" s="3642"/>
      <c r="J97" s="3642"/>
      <c r="K97" s="3642"/>
      <c r="L97" s="3642"/>
      <c r="M97" s="3642"/>
      <c r="N97" s="3642"/>
      <c r="O97" s="3642"/>
      <c r="P97" s="3642"/>
    </row>
    <row r="98" spans="2:17">
      <c r="C98" s="33"/>
      <c r="D98" s="33"/>
      <c r="E98" s="33"/>
      <c r="G98" s="3642"/>
      <c r="H98" s="3642"/>
      <c r="I98" s="3642"/>
      <c r="J98" s="3642"/>
      <c r="K98" s="3642"/>
      <c r="L98" s="3642"/>
      <c r="M98" s="3642"/>
      <c r="N98" s="3642"/>
      <c r="O98" s="3642"/>
      <c r="P98" s="3642"/>
    </row>
    <row r="99" spans="2:17">
      <c r="B99" s="33"/>
      <c r="C99" s="33"/>
      <c r="D99" s="33"/>
      <c r="E99" s="33"/>
      <c r="G99" s="3642"/>
      <c r="H99" s="3642"/>
      <c r="I99" s="3642"/>
      <c r="J99" s="3642"/>
      <c r="K99" s="3642"/>
      <c r="L99" s="3642"/>
      <c r="M99" s="3642"/>
      <c r="N99" s="3642"/>
      <c r="O99" s="3642"/>
      <c r="P99" s="3642"/>
    </row>
    <row r="100" spans="2:17">
      <c r="B100" s="33"/>
      <c r="C100" s="33"/>
      <c r="D100" s="33"/>
      <c r="E100" s="33"/>
      <c r="G100" s="3642"/>
      <c r="H100" s="3642"/>
      <c r="I100" s="3642"/>
      <c r="J100" s="3642"/>
      <c r="K100" s="3642"/>
      <c r="L100" s="3642"/>
      <c r="M100" s="3642"/>
      <c r="N100" s="3642"/>
      <c r="O100" s="3642"/>
      <c r="P100" s="3642"/>
    </row>
    <row r="101" spans="2:17">
      <c r="B101" s="33"/>
      <c r="C101" s="33"/>
      <c r="D101" s="33"/>
      <c r="E101" s="33"/>
      <c r="G101" s="3642"/>
      <c r="H101" s="3642"/>
      <c r="I101" s="3642"/>
      <c r="J101" s="3642"/>
      <c r="K101" s="3642"/>
      <c r="L101" s="3642"/>
      <c r="M101" s="3642"/>
      <c r="N101" s="3642"/>
      <c r="O101" s="3642"/>
      <c r="P101" s="3642"/>
    </row>
    <row r="102" spans="2:17">
      <c r="B102" s="33"/>
      <c r="C102" s="33"/>
      <c r="D102" s="33"/>
      <c r="G102" s="3642"/>
      <c r="H102" s="3642"/>
      <c r="I102" s="3642"/>
      <c r="J102" s="3642"/>
      <c r="K102" s="3642"/>
      <c r="L102" s="3642"/>
      <c r="M102" s="3642"/>
      <c r="N102" s="3642"/>
      <c r="O102" s="3642"/>
      <c r="P102" s="3642"/>
    </row>
    <row r="103" spans="2:17">
      <c r="B103" s="33"/>
      <c r="C103" s="33"/>
      <c r="D103" s="33"/>
      <c r="G103" s="3642"/>
      <c r="H103" s="3642"/>
      <c r="I103" s="3642"/>
      <c r="J103" s="3642"/>
      <c r="K103" s="3642"/>
      <c r="L103" s="3642"/>
      <c r="M103" s="3642"/>
      <c r="N103" s="3642"/>
      <c r="O103" s="3642"/>
      <c r="P103" s="3642"/>
    </row>
    <row r="104" spans="2:17">
      <c r="B104" s="33"/>
      <c r="C104" s="33"/>
      <c r="D104" s="33"/>
      <c r="G104" s="3642"/>
      <c r="H104" s="3642"/>
      <c r="I104" s="3642"/>
      <c r="J104" s="3642"/>
      <c r="K104" s="3642"/>
      <c r="L104" s="3642"/>
      <c r="M104" s="3642"/>
      <c r="N104" s="3642"/>
      <c r="O104" s="3642"/>
      <c r="P104" s="3642"/>
    </row>
    <row r="105" spans="2:17">
      <c r="B105" s="33"/>
      <c r="C105" s="33"/>
      <c r="D105" s="33"/>
      <c r="G105" s="3642"/>
      <c r="H105" s="3642"/>
      <c r="I105" s="3642"/>
      <c r="J105" s="3642"/>
      <c r="K105" s="3642"/>
      <c r="L105" s="3642"/>
      <c r="M105" s="3642"/>
      <c r="N105" s="3642"/>
      <c r="O105" s="3642"/>
      <c r="P105" s="3642"/>
    </row>
    <row r="106" spans="2:17">
      <c r="B106" s="33"/>
      <c r="C106" s="33"/>
      <c r="D106" s="33"/>
      <c r="G106" s="3642"/>
      <c r="H106" s="3642"/>
      <c r="I106" s="3642"/>
      <c r="J106" s="3642"/>
      <c r="K106" s="3642"/>
      <c r="L106" s="3642"/>
      <c r="M106" s="3642"/>
      <c r="N106" s="3642"/>
      <c r="O106" s="3642"/>
      <c r="P106" s="3642"/>
    </row>
    <row r="107" spans="2:17">
      <c r="G107" s="3642"/>
      <c r="H107" s="3642"/>
      <c r="I107" s="3642"/>
      <c r="J107" s="3642"/>
      <c r="K107" s="3642"/>
      <c r="L107" s="3642"/>
      <c r="M107" s="3642"/>
      <c r="N107" s="3642"/>
      <c r="O107" s="3642"/>
      <c r="P107" s="3642"/>
    </row>
    <row r="108" spans="2:17">
      <c r="G108" s="3642"/>
      <c r="H108" s="3642"/>
      <c r="I108" s="3642"/>
      <c r="J108" s="3642"/>
      <c r="K108" s="3642"/>
      <c r="L108" s="3642"/>
      <c r="M108" s="3642"/>
      <c r="N108" s="3642"/>
      <c r="O108" s="3642"/>
      <c r="P108" s="3642"/>
    </row>
    <row r="109" spans="2:17">
      <c r="G109" s="3642"/>
      <c r="H109" s="3642"/>
      <c r="I109" s="3642"/>
      <c r="J109" s="3642"/>
      <c r="K109" s="3642"/>
      <c r="L109" s="3642"/>
      <c r="M109" s="3642"/>
      <c r="N109" s="3642"/>
      <c r="O109" s="3642"/>
      <c r="P109" s="3642"/>
    </row>
    <row r="110" spans="2:17">
      <c r="G110" s="3642"/>
      <c r="H110" s="3642"/>
      <c r="I110" s="3642"/>
      <c r="J110" s="3642"/>
      <c r="K110" s="3642"/>
      <c r="L110" s="3642"/>
      <c r="M110" s="3642"/>
      <c r="N110" s="3642"/>
      <c r="O110" s="3642"/>
      <c r="P110" s="3642"/>
    </row>
    <row r="111" spans="2:17">
      <c r="G111" s="3642"/>
      <c r="H111" s="3642"/>
      <c r="I111" s="3642"/>
      <c r="J111" s="3642"/>
      <c r="K111" s="3642"/>
      <c r="L111" s="3642"/>
      <c r="M111" s="3642"/>
      <c r="N111" s="3642"/>
      <c r="O111" s="3642"/>
      <c r="P111" s="3642"/>
    </row>
    <row r="112" spans="2:17">
      <c r="G112" s="3642"/>
      <c r="H112" s="3642"/>
      <c r="I112" s="3642"/>
      <c r="J112" s="3642"/>
      <c r="K112" s="3642"/>
      <c r="L112" s="3642"/>
      <c r="M112" s="3642"/>
      <c r="N112" s="3642"/>
      <c r="O112" s="3642"/>
      <c r="P112" s="3642"/>
      <c r="Q112" s="3642"/>
    </row>
    <row r="113" spans="2:17">
      <c r="G113" s="3642"/>
      <c r="H113" s="3642"/>
      <c r="I113" s="3642"/>
      <c r="J113" s="3642"/>
      <c r="K113" s="3642"/>
      <c r="L113" s="3642"/>
      <c r="M113" s="3642"/>
      <c r="N113" s="3642"/>
      <c r="O113" s="3642"/>
      <c r="P113" s="3642"/>
      <c r="Q113" s="3642"/>
    </row>
    <row r="114" spans="2:17">
      <c r="G114" s="3642"/>
      <c r="H114" s="3642"/>
      <c r="I114" s="3642"/>
      <c r="J114" s="3642"/>
      <c r="K114" s="3642"/>
      <c r="L114" s="3642"/>
      <c r="M114" s="3642"/>
      <c r="N114" s="3642"/>
      <c r="O114" s="3642"/>
      <c r="P114" s="3642"/>
      <c r="Q114" s="3642"/>
    </row>
    <row r="115" spans="2:17">
      <c r="G115" s="3642"/>
      <c r="H115" s="3642"/>
      <c r="I115" s="3642"/>
      <c r="J115" s="3642"/>
      <c r="K115" s="3642"/>
      <c r="L115" s="3642"/>
      <c r="M115" s="3642"/>
      <c r="N115" s="3642"/>
      <c r="O115" s="3642"/>
      <c r="P115" s="3642"/>
      <c r="Q115" s="3642"/>
    </row>
    <row r="116" spans="2:17">
      <c r="G116" s="3642"/>
      <c r="H116" s="3642"/>
      <c r="I116" s="3642"/>
      <c r="J116" s="3642"/>
      <c r="K116" s="3642"/>
      <c r="L116" s="3642"/>
      <c r="M116" s="3642"/>
      <c r="N116" s="3642"/>
      <c r="O116" s="3642"/>
      <c r="P116" s="3642"/>
      <c r="Q116" s="3642"/>
    </row>
    <row r="117" spans="2:17">
      <c r="G117" s="3642"/>
      <c r="H117" s="3642"/>
      <c r="I117" s="3642"/>
      <c r="J117" s="3642"/>
      <c r="K117" s="3642"/>
      <c r="L117" s="3642"/>
      <c r="M117" s="3642"/>
      <c r="N117" s="3642"/>
      <c r="O117" s="3642"/>
      <c r="P117" s="3642"/>
      <c r="Q117" s="3642"/>
    </row>
    <row r="118" spans="2:17">
      <c r="B118" s="622"/>
      <c r="C118" s="33"/>
      <c r="G118" s="3642"/>
      <c r="H118" s="3642"/>
      <c r="I118" s="3642"/>
      <c r="J118" s="3642"/>
      <c r="K118" s="3642"/>
      <c r="L118" s="3642"/>
      <c r="M118" s="3642"/>
      <c r="N118" s="3642"/>
      <c r="O118" s="3642"/>
      <c r="P118" s="3642"/>
      <c r="Q118" s="3642"/>
    </row>
    <row r="119" spans="2:17">
      <c r="B119" s="622"/>
      <c r="C119" s="33"/>
      <c r="I119" s="3642"/>
      <c r="J119" s="3642"/>
      <c r="K119" s="3642"/>
      <c r="L119" s="3642"/>
      <c r="M119" s="3642"/>
      <c r="N119" s="3642"/>
      <c r="O119" s="3642"/>
      <c r="P119" s="3642"/>
      <c r="Q119" s="3642"/>
    </row>
    <row r="120" spans="2:17">
      <c r="B120" s="622"/>
      <c r="C120" s="33"/>
      <c r="I120" s="3642"/>
      <c r="J120" s="3642"/>
      <c r="K120" s="3642"/>
      <c r="L120" s="3642"/>
      <c r="M120" s="3642"/>
      <c r="N120" s="3642"/>
      <c r="O120" s="3642"/>
      <c r="P120" s="3642"/>
      <c r="Q120" s="3642"/>
    </row>
    <row r="121" spans="2:17">
      <c r="B121" s="622"/>
      <c r="C121" s="33"/>
      <c r="I121" s="3642"/>
      <c r="J121" s="3642"/>
      <c r="K121" s="3642"/>
      <c r="L121" s="3642"/>
      <c r="M121" s="3642"/>
      <c r="N121" s="3642"/>
      <c r="O121" s="3642"/>
      <c r="P121" s="3642"/>
      <c r="Q121" s="3642"/>
    </row>
    <row r="122" spans="2:17">
      <c r="B122" s="622"/>
      <c r="C122" s="33"/>
      <c r="I122" s="3642"/>
      <c r="J122" s="3642"/>
      <c r="K122" s="3642"/>
      <c r="L122" s="3642"/>
      <c r="M122" s="3642"/>
      <c r="N122" s="3642"/>
      <c r="O122" s="3642"/>
      <c r="P122" s="3642"/>
      <c r="Q122" s="3642"/>
    </row>
    <row r="123" spans="2:17">
      <c r="B123" s="622"/>
      <c r="C123" s="33"/>
      <c r="I123" s="3642"/>
      <c r="J123" s="3642"/>
      <c r="K123" s="3642"/>
      <c r="L123" s="3642"/>
      <c r="M123" s="3642"/>
      <c r="N123" s="3642"/>
      <c r="O123" s="3642"/>
      <c r="P123" s="3642"/>
      <c r="Q123" s="3642"/>
    </row>
    <row r="124" spans="2:17">
      <c r="B124" s="622"/>
      <c r="C124" s="33"/>
      <c r="I124" s="3642"/>
      <c r="J124" s="3642"/>
      <c r="K124" s="3642"/>
      <c r="L124" s="3642"/>
      <c r="M124" s="3642"/>
      <c r="N124" s="3642"/>
      <c r="O124" s="3642"/>
      <c r="P124" s="3642"/>
      <c r="Q124" s="3642"/>
    </row>
    <row r="125" spans="2:17">
      <c r="B125" s="622"/>
      <c r="C125" s="33"/>
      <c r="I125" s="3642"/>
      <c r="J125" s="3642"/>
      <c r="K125" s="3642"/>
      <c r="L125" s="3642"/>
      <c r="M125" s="3642"/>
      <c r="N125" s="3642"/>
      <c r="O125" s="3642"/>
      <c r="P125" s="3642"/>
      <c r="Q125" s="3642"/>
    </row>
    <row r="126" spans="2:17">
      <c r="B126" s="622"/>
      <c r="C126" s="33"/>
      <c r="I126" s="3642"/>
      <c r="J126" s="3642"/>
      <c r="K126" s="3642"/>
      <c r="L126" s="3642"/>
      <c r="M126" s="3642"/>
      <c r="N126" s="3642"/>
      <c r="O126" s="3642"/>
      <c r="P126" s="3642"/>
      <c r="Q126" s="3642"/>
    </row>
    <row r="127" spans="2:17">
      <c r="B127" s="622"/>
      <c r="C127" s="33"/>
      <c r="I127" s="3642"/>
      <c r="J127" s="3642"/>
      <c r="K127" s="3642"/>
      <c r="L127" s="3642"/>
      <c r="M127" s="3642"/>
      <c r="N127" s="3642"/>
      <c r="O127" s="3642"/>
      <c r="P127" s="3642"/>
      <c r="Q127" s="3642"/>
    </row>
    <row r="128" spans="2:17">
      <c r="B128" s="622"/>
      <c r="C128" s="33"/>
      <c r="I128" s="3642"/>
      <c r="J128" s="3642"/>
      <c r="K128" s="3642"/>
      <c r="L128" s="3642"/>
      <c r="M128" s="3642"/>
      <c r="N128" s="3642"/>
      <c r="O128" s="3642"/>
      <c r="P128" s="3642"/>
      <c r="Q128" s="3642"/>
    </row>
    <row r="129" spans="2:17">
      <c r="B129" s="622"/>
      <c r="C129" s="33"/>
      <c r="I129" s="3642"/>
      <c r="J129" s="3642"/>
      <c r="K129" s="3642"/>
      <c r="L129" s="3642"/>
      <c r="M129" s="3642"/>
      <c r="N129" s="3642"/>
      <c r="O129" s="3642"/>
      <c r="P129" s="3642"/>
      <c r="Q129" s="3642"/>
    </row>
    <row r="130" spans="2:17">
      <c r="B130" s="622"/>
      <c r="C130" s="33"/>
      <c r="I130" s="3642"/>
      <c r="J130" s="3642"/>
      <c r="K130" s="3642"/>
      <c r="L130" s="3642"/>
      <c r="M130" s="3642"/>
      <c r="N130" s="3642"/>
      <c r="O130" s="3642"/>
      <c r="P130" s="3642"/>
      <c r="Q130" s="3642"/>
    </row>
    <row r="131" spans="2:17">
      <c r="B131" s="622"/>
      <c r="C131" s="33"/>
      <c r="I131" s="3642"/>
      <c r="J131" s="3642"/>
      <c r="K131" s="3642"/>
      <c r="L131" s="3642"/>
      <c r="M131" s="3642"/>
      <c r="N131" s="3642"/>
      <c r="O131" s="3642"/>
      <c r="P131" s="3642"/>
      <c r="Q131" s="3642"/>
    </row>
    <row r="132" spans="2:17">
      <c r="B132" s="622"/>
      <c r="C132" s="33"/>
      <c r="I132" s="3642"/>
      <c r="J132" s="3642"/>
      <c r="K132" s="3642"/>
      <c r="L132" s="3642"/>
      <c r="M132" s="3642"/>
      <c r="N132" s="3642"/>
      <c r="O132" s="3642"/>
      <c r="P132" s="3642"/>
      <c r="Q132" s="3642"/>
    </row>
    <row r="133" spans="2:17">
      <c r="B133" s="622"/>
      <c r="C133" s="33"/>
      <c r="I133" s="3642"/>
      <c r="J133" s="3642"/>
      <c r="K133" s="3642"/>
      <c r="L133" s="3642"/>
      <c r="M133" s="3642"/>
      <c r="N133" s="3642"/>
      <c r="O133" s="3642"/>
      <c r="P133" s="3642"/>
      <c r="Q133" s="3642"/>
    </row>
    <row r="134" spans="2:17">
      <c r="B134" s="622"/>
      <c r="C134" s="33"/>
      <c r="I134" s="3642"/>
      <c r="J134" s="3642"/>
      <c r="K134" s="3642"/>
      <c r="L134" s="3642"/>
      <c r="M134" s="3642"/>
      <c r="N134" s="3642"/>
      <c r="O134" s="3642"/>
      <c r="P134" s="3642"/>
      <c r="Q134" s="3642"/>
    </row>
    <row r="135" spans="2:17">
      <c r="B135" s="622"/>
      <c r="C135" s="33"/>
      <c r="I135" s="3642"/>
      <c r="J135" s="3642"/>
      <c r="K135" s="3642"/>
      <c r="L135" s="3642"/>
      <c r="M135" s="3642"/>
      <c r="N135" s="3642"/>
      <c r="O135" s="3642"/>
      <c r="P135" s="3642"/>
      <c r="Q135" s="3642"/>
    </row>
    <row r="136" spans="2:17">
      <c r="B136" s="622"/>
      <c r="C136" s="33"/>
      <c r="I136" s="3642"/>
      <c r="J136" s="3642"/>
      <c r="K136" s="3642"/>
      <c r="L136" s="3642"/>
      <c r="M136" s="3642"/>
      <c r="N136" s="3642"/>
      <c r="O136" s="3642"/>
      <c r="P136" s="3642"/>
      <c r="Q136" s="3642"/>
    </row>
    <row r="137" spans="2:17">
      <c r="B137" s="622"/>
      <c r="C137" s="33"/>
      <c r="I137" s="3642"/>
      <c r="J137" s="3642"/>
      <c r="K137" s="3642"/>
      <c r="L137" s="3642"/>
      <c r="M137" s="3642"/>
      <c r="N137" s="3642"/>
      <c r="O137" s="3642"/>
      <c r="P137" s="3642"/>
      <c r="Q137" s="3642"/>
    </row>
    <row r="138" spans="2:17">
      <c r="B138" s="622"/>
      <c r="C138" s="33"/>
      <c r="I138" s="3642"/>
      <c r="J138" s="3642"/>
      <c r="K138" s="3642"/>
      <c r="L138" s="3642"/>
      <c r="M138" s="3642"/>
      <c r="N138" s="3642"/>
      <c r="O138" s="3642"/>
      <c r="P138" s="3642"/>
      <c r="Q138" s="3642"/>
    </row>
    <row r="139" spans="2:17">
      <c r="B139" s="622"/>
      <c r="C139" s="33"/>
      <c r="I139" s="3642"/>
      <c r="J139" s="3642"/>
      <c r="K139" s="3642"/>
      <c r="L139" s="3642"/>
      <c r="M139" s="3642"/>
      <c r="N139" s="3642"/>
      <c r="O139" s="3642"/>
      <c r="P139" s="3642"/>
      <c r="Q139" s="3642"/>
    </row>
    <row r="140" spans="2:17">
      <c r="B140" s="622"/>
      <c r="C140" s="33"/>
      <c r="I140" s="3642"/>
      <c r="J140" s="3642"/>
      <c r="K140" s="3642"/>
      <c r="L140" s="3642"/>
      <c r="M140" s="3642"/>
      <c r="N140" s="3642"/>
      <c r="O140" s="3642"/>
      <c r="P140" s="3642"/>
      <c r="Q140" s="3642"/>
    </row>
    <row r="141" spans="2:17">
      <c r="B141" s="622"/>
      <c r="C141" s="33"/>
      <c r="I141" s="3642"/>
      <c r="J141" s="3642"/>
      <c r="K141" s="3642"/>
      <c r="L141" s="3642"/>
      <c r="M141" s="3642"/>
      <c r="N141" s="3642"/>
      <c r="O141" s="3642"/>
      <c r="P141" s="3642"/>
      <c r="Q141" s="3642"/>
    </row>
    <row r="142" spans="2:17">
      <c r="B142" s="622"/>
      <c r="C142" s="33"/>
      <c r="I142" s="3642"/>
      <c r="J142" s="3642"/>
      <c r="K142" s="3642"/>
      <c r="L142" s="3642"/>
      <c r="M142" s="3642"/>
      <c r="N142" s="3642"/>
      <c r="O142" s="3642"/>
      <c r="P142" s="3642"/>
      <c r="Q142" s="3642"/>
    </row>
    <row r="143" spans="2:17">
      <c r="B143" s="622"/>
      <c r="C143" s="33"/>
      <c r="I143" s="3642"/>
      <c r="J143" s="3642"/>
      <c r="K143" s="3642"/>
      <c r="L143" s="3642"/>
      <c r="M143" s="3642"/>
      <c r="N143" s="3642"/>
      <c r="O143" s="3642"/>
      <c r="P143" s="3642"/>
      <c r="Q143" s="3642"/>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c r="H149" s="1929"/>
      <c r="J149" s="2389"/>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C55:D55"/>
    <mergeCell ref="C63:E63"/>
    <mergeCell ref="C68:E68"/>
    <mergeCell ref="C73:E73"/>
    <mergeCell ref="C49:D49"/>
    <mergeCell ref="C53:D53"/>
    <mergeCell ref="C64:E64"/>
    <mergeCell ref="C62:E62"/>
    <mergeCell ref="C48:D48"/>
    <mergeCell ref="E22:G22"/>
    <mergeCell ref="C36:E36"/>
    <mergeCell ref="F23:G23"/>
    <mergeCell ref="D25:E25"/>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N6:O6"/>
    <mergeCell ref="C16:F16"/>
    <mergeCell ref="K6:L6"/>
    <mergeCell ref="C17:F17"/>
    <mergeCell ref="C19:F19"/>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 ref="C52:D52"/>
    <mergeCell ref="C50:D50"/>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91" r:id="rId4" name="Check Box 15">
              <controlPr defaultSize="0" autoFill="0" autoLine="0" autoPict="0">
                <anchor moveWithCells="1">
                  <from>
                    <xdr:col>12</xdr:col>
                    <xdr:colOff>0</xdr:colOff>
                    <xdr:row>3</xdr:row>
                    <xdr:rowOff>28575</xdr:rowOff>
                  </from>
                  <to>
                    <xdr:col>12</xdr:col>
                    <xdr:colOff>266700</xdr:colOff>
                    <xdr:row>4</xdr:row>
                    <xdr:rowOff>9525</xdr:rowOff>
                  </to>
                </anchor>
              </controlPr>
            </control>
          </mc:Choice>
        </mc:AlternateContent>
        <mc:AlternateContent xmlns:mc="http://schemas.openxmlformats.org/markup-compatibility/2006">
          <mc:Choice Requires="x14">
            <control shapeId="75792" r:id="rId5" name="Check Box 16">
              <controlPr defaultSize="0" autoFill="0" autoLine="0" autoPict="0">
                <anchor moveWithCells="1">
                  <from>
                    <xdr:col>12</xdr:col>
                    <xdr:colOff>19050</xdr:colOff>
                    <xdr:row>2</xdr:row>
                    <xdr:rowOff>38100</xdr:rowOff>
                  </from>
                  <to>
                    <xdr:col>12</xdr:col>
                    <xdr:colOff>295275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16384" width="10.5" style="31"/>
  </cols>
  <sheetData>
    <row r="1" spans="1:41" s="276" customFormat="1" ht="30.2" customHeight="1">
      <c r="A1" s="2507"/>
      <c r="B1" s="326"/>
      <c r="C1" s="1908"/>
      <c r="D1" s="136"/>
      <c r="E1" s="323"/>
      <c r="F1" s="323"/>
      <c r="G1" s="4908" t="s">
        <v>1694</v>
      </c>
      <c r="H1" s="4908"/>
      <c r="I1" s="4908"/>
      <c r="J1" s="1906">
        <f>(J7+J13+J18+J22+I11+I12)-(J23+J27+J34+J43+J60+J65+J67+J69+J71+J75)</f>
        <v>1397.9831427008673</v>
      </c>
      <c r="K1" s="4859">
        <f>M1-J1</f>
        <v>488.69502339270275</v>
      </c>
      <c r="L1" s="4859"/>
      <c r="M1" s="1906">
        <f>(M7+M13+M18+M22+L11+L12)-(M23+M27+M34+M43+M60+M65+M67+M69+M71+M75)</f>
        <v>1886.6781660935701</v>
      </c>
      <c r="N1" s="4859">
        <f>P1-M1</f>
        <v>428.17002339270152</v>
      </c>
      <c r="O1" s="4859"/>
      <c r="P1" s="1906">
        <f>(P7+P13+P18+P22+O11+O12)-(P23+P27+P34+P43+P60+P65+P67+P69+P71+P75)</f>
        <v>2314.8481894862716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1954</v>
      </c>
      <c r="L2" s="4870"/>
      <c r="M2" s="4870"/>
      <c r="N2" s="4870"/>
      <c r="O2" s="4870"/>
      <c r="P2" s="4870"/>
      <c r="Q2" s="2507"/>
    </row>
    <row r="3" spans="1:41" s="276" customFormat="1" ht="21.75" customHeight="1">
      <c r="A3" s="2507"/>
      <c r="B3" s="1903" t="s">
        <v>1693</v>
      </c>
      <c r="G3" s="1891"/>
      <c r="H3" s="1902"/>
      <c r="N3" s="4909"/>
      <c r="O3" s="4872"/>
      <c r="P3" s="1900"/>
      <c r="Q3" s="2507"/>
      <c r="T3" s="1918" t="b">
        <v>0</v>
      </c>
      <c r="X3" s="4866" t="s">
        <v>1262</v>
      </c>
      <c r="Y3" s="4916"/>
      <c r="Z3" s="4916"/>
      <c r="AA3" s="1901"/>
    </row>
    <row r="4" spans="1:41" s="276" customFormat="1" ht="20.25" customHeight="1">
      <c r="A4" s="2507"/>
      <c r="B4" s="377" t="s">
        <v>1154</v>
      </c>
      <c r="C4" s="31"/>
      <c r="D4" s="31"/>
      <c r="E4" s="2523" t="s">
        <v>1703</v>
      </c>
      <c r="F4" s="2523"/>
      <c r="G4" s="2523"/>
      <c r="H4" s="2523"/>
      <c r="I4" s="2523"/>
      <c r="J4" s="2523"/>
      <c r="N4" s="4872"/>
      <c r="O4" s="4872"/>
      <c r="P4" s="1896">
        <f>SDÖ1!O3</f>
        <v>0</v>
      </c>
      <c r="Q4" s="2507"/>
      <c r="T4" s="1918" t="b">
        <v>0</v>
      </c>
      <c r="X4" s="4866" t="s">
        <v>1250</v>
      </c>
      <c r="Y4" s="4916"/>
      <c r="Z4" s="4916"/>
      <c r="AA4" s="2522"/>
    </row>
    <row r="5" spans="1:41" ht="6" customHeight="1"/>
    <row r="6" spans="1:41" s="1885" customFormat="1" ht="24" customHeight="1">
      <c r="A6" s="48"/>
      <c r="B6" s="1890" t="s">
        <v>1207</v>
      </c>
      <c r="C6" s="1889"/>
      <c r="D6" s="1889"/>
      <c r="E6" s="1889"/>
      <c r="F6" s="1889"/>
      <c r="G6" s="1888" t="s">
        <v>1700</v>
      </c>
      <c r="H6" s="4864" t="s">
        <v>179</v>
      </c>
      <c r="I6" s="4865"/>
      <c r="J6" s="1887">
        <f>M6*0.75</f>
        <v>60</v>
      </c>
      <c r="K6" s="4849" t="s">
        <v>152</v>
      </c>
      <c r="L6" s="4850"/>
      <c r="M6" s="1887">
        <v>80</v>
      </c>
      <c r="N6" s="4864" t="s">
        <v>178</v>
      </c>
      <c r="O6" s="4865"/>
      <c r="P6" s="1886">
        <f>M6*1.25</f>
        <v>100</v>
      </c>
      <c r="Q6" s="2521"/>
    </row>
    <row r="7" spans="1:41" s="252" customFormat="1" ht="18.75" customHeight="1">
      <c r="A7" s="47"/>
      <c r="B7" s="311" t="s">
        <v>1691</v>
      </c>
      <c r="C7" s="47"/>
      <c r="D7" s="47"/>
      <c r="E7" s="47"/>
      <c r="F7" s="47"/>
      <c r="G7" s="1884" t="s">
        <v>171</v>
      </c>
      <c r="H7" s="1881"/>
      <c r="I7" s="1880"/>
      <c r="J7" s="1614">
        <f>SUM(I9:I10)</f>
        <v>2338.9999999999995</v>
      </c>
      <c r="K7" s="1883"/>
      <c r="L7" s="1882"/>
      <c r="M7" s="1617">
        <f>SUM(L9:L10)</f>
        <v>3118.6666666666661</v>
      </c>
      <c r="N7" s="1881"/>
      <c r="O7" s="1880"/>
      <c r="P7" s="1614">
        <f>SUM(O9:O10)</f>
        <v>3898.3333333333326</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SDÖ1!O26</f>
        <v>38.983333333333327</v>
      </c>
      <c r="H9" s="1877">
        <f>J6-H10</f>
        <v>60</v>
      </c>
      <c r="I9" s="1873">
        <f>H9*G9</f>
        <v>2338.9999999999995</v>
      </c>
      <c r="J9" s="43"/>
      <c r="K9" s="1876">
        <f>M6-K10</f>
        <v>80</v>
      </c>
      <c r="L9" s="1875">
        <f>K9*G9</f>
        <v>3118.6666666666661</v>
      </c>
      <c r="M9" s="1854"/>
      <c r="N9" s="1874">
        <f>P6-N10</f>
        <v>100</v>
      </c>
      <c r="O9" s="1873">
        <f>N9*G9</f>
        <v>3898.3333333333326</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t="s">
        <v>246</v>
      </c>
      <c r="X13" s="1834">
        <f>$X$12*F30</f>
        <v>0</v>
      </c>
      <c r="Y13" s="1834">
        <f>$Y$12*F30</f>
        <v>0</v>
      </c>
      <c r="Z13" s="1834">
        <f>$Z$12*F30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1054</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1053</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240</v>
      </c>
      <c r="X16" s="1834">
        <f>$X$12*F33</f>
        <v>0</v>
      </c>
      <c r="Y16" s="1834">
        <f>$Y$12*F33</f>
        <v>0</v>
      </c>
      <c r="Z16" s="1834">
        <f>$Z$12*F33</f>
        <v>0</v>
      </c>
    </row>
    <row r="17" spans="1:20"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row>
    <row r="18" spans="1:20"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0"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0" s="4056" customFormat="1" ht="15.6" customHeight="1">
      <c r="A20" s="3913"/>
      <c r="B20" s="1821"/>
      <c r="C20" s="4058"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0" s="4056" customFormat="1" ht="15.6" customHeight="1">
      <c r="A21" s="3913"/>
      <c r="B21" s="1821"/>
      <c r="C21" s="4058"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0" ht="15.6" customHeight="1">
      <c r="A22" s="377"/>
      <c r="B22" s="311" t="s">
        <v>1244</v>
      </c>
      <c r="C22" s="45"/>
      <c r="D22" s="1807"/>
      <c r="E22" s="4868" t="s">
        <v>1243</v>
      </c>
      <c r="F22" s="4868"/>
      <c r="G22" s="4869"/>
      <c r="H22" s="1804"/>
      <c r="I22" s="1803"/>
      <c r="J22" s="1802"/>
      <c r="K22" s="1806"/>
      <c r="L22" s="1805"/>
      <c r="M22" s="1802"/>
      <c r="N22" s="1804"/>
      <c r="O22" s="1803"/>
      <c r="P22" s="1802"/>
    </row>
    <row r="23" spans="1:20" s="42" customFormat="1" ht="18.75" customHeight="1">
      <c r="A23" s="1306"/>
      <c r="B23" s="266" t="s">
        <v>222</v>
      </c>
      <c r="C23" s="1801"/>
      <c r="D23" s="1801"/>
      <c r="E23" s="38"/>
      <c r="F23" s="4831"/>
      <c r="G23" s="4832" t="s">
        <v>171</v>
      </c>
      <c r="H23" s="1616"/>
      <c r="I23" s="1615"/>
      <c r="J23" s="1599">
        <f>SUM(I25:I26)</f>
        <v>210</v>
      </c>
      <c r="K23" s="1619"/>
      <c r="L23" s="1618"/>
      <c r="M23" s="1800">
        <f>SUM(L25:L26)</f>
        <v>210</v>
      </c>
      <c r="N23" s="1616"/>
      <c r="O23" s="1615"/>
      <c r="P23" s="1599">
        <f>SUM(O25:O26)</f>
        <v>210</v>
      </c>
      <c r="Q23" s="32"/>
    </row>
    <row r="24" spans="1:20"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0" s="708" customFormat="1" ht="18.75" customHeight="1">
      <c r="A25" s="1270"/>
      <c r="B25" s="1796"/>
      <c r="C25" s="1306" t="s">
        <v>1241</v>
      </c>
      <c r="D25" s="4851"/>
      <c r="E25" s="4852"/>
      <c r="F25" s="1795">
        <v>105</v>
      </c>
      <c r="G25" s="1794">
        <f>F25*(100+$D$24)/100</f>
        <v>105</v>
      </c>
      <c r="H25" s="1793">
        <v>2</v>
      </c>
      <c r="I25" s="1754">
        <f>H25*$G25</f>
        <v>210</v>
      </c>
      <c r="J25" s="45"/>
      <c r="K25" s="1793">
        <f>H25</f>
        <v>2</v>
      </c>
      <c r="L25" s="1596">
        <f>K25*$G25</f>
        <v>210</v>
      </c>
      <c r="M25" s="1589"/>
      <c r="N25" s="1793">
        <f>H25</f>
        <v>2</v>
      </c>
      <c r="O25" s="1754">
        <f>N25*$G25</f>
        <v>210</v>
      </c>
      <c r="P25" s="1718"/>
      <c r="Q25" s="32"/>
    </row>
    <row r="26" spans="1:20"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0"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581.22666666666669</v>
      </c>
      <c r="K27" s="1748"/>
      <c r="L27" s="1747"/>
      <c r="M27" s="1617">
        <f>SUM(L30:L33)</f>
        <v>744.74666666666656</v>
      </c>
      <c r="N27" s="1746"/>
      <c r="O27" s="1745"/>
      <c r="P27" s="1614">
        <f>SUM(O30:O33)</f>
        <v>908.26666666666665</v>
      </c>
      <c r="Q27" s="32"/>
    </row>
    <row r="28" spans="1:20" s="42" customFormat="1" ht="15" customHeight="1">
      <c r="A28" s="1306"/>
      <c r="B28" s="1334"/>
      <c r="C28" s="3080"/>
      <c r="D28" s="1786" t="s">
        <v>1075</v>
      </c>
      <c r="E28" s="1786" t="s">
        <v>1239</v>
      </c>
      <c r="F28" s="1786" t="s">
        <v>1239</v>
      </c>
      <c r="G28" s="1785" t="s">
        <v>1238</v>
      </c>
      <c r="H28" s="1745"/>
      <c r="I28" s="1782"/>
      <c r="J28" s="3081"/>
      <c r="K28" s="1748"/>
      <c r="L28" s="1678"/>
      <c r="M28" s="1783"/>
      <c r="N28" s="1746"/>
      <c r="O28" s="1782"/>
      <c r="P28" s="1599"/>
      <c r="Q28" s="32"/>
    </row>
    <row r="29" spans="1:20" s="42" customFormat="1" ht="15" customHeight="1">
      <c r="A29" s="1306"/>
      <c r="B29" s="1781"/>
      <c r="C29" s="1307" t="s">
        <v>1237</v>
      </c>
      <c r="D29" s="1607" t="s">
        <v>908</v>
      </c>
      <c r="E29" s="1607" t="s">
        <v>1236</v>
      </c>
      <c r="F29" s="1607" t="s">
        <v>1235</v>
      </c>
      <c r="G29" s="1607" t="s">
        <v>1686</v>
      </c>
      <c r="H29" s="1778" t="s">
        <v>909</v>
      </c>
      <c r="I29" s="1600" t="s">
        <v>171</v>
      </c>
      <c r="J29" s="3080"/>
      <c r="K29" s="1780" t="s">
        <v>909</v>
      </c>
      <c r="L29" s="1603" t="s">
        <v>171</v>
      </c>
      <c r="M29" s="1779"/>
      <c r="N29" s="1778" t="s">
        <v>909</v>
      </c>
      <c r="O29" s="1600" t="s">
        <v>171</v>
      </c>
      <c r="P29" s="1777"/>
      <c r="Q29" s="32"/>
    </row>
    <row r="30" spans="1:20" s="42" customFormat="1" ht="15" customHeight="1">
      <c r="A30" s="1306"/>
      <c r="B30" s="1776"/>
      <c r="C30" s="1775" t="s">
        <v>246</v>
      </c>
      <c r="D30" s="1723">
        <f>IF(SDÖ1!$U$17=TRUE,SDÖ1!O55,0)</f>
        <v>4.5333333333333332</v>
      </c>
      <c r="E30" s="1774">
        <f>VLOOKUP('SD8'!B23,'SD8'!B9:K44,3,FALSE)</f>
        <v>1.38</v>
      </c>
      <c r="F30" s="1774"/>
      <c r="G30" s="1773">
        <v>20</v>
      </c>
      <c r="H30" s="1771">
        <f>IF(J$6=0,0,(J$6*$E30+$G30+X13))</f>
        <v>102.8</v>
      </c>
      <c r="I30" s="1754">
        <f>H30*$D30</f>
        <v>466.02666666666664</v>
      </c>
      <c r="J30" s="45"/>
      <c r="K30" s="1772">
        <f>IF(M$6=0,0,(M$6*$E30+$G30+AA14))</f>
        <v>130.39999999999998</v>
      </c>
      <c r="L30" s="1596">
        <f>K30*$D30</f>
        <v>591.14666666666653</v>
      </c>
      <c r="M30" s="1589"/>
      <c r="N30" s="1771">
        <f>IF(P$6=0,0,(P$6*$E30+$G30+AD14))</f>
        <v>158</v>
      </c>
      <c r="O30" s="1754">
        <f>N30*$D30</f>
        <v>716.26666666666665</v>
      </c>
      <c r="P30" s="1718"/>
      <c r="Q30" s="32"/>
    </row>
    <row r="31" spans="1:20" s="42" customFormat="1" ht="15" customHeight="1">
      <c r="A31" s="1306"/>
      <c r="B31" s="274"/>
      <c r="C31" s="1306" t="s">
        <v>244</v>
      </c>
      <c r="D31" s="1723">
        <f>IF(SDÖ1!$U$17=TRUE,SDÖ1!O56,0)</f>
        <v>1.3999999999999997</v>
      </c>
      <c r="E31" s="1774">
        <f>VLOOKUP('SD8'!B23,'SD8'!B9:K44,4,FALSE)</f>
        <v>0.8</v>
      </c>
      <c r="F31" s="1774"/>
      <c r="G31" s="1773"/>
      <c r="H31" s="1771">
        <f>IF(J$6=0,0,(J$6*$E31+$G31+X14))</f>
        <v>48</v>
      </c>
      <c r="I31" s="1754">
        <f>H31*$D31</f>
        <v>67.199999999999989</v>
      </c>
      <c r="J31" s="45"/>
      <c r="K31" s="1772">
        <f>IF(M$6=0,0,(M$6*$E31+$G31+Y14))</f>
        <v>64</v>
      </c>
      <c r="L31" s="1596">
        <f>K31*$D31</f>
        <v>89.59999999999998</v>
      </c>
      <c r="M31" s="1589"/>
      <c r="N31" s="1771">
        <f>IF(P$6=0,0,(P$6*$E31+$G31+Z14))</f>
        <v>80</v>
      </c>
      <c r="O31" s="1754">
        <f>N31*$D31</f>
        <v>111.99999999999997</v>
      </c>
      <c r="P31" s="1718"/>
      <c r="Q31" s="32"/>
    </row>
    <row r="32" spans="1:20" s="708" customFormat="1" ht="18.75" customHeight="1">
      <c r="A32" s="1270"/>
      <c r="B32" s="274"/>
      <c r="C32" s="1306" t="s">
        <v>242</v>
      </c>
      <c r="D32" s="1723">
        <f>IF(SDÖ1!$U$17=TRUE,SDÖ1!O57,0)</f>
        <v>1.3999999999999997</v>
      </c>
      <c r="E32" s="1774">
        <f>VLOOKUP('SD8'!B23,'SD8'!B9:K44,5,FALSE)</f>
        <v>0.5</v>
      </c>
      <c r="F32" s="1774"/>
      <c r="G32" s="1773"/>
      <c r="H32" s="1771">
        <f>IF(J$6=0,0,(J$6*$E32+$G32+X15))</f>
        <v>30</v>
      </c>
      <c r="I32" s="1754">
        <f>H32*$D32</f>
        <v>41.999999999999993</v>
      </c>
      <c r="J32" s="45"/>
      <c r="K32" s="1772">
        <f>IF(M$6=0,0,(M$6*$E32+$G32+Y15))</f>
        <v>40</v>
      </c>
      <c r="L32" s="1596">
        <f>K32*$D32</f>
        <v>55.999999999999986</v>
      </c>
      <c r="M32" s="1589"/>
      <c r="N32" s="1771">
        <f>IF(P$6=0,0,(P$6*$E32+$G32+Z15))</f>
        <v>50</v>
      </c>
      <c r="O32" s="1754">
        <f>N32*$D32</f>
        <v>69.999999999999986</v>
      </c>
      <c r="P32" s="1718"/>
      <c r="Q32" s="32"/>
    </row>
    <row r="33" spans="1:17" s="708" customFormat="1" ht="13.15" customHeight="1">
      <c r="A33" s="1270"/>
      <c r="B33" s="239"/>
      <c r="C33" s="1331" t="s">
        <v>240</v>
      </c>
      <c r="D33" s="1706">
        <f>IF(SDÖ1!$U$17=TRUE,SDÖ1!O58,0)</f>
        <v>0.5</v>
      </c>
      <c r="E33" s="1770">
        <f>VLOOKUP('SD8'!B23,'SD8'!B9:K44,6,FALSE)</f>
        <v>0.2</v>
      </c>
      <c r="F33" s="1770"/>
      <c r="G33" s="1769"/>
      <c r="H33" s="1767">
        <f>IF(J$6=0,0,(J$6*$E33+$G33+X16))</f>
        <v>12</v>
      </c>
      <c r="I33" s="1750">
        <f>H33*$D33</f>
        <v>6</v>
      </c>
      <c r="J33" s="45"/>
      <c r="K33" s="1768">
        <f>IF(M$6=0,0,(M$6*$E33+$G33+Y16))</f>
        <v>16</v>
      </c>
      <c r="L33" s="1590">
        <f>K33*$D33</f>
        <v>8</v>
      </c>
      <c r="M33" s="1589"/>
      <c r="N33" s="1767">
        <f>IF(P$6=0,0,(P$6*$E33+$G33+Z16))</f>
        <v>20</v>
      </c>
      <c r="O33" s="1750">
        <f>N33*$D33</f>
        <v>10</v>
      </c>
      <c r="P33" s="1749"/>
      <c r="Q33" s="32"/>
    </row>
    <row r="34" spans="1:17" s="42" customFormat="1" ht="15" customHeight="1">
      <c r="A34" s="1306"/>
      <c r="B34" s="1276" t="s">
        <v>1685</v>
      </c>
      <c r="C34" s="1270"/>
      <c r="D34" s="3080"/>
      <c r="E34" s="3080"/>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191.33915469554623</v>
      </c>
      <c r="K43" s="1748"/>
      <c r="L43" s="1747"/>
      <c r="M43" s="1617">
        <f>SUM(M46:M57)</f>
        <v>193.79221370319328</v>
      </c>
      <c r="N43" s="1746"/>
      <c r="O43" s="1745"/>
      <c r="P43" s="1614">
        <f>SUM(P46:P57)</f>
        <v>196.24527271084034</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30"/>
      <c r="C46" s="4862"/>
      <c r="D46" s="4863"/>
      <c r="E46" s="1725">
        <f>IF($C46=0,0,VLOOKUP($C46,SDÖ3!$C$24:$O$99,4,FALSE))</f>
        <v>0</v>
      </c>
      <c r="F46" s="1724">
        <f>IF($C46=0,0,VLOOKUP($C46,SDÖ3!$C$24:$O$99,12,FALSE))</f>
        <v>0</v>
      </c>
      <c r="G46" s="1723">
        <f>IF($C46=0,0,VLOOKUP($C46,SDÖ3!$C$24:$O$99,13,FALSE))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row>
    <row r="48" spans="1:17" s="42" customFormat="1" ht="15" customHeight="1">
      <c r="A48" s="1306"/>
      <c r="B48" s="1726"/>
      <c r="C48" s="4835" t="s">
        <v>512</v>
      </c>
      <c r="D48" s="4836"/>
      <c r="E48" s="1725">
        <f>IF($C48=0,0,VLOOKUP($C48,SDÖ3!$C$24:$O$99,4,FALSE))</f>
        <v>102</v>
      </c>
      <c r="F48" s="1724">
        <f>IF($C48=0,0,VLOOKUP($C48,SDÖ3!$C$24:$O$99,12,FALSE))</f>
        <v>0.93</v>
      </c>
      <c r="G48" s="1723">
        <f>IF($C48=0,0,VLOOKUP($C48,SDÖ3!$C$24:$O$99,13,FALSE))</f>
        <v>23.733808400000004</v>
      </c>
      <c r="H48" s="1720">
        <v>1</v>
      </c>
      <c r="I48" s="1719">
        <f t="shared" si="4"/>
        <v>0.93</v>
      </c>
      <c r="J48" s="1718">
        <f t="shared" si="5"/>
        <v>23.733808400000004</v>
      </c>
      <c r="K48" s="1720">
        <v>1</v>
      </c>
      <c r="L48" s="1722">
        <f t="shared" si="6"/>
        <v>0.93</v>
      </c>
      <c r="M48" s="1721">
        <f t="shared" si="7"/>
        <v>23.733808400000004</v>
      </c>
      <c r="N48" s="1720">
        <v>1</v>
      </c>
      <c r="O48" s="1719">
        <f t="shared" si="8"/>
        <v>0.93</v>
      </c>
      <c r="P48" s="1718">
        <f t="shared" si="9"/>
        <v>23.733808400000004</v>
      </c>
      <c r="Q48" s="32"/>
    </row>
    <row r="49" spans="1:22" s="42" customFormat="1" ht="15" customHeight="1">
      <c r="A49" s="1306"/>
      <c r="B49" s="1726"/>
      <c r="C49" s="4835" t="s">
        <v>504</v>
      </c>
      <c r="D49" s="4836"/>
      <c r="E49" s="1725">
        <f>IF($C49=0,0,VLOOKUP($C49,SDÖ3!$C$24:$O$99,4,FALSE))</f>
        <v>83</v>
      </c>
      <c r="F49" s="1724">
        <f>IF($C49=0,0,VLOOKUP($C49,SDÖ3!$C$24:$O$99,12,FALSE))</f>
        <v>0.56999999999999995</v>
      </c>
      <c r="G49" s="1723">
        <f>IF($C49=0,0,VLOOKUP($C49,SDÖ3!$C$24:$O$99,13,FALSE))</f>
        <v>13.864622900840335</v>
      </c>
      <c r="H49" s="1720">
        <v>1</v>
      </c>
      <c r="I49" s="1719">
        <f t="shared" si="4"/>
        <v>0.56999999999999995</v>
      </c>
      <c r="J49" s="1718">
        <f t="shared" si="5"/>
        <v>13.864622900840335</v>
      </c>
      <c r="K49" s="1720">
        <v>1</v>
      </c>
      <c r="L49" s="1722">
        <f t="shared" si="6"/>
        <v>0.56999999999999995</v>
      </c>
      <c r="M49" s="1721">
        <f t="shared" si="7"/>
        <v>13.864622900840335</v>
      </c>
      <c r="N49" s="1720">
        <v>1</v>
      </c>
      <c r="O49" s="1719">
        <f t="shared" si="8"/>
        <v>0.56999999999999995</v>
      </c>
      <c r="P49" s="1718">
        <f t="shared" si="9"/>
        <v>13.864622900840335</v>
      </c>
      <c r="Q49" s="32"/>
    </row>
    <row r="50" spans="1:22" s="42" customFormat="1" ht="15" customHeight="1">
      <c r="A50" s="1306"/>
      <c r="B50" s="1726"/>
      <c r="C50" s="4835" t="s">
        <v>482</v>
      </c>
      <c r="D50" s="4836"/>
      <c r="E50" s="1725">
        <f>IF($C50=0,0,VLOOKUP($C50,SDÖ3!$C$24:$O$99,4,FALSE))</f>
        <v>83</v>
      </c>
      <c r="F50" s="1724">
        <f>IF($C50=0,0,VLOOKUP($C50,SDÖ3!$C$24:$O$99,12,FALSE))</f>
        <v>0.8</v>
      </c>
      <c r="G50" s="1723">
        <f>IF($C50=0,0,VLOOKUP($C50,SDÖ3!$C$24:$O$99,13,FALSE))</f>
        <v>20.171559341176469</v>
      </c>
      <c r="H50" s="1720">
        <v>1</v>
      </c>
      <c r="I50" s="1719">
        <f t="shared" si="4"/>
        <v>0.8</v>
      </c>
      <c r="J50" s="1718">
        <f t="shared" si="5"/>
        <v>20.171559341176469</v>
      </c>
      <c r="K50" s="1720">
        <v>1</v>
      </c>
      <c r="L50" s="1722">
        <f t="shared" si="6"/>
        <v>0.8</v>
      </c>
      <c r="M50" s="1721">
        <f t="shared" si="7"/>
        <v>20.171559341176469</v>
      </c>
      <c r="N50" s="1720">
        <v>1</v>
      </c>
      <c r="O50" s="1719">
        <f t="shared" si="8"/>
        <v>0.8</v>
      </c>
      <c r="P50" s="1718">
        <f t="shared" si="9"/>
        <v>20.171559341176469</v>
      </c>
      <c r="Q50" s="32"/>
    </row>
    <row r="51" spans="1:22"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22" s="42" customFormat="1" ht="15" customHeight="1">
      <c r="A52" s="1306"/>
      <c r="B52" s="1726"/>
      <c r="C52" s="4835" t="s">
        <v>441</v>
      </c>
      <c r="D52" s="4836"/>
      <c r="E52" s="1725">
        <f>IF($C52=0,0,VLOOKUP($C52,SDÖ3!$C$24:$O$99,4,FALSE))</f>
        <v>54</v>
      </c>
      <c r="F52" s="1724">
        <f>IF($C52=0,0,VLOOKUP($C52,SDÖ3!$C$24:$O$99,12,FALSE))</f>
        <v>1.1100000000000001</v>
      </c>
      <c r="G52" s="1723">
        <f>IF($C52=0,0,VLOOKUP($C52,SDÖ3!$C$24:$O$99,13,FALSE))</f>
        <v>17.201138894117648</v>
      </c>
      <c r="H52" s="1720">
        <v>2</v>
      </c>
      <c r="I52" s="1719">
        <f t="shared" si="4"/>
        <v>2.2200000000000002</v>
      </c>
      <c r="J52" s="1718">
        <f t="shared" si="5"/>
        <v>34.402277788235295</v>
      </c>
      <c r="K52" s="1720">
        <v>2</v>
      </c>
      <c r="L52" s="1722">
        <f t="shared" si="6"/>
        <v>2.2200000000000002</v>
      </c>
      <c r="M52" s="1721">
        <f t="shared" si="7"/>
        <v>34.402277788235295</v>
      </c>
      <c r="N52" s="1720">
        <v>2</v>
      </c>
      <c r="O52" s="1719">
        <f t="shared" si="8"/>
        <v>2.2200000000000002</v>
      </c>
      <c r="P52" s="1718">
        <f t="shared" si="9"/>
        <v>34.402277788235295</v>
      </c>
      <c r="Q52" s="32"/>
    </row>
    <row r="53" spans="1:22"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22" s="42" customFormat="1" ht="15" customHeight="1">
      <c r="A54" s="1306"/>
      <c r="B54" s="1726"/>
      <c r="C54" s="4835"/>
      <c r="D54" s="4836"/>
      <c r="E54" s="1725">
        <f>IF($C54=0,0,VLOOKUP($C54,SDÖ3!$C$24:$O$99,4,FALSE))</f>
        <v>0</v>
      </c>
      <c r="F54" s="1724">
        <f>IF($C54=0,0,VLOOKUP($C54,SDÖ3!$C$24:$O$99,12,FALSE))</f>
        <v>0</v>
      </c>
      <c r="G54" s="1723">
        <f>IF($C54=0,0,VLOOKUP($C54,SDÖ3!$C$24:$O$99,13,FALSE))</f>
        <v>0</v>
      </c>
      <c r="H54" s="1720">
        <v>2</v>
      </c>
      <c r="I54" s="1719">
        <f t="shared" si="4"/>
        <v>0</v>
      </c>
      <c r="J54" s="1718">
        <f t="shared" si="5"/>
        <v>0</v>
      </c>
      <c r="K54" s="1720">
        <v>2</v>
      </c>
      <c r="L54" s="1722">
        <f t="shared" si="6"/>
        <v>0</v>
      </c>
      <c r="M54" s="1721">
        <f t="shared" si="7"/>
        <v>0</v>
      </c>
      <c r="N54" s="1720">
        <v>2</v>
      </c>
      <c r="O54" s="1719">
        <f t="shared" si="8"/>
        <v>0</v>
      </c>
      <c r="P54" s="1718">
        <f t="shared" si="9"/>
        <v>0</v>
      </c>
      <c r="Q54" s="32"/>
    </row>
    <row r="55" spans="1:22" s="42" customFormat="1" ht="15" customHeight="1">
      <c r="A55" s="1306"/>
      <c r="B55" s="1726"/>
      <c r="C55" s="4835" t="s">
        <v>435</v>
      </c>
      <c r="D55" s="4836"/>
      <c r="E55" s="1725">
        <f>IF($C55=0,0,VLOOKUP($C55,SDÖ3!$C$24:$O$99,4,FALSE))</f>
        <v>83</v>
      </c>
      <c r="F55" s="1724">
        <f>IF($C55=0,0,VLOOKUP($C55,SDÖ3!$C$24:$O$99,12,FALSE))</f>
        <v>0.4</v>
      </c>
      <c r="G55" s="1723">
        <f>IF($C55=0,0,VLOOKUP($C55,SDÖ3!$C$24:$O$99,13,FALSE))</f>
        <v>6.8857796705882359</v>
      </c>
      <c r="H55" s="1720">
        <v>1.3687500000000001</v>
      </c>
      <c r="I55" s="1719">
        <f t="shared" si="4"/>
        <v>0.5475000000000001</v>
      </c>
      <c r="J55" s="1718">
        <f t="shared" si="5"/>
        <v>9.4249109241176487</v>
      </c>
      <c r="K55" s="1720">
        <v>1.7250000000000001</v>
      </c>
      <c r="L55" s="1722">
        <f t="shared" si="6"/>
        <v>0.69000000000000006</v>
      </c>
      <c r="M55" s="1721">
        <f t="shared" si="7"/>
        <v>11.877969931764708</v>
      </c>
      <c r="N55" s="1720">
        <v>2.0812499999999998</v>
      </c>
      <c r="O55" s="1719">
        <f t="shared" si="8"/>
        <v>0.83250000000000002</v>
      </c>
      <c r="P55" s="1718">
        <f t="shared" si="9"/>
        <v>14.331028939411764</v>
      </c>
      <c r="Q55" s="32"/>
    </row>
    <row r="56" spans="1:22" s="42" customFormat="1" ht="24.75" customHeight="1">
      <c r="A56" s="1306"/>
      <c r="B56" s="1917"/>
      <c r="C56" s="4840" t="s">
        <v>508</v>
      </c>
      <c r="D56" s="4841"/>
      <c r="E56" s="1725">
        <f>IF($C56=0,0,VLOOKUP($C56,SDÖ3!$C$24:$O$99,4,FALSE))</f>
        <v>102</v>
      </c>
      <c r="F56" s="1724">
        <f>IF($C56=0,0,VLOOKUP($C56,SDÖ3!$C$24:$O$99,12,FALSE))</f>
        <v>0.54</v>
      </c>
      <c r="G56" s="1723">
        <f>IF($C56=0,0,VLOOKUP($C56,SDÖ3!$C$24:$O$99,13,FALSE))</f>
        <v>16.377695200000002</v>
      </c>
      <c r="H56" s="1911">
        <v>2</v>
      </c>
      <c r="I56" s="1910">
        <f t="shared" si="4"/>
        <v>1.08</v>
      </c>
      <c r="J56" s="1909">
        <f t="shared" si="5"/>
        <v>32.755390400000003</v>
      </c>
      <c r="K56" s="1911">
        <v>2</v>
      </c>
      <c r="L56" s="1913">
        <f t="shared" si="6"/>
        <v>1.08</v>
      </c>
      <c r="M56" s="1912">
        <f t="shared" si="7"/>
        <v>32.755390400000003</v>
      </c>
      <c r="N56" s="1911">
        <v>2</v>
      </c>
      <c r="O56" s="1910">
        <f t="shared" si="8"/>
        <v>1.08</v>
      </c>
      <c r="P56" s="1909">
        <f t="shared" si="9"/>
        <v>32.755390400000003</v>
      </c>
      <c r="Q56" s="32"/>
    </row>
    <row r="57" spans="1:22"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v>
      </c>
      <c r="I57" s="1703">
        <f t="shared" si="4"/>
        <v>0</v>
      </c>
      <c r="J57" s="1702">
        <f t="shared" si="5"/>
        <v>0</v>
      </c>
      <c r="K57" s="3687">
        <f>K11/35</f>
        <v>0</v>
      </c>
      <c r="L57" s="1705">
        <f t="shared" si="6"/>
        <v>0</v>
      </c>
      <c r="M57" s="1652">
        <f t="shared" si="7"/>
        <v>0</v>
      </c>
      <c r="N57" s="3686">
        <f>N11/35</f>
        <v>0</v>
      </c>
      <c r="O57" s="1703">
        <f t="shared" si="8"/>
        <v>0</v>
      </c>
      <c r="P57" s="1702">
        <f t="shared" si="9"/>
        <v>0</v>
      </c>
      <c r="Q57" s="3678"/>
    </row>
    <row r="58" spans="1:22" s="708" customFormat="1" ht="18.75" customHeight="1">
      <c r="A58" s="1270"/>
      <c r="B58" s="1276" t="s">
        <v>1223</v>
      </c>
      <c r="C58" s="1373"/>
      <c r="D58" s="1373"/>
      <c r="E58" s="1373"/>
      <c r="F58" s="38"/>
      <c r="G58" s="1620"/>
      <c r="H58" s="1697"/>
      <c r="I58" s="1696">
        <f>SUM($I$46:$I$57)</f>
        <v>7.6075000000000008</v>
      </c>
      <c r="J58" s="1701"/>
      <c r="K58" s="1700"/>
      <c r="L58" s="1699">
        <f>SUM($L$46:$L$57)</f>
        <v>7.7500000000000009</v>
      </c>
      <c r="M58" s="1698"/>
      <c r="N58" s="1697"/>
      <c r="O58" s="1696">
        <f>SUM($O$46:$O$57)</f>
        <v>7.8925000000000001</v>
      </c>
      <c r="P58" s="1695"/>
      <c r="Q58" s="32"/>
    </row>
    <row r="59" spans="1:22" s="708" customFormat="1" ht="15" customHeight="1">
      <c r="A59" s="1270"/>
      <c r="B59" s="1694"/>
      <c r="C59" s="353"/>
      <c r="D59" s="280" t="s">
        <v>1222</v>
      </c>
      <c r="E59" s="1693">
        <v>80</v>
      </c>
      <c r="F59" s="353" t="s">
        <v>1221</v>
      </c>
      <c r="G59" s="1692"/>
      <c r="H59" s="1688"/>
      <c r="I59" s="1687">
        <f>IF(I58+SUM($I$46:$I$57)*$E$59%&gt;I58+10,I58+10,I58+SUM($I$46:$I$57)*$E$59%)</f>
        <v>13.693500000000002</v>
      </c>
      <c r="J59" s="1686"/>
      <c r="K59" s="1691"/>
      <c r="L59" s="1690">
        <f>IF(L58+SUM($L$46:$L$57)*$E$59%&gt;L58+10,L58+10,L58+SUM($L$46:$L$57)*$E$59%)</f>
        <v>13.950000000000003</v>
      </c>
      <c r="M59" s="1689"/>
      <c r="N59" s="1688"/>
      <c r="O59" s="1687">
        <f>IF(O58+SUM($O$46:$O$57)*$E$59%&gt;O58+10,O58+10,O58+SUM($O$46:$O$57)*$E$59%)</f>
        <v>14.2065</v>
      </c>
      <c r="P59" s="1686"/>
      <c r="Q59" s="32"/>
      <c r="S59" s="678">
        <f>COLUMNS($S$59:S59)</f>
        <v>1</v>
      </c>
      <c r="T59" s="678">
        <f>COLUMNS($S$59:T59)</f>
        <v>2</v>
      </c>
      <c r="U59" s="678">
        <f>COLUMNS($S$59:U59)</f>
        <v>3</v>
      </c>
      <c r="V59" s="678">
        <f>COLUMNS($S$59:V59)</f>
        <v>4</v>
      </c>
    </row>
    <row r="60" spans="1:22" s="65" customFormat="1" ht="18.75" customHeight="1">
      <c r="A60" s="1373"/>
      <c r="B60" s="1276" t="s">
        <v>1220</v>
      </c>
      <c r="C60" s="1373"/>
      <c r="D60" s="1373"/>
      <c r="E60" s="45"/>
      <c r="F60" s="45"/>
      <c r="G60" s="1685"/>
      <c r="H60" s="1677"/>
      <c r="I60" s="1676"/>
      <c r="J60" s="1684">
        <f>IF(J6=0,0,SUM(I62:I64))</f>
        <v>173.1</v>
      </c>
      <c r="K60" s="1680"/>
      <c r="L60" s="1679"/>
      <c r="M60" s="1617">
        <f>IF(M6=0,0,SUM(L62:L64))</f>
        <v>173.1</v>
      </c>
      <c r="N60" s="1677"/>
      <c r="O60" s="1676"/>
      <c r="P60" s="1684">
        <f>IF(P6=0,0,SUM(O62:O64))</f>
        <v>173.1</v>
      </c>
      <c r="Q60" s="32"/>
    </row>
    <row r="61" spans="1:22"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22" s="42" customFormat="1" ht="18.75" customHeight="1">
      <c r="A62" s="1306"/>
      <c r="B62" s="1594"/>
      <c r="C62" s="4833" t="s">
        <v>342</v>
      </c>
      <c r="D62" s="4833"/>
      <c r="E62" s="4833"/>
      <c r="F62" s="1674">
        <f>IF($C62=0,0,VLOOKUP($C62,'SDK3'!$C$98:$D$119,2,FALSE))</f>
        <v>173.1</v>
      </c>
      <c r="G62" s="1673">
        <f>(100+$D$61)/100*F62</f>
        <v>173.1</v>
      </c>
      <c r="H62" s="227"/>
      <c r="I62" s="1669">
        <f>$G$62</f>
        <v>173.1</v>
      </c>
      <c r="J62" s="227"/>
      <c r="K62" s="1672"/>
      <c r="L62" s="1671">
        <f>$G$62</f>
        <v>173.1</v>
      </c>
      <c r="M62" s="1589"/>
      <c r="N62" s="1670"/>
      <c r="O62" s="1669">
        <f>$G$62</f>
        <v>173.1</v>
      </c>
      <c r="P62" s="1668"/>
      <c r="Q62" s="32"/>
    </row>
    <row r="63" spans="1:22"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22"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3"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3"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3" s="708" customFormat="1" ht="22.9" customHeight="1">
      <c r="A67" s="1270"/>
      <c r="B67" s="1276" t="s">
        <v>1218</v>
      </c>
      <c r="C67" s="1270"/>
      <c r="D67" s="1270"/>
      <c r="E67" s="229"/>
      <c r="F67" s="1642"/>
      <c r="G67" s="1620"/>
      <c r="H67" s="1639" t="s">
        <v>1217</v>
      </c>
      <c r="I67" s="1638" t="s">
        <v>1216</v>
      </c>
      <c r="J67" s="1614">
        <f>R68*(H9+H10)*I68%+F68</f>
        <v>330</v>
      </c>
      <c r="K67" s="1641" t="s">
        <v>1217</v>
      </c>
      <c r="L67" s="1640" t="s">
        <v>1216</v>
      </c>
      <c r="M67" s="1617">
        <f>S68*(K9+K10)*L68%+F68</f>
        <v>440</v>
      </c>
      <c r="N67" s="1639" t="s">
        <v>1217</v>
      </c>
      <c r="O67" s="1638" t="s">
        <v>1216</v>
      </c>
      <c r="P67" s="1614">
        <f>T68*(N9+N10)*O68%+F68</f>
        <v>610</v>
      </c>
      <c r="Q67" s="32"/>
      <c r="R67" s="33"/>
      <c r="S67" s="33"/>
      <c r="T67" s="33"/>
      <c r="U67" s="33"/>
      <c r="V67" s="33"/>
      <c r="W67" s="33"/>
    </row>
    <row r="68" spans="1:23" s="708" customFormat="1" ht="15" customHeight="1">
      <c r="A68" s="1270"/>
      <c r="B68" s="1637"/>
      <c r="C68" s="4839" t="s">
        <v>737</v>
      </c>
      <c r="D68" s="4839"/>
      <c r="E68" s="4839"/>
      <c r="F68" s="1636"/>
      <c r="G68" s="1627" t="s">
        <v>171</v>
      </c>
      <c r="H68" s="1634">
        <v>25</v>
      </c>
      <c r="I68" s="1633">
        <v>100</v>
      </c>
      <c r="J68" s="1632"/>
      <c r="K68" s="1634">
        <v>25</v>
      </c>
      <c r="L68" s="1633">
        <v>100</v>
      </c>
      <c r="M68" s="1635"/>
      <c r="N68" s="1634">
        <v>27</v>
      </c>
      <c r="O68" s="1633">
        <v>100</v>
      </c>
      <c r="P68" s="1632"/>
      <c r="Q68" s="32"/>
      <c r="R68" s="1944">
        <f>IF($H$68=0,0,VLOOKUP($H$68,'SD6'!H8:I256,'SD6'!I1,FALSE))*(1+'SDK1'!O11/100)</f>
        <v>5.5</v>
      </c>
      <c r="S68" s="1944">
        <f>IF($K$68=0,0,VLOOKUP($K$68,'SD6'!H8:I256,'SD6'!I1,FALSE))*(1+'SDK1'!O11/100)</f>
        <v>5.5</v>
      </c>
      <c r="T68" s="1944">
        <f>IF($N$68=0,0,VLOOKUP($N$68,'SD6'!H8:I256,'SD6'!I1,FALSE))*(1+'SDK1'!O11/100)</f>
        <v>6.1</v>
      </c>
      <c r="U68" s="33"/>
      <c r="V68" s="33"/>
      <c r="W68" s="33"/>
    </row>
    <row r="69" spans="1:23" s="708" customFormat="1" ht="18.75" customHeight="1">
      <c r="A69" s="1270"/>
      <c r="B69" s="1276" t="s">
        <v>1214</v>
      </c>
      <c r="C69" s="1270"/>
      <c r="D69" s="1270"/>
      <c r="E69" s="38"/>
      <c r="F69" s="38"/>
      <c r="G69" s="1620"/>
      <c r="H69" s="44"/>
      <c r="I69" s="73"/>
      <c r="J69" s="1614">
        <f>H70*$F70/1000</f>
        <v>37.423999999999992</v>
      </c>
      <c r="K69" s="1630"/>
      <c r="L69" s="1629"/>
      <c r="M69" s="1617">
        <f>K70*$F70/1000</f>
        <v>49.898666666666657</v>
      </c>
      <c r="N69" s="44"/>
      <c r="O69" s="73"/>
      <c r="P69" s="1614">
        <f>N70*$F70/1000</f>
        <v>62.373333333333321</v>
      </c>
      <c r="Q69" s="32"/>
      <c r="R69" s="33"/>
      <c r="S69" s="33"/>
      <c r="T69" s="33"/>
      <c r="U69" s="33"/>
      <c r="V69" s="33"/>
      <c r="W69" s="33"/>
    </row>
    <row r="70" spans="1:23" s="708" customFormat="1" ht="15" customHeight="1">
      <c r="A70" s="1270"/>
      <c r="B70" s="1332"/>
      <c r="C70" s="1331" t="s">
        <v>896</v>
      </c>
      <c r="D70" s="353"/>
      <c r="E70" s="280"/>
      <c r="F70" s="1628">
        <f>'SDK7'!G102</f>
        <v>16</v>
      </c>
      <c r="G70" s="1627" t="s">
        <v>171</v>
      </c>
      <c r="H70" s="1623">
        <f>I9+I10</f>
        <v>2338.9999999999995</v>
      </c>
      <c r="I70" s="1622"/>
      <c r="J70" s="1621"/>
      <c r="K70" s="1626">
        <f>L9+L10</f>
        <v>3118.6666666666661</v>
      </c>
      <c r="L70" s="1625"/>
      <c r="M70" s="1624"/>
      <c r="N70" s="1623">
        <f>O9+O10</f>
        <v>3898.3333333333326</v>
      </c>
      <c r="O70" s="1622"/>
      <c r="P70" s="1621"/>
      <c r="Q70" s="32"/>
      <c r="R70" s="33"/>
      <c r="S70" s="33"/>
      <c r="T70" s="33"/>
      <c r="U70" s="33"/>
      <c r="V70" s="33"/>
      <c r="W70" s="33"/>
    </row>
    <row r="71" spans="1:23"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c r="R71" s="33"/>
      <c r="S71" s="33"/>
      <c r="T71" s="33"/>
      <c r="U71" s="33"/>
      <c r="V71" s="33"/>
      <c r="W71" s="33"/>
    </row>
    <row r="72" spans="1:23"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c r="R72" s="33"/>
      <c r="S72" s="33"/>
      <c r="T72" s="33"/>
      <c r="U72" s="33"/>
      <c r="V72" s="33"/>
      <c r="W72" s="33"/>
    </row>
    <row r="73" spans="1:23"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c r="R73" s="33"/>
      <c r="S73" s="33"/>
      <c r="T73" s="33"/>
      <c r="U73" s="33"/>
      <c r="V73" s="33"/>
      <c r="W73" s="33"/>
    </row>
    <row r="74" spans="1:23"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c r="R74" s="33"/>
      <c r="S74" s="33"/>
      <c r="T74" s="33"/>
      <c r="U74" s="33"/>
      <c r="V74" s="33"/>
      <c r="W74" s="33"/>
    </row>
    <row r="75" spans="1:23"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13.327035936919362</v>
      </c>
      <c r="K75" s="3063"/>
      <c r="L75" s="1056"/>
      <c r="M75" s="1578">
        <f>(M23+M27+M34+M43+M60+M65+M67+M69+M71)*('SDK1'!$O$59%*$G$75/12)</f>
        <v>15.850953536569603</v>
      </c>
      <c r="N75" s="1580"/>
      <c r="O75" s="1579"/>
      <c r="P75" s="1578">
        <f>(P23+P27+P34+P43+P60+P65+P67+P69+P71)*('SDK1'!$O$59%*$G$75/12)</f>
        <v>18.899871136219851</v>
      </c>
      <c r="Q75" s="32"/>
    </row>
    <row r="76" spans="1:23">
      <c r="L76" s="33"/>
      <c r="M76" s="3642"/>
      <c r="N76" s="3642"/>
      <c r="O76" s="3642"/>
      <c r="P76" s="3642"/>
      <c r="Q76" s="3642"/>
    </row>
    <row r="77" spans="1:23">
      <c r="L77" s="33"/>
      <c r="M77" s="3642"/>
      <c r="N77" s="3642"/>
      <c r="O77" s="3642"/>
      <c r="P77" s="3642"/>
      <c r="Q77" s="3642"/>
    </row>
    <row r="78" spans="1:23" ht="14.25">
      <c r="C78" s="4921" t="s">
        <v>1946</v>
      </c>
      <c r="D78" s="4922"/>
      <c r="E78" s="4922"/>
      <c r="F78" s="4923"/>
      <c r="G78" s="3642"/>
      <c r="H78" s="3642"/>
      <c r="I78" s="3642"/>
      <c r="J78" s="3642"/>
      <c r="K78" s="3642"/>
      <c r="L78" s="3642"/>
      <c r="M78" s="3642"/>
      <c r="N78" s="3642"/>
      <c r="O78" s="3642"/>
      <c r="P78" s="3642"/>
      <c r="Q78" s="3642"/>
    </row>
    <row r="79" spans="1:23">
      <c r="C79" s="4913" t="s">
        <v>295</v>
      </c>
      <c r="D79" s="4914"/>
      <c r="E79" s="4914"/>
      <c r="F79" s="4915"/>
      <c r="G79" s="3642"/>
      <c r="H79" s="3642"/>
      <c r="I79" s="3642"/>
      <c r="J79" s="3642"/>
      <c r="K79" s="3642"/>
      <c r="L79" s="3642"/>
      <c r="M79" s="3642"/>
      <c r="N79" s="3642"/>
      <c r="O79" s="3642"/>
      <c r="P79" s="3642"/>
      <c r="Q79" s="3642"/>
    </row>
    <row r="80" spans="1:23"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L90" s="3642"/>
      <c r="M90" s="3642"/>
      <c r="N90" s="3642"/>
      <c r="O90" s="3642"/>
      <c r="P90" s="3642"/>
    </row>
    <row r="91" spans="2:16">
      <c r="C91" s="33"/>
      <c r="D91" s="33"/>
      <c r="E91" s="33"/>
      <c r="F91" s="2538"/>
      <c r="G91" s="3642"/>
      <c r="H91" s="3642"/>
      <c r="I91" s="3642"/>
      <c r="J91" s="3642"/>
      <c r="K91" s="3642"/>
      <c r="L91" s="3642"/>
      <c r="M91" s="3642"/>
      <c r="N91" s="3642"/>
      <c r="O91" s="3642"/>
      <c r="P91" s="3642"/>
    </row>
    <row r="92" spans="2:16">
      <c r="C92" s="33"/>
      <c r="D92" s="33"/>
      <c r="E92" s="33"/>
      <c r="F92" s="2538"/>
      <c r="G92" s="3642"/>
      <c r="H92" s="3642"/>
      <c r="I92" s="3642"/>
      <c r="J92" s="3642"/>
      <c r="K92" s="3642"/>
      <c r="L92" s="3642"/>
      <c r="M92" s="3642"/>
      <c r="N92" s="3642"/>
      <c r="O92" s="3642"/>
      <c r="P92" s="3642"/>
    </row>
    <row r="93" spans="2:16">
      <c r="C93" s="33"/>
      <c r="D93" s="33"/>
      <c r="E93" s="33"/>
      <c r="F93" s="2538"/>
      <c r="G93" s="3642"/>
      <c r="H93" s="3642"/>
      <c r="I93" s="3642"/>
      <c r="J93" s="3642"/>
      <c r="K93" s="3642"/>
      <c r="L93" s="3642"/>
      <c r="M93" s="3642"/>
      <c r="N93" s="3642"/>
      <c r="O93" s="3642"/>
      <c r="P93" s="3642"/>
    </row>
    <row r="94" spans="2:16">
      <c r="C94" s="33"/>
      <c r="D94" s="33"/>
      <c r="E94" s="33"/>
      <c r="F94" s="2538"/>
      <c r="G94" s="3642"/>
      <c r="H94" s="3642"/>
      <c r="I94" s="3642"/>
      <c r="J94" s="3642"/>
      <c r="K94" s="3642"/>
      <c r="L94" s="3642"/>
      <c r="M94" s="3642"/>
      <c r="N94" s="3642"/>
      <c r="O94" s="3642"/>
      <c r="P94" s="3642"/>
    </row>
    <row r="95" spans="2:16">
      <c r="C95" s="33"/>
      <c r="D95" s="33"/>
      <c r="E95" s="33"/>
      <c r="F95" s="2538"/>
      <c r="G95" s="3642"/>
      <c r="H95" s="3642"/>
      <c r="I95" s="3642"/>
      <c r="J95" s="3642"/>
      <c r="K95" s="3642"/>
      <c r="L95" s="3642"/>
      <c r="M95" s="3642"/>
      <c r="N95" s="3642"/>
      <c r="O95" s="3642"/>
      <c r="P95" s="3642"/>
    </row>
    <row r="96" spans="2:16">
      <c r="C96" s="33"/>
      <c r="D96" s="33"/>
      <c r="E96" s="33"/>
      <c r="F96" s="2538"/>
      <c r="G96" s="3642"/>
      <c r="H96" s="3642"/>
      <c r="I96" s="3642"/>
      <c r="J96" s="3642"/>
      <c r="K96" s="3642"/>
      <c r="L96" s="3642"/>
      <c r="M96" s="3642"/>
      <c r="N96" s="3642"/>
      <c r="O96" s="3642"/>
      <c r="P96" s="3642"/>
    </row>
    <row r="97" spans="2:16">
      <c r="C97" s="33"/>
      <c r="D97" s="33"/>
      <c r="E97" s="33"/>
      <c r="G97" s="3642"/>
      <c r="H97" s="3642"/>
      <c r="I97" s="3642"/>
      <c r="J97" s="3642"/>
      <c r="K97" s="3642"/>
      <c r="L97" s="3642"/>
      <c r="M97" s="3642"/>
      <c r="N97" s="3642"/>
      <c r="O97" s="3642"/>
      <c r="P97" s="3642"/>
    </row>
    <row r="98" spans="2:16">
      <c r="C98" s="33"/>
      <c r="D98" s="33"/>
      <c r="E98" s="33"/>
      <c r="G98" s="3642"/>
      <c r="H98" s="3642"/>
      <c r="I98" s="3642"/>
      <c r="J98" s="3642"/>
      <c r="K98" s="3642"/>
      <c r="L98" s="3642"/>
      <c r="M98" s="3642"/>
      <c r="N98" s="3642"/>
      <c r="O98" s="3642"/>
      <c r="P98" s="3642"/>
    </row>
    <row r="99" spans="2:16">
      <c r="B99" s="33"/>
      <c r="C99" s="33"/>
      <c r="D99" s="33"/>
      <c r="E99" s="33"/>
      <c r="G99" s="3642"/>
      <c r="H99" s="3642"/>
      <c r="I99" s="3642"/>
      <c r="J99" s="3642"/>
      <c r="K99" s="3642"/>
      <c r="L99" s="3642"/>
      <c r="M99" s="3642"/>
      <c r="N99" s="3642"/>
      <c r="O99" s="3642"/>
      <c r="P99" s="3642"/>
    </row>
    <row r="100" spans="2:16">
      <c r="B100" s="33"/>
      <c r="C100" s="33"/>
      <c r="D100" s="33"/>
      <c r="G100" s="3642"/>
      <c r="H100" s="3642"/>
      <c r="I100" s="3642"/>
      <c r="J100" s="3642"/>
      <c r="K100" s="3642"/>
      <c r="L100" s="3642"/>
      <c r="M100" s="3642"/>
      <c r="N100" s="3642"/>
      <c r="O100" s="3642"/>
      <c r="P100" s="3642"/>
    </row>
    <row r="101" spans="2:16">
      <c r="B101" s="33"/>
      <c r="C101" s="33"/>
      <c r="D101" s="33"/>
      <c r="G101" s="3642"/>
      <c r="H101" s="3642"/>
      <c r="I101" s="3642"/>
      <c r="J101" s="3642"/>
      <c r="K101" s="3642"/>
      <c r="L101" s="3642"/>
      <c r="M101" s="3642"/>
      <c r="N101" s="3642"/>
      <c r="O101" s="3642"/>
      <c r="P101" s="3642"/>
    </row>
    <row r="102" spans="2:16">
      <c r="B102" s="33"/>
      <c r="C102" s="33"/>
      <c r="D102" s="33"/>
      <c r="G102" s="3642"/>
      <c r="H102" s="3642"/>
      <c r="I102" s="3642"/>
      <c r="J102" s="3642"/>
      <c r="K102" s="3642"/>
      <c r="L102" s="3642"/>
      <c r="M102" s="3642"/>
      <c r="N102" s="3642"/>
      <c r="O102" s="3642"/>
      <c r="P102" s="3642"/>
    </row>
    <row r="103" spans="2:16">
      <c r="B103" s="33"/>
      <c r="C103" s="33"/>
      <c r="D103" s="33"/>
      <c r="G103" s="3642"/>
      <c r="H103" s="3642"/>
      <c r="I103" s="3642"/>
      <c r="J103" s="3642"/>
      <c r="K103" s="3642"/>
      <c r="L103" s="3642"/>
      <c r="M103" s="3642"/>
      <c r="N103" s="3642"/>
      <c r="O103" s="3642"/>
      <c r="P103" s="3642"/>
    </row>
    <row r="104" spans="2:16">
      <c r="B104" s="33"/>
      <c r="C104" s="33"/>
      <c r="D104" s="33"/>
      <c r="G104" s="3642"/>
      <c r="H104" s="3642"/>
      <c r="I104" s="3642"/>
      <c r="J104" s="3642"/>
      <c r="K104" s="3642"/>
      <c r="L104" s="3642"/>
      <c r="M104" s="3642"/>
      <c r="N104" s="3642"/>
      <c r="O104" s="3642"/>
      <c r="P104" s="3642"/>
    </row>
    <row r="105" spans="2:16">
      <c r="B105" s="33"/>
      <c r="C105" s="33"/>
      <c r="D105" s="33"/>
      <c r="G105" s="3642"/>
      <c r="H105" s="3642"/>
      <c r="I105" s="3642"/>
      <c r="J105" s="3642"/>
      <c r="K105" s="3642"/>
      <c r="L105" s="3642"/>
      <c r="M105" s="3642"/>
      <c r="N105" s="3642"/>
      <c r="O105" s="3642"/>
      <c r="P105" s="3642"/>
    </row>
    <row r="106" spans="2:16">
      <c r="B106" s="33"/>
      <c r="C106" s="33"/>
      <c r="D106" s="33"/>
      <c r="G106" s="3642"/>
      <c r="H106" s="3642"/>
      <c r="I106" s="3642"/>
      <c r="J106" s="3642"/>
      <c r="K106" s="3642"/>
      <c r="L106" s="3642"/>
      <c r="M106" s="3642"/>
      <c r="N106" s="3642"/>
      <c r="O106" s="3642"/>
      <c r="P106" s="3642"/>
    </row>
    <row r="107" spans="2:16">
      <c r="G107" s="3642"/>
      <c r="H107" s="3642"/>
      <c r="I107" s="3642"/>
      <c r="J107" s="3642"/>
      <c r="K107" s="3642"/>
      <c r="L107" s="3642"/>
      <c r="M107" s="3642"/>
      <c r="N107" s="3642"/>
      <c r="O107" s="3642"/>
      <c r="P107" s="3642"/>
    </row>
    <row r="108" spans="2:16">
      <c r="G108" s="3642"/>
      <c r="H108" s="3642"/>
      <c r="I108" s="3642"/>
      <c r="J108" s="3642"/>
      <c r="K108" s="3642"/>
      <c r="L108" s="3642"/>
      <c r="M108" s="3642"/>
      <c r="N108" s="3642"/>
      <c r="O108" s="3642"/>
      <c r="P108" s="3642"/>
    </row>
    <row r="109" spans="2:16">
      <c r="G109" s="3642"/>
      <c r="H109" s="3642"/>
      <c r="I109" s="3642"/>
      <c r="J109" s="3642"/>
      <c r="K109" s="3642"/>
      <c r="L109" s="3642"/>
      <c r="M109" s="3642"/>
      <c r="N109" s="3642"/>
      <c r="O109" s="3642"/>
      <c r="P109" s="3642"/>
    </row>
    <row r="110" spans="2:16">
      <c r="G110" s="3642"/>
      <c r="H110" s="3642"/>
      <c r="I110" s="3642"/>
      <c r="J110" s="3642"/>
      <c r="K110" s="3642"/>
      <c r="L110" s="3642"/>
      <c r="M110" s="3642"/>
      <c r="N110" s="3642"/>
      <c r="O110" s="3642"/>
      <c r="P110" s="3642"/>
    </row>
    <row r="111" spans="2:16">
      <c r="G111" s="3642"/>
      <c r="H111" s="3642"/>
      <c r="I111" s="3642"/>
      <c r="J111" s="3642"/>
      <c r="K111" s="3642"/>
      <c r="L111" s="3642"/>
      <c r="M111" s="3642"/>
      <c r="N111" s="3642"/>
      <c r="O111" s="3642"/>
      <c r="P111" s="3642"/>
    </row>
    <row r="112" spans="2:16">
      <c r="G112" s="3642"/>
      <c r="H112" s="3642"/>
      <c r="I112" s="3642"/>
      <c r="J112" s="3642"/>
      <c r="K112" s="3642"/>
      <c r="L112" s="3642"/>
      <c r="M112" s="3642"/>
      <c r="N112" s="3642"/>
      <c r="O112" s="3642"/>
      <c r="P112" s="3642"/>
    </row>
    <row r="113" spans="2:16">
      <c r="G113" s="3642"/>
      <c r="H113" s="3642"/>
      <c r="I113" s="3642"/>
      <c r="J113" s="3642"/>
      <c r="K113" s="3642"/>
      <c r="L113" s="3642"/>
      <c r="M113" s="3642"/>
      <c r="N113" s="3642"/>
      <c r="O113" s="3642"/>
      <c r="P113" s="3642"/>
    </row>
    <row r="114" spans="2:16">
      <c r="G114" s="3642"/>
      <c r="H114" s="3642"/>
      <c r="I114" s="3642"/>
      <c r="J114" s="3642"/>
      <c r="K114" s="3642"/>
      <c r="L114" s="3642"/>
      <c r="M114" s="3642"/>
      <c r="N114" s="3642"/>
      <c r="O114" s="3642"/>
      <c r="P114" s="3642"/>
    </row>
    <row r="115" spans="2:16">
      <c r="G115" s="3642"/>
      <c r="H115" s="3642"/>
      <c r="I115" s="3642"/>
      <c r="J115" s="3642"/>
      <c r="K115" s="3642"/>
      <c r="L115" s="3642"/>
      <c r="M115" s="3642"/>
      <c r="N115" s="3642"/>
      <c r="O115" s="3642"/>
      <c r="P115" s="3642"/>
    </row>
    <row r="116" spans="2:16">
      <c r="G116" s="3642"/>
      <c r="H116" s="3642"/>
      <c r="I116" s="3642"/>
      <c r="J116" s="3642"/>
      <c r="K116" s="3642"/>
      <c r="L116" s="3642"/>
      <c r="M116" s="3642"/>
      <c r="N116" s="3642"/>
      <c r="O116" s="3642"/>
      <c r="P116" s="3642"/>
    </row>
    <row r="117" spans="2:16">
      <c r="G117" s="3642"/>
      <c r="H117" s="3642"/>
      <c r="I117" s="3642"/>
      <c r="J117" s="3642"/>
      <c r="K117" s="3642"/>
      <c r="L117" s="3642"/>
      <c r="M117" s="3642"/>
      <c r="N117" s="3642"/>
      <c r="O117" s="3642"/>
      <c r="P117" s="3642"/>
    </row>
    <row r="118" spans="2:16">
      <c r="B118" s="622"/>
      <c r="C118" s="33"/>
      <c r="G118" s="3642"/>
      <c r="H118" s="3642"/>
      <c r="I118" s="3642"/>
      <c r="J118" s="3642"/>
      <c r="K118" s="3642"/>
      <c r="L118" s="3642"/>
      <c r="M118" s="3642"/>
      <c r="N118" s="3642"/>
      <c r="O118" s="3642"/>
      <c r="P118" s="3642"/>
    </row>
    <row r="119" spans="2:16">
      <c r="B119" s="622"/>
      <c r="C119" s="33"/>
      <c r="G119" s="3642"/>
      <c r="H119" s="3642"/>
      <c r="I119" s="3642"/>
      <c r="J119" s="3642"/>
      <c r="K119" s="3642"/>
      <c r="L119" s="3642"/>
      <c r="M119" s="3642"/>
      <c r="N119" s="3642"/>
      <c r="O119" s="3642"/>
      <c r="P119" s="3642"/>
    </row>
    <row r="120" spans="2:16">
      <c r="B120" s="622"/>
      <c r="C120" s="33"/>
      <c r="G120" s="3642"/>
      <c r="H120" s="3642"/>
      <c r="I120" s="3642"/>
      <c r="J120" s="3642"/>
      <c r="K120" s="3642"/>
      <c r="L120" s="3642"/>
      <c r="M120" s="3642"/>
      <c r="N120" s="3642"/>
      <c r="O120" s="3642"/>
      <c r="P120" s="3642"/>
    </row>
    <row r="121" spans="2:16">
      <c r="B121" s="622"/>
      <c r="C121" s="33"/>
      <c r="G121" s="3642"/>
      <c r="H121" s="3642"/>
      <c r="I121" s="3642"/>
      <c r="J121" s="3642"/>
      <c r="K121" s="3642"/>
      <c r="L121" s="3642"/>
      <c r="M121" s="3642"/>
      <c r="N121" s="3642"/>
      <c r="O121" s="3642"/>
      <c r="P121" s="3642"/>
    </row>
    <row r="122" spans="2:16">
      <c r="B122" s="622"/>
      <c r="C122" s="33"/>
      <c r="G122" s="3642"/>
      <c r="H122" s="3642"/>
      <c r="I122" s="3642"/>
      <c r="J122" s="3642"/>
      <c r="K122" s="3642"/>
      <c r="L122" s="3642"/>
      <c r="M122" s="3642"/>
      <c r="N122" s="3642"/>
      <c r="O122" s="3642"/>
      <c r="P122" s="3642"/>
    </row>
    <row r="123" spans="2:16">
      <c r="B123" s="622"/>
      <c r="C123" s="33"/>
      <c r="G123" s="3642"/>
      <c r="H123" s="3642"/>
      <c r="I123" s="3642"/>
      <c r="J123" s="3642"/>
      <c r="K123" s="3642"/>
      <c r="L123" s="3642"/>
      <c r="M123" s="3642"/>
      <c r="N123" s="3642"/>
      <c r="O123" s="3642"/>
      <c r="P123" s="3642"/>
    </row>
    <row r="124" spans="2:16">
      <c r="B124" s="622"/>
      <c r="C124" s="33"/>
      <c r="G124" s="3642"/>
      <c r="H124" s="3642"/>
      <c r="I124" s="3642"/>
      <c r="J124" s="3642"/>
      <c r="K124" s="3642"/>
      <c r="L124" s="3642"/>
      <c r="M124" s="3642"/>
      <c r="N124" s="3642"/>
      <c r="O124" s="3642"/>
      <c r="P124" s="3642"/>
    </row>
    <row r="125" spans="2:16">
      <c r="B125" s="622"/>
      <c r="C125" s="33"/>
      <c r="G125" s="3642"/>
      <c r="H125" s="3642"/>
      <c r="I125" s="3642"/>
      <c r="J125" s="3642"/>
      <c r="K125" s="3642"/>
      <c r="L125" s="3642"/>
      <c r="M125" s="3642"/>
      <c r="N125" s="3642"/>
      <c r="O125" s="3642"/>
      <c r="P125" s="3642"/>
    </row>
    <row r="126" spans="2:16">
      <c r="B126" s="622"/>
      <c r="C126" s="33"/>
      <c r="G126" s="3642"/>
      <c r="H126" s="3642"/>
      <c r="I126" s="3642"/>
      <c r="J126" s="3642"/>
      <c r="K126" s="3642"/>
      <c r="L126" s="3642"/>
      <c r="M126" s="3642"/>
      <c r="N126" s="3642"/>
      <c r="O126" s="3642"/>
      <c r="P126" s="3642"/>
    </row>
    <row r="127" spans="2:16">
      <c r="B127" s="622"/>
      <c r="C127" s="33"/>
      <c r="G127" s="3642"/>
      <c r="H127" s="3642"/>
      <c r="I127" s="3642"/>
      <c r="J127" s="3642"/>
      <c r="K127" s="3642"/>
      <c r="L127" s="3642"/>
      <c r="M127" s="3642"/>
      <c r="N127" s="3642"/>
      <c r="O127" s="3642"/>
      <c r="P127" s="3642"/>
    </row>
    <row r="128" spans="2:16">
      <c r="B128" s="622"/>
      <c r="C128" s="33"/>
      <c r="G128" s="3642"/>
      <c r="H128" s="3642"/>
      <c r="I128" s="3642"/>
      <c r="J128" s="3642"/>
      <c r="K128" s="3642"/>
      <c r="L128" s="3642"/>
      <c r="M128" s="3642"/>
      <c r="N128" s="3642"/>
      <c r="O128" s="3642"/>
      <c r="P128" s="3642"/>
    </row>
    <row r="129" spans="2:16">
      <c r="B129" s="622"/>
      <c r="C129" s="33"/>
      <c r="G129" s="3642"/>
      <c r="H129" s="3642"/>
      <c r="I129" s="3642"/>
      <c r="J129" s="3642"/>
      <c r="K129" s="3642"/>
      <c r="L129" s="3642"/>
      <c r="M129" s="3642"/>
      <c r="N129" s="3642"/>
      <c r="O129" s="3642"/>
      <c r="P129" s="3642"/>
    </row>
    <row r="130" spans="2:16">
      <c r="B130" s="622"/>
      <c r="C130" s="33"/>
      <c r="G130" s="3642"/>
      <c r="H130" s="3642"/>
      <c r="I130" s="3642"/>
      <c r="J130" s="3642"/>
      <c r="K130" s="3642"/>
      <c r="L130" s="3642"/>
      <c r="M130" s="3642"/>
      <c r="N130" s="3642"/>
      <c r="O130" s="3642"/>
      <c r="P130" s="3642"/>
    </row>
    <row r="131" spans="2:16">
      <c r="B131" s="622"/>
      <c r="C131" s="33"/>
      <c r="G131" s="3642"/>
      <c r="H131" s="3642"/>
      <c r="I131" s="3642"/>
      <c r="J131" s="3642"/>
      <c r="K131" s="3642"/>
      <c r="L131" s="3642"/>
      <c r="M131" s="3642"/>
      <c r="N131" s="3642"/>
      <c r="O131" s="3642"/>
      <c r="P131" s="3642"/>
    </row>
    <row r="132" spans="2:16">
      <c r="B132" s="622"/>
      <c r="C132" s="33"/>
      <c r="G132" s="3642"/>
      <c r="H132" s="3642"/>
      <c r="I132" s="3642"/>
      <c r="J132" s="3642"/>
      <c r="K132" s="3642"/>
      <c r="L132" s="3642"/>
      <c r="M132" s="3642"/>
      <c r="N132" s="3642"/>
      <c r="O132" s="3642"/>
      <c r="P132" s="3642"/>
    </row>
    <row r="133" spans="2:16">
      <c r="B133" s="622"/>
      <c r="C133" s="33"/>
      <c r="G133" s="3642"/>
      <c r="H133" s="3642"/>
      <c r="I133" s="3642"/>
      <c r="J133" s="3642"/>
      <c r="K133" s="3642"/>
      <c r="L133" s="3642"/>
      <c r="M133" s="3642"/>
      <c r="N133" s="3642"/>
      <c r="O133" s="3642"/>
      <c r="P133" s="3642"/>
    </row>
    <row r="134" spans="2:16">
      <c r="B134" s="622"/>
      <c r="C134" s="33"/>
      <c r="G134" s="3642"/>
      <c r="H134" s="3642"/>
      <c r="I134" s="3642"/>
      <c r="J134" s="3642"/>
      <c r="K134" s="3642"/>
      <c r="L134" s="3642"/>
      <c r="M134" s="3642"/>
      <c r="N134" s="3642"/>
      <c r="O134" s="3642"/>
      <c r="P134" s="3642"/>
    </row>
    <row r="135" spans="2:16">
      <c r="B135" s="622"/>
      <c r="C135" s="33"/>
      <c r="G135" s="3642"/>
      <c r="H135" s="3642"/>
      <c r="I135" s="3642"/>
      <c r="J135" s="3642"/>
      <c r="K135" s="3642"/>
      <c r="L135" s="3642"/>
      <c r="M135" s="3642"/>
      <c r="N135" s="3642"/>
      <c r="O135" s="3642"/>
      <c r="P135" s="3642"/>
    </row>
    <row r="136" spans="2:16">
      <c r="B136" s="622"/>
      <c r="C136" s="33"/>
      <c r="G136" s="3642"/>
      <c r="H136" s="3642"/>
      <c r="I136" s="3642"/>
      <c r="J136" s="3642"/>
      <c r="K136" s="3642"/>
      <c r="L136" s="3642"/>
      <c r="M136" s="3642"/>
      <c r="N136" s="3642"/>
      <c r="O136" s="3642"/>
      <c r="P136" s="3642"/>
    </row>
    <row r="137" spans="2:16">
      <c r="B137" s="622"/>
      <c r="C137" s="33"/>
      <c r="L137" s="33"/>
    </row>
    <row r="138" spans="2:16">
      <c r="B138" s="622"/>
      <c r="C138" s="33"/>
      <c r="L138" s="33"/>
    </row>
    <row r="139" spans="2:16">
      <c r="B139" s="622"/>
      <c r="C139" s="33"/>
      <c r="L139" s="33"/>
    </row>
    <row r="140" spans="2:16">
      <c r="B140" s="622"/>
      <c r="C140" s="33"/>
      <c r="L140" s="33"/>
    </row>
    <row r="141" spans="2:16">
      <c r="B141" s="622"/>
      <c r="C141" s="33"/>
      <c r="L141" s="33"/>
    </row>
    <row r="142" spans="2:16">
      <c r="B142" s="622"/>
      <c r="C142" s="33"/>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row>
    <row r="148" spans="2:12">
      <c r="B148" s="622"/>
      <c r="C148" s="33"/>
      <c r="D148" s="35"/>
    </row>
    <row r="149" spans="2:12">
      <c r="B149" s="622"/>
      <c r="C149" s="33"/>
      <c r="H149" s="1929"/>
      <c r="J149" s="2389"/>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9">
    <mergeCell ref="C47:D47"/>
    <mergeCell ref="C52:D52"/>
    <mergeCell ref="C36:E36"/>
    <mergeCell ref="C46:D46"/>
    <mergeCell ref="C42:E42"/>
    <mergeCell ref="C64:E64"/>
    <mergeCell ref="C57:D57"/>
    <mergeCell ref="C62:E62"/>
    <mergeCell ref="C51:D51"/>
    <mergeCell ref="C49:D49"/>
    <mergeCell ref="X3:Z3"/>
    <mergeCell ref="X4:Z4"/>
    <mergeCell ref="E10:F10"/>
    <mergeCell ref="C14:F14"/>
    <mergeCell ref="C40:E40"/>
    <mergeCell ref="N3:O4"/>
    <mergeCell ref="N6:O6"/>
    <mergeCell ref="K6:L6"/>
    <mergeCell ref="C39:E39"/>
    <mergeCell ref="C15:F15"/>
    <mergeCell ref="C17:F17"/>
    <mergeCell ref="C19:F19"/>
    <mergeCell ref="F23:G23"/>
    <mergeCell ref="E22:G22"/>
    <mergeCell ref="C78:F78"/>
    <mergeCell ref="C79:F79"/>
    <mergeCell ref="K2:P2"/>
    <mergeCell ref="C38:E38"/>
    <mergeCell ref="C48:D48"/>
    <mergeCell ref="C53:D53"/>
    <mergeCell ref="C50:D50"/>
    <mergeCell ref="C74:E74"/>
    <mergeCell ref="B75:C75"/>
    <mergeCell ref="C55:D55"/>
    <mergeCell ref="C63:E63"/>
    <mergeCell ref="C68:E68"/>
    <mergeCell ref="C73:E73"/>
    <mergeCell ref="C41:E41"/>
    <mergeCell ref="C54:D54"/>
    <mergeCell ref="C56:D56"/>
    <mergeCell ref="N1:O1"/>
    <mergeCell ref="K1:L1"/>
    <mergeCell ref="C37:E37"/>
    <mergeCell ref="C16:F16"/>
    <mergeCell ref="G1:I1"/>
    <mergeCell ref="D25:E25"/>
    <mergeCell ref="D26:E26"/>
    <mergeCell ref="F34:G34"/>
    <mergeCell ref="H6:I6"/>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14.1</formula1>
      <formula2>28.9</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K68">
      <formula1>14.1</formula1>
      <formula2>39.9</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4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8" width="10.5" style="3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1322.8615395284901</v>
      </c>
      <c r="K1" s="4859">
        <f>M1-J1</f>
        <v>358.5852788650916</v>
      </c>
      <c r="L1" s="4859"/>
      <c r="M1" s="1906">
        <f>(M7+M13+M18+M22+L11+L12)-(M23+M27+M34+M43+M60+M65+M67+M69+M71+M75)</f>
        <v>1681.4468183935817</v>
      </c>
      <c r="N1" s="4859">
        <f>P1-M1</f>
        <v>513.22665386509175</v>
      </c>
      <c r="O1" s="4859"/>
      <c r="P1" s="1906">
        <f>(P7+P13+P18+P22+O11+O12)-(P23+P27+P34+P43+P60+P65+P67+P69+P71+P75)</f>
        <v>2194.6734722586734</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1955</v>
      </c>
      <c r="L2" s="4870"/>
      <c r="M2" s="4870"/>
      <c r="N2" s="4870"/>
      <c r="O2" s="4870"/>
      <c r="P2" s="4870"/>
      <c r="Q2" s="2507"/>
    </row>
    <row r="3" spans="1:41" s="276" customFormat="1" ht="21.75" customHeight="1">
      <c r="A3" s="2507"/>
      <c r="B3" s="1903" t="s">
        <v>1693</v>
      </c>
      <c r="G3" s="1891"/>
      <c r="H3" s="1902"/>
      <c r="N3" s="4909"/>
      <c r="O3" s="4872"/>
      <c r="P3" s="1900"/>
      <c r="Q3" s="2507"/>
      <c r="T3" s="1918" t="b">
        <v>0</v>
      </c>
      <c r="W3" s="4866" t="s">
        <v>1262</v>
      </c>
      <c r="X3" s="4916"/>
      <c r="Y3" s="4916"/>
      <c r="Z3" s="1901"/>
    </row>
    <row r="4" spans="1:41" s="276" customFormat="1" ht="20.25" customHeight="1">
      <c r="A4" s="2507"/>
      <c r="B4" s="377" t="s">
        <v>1154</v>
      </c>
      <c r="C4" s="31"/>
      <c r="D4" s="31"/>
      <c r="E4" s="4830" t="s">
        <v>1704</v>
      </c>
      <c r="F4" s="4830"/>
      <c r="G4" s="4830"/>
      <c r="H4" s="4830"/>
      <c r="I4" s="4830"/>
      <c r="N4" s="4872"/>
      <c r="O4" s="4872"/>
      <c r="P4" s="1896">
        <f>SDÖ1!O3</f>
        <v>0</v>
      </c>
      <c r="Q4" s="2507"/>
      <c r="T4" s="1918" t="b">
        <v>0</v>
      </c>
      <c r="W4" s="4866" t="s">
        <v>1250</v>
      </c>
      <c r="X4" s="4916"/>
      <c r="Y4" s="4916"/>
      <c r="Z4" s="2522"/>
    </row>
    <row r="5" spans="1:41" ht="6" customHeight="1"/>
    <row r="6" spans="1:41" s="1885" customFormat="1" ht="24" customHeight="1">
      <c r="A6" s="48"/>
      <c r="B6" s="1890" t="s">
        <v>1207</v>
      </c>
      <c r="C6" s="1889"/>
      <c r="D6" s="1889"/>
      <c r="E6" s="1889"/>
      <c r="F6" s="1889"/>
      <c r="G6" s="1888" t="s">
        <v>1700</v>
      </c>
      <c r="H6" s="4864" t="s">
        <v>179</v>
      </c>
      <c r="I6" s="4865"/>
      <c r="J6" s="1887">
        <f>M6*0.75</f>
        <v>26.25</v>
      </c>
      <c r="K6" s="4849" t="s">
        <v>152</v>
      </c>
      <c r="L6" s="4850"/>
      <c r="M6" s="1887">
        <v>35</v>
      </c>
      <c r="N6" s="4864" t="s">
        <v>178</v>
      </c>
      <c r="O6" s="4865"/>
      <c r="P6" s="1886">
        <f>M6*1.25</f>
        <v>43.75</v>
      </c>
      <c r="Q6" s="70"/>
    </row>
    <row r="7" spans="1:41" s="252" customFormat="1" ht="18.75" customHeight="1">
      <c r="A7" s="47"/>
      <c r="B7" s="311" t="s">
        <v>1691</v>
      </c>
      <c r="C7" s="47"/>
      <c r="D7" s="47"/>
      <c r="E7" s="47"/>
      <c r="F7" s="47"/>
      <c r="G7" s="1884" t="s">
        <v>171</v>
      </c>
      <c r="H7" s="1881"/>
      <c r="I7" s="1880"/>
      <c r="J7" s="1614">
        <f>SUM(I9:I10)</f>
        <v>1383.4625000000001</v>
      </c>
      <c r="K7" s="1883"/>
      <c r="L7" s="1882"/>
      <c r="M7" s="1617">
        <f>SUM(L9:L10)</f>
        <v>1844.616666666667</v>
      </c>
      <c r="N7" s="1881"/>
      <c r="O7" s="1880"/>
      <c r="P7" s="1614">
        <f>SUM(O9:O10)</f>
        <v>2305.7708333333335</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SDÖ1!O23</f>
        <v>52.70333333333334</v>
      </c>
      <c r="H9" s="1877">
        <f>J6-H10</f>
        <v>26.25</v>
      </c>
      <c r="I9" s="1873">
        <f>H9*G9</f>
        <v>1383.4625000000001</v>
      </c>
      <c r="J9" s="43"/>
      <c r="K9" s="1876">
        <f>M6-K10</f>
        <v>35</v>
      </c>
      <c r="L9" s="1875">
        <f>K9*G9</f>
        <v>1844.616666666667</v>
      </c>
      <c r="M9" s="1854"/>
      <c r="N9" s="1874">
        <f>P6-N10</f>
        <v>43.75</v>
      </c>
      <c r="O9" s="1873">
        <f>N9*G9</f>
        <v>2305.7708333333335</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W13" s="42"/>
      <c r="X13" s="1838" t="str">
        <f>IF(OR(T4=TRUE,T5=TRUE),J7*$E$11,"0")</f>
        <v>0</v>
      </c>
      <c r="Y13" s="1839" t="str">
        <f>IF(OR(T4=TRUE,T5=TRUE),M7*$E$11,"0")</f>
        <v>0</v>
      </c>
      <c r="Z13" s="1838" t="str">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410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6" s="4056" customFormat="1" ht="15.6" customHeight="1">
      <c r="A20" s="3913"/>
      <c r="B20" s="1821"/>
      <c r="C20" s="4099" t="s">
        <v>2182</v>
      </c>
      <c r="D20" s="4099"/>
      <c r="E20" s="4099"/>
      <c r="F20" s="4099"/>
      <c r="G20" s="182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6"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250</v>
      </c>
      <c r="K23" s="1619"/>
      <c r="L23" s="1618"/>
      <c r="M23" s="1800">
        <f>SUM(L25:L26)</f>
        <v>250</v>
      </c>
      <c r="N23" s="1616"/>
      <c r="O23" s="1615"/>
      <c r="P23" s="1599">
        <f>SUM(O25:O26)</f>
        <v>250</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1</v>
      </c>
      <c r="G25" s="1794">
        <f>F25*(100+$D$24)/100</f>
        <v>1</v>
      </c>
      <c r="H25" s="1793">
        <v>250</v>
      </c>
      <c r="I25" s="1754">
        <f>H25*$G25</f>
        <v>250</v>
      </c>
      <c r="J25" s="45"/>
      <c r="K25" s="1793">
        <f>H25</f>
        <v>250</v>
      </c>
      <c r="L25" s="1596">
        <f>K25*$G25</f>
        <v>250</v>
      </c>
      <c r="M25" s="1589"/>
      <c r="N25" s="1793">
        <f>H25</f>
        <v>250</v>
      </c>
      <c r="O25" s="1754">
        <f>N25*$G25</f>
        <v>250</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-8.9250000000000753</v>
      </c>
      <c r="K27" s="1748"/>
      <c r="L27" s="1747"/>
      <c r="M27" s="1617">
        <f>SUM(L30:L33)</f>
        <v>-11.900000000000105</v>
      </c>
      <c r="N27" s="1746"/>
      <c r="O27" s="1745"/>
      <c r="P27" s="1614">
        <f>SUM(O30:O33)</f>
        <v>-14.875000000000099</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f>VLOOKUP('SD8'!B31,'SD8'!B9:K44,3,FALSE)</f>
        <v>-0.90000000000000036</v>
      </c>
      <c r="F30" s="1774"/>
      <c r="G30" s="1773"/>
      <c r="H30" s="1771">
        <f>IF(J$6=0,0,(J$6*$E30+$G30+X13))</f>
        <v>-23.625000000000011</v>
      </c>
      <c r="I30" s="1754">
        <f>H30*$D30</f>
        <v>-107.10000000000005</v>
      </c>
      <c r="J30" s="45"/>
      <c r="K30" s="1772">
        <f>IF(M$6=0,0,(M$6*$E30+$G30+AA14))</f>
        <v>-31.500000000000014</v>
      </c>
      <c r="L30" s="1596">
        <f>K30*$D30</f>
        <v>-142.80000000000007</v>
      </c>
      <c r="M30" s="1589"/>
      <c r="N30" s="1771">
        <f>IF(P$6=0,0,(P$6*$E30+$G30+AD14))</f>
        <v>-39.375000000000014</v>
      </c>
      <c r="O30" s="1754">
        <f>N30*$D30</f>
        <v>-178.50000000000006</v>
      </c>
      <c r="P30" s="1718"/>
      <c r="Q30" s="32"/>
    </row>
    <row r="31" spans="1:26" s="42" customFormat="1" ht="15" customHeight="1">
      <c r="A31" s="1306"/>
      <c r="B31" s="274"/>
      <c r="C31" s="1306" t="s">
        <v>244</v>
      </c>
      <c r="D31" s="1723">
        <f>IF(SDÖ1!$U$17=TRUE,SDÖ1!O56,0)</f>
        <v>1.3999999999999997</v>
      </c>
      <c r="E31" s="1774">
        <f>VLOOKUP('SD8'!B31,'SD8'!B9:K44,4,FALSE)</f>
        <v>1.2</v>
      </c>
      <c r="F31" s="1774"/>
      <c r="G31" s="1773"/>
      <c r="H31" s="1771">
        <f>IF(J$6=0,0,(J$6*$E31+$G31+X14))</f>
        <v>31.5</v>
      </c>
      <c r="I31" s="1754">
        <f>H31*$D31</f>
        <v>44.099999999999987</v>
      </c>
      <c r="J31" s="45"/>
      <c r="K31" s="1772">
        <f>IF(M$6=0,0,(M$6*$E31+$G31+Y14))</f>
        <v>42</v>
      </c>
      <c r="L31" s="1596">
        <f>K31*$D31</f>
        <v>58.79999999999999</v>
      </c>
      <c r="M31" s="1589"/>
      <c r="N31" s="1771">
        <f>IF(P$6=0,0,(P$6*$E31+$G31+Z14))</f>
        <v>52.5</v>
      </c>
      <c r="O31" s="1754">
        <f>N31*$D31</f>
        <v>73.499999999999986</v>
      </c>
      <c r="P31" s="1718"/>
      <c r="Q31" s="32"/>
    </row>
    <row r="32" spans="1:26" s="708" customFormat="1" ht="18.75" customHeight="1">
      <c r="A32" s="1270"/>
      <c r="B32" s="274"/>
      <c r="C32" s="1306" t="s">
        <v>242</v>
      </c>
      <c r="D32" s="1723">
        <f>IF(SDÖ1!$U$17=TRUE,SDÖ1!O57,0)</f>
        <v>1.3999999999999997</v>
      </c>
      <c r="E32" s="1774">
        <f>VLOOKUP('SD8'!B31,'SD8'!B9:K44,5,FALSE)</f>
        <v>1.4</v>
      </c>
      <c r="F32" s="1774"/>
      <c r="G32" s="1773"/>
      <c r="H32" s="1771">
        <f>IF(J$6=0,0,(J$6*$E32+$G32+X15))</f>
        <v>36.75</v>
      </c>
      <c r="I32" s="1754">
        <f>H32*$D32</f>
        <v>51.449999999999989</v>
      </c>
      <c r="J32" s="45"/>
      <c r="K32" s="1772">
        <f>IF(M$6=0,0,(M$6*$E32+$G32+Y15))</f>
        <v>49</v>
      </c>
      <c r="L32" s="1596">
        <f>K32*$D32</f>
        <v>68.59999999999998</v>
      </c>
      <c r="M32" s="1589"/>
      <c r="N32" s="1771">
        <f>IF(P$6=0,0,(P$6*$E32+$G32+Z15))</f>
        <v>61.249999999999993</v>
      </c>
      <c r="O32" s="1754">
        <f>N32*$D32</f>
        <v>85.749999999999972</v>
      </c>
      <c r="P32" s="1718"/>
      <c r="Q32" s="32"/>
    </row>
    <row r="33" spans="1:17" s="708" customFormat="1" ht="13.15" customHeight="1">
      <c r="A33" s="1270"/>
      <c r="B33" s="239"/>
      <c r="C33" s="1331" t="s">
        <v>240</v>
      </c>
      <c r="D33" s="1706">
        <f>IF(SDÖ1!$U$17=TRUE,SDÖ1!O58,0)</f>
        <v>0.5</v>
      </c>
      <c r="E33" s="1770">
        <f>VLOOKUP('SD8'!B31,'SD8'!B9:K44,6,FALSE)</f>
        <v>0.2</v>
      </c>
      <c r="F33" s="1770"/>
      <c r="G33" s="1769"/>
      <c r="H33" s="1767">
        <f>IF(J$6=0,0,(J$6*$E33+$G33+X16))</f>
        <v>5.25</v>
      </c>
      <c r="I33" s="1750">
        <f>H33*$D33</f>
        <v>2.625</v>
      </c>
      <c r="J33" s="45"/>
      <c r="K33" s="1768">
        <f>IF(M$6=0,0,(M$6*$E33+$G33+Y16))</f>
        <v>7</v>
      </c>
      <c r="L33" s="1590">
        <f>K33*$D33</f>
        <v>3.5</v>
      </c>
      <c r="M33" s="1589"/>
      <c r="N33" s="1767">
        <f>IF(P$6=0,0,(P$6*$E33+$G33+Z16))</f>
        <v>8.75</v>
      </c>
      <c r="O33" s="1750">
        <f>N33*$D33</f>
        <v>4.375</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152.81284148352944</v>
      </c>
      <c r="K43" s="1748"/>
      <c r="L43" s="1747"/>
      <c r="M43" s="1617">
        <f>SUM(M46:M57)</f>
        <v>154.27606966352943</v>
      </c>
      <c r="N43" s="1746"/>
      <c r="O43" s="1745"/>
      <c r="P43" s="1614">
        <f>SUM(P46:P57)</f>
        <v>155.73929784352944</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515</v>
      </c>
      <c r="D46" s="4836"/>
      <c r="E46" s="1725">
        <f>IF($C46=0,0,VLOOKUP($C46,SDÖ3!$C$24:$O$99,4,FALSE))</f>
        <v>120</v>
      </c>
      <c r="F46" s="1724">
        <f>IF($C46=0,0,VLOOKUP($C46,SDÖ3!$C$24:$O$99,12,FALSE))</f>
        <v>1.46</v>
      </c>
      <c r="G46" s="1723">
        <f>IF($C46=0,0,VLOOKUP($C46,SDÖ3!$C$24:$O$99,13,FALSE))</f>
        <v>56.986584941176474</v>
      </c>
      <c r="H46" s="1720">
        <v>1</v>
      </c>
      <c r="I46" s="1719">
        <f t="shared" ref="I46:I57" si="4">$F46*H46</f>
        <v>1.46</v>
      </c>
      <c r="J46" s="1718">
        <f t="shared" ref="J46:J57" si="5">H46*$G46</f>
        <v>56.986584941176474</v>
      </c>
      <c r="K46" s="1720">
        <v>1</v>
      </c>
      <c r="L46" s="1722">
        <f>$F46*K46</f>
        <v>1.46</v>
      </c>
      <c r="M46" s="1721">
        <f t="shared" ref="M46:M57" si="6">K46*$G46</f>
        <v>56.986584941176474</v>
      </c>
      <c r="N46" s="1720">
        <v>1</v>
      </c>
      <c r="O46" s="1719">
        <f t="shared" ref="O46:O57" si="7">$F46*N46</f>
        <v>1.46</v>
      </c>
      <c r="P46" s="1718">
        <f t="shared" ref="P46:P57" si="8">N46*$G46</f>
        <v>56.986584941176474</v>
      </c>
      <c r="Q46" s="32"/>
    </row>
    <row r="47" spans="1:17" s="42" customFormat="1" ht="15" customHeight="1">
      <c r="A47" s="1306"/>
      <c r="B47" s="1726"/>
      <c r="C47" s="4835"/>
      <c r="D47" s="4836"/>
      <c r="E47" s="1725">
        <f>IF($C47=0,0,VLOOKUP($C47,SDÖ3!$C$24:$O$99,4,FALSE))</f>
        <v>0</v>
      </c>
      <c r="F47" s="1724">
        <f>IF($C47=0,0,VLOOKUP($C47,SDÖ3!$C$24:$O$99,12,FALSE))</f>
        <v>0</v>
      </c>
      <c r="G47" s="1723">
        <f>IF($C47=0,0,VLOOKUP($C47,SDÖ3!$C$24:$O$99,13,FALSE))</f>
        <v>0</v>
      </c>
      <c r="H47" s="1720"/>
      <c r="I47" s="1719">
        <f t="shared" si="4"/>
        <v>0</v>
      </c>
      <c r="J47" s="1718">
        <f t="shared" si="5"/>
        <v>0</v>
      </c>
      <c r="K47" s="1720"/>
      <c r="L47" s="1722">
        <f>$F47*K47</f>
        <v>0</v>
      </c>
      <c r="M47" s="1721">
        <f t="shared" si="6"/>
        <v>0</v>
      </c>
      <c r="N47" s="1720"/>
      <c r="O47" s="1719">
        <f t="shared" si="7"/>
        <v>0</v>
      </c>
      <c r="P47" s="1718">
        <f t="shared" si="8"/>
        <v>0</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$F48*K48</f>
        <v>1.03</v>
      </c>
      <c r="M48" s="1721">
        <f t="shared" si="6"/>
        <v>33.576407529411767</v>
      </c>
      <c r="N48" s="1720">
        <v>1</v>
      </c>
      <c r="O48" s="1719">
        <f t="shared" si="7"/>
        <v>1.03</v>
      </c>
      <c r="P48" s="1718">
        <f t="shared" si="8"/>
        <v>33.576407529411767</v>
      </c>
      <c r="Q48" s="32"/>
    </row>
    <row r="49" spans="1:17" s="42" customFormat="1" ht="15" customHeight="1">
      <c r="A49" s="1306"/>
      <c r="B49" s="1726"/>
      <c r="C49" s="4835">
        <v>0</v>
      </c>
      <c r="D49" s="4836"/>
      <c r="E49" s="1725">
        <f>IF($C49=0,0,VLOOKUP($C49,SDÖ3!$C$24:$O$99,4,FALSE))</f>
        <v>0</v>
      </c>
      <c r="F49" s="1724">
        <f>IF($C49=0,0,VLOOKUP($C49,SDÖ3!$C$24:$O$99,12,FALSE))</f>
        <v>0</v>
      </c>
      <c r="G49" s="1723">
        <f>IF($C49=0,0,VLOOKUP($C49,SDÖ3!$C$24:$O$99,13,FALSE))</f>
        <v>0</v>
      </c>
      <c r="H49" s="1720"/>
      <c r="I49" s="1719">
        <f t="shared" si="4"/>
        <v>0</v>
      </c>
      <c r="J49" s="1718">
        <f t="shared" si="5"/>
        <v>0</v>
      </c>
      <c r="K49" s="1720"/>
      <c r="L49" s="1722"/>
      <c r="M49" s="1721">
        <f t="shared" si="6"/>
        <v>0</v>
      </c>
      <c r="N49" s="1720"/>
      <c r="O49" s="1719">
        <f t="shared" si="7"/>
        <v>0</v>
      </c>
      <c r="P49" s="1718">
        <f t="shared" si="8"/>
        <v>0</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1</v>
      </c>
      <c r="I50" s="1719">
        <f t="shared" si="4"/>
        <v>0.27</v>
      </c>
      <c r="J50" s="1718">
        <f t="shared" si="5"/>
        <v>5.8379012776470587</v>
      </c>
      <c r="K50" s="1720">
        <v>1</v>
      </c>
      <c r="L50" s="1722">
        <f t="shared" ref="L50:L57" si="9">$F50*K50</f>
        <v>0.27</v>
      </c>
      <c r="M50" s="1721">
        <f t="shared" si="6"/>
        <v>5.8379012776470587</v>
      </c>
      <c r="N50" s="1720">
        <v>1</v>
      </c>
      <c r="O50" s="1719">
        <f t="shared" si="7"/>
        <v>0.27</v>
      </c>
      <c r="P50" s="1718">
        <f t="shared" si="8"/>
        <v>5.8379012776470587</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9"/>
        <v>0</v>
      </c>
      <c r="M51" s="1721">
        <f t="shared" si="6"/>
        <v>0</v>
      </c>
      <c r="N51" s="1720"/>
      <c r="O51" s="1719">
        <f t="shared" si="7"/>
        <v>0</v>
      </c>
      <c r="P51" s="1718">
        <f t="shared" si="8"/>
        <v>0</v>
      </c>
      <c r="Q51" s="32"/>
    </row>
    <row r="52" spans="1:17" s="42" customFormat="1" ht="15" customHeight="1">
      <c r="A52" s="1306"/>
      <c r="B52" s="1726"/>
      <c r="C52" s="4835" t="s">
        <v>441</v>
      </c>
      <c r="D52" s="4836"/>
      <c r="E52" s="1725">
        <f>IF($C52=0,0,VLOOKUP($C52,SDÖ3!$C$24:$O$99,4,FALSE))</f>
        <v>54</v>
      </c>
      <c r="F52" s="1724">
        <f>IF($C52=0,0,VLOOKUP($C52,SDÖ3!$C$24:$O$99,12,FALSE))</f>
        <v>1.1100000000000001</v>
      </c>
      <c r="G52" s="1723">
        <f>IF($C52=0,0,VLOOKUP($C52,SDÖ3!$C$24:$O$99,13,FALSE))</f>
        <v>17.201138894117648</v>
      </c>
      <c r="H52" s="1720">
        <v>1</v>
      </c>
      <c r="I52" s="1719">
        <f t="shared" si="4"/>
        <v>1.1100000000000001</v>
      </c>
      <c r="J52" s="1718">
        <f t="shared" si="5"/>
        <v>17.201138894117648</v>
      </c>
      <c r="K52" s="1720">
        <v>1</v>
      </c>
      <c r="L52" s="1722">
        <f t="shared" si="9"/>
        <v>1.1100000000000001</v>
      </c>
      <c r="M52" s="1721">
        <f t="shared" si="6"/>
        <v>17.201138894117648</v>
      </c>
      <c r="N52" s="1720">
        <v>1</v>
      </c>
      <c r="O52" s="1719">
        <f t="shared" si="7"/>
        <v>1.1100000000000001</v>
      </c>
      <c r="P52" s="1718">
        <f t="shared" si="8"/>
        <v>17.201138894117648</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9"/>
        <v>0</v>
      </c>
      <c r="M53" s="1721">
        <f t="shared" si="6"/>
        <v>0</v>
      </c>
      <c r="N53" s="1720"/>
      <c r="O53" s="1719">
        <f t="shared" si="7"/>
        <v>0</v>
      </c>
      <c r="P53" s="1718">
        <f t="shared" si="8"/>
        <v>0</v>
      </c>
      <c r="Q53" s="32"/>
    </row>
    <row r="54" spans="1:17" s="42" customFormat="1" ht="15" customHeight="1">
      <c r="A54" s="1306"/>
      <c r="B54" s="1726"/>
      <c r="C54" s="4835" t="s">
        <v>435</v>
      </c>
      <c r="D54" s="4836"/>
      <c r="E54" s="1725">
        <f>IF($C54=0,0,VLOOKUP($C54,SDÖ3!$C$24:$O$99,4,FALSE))</f>
        <v>83</v>
      </c>
      <c r="F54" s="1724">
        <f>IF($C54=0,0,VLOOKUP($C54,SDÖ3!$C$24:$O$99,12,FALSE))</f>
        <v>0.4</v>
      </c>
      <c r="G54" s="1723">
        <f>IF($C54=0,0,VLOOKUP($C54,SDÖ3!$C$24:$O$99,13,FALSE))</f>
        <v>6.8857796705882359</v>
      </c>
      <c r="H54" s="1720">
        <v>0.9375</v>
      </c>
      <c r="I54" s="1719">
        <f t="shared" si="4"/>
        <v>0.375</v>
      </c>
      <c r="J54" s="1718">
        <f t="shared" si="5"/>
        <v>6.4554184411764712</v>
      </c>
      <c r="K54" s="1720">
        <v>1.1499999999999999</v>
      </c>
      <c r="L54" s="1722">
        <f t="shared" si="9"/>
        <v>0.45999999999999996</v>
      </c>
      <c r="M54" s="1721">
        <f t="shared" si="6"/>
        <v>7.918646621176471</v>
      </c>
      <c r="N54" s="1720">
        <v>1.3625</v>
      </c>
      <c r="O54" s="1719">
        <f t="shared" si="7"/>
        <v>0.54500000000000004</v>
      </c>
      <c r="P54" s="1718">
        <f t="shared" si="8"/>
        <v>9.3818748011764725</v>
      </c>
      <c r="Q54" s="3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9"/>
        <v>1.08</v>
      </c>
      <c r="M55" s="1721">
        <f t="shared" si="6"/>
        <v>32.755390400000003</v>
      </c>
      <c r="N55" s="1720">
        <v>2</v>
      </c>
      <c r="O55" s="1719">
        <f t="shared" si="7"/>
        <v>1.08</v>
      </c>
      <c r="P55" s="1718">
        <f t="shared" si="8"/>
        <v>32.755390400000003</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9"/>
        <v>0</v>
      </c>
      <c r="M56" s="1912">
        <f t="shared" si="6"/>
        <v>0</v>
      </c>
      <c r="N56" s="1911"/>
      <c r="O56" s="1910">
        <f t="shared" si="7"/>
        <v>0</v>
      </c>
      <c r="P56" s="1909">
        <f t="shared" si="8"/>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v>
      </c>
      <c r="I57" s="1703">
        <f t="shared" si="4"/>
        <v>0</v>
      </c>
      <c r="J57" s="1702">
        <f t="shared" si="5"/>
        <v>0</v>
      </c>
      <c r="K57" s="3687">
        <f>K11/35</f>
        <v>0</v>
      </c>
      <c r="L57" s="1705">
        <f t="shared" si="9"/>
        <v>0</v>
      </c>
      <c r="M57" s="1652">
        <f t="shared" si="6"/>
        <v>0</v>
      </c>
      <c r="N57" s="3686">
        <f>N11/35</f>
        <v>0</v>
      </c>
      <c r="O57" s="1703">
        <f t="shared" si="7"/>
        <v>0</v>
      </c>
      <c r="P57" s="1702">
        <f t="shared" si="8"/>
        <v>0</v>
      </c>
      <c r="Q57" s="3678"/>
    </row>
    <row r="58" spans="1:17" s="708" customFormat="1" ht="18.75" customHeight="1">
      <c r="A58" s="1270"/>
      <c r="B58" s="1276" t="s">
        <v>1223</v>
      </c>
      <c r="C58" s="1373"/>
      <c r="D58" s="1373"/>
      <c r="E58" s="1373"/>
      <c r="F58" s="38"/>
      <c r="G58" s="1620"/>
      <c r="H58" s="1697"/>
      <c r="I58" s="1696">
        <f>SUM($I$46:$I$57)</f>
        <v>5.3250000000000002</v>
      </c>
      <c r="J58" s="1701"/>
      <c r="K58" s="1700"/>
      <c r="L58" s="1699">
        <f>SUM($L$46:$L$57)</f>
        <v>5.41</v>
      </c>
      <c r="M58" s="1698"/>
      <c r="N58" s="1697"/>
      <c r="O58" s="1696">
        <f>SUM($O$46:$O$57)</f>
        <v>5.4950000000000001</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9.5850000000000009</v>
      </c>
      <c r="J59" s="1686"/>
      <c r="K59" s="1691"/>
      <c r="L59" s="1690">
        <f>IF(L58+SUM($L$46:$L$57)*$E$59%&gt;L58+10,L58+10,L58+SUM($L$46:$L$57)*$E$59%)</f>
        <v>9.7379999999999995</v>
      </c>
      <c r="M59" s="1689"/>
      <c r="N59" s="1688"/>
      <c r="O59" s="1687">
        <f>IF(O58+SUM($O$46:$O$57)*$E$59%&gt;O58+10,O58+10,O58+SUM($O$46:$O$57)*$E$59%)</f>
        <v>9.891</v>
      </c>
      <c r="P59" s="1686"/>
      <c r="Q59" s="32"/>
    </row>
    <row r="60" spans="1:17" s="65" customFormat="1" ht="18.75" customHeight="1">
      <c r="A60" s="1373"/>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57.487499999999997</v>
      </c>
      <c r="K67" s="1641" t="s">
        <v>1217</v>
      </c>
      <c r="L67" s="1640" t="s">
        <v>1216</v>
      </c>
      <c r="M67" s="1617">
        <f>S68*(K9+K10)*L68%+F68</f>
        <v>153.29999999999998</v>
      </c>
      <c r="N67" s="1639" t="s">
        <v>1217</v>
      </c>
      <c r="O67" s="1638" t="s">
        <v>1216</v>
      </c>
      <c r="P67" s="1614">
        <f>T68*(N9+N10)*O68%+F68</f>
        <v>95.8125</v>
      </c>
      <c r="Q67" s="32"/>
    </row>
    <row r="68" spans="1:20" s="708" customFormat="1" ht="15" customHeight="1">
      <c r="A68" s="1270"/>
      <c r="B68" s="1637"/>
      <c r="C68" s="4839" t="s">
        <v>1215</v>
      </c>
      <c r="D68" s="4839"/>
      <c r="E68" s="4839"/>
      <c r="F68" s="1636"/>
      <c r="G68" s="1627" t="s">
        <v>171</v>
      </c>
      <c r="H68" s="1634">
        <v>16</v>
      </c>
      <c r="I68" s="1633">
        <v>50</v>
      </c>
      <c r="J68" s="1632"/>
      <c r="K68" s="1634">
        <v>16</v>
      </c>
      <c r="L68" s="1633">
        <v>100</v>
      </c>
      <c r="M68" s="1635"/>
      <c r="N68" s="1634">
        <v>16</v>
      </c>
      <c r="O68" s="1633">
        <v>50</v>
      </c>
      <c r="P68" s="1632"/>
      <c r="Q68" s="32"/>
      <c r="R68" s="1631">
        <f>IF($H$68=0,0,VLOOKUP($H$68,'SD6'!D8:E155,'SD6'!E1,FALSE))*(1+'SDK1'!O11/100)</f>
        <v>4.38</v>
      </c>
      <c r="S68" s="1631">
        <f>IF($K$68=0,0,VLOOKUP($K$68,'SD6'!D8:E155,'SD6'!E1,FALSE))*(1+'SDK1'!O11/100)</f>
        <v>4.38</v>
      </c>
      <c r="T68" s="1631">
        <f>IF($N$68=0,0,VLOOKUP($N$68,'SD6'!D8:E155,'SD6'!E1,FALSE))*(1+'SDK1'!O11/100)</f>
        <v>4.38</v>
      </c>
    </row>
    <row r="69" spans="1:20" s="708" customFormat="1" ht="18.75" customHeight="1">
      <c r="A69" s="1270"/>
      <c r="B69" s="1276" t="s">
        <v>1214</v>
      </c>
      <c r="C69" s="1270"/>
      <c r="D69" s="1270"/>
      <c r="E69" s="38"/>
      <c r="F69" s="38"/>
      <c r="G69" s="1620"/>
      <c r="H69" s="44"/>
      <c r="I69" s="73"/>
      <c r="J69" s="1614">
        <f>H70*$F70/1000</f>
        <v>22.135400000000001</v>
      </c>
      <c r="K69" s="1630"/>
      <c r="L69" s="1629"/>
      <c r="M69" s="1617">
        <f>K70*$F70/1000</f>
        <v>29.513866666666672</v>
      </c>
      <c r="N69" s="44"/>
      <c r="O69" s="73"/>
      <c r="P69" s="1614">
        <f>N70*$F70/1000</f>
        <v>36.892333333333333</v>
      </c>
      <c r="Q69" s="32"/>
    </row>
    <row r="70" spans="1:20" s="708" customFormat="1" ht="15" customHeight="1">
      <c r="A70" s="1270"/>
      <c r="B70" s="1332"/>
      <c r="C70" s="1331" t="s">
        <v>896</v>
      </c>
      <c r="D70" s="353"/>
      <c r="E70" s="280"/>
      <c r="F70" s="1628">
        <f>'SDK7'!G102</f>
        <v>16</v>
      </c>
      <c r="G70" s="1627" t="s">
        <v>171</v>
      </c>
      <c r="H70" s="1623">
        <f>I9+I10</f>
        <v>1383.4625000000001</v>
      </c>
      <c r="I70" s="1622"/>
      <c r="J70" s="1621"/>
      <c r="K70" s="1626">
        <f>L9+L10</f>
        <v>1844.616666666667</v>
      </c>
      <c r="L70" s="1625"/>
      <c r="M70" s="1624"/>
      <c r="N70" s="1623">
        <f>O9+O10</f>
        <v>2305.7708333333335</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5.6902189879808809</v>
      </c>
      <c r="K75" s="3063"/>
      <c r="L75" s="1056"/>
      <c r="M75" s="1578">
        <f>(M23+M27+M34+M43+M60+M65+M67+M69+M71)*('SDK1'!$O$59%*$G$75/12)</f>
        <v>6.5799119428892139</v>
      </c>
      <c r="N75" s="1580"/>
      <c r="O75" s="1579"/>
      <c r="P75" s="1578">
        <f>(P23+P27+P34+P43+P60+P65+P67+P69+P71)*('SDK1'!$O$59%*$G$75/12)</f>
        <v>6.1282298977975476</v>
      </c>
      <c r="Q75" s="32"/>
    </row>
    <row r="76" spans="1:20">
      <c r="L76" s="33"/>
    </row>
    <row r="77" spans="1:20">
      <c r="L77" s="33"/>
      <c r="M77" s="33"/>
      <c r="N77" s="33"/>
      <c r="O77" s="33"/>
      <c r="P77" s="33"/>
    </row>
    <row r="78" spans="1:20" ht="14.25">
      <c r="C78" s="4921" t="s">
        <v>1946</v>
      </c>
      <c r="D78" s="4922"/>
      <c r="E78" s="4922"/>
      <c r="F78" s="4923"/>
      <c r="G78" s="33"/>
      <c r="H78" s="33"/>
      <c r="I78" s="33"/>
      <c r="J78" s="33"/>
      <c r="K78" s="33"/>
      <c r="L78" s="33"/>
      <c r="M78" s="33"/>
      <c r="N78" s="33"/>
      <c r="O78" s="33"/>
      <c r="P78" s="33"/>
      <c r="Q78" s="33"/>
    </row>
    <row r="79" spans="1:20">
      <c r="C79" s="4913" t="s">
        <v>295</v>
      </c>
      <c r="D79" s="4914"/>
      <c r="E79" s="4914"/>
      <c r="F79" s="4915"/>
      <c r="G79" s="33"/>
      <c r="H79" s="33"/>
      <c r="I79" s="33"/>
      <c r="J79" s="33"/>
      <c r="K79" s="33"/>
      <c r="L79" s="33"/>
      <c r="M79" s="33"/>
      <c r="N79" s="33"/>
      <c r="O79" s="33"/>
      <c r="P79" s="33"/>
      <c r="Q79" s="33"/>
    </row>
    <row r="80" spans="1:20" ht="14.25">
      <c r="B80" s="3078"/>
      <c r="C80" s="3074" t="s">
        <v>1942</v>
      </c>
      <c r="D80" s="3075"/>
      <c r="E80" s="3075"/>
      <c r="F80" s="3076"/>
      <c r="G80" s="33"/>
      <c r="H80" s="33"/>
      <c r="I80" s="33"/>
      <c r="J80" s="33"/>
      <c r="K80" s="33"/>
      <c r="L80" s="33"/>
      <c r="M80" s="33"/>
      <c r="N80" s="33"/>
      <c r="O80" s="33"/>
      <c r="P80" s="33"/>
      <c r="Q80" s="33"/>
    </row>
    <row r="81" spans="2:17" ht="14.25">
      <c r="B81" s="3078"/>
      <c r="C81" s="3074" t="s">
        <v>1943</v>
      </c>
      <c r="D81" s="3075"/>
      <c r="E81" s="3075"/>
      <c r="F81" s="3076"/>
      <c r="G81" s="33"/>
      <c r="H81" s="33"/>
      <c r="I81" s="33"/>
      <c r="J81" s="33"/>
      <c r="K81" s="33"/>
      <c r="L81" s="33"/>
      <c r="M81" s="33"/>
      <c r="N81" s="33"/>
      <c r="O81" s="33"/>
      <c r="P81" s="33"/>
      <c r="Q81" s="33"/>
    </row>
    <row r="82" spans="2:17">
      <c r="B82" s="3078"/>
      <c r="C82" s="3066" t="s">
        <v>294</v>
      </c>
      <c r="D82" s="3067"/>
      <c r="E82" s="3067"/>
      <c r="F82" s="3068"/>
      <c r="G82" s="33"/>
      <c r="H82" s="33"/>
      <c r="I82" s="33"/>
      <c r="J82" s="33"/>
      <c r="K82" s="33"/>
      <c r="L82" s="33"/>
      <c r="M82" s="33"/>
      <c r="N82" s="33"/>
      <c r="O82" s="33"/>
      <c r="P82" s="33"/>
      <c r="Q82" s="33"/>
    </row>
    <row r="83" spans="2:17" ht="14.25">
      <c r="B83" s="3078"/>
      <c r="C83" s="3074" t="s">
        <v>1944</v>
      </c>
      <c r="D83" s="3075"/>
      <c r="E83" s="3075"/>
      <c r="F83" s="3076"/>
      <c r="G83" s="33"/>
      <c r="H83" s="33"/>
      <c r="I83" s="33"/>
      <c r="J83" s="33"/>
      <c r="K83" s="33"/>
      <c r="L83" s="33"/>
      <c r="M83" s="33"/>
      <c r="N83" s="33"/>
      <c r="O83" s="33"/>
      <c r="P83" s="33"/>
      <c r="Q83" s="33"/>
    </row>
    <row r="84" spans="2:17" ht="14.25">
      <c r="B84" s="3078"/>
      <c r="C84" s="3074" t="s">
        <v>1945</v>
      </c>
      <c r="D84" s="3075"/>
      <c r="E84" s="3075"/>
      <c r="F84" s="3076"/>
      <c r="G84" s="33"/>
      <c r="H84" s="33"/>
      <c r="I84" s="33"/>
      <c r="J84" s="33"/>
      <c r="K84" s="33"/>
      <c r="L84" s="33"/>
      <c r="M84" s="33"/>
      <c r="N84" s="33"/>
      <c r="O84" s="33"/>
      <c r="P84" s="33"/>
      <c r="Q84" s="33"/>
    </row>
    <row r="85" spans="2:17">
      <c r="B85" s="3078"/>
      <c r="C85" s="3066" t="s">
        <v>293</v>
      </c>
      <c r="D85" s="3067"/>
      <c r="E85" s="3067"/>
      <c r="F85" s="3068"/>
      <c r="G85" s="33"/>
      <c r="H85" s="33"/>
      <c r="I85" s="33"/>
      <c r="J85" s="33"/>
      <c r="K85" s="33"/>
      <c r="L85" s="33"/>
      <c r="M85" s="33"/>
      <c r="N85" s="33"/>
      <c r="O85" s="33"/>
      <c r="P85" s="33"/>
      <c r="Q85" s="33"/>
    </row>
    <row r="86" spans="2:17">
      <c r="B86" s="3078"/>
      <c r="C86" s="3066" t="s">
        <v>292</v>
      </c>
      <c r="D86" s="3067"/>
      <c r="E86" s="3067"/>
      <c r="F86" s="3068"/>
      <c r="G86" s="33"/>
      <c r="H86" s="33"/>
      <c r="I86" s="33"/>
      <c r="J86" s="33"/>
      <c r="K86" s="33"/>
      <c r="L86" s="33"/>
      <c r="M86" s="33"/>
      <c r="N86" s="33"/>
      <c r="O86" s="33"/>
      <c r="P86" s="33"/>
      <c r="Q86" s="33"/>
    </row>
    <row r="87" spans="2:17" ht="14.25">
      <c r="B87" s="3078"/>
      <c r="C87" s="3066" t="s">
        <v>291</v>
      </c>
      <c r="D87" s="3067"/>
      <c r="E87" s="3067"/>
      <c r="F87" s="3068"/>
      <c r="G87" s="33"/>
      <c r="H87" s="33"/>
      <c r="I87" s="33"/>
      <c r="J87" s="33"/>
      <c r="K87" s="33"/>
      <c r="L87" s="33"/>
      <c r="M87" s="33"/>
      <c r="N87" s="33"/>
      <c r="O87" s="33"/>
      <c r="P87" s="33"/>
      <c r="Q87" s="33"/>
    </row>
    <row r="88" spans="2:17" ht="13.15" customHeight="1">
      <c r="B88" s="3078"/>
      <c r="C88" s="3066" t="s">
        <v>290</v>
      </c>
      <c r="D88" s="3069"/>
      <c r="E88" s="3069"/>
      <c r="F88" s="3070"/>
      <c r="G88" s="33"/>
      <c r="H88" s="33"/>
      <c r="I88" s="33"/>
      <c r="J88" s="33"/>
      <c r="K88" s="33"/>
      <c r="L88" s="33"/>
      <c r="M88" s="33"/>
      <c r="N88" s="33"/>
      <c r="O88" s="33"/>
      <c r="P88" s="33"/>
      <c r="Q88" s="33"/>
    </row>
    <row r="89" spans="2:17">
      <c r="B89" s="3078"/>
      <c r="C89" s="3066" t="s">
        <v>289</v>
      </c>
      <c r="D89" s="3069"/>
      <c r="E89" s="3069"/>
      <c r="F89" s="3070"/>
      <c r="G89" s="33"/>
      <c r="H89" s="33"/>
      <c r="I89" s="33"/>
      <c r="J89" s="33"/>
      <c r="K89" s="33"/>
      <c r="L89" s="33"/>
      <c r="M89" s="33"/>
      <c r="N89" s="33"/>
      <c r="O89" s="33"/>
      <c r="P89" s="33"/>
      <c r="Q89" s="33"/>
    </row>
    <row r="90" spans="2:17" ht="25.5">
      <c r="B90" s="3078"/>
      <c r="C90" s="3071" t="s">
        <v>288</v>
      </c>
      <c r="D90" s="3072"/>
      <c r="E90" s="3072"/>
      <c r="F90" s="3073"/>
      <c r="G90" s="33"/>
      <c r="H90" s="33"/>
      <c r="I90" s="33"/>
      <c r="J90" s="33"/>
      <c r="K90" s="33"/>
      <c r="L90" s="33"/>
      <c r="M90" s="33"/>
      <c r="N90" s="33"/>
      <c r="O90" s="33"/>
      <c r="P90" s="33"/>
      <c r="Q90" s="33"/>
    </row>
    <row r="91" spans="2:17">
      <c r="C91" s="33"/>
      <c r="D91" s="33"/>
      <c r="E91" s="33"/>
      <c r="F91" s="2538"/>
      <c r="G91" s="33"/>
      <c r="H91" s="33"/>
      <c r="I91" s="33"/>
      <c r="J91" s="33"/>
      <c r="K91" s="33"/>
      <c r="L91" s="33"/>
      <c r="M91" s="33"/>
      <c r="N91" s="33"/>
      <c r="O91" s="33"/>
      <c r="P91" s="33"/>
      <c r="Q91" s="33"/>
    </row>
    <row r="92" spans="2:17">
      <c r="C92" s="33"/>
      <c r="D92" s="33"/>
      <c r="E92" s="33"/>
      <c r="F92" s="2538"/>
      <c r="G92" s="33"/>
      <c r="H92" s="33"/>
      <c r="I92" s="33"/>
      <c r="J92" s="33"/>
      <c r="K92" s="33"/>
      <c r="L92" s="33"/>
      <c r="M92" s="33"/>
      <c r="N92" s="33"/>
      <c r="O92" s="33"/>
      <c r="P92" s="33"/>
      <c r="Q92" s="33"/>
    </row>
    <row r="93" spans="2:17">
      <c r="C93" s="33"/>
      <c r="D93" s="33"/>
      <c r="E93" s="33"/>
      <c r="F93" s="2538"/>
      <c r="G93" s="33"/>
      <c r="H93" s="33"/>
      <c r="I93" s="33"/>
      <c r="J93" s="33"/>
      <c r="K93" s="33"/>
      <c r="L93" s="33"/>
      <c r="M93" s="33"/>
      <c r="N93" s="33"/>
      <c r="O93" s="33"/>
      <c r="P93" s="33"/>
      <c r="Q93" s="33"/>
    </row>
    <row r="94" spans="2:17">
      <c r="C94" s="33"/>
      <c r="D94" s="33"/>
      <c r="E94" s="33"/>
      <c r="F94" s="2538"/>
      <c r="G94" s="33"/>
      <c r="H94" s="33"/>
      <c r="I94" s="33"/>
      <c r="J94" s="33"/>
      <c r="K94" s="33"/>
      <c r="L94" s="33"/>
      <c r="M94" s="33"/>
      <c r="N94" s="33"/>
      <c r="O94" s="33"/>
      <c r="P94" s="33"/>
      <c r="Q94" s="33"/>
    </row>
    <row r="95" spans="2:17">
      <c r="C95" s="33"/>
      <c r="D95" s="33"/>
      <c r="E95" s="33"/>
      <c r="F95" s="2538"/>
      <c r="G95" s="33"/>
      <c r="H95" s="33"/>
      <c r="I95" s="33"/>
      <c r="J95" s="33"/>
      <c r="K95" s="33"/>
      <c r="L95" s="33"/>
      <c r="M95" s="33"/>
      <c r="N95" s="33"/>
      <c r="O95" s="33"/>
      <c r="P95" s="33"/>
      <c r="Q95" s="33"/>
    </row>
    <row r="96" spans="2:17">
      <c r="C96" s="33"/>
      <c r="D96" s="33"/>
      <c r="E96" s="33"/>
      <c r="F96" s="2538"/>
      <c r="G96" s="33"/>
      <c r="H96" s="33"/>
      <c r="I96" s="33"/>
      <c r="J96" s="33"/>
      <c r="K96" s="33"/>
      <c r="L96" s="33"/>
      <c r="M96" s="33"/>
      <c r="N96" s="33"/>
      <c r="O96" s="33"/>
      <c r="P96" s="33"/>
      <c r="Q96" s="33"/>
    </row>
    <row r="97" spans="3:17">
      <c r="C97" s="33"/>
      <c r="D97" s="33"/>
      <c r="E97" s="33"/>
      <c r="G97" s="33"/>
      <c r="H97" s="33"/>
      <c r="I97" s="33"/>
      <c r="J97" s="33"/>
      <c r="K97" s="33"/>
      <c r="L97" s="33"/>
      <c r="M97" s="33"/>
      <c r="N97" s="33"/>
      <c r="O97" s="33"/>
      <c r="P97" s="33"/>
      <c r="Q97" s="33"/>
    </row>
    <row r="98" spans="3:17">
      <c r="C98" s="33"/>
      <c r="D98" s="33"/>
      <c r="E98" s="33"/>
      <c r="G98" s="33"/>
      <c r="H98" s="33"/>
      <c r="I98" s="33"/>
      <c r="J98" s="33"/>
      <c r="K98" s="33"/>
      <c r="L98" s="33"/>
      <c r="M98" s="33"/>
      <c r="N98" s="33"/>
      <c r="O98" s="33"/>
      <c r="P98" s="33"/>
      <c r="Q98" s="33"/>
    </row>
    <row r="99" spans="3:17">
      <c r="C99" s="33"/>
      <c r="D99" s="33"/>
      <c r="E99" s="33"/>
      <c r="G99" s="33"/>
      <c r="H99" s="33"/>
      <c r="I99" s="33"/>
      <c r="J99" s="33"/>
      <c r="K99" s="33"/>
      <c r="L99" s="33"/>
      <c r="M99" s="33"/>
      <c r="N99" s="33"/>
      <c r="O99" s="33"/>
      <c r="P99" s="33"/>
      <c r="Q99" s="33"/>
    </row>
    <row r="100" spans="3:17">
      <c r="C100" s="33"/>
      <c r="D100" s="33"/>
      <c r="G100" s="33"/>
      <c r="H100" s="33"/>
      <c r="I100" s="33"/>
      <c r="J100" s="33"/>
      <c r="K100" s="33"/>
      <c r="L100" s="33"/>
      <c r="M100" s="33"/>
      <c r="N100" s="33"/>
      <c r="O100" s="33"/>
      <c r="P100" s="33"/>
      <c r="Q100" s="33"/>
    </row>
    <row r="101" spans="3:17">
      <c r="C101" s="33"/>
      <c r="D101" s="33"/>
      <c r="G101" s="33"/>
      <c r="H101" s="33"/>
      <c r="I101" s="33"/>
      <c r="J101" s="33"/>
      <c r="K101" s="33"/>
      <c r="L101" s="33"/>
      <c r="M101" s="33"/>
      <c r="N101" s="33"/>
      <c r="O101" s="33"/>
      <c r="P101" s="33"/>
      <c r="Q101" s="33"/>
    </row>
    <row r="102" spans="3:17">
      <c r="C102" s="33"/>
      <c r="D102" s="33"/>
      <c r="F102" s="33"/>
      <c r="G102" s="33"/>
      <c r="H102" s="33"/>
      <c r="I102" s="33"/>
      <c r="J102" s="33"/>
      <c r="K102" s="33"/>
      <c r="L102" s="33"/>
      <c r="M102" s="33"/>
      <c r="N102" s="33"/>
      <c r="O102" s="33"/>
      <c r="P102" s="33"/>
      <c r="Q102" s="33"/>
    </row>
    <row r="103" spans="3:17">
      <c r="C103" s="33"/>
      <c r="D103" s="33"/>
      <c r="F103" s="33"/>
      <c r="G103" s="33"/>
      <c r="H103" s="33"/>
      <c r="I103" s="33"/>
      <c r="J103" s="33"/>
      <c r="K103" s="33"/>
      <c r="L103" s="33"/>
      <c r="M103" s="33"/>
      <c r="N103" s="33"/>
      <c r="O103" s="33"/>
      <c r="P103" s="33"/>
      <c r="Q103" s="33"/>
    </row>
    <row r="104" spans="3:17">
      <c r="C104" s="33"/>
      <c r="D104" s="33"/>
      <c r="F104" s="33"/>
      <c r="G104" s="33"/>
      <c r="H104" s="33"/>
      <c r="I104" s="33"/>
      <c r="J104" s="33"/>
      <c r="K104" s="33"/>
      <c r="L104" s="33"/>
      <c r="M104" s="33"/>
      <c r="N104" s="33"/>
      <c r="O104" s="33"/>
      <c r="P104" s="33"/>
      <c r="Q104" s="33"/>
    </row>
    <row r="105" spans="3:17">
      <c r="C105" s="33"/>
      <c r="D105" s="33"/>
      <c r="F105" s="33"/>
      <c r="G105" s="33"/>
      <c r="H105" s="33"/>
      <c r="I105" s="33"/>
      <c r="J105" s="33"/>
      <c r="K105" s="33"/>
      <c r="L105" s="33"/>
      <c r="M105" s="33"/>
      <c r="N105" s="33"/>
      <c r="O105" s="33"/>
      <c r="P105" s="33"/>
      <c r="Q105" s="33"/>
    </row>
    <row r="106" spans="3:17">
      <c r="C106" s="33"/>
      <c r="D106" s="33"/>
      <c r="F106" s="33"/>
      <c r="G106" s="33"/>
      <c r="H106" s="33"/>
      <c r="I106" s="33"/>
      <c r="J106" s="33"/>
      <c r="K106" s="33"/>
      <c r="L106" s="33"/>
      <c r="M106" s="33"/>
      <c r="N106" s="33"/>
      <c r="O106" s="33"/>
      <c r="P106" s="33"/>
      <c r="Q106" s="33"/>
    </row>
    <row r="107" spans="3:17">
      <c r="F107" s="33"/>
      <c r="G107" s="33"/>
      <c r="H107" s="33"/>
      <c r="I107" s="33"/>
      <c r="J107" s="33"/>
      <c r="K107" s="33"/>
      <c r="L107" s="33"/>
      <c r="M107" s="33"/>
      <c r="N107" s="33"/>
      <c r="O107" s="33"/>
      <c r="P107" s="33"/>
      <c r="Q107" s="33"/>
    </row>
    <row r="108" spans="3:17">
      <c r="F108" s="33"/>
      <c r="G108" s="33"/>
      <c r="H108" s="33"/>
      <c r="I108" s="33"/>
      <c r="J108" s="33"/>
      <c r="K108" s="33"/>
      <c r="L108" s="33"/>
      <c r="M108" s="33"/>
      <c r="N108" s="33"/>
      <c r="O108" s="33"/>
      <c r="P108" s="33"/>
      <c r="Q108" s="33"/>
    </row>
    <row r="109" spans="3:17">
      <c r="F109" s="33"/>
      <c r="G109" s="33"/>
      <c r="H109" s="33"/>
      <c r="I109" s="33"/>
      <c r="J109" s="33"/>
      <c r="K109" s="33"/>
      <c r="L109" s="33"/>
      <c r="M109" s="33"/>
      <c r="N109" s="33"/>
      <c r="O109" s="33"/>
      <c r="P109" s="33"/>
      <c r="Q109" s="33"/>
    </row>
    <row r="110" spans="3:17">
      <c r="F110" s="33"/>
      <c r="G110" s="33"/>
      <c r="H110" s="33"/>
      <c r="I110" s="33"/>
      <c r="J110" s="33"/>
      <c r="K110" s="33"/>
      <c r="L110" s="33"/>
      <c r="M110" s="33"/>
      <c r="N110" s="33"/>
      <c r="O110" s="33"/>
      <c r="P110" s="33"/>
      <c r="Q110" s="33"/>
    </row>
    <row r="111" spans="3:17">
      <c r="F111" s="33"/>
      <c r="G111" s="33"/>
      <c r="H111" s="33"/>
      <c r="I111" s="33"/>
      <c r="J111" s="33"/>
      <c r="K111" s="33"/>
      <c r="L111" s="33"/>
      <c r="M111" s="33"/>
      <c r="N111" s="33"/>
      <c r="O111" s="33"/>
      <c r="P111" s="33"/>
      <c r="Q111" s="33"/>
    </row>
    <row r="112" spans="3:17">
      <c r="F112" s="33"/>
      <c r="G112" s="33"/>
      <c r="H112" s="33"/>
      <c r="I112" s="33"/>
      <c r="J112" s="33"/>
      <c r="K112" s="33"/>
      <c r="L112" s="33"/>
      <c r="M112" s="33"/>
      <c r="N112" s="33"/>
      <c r="O112" s="33"/>
      <c r="P112" s="33"/>
      <c r="Q112" s="33"/>
    </row>
    <row r="113" spans="2:17">
      <c r="F113" s="33"/>
      <c r="G113" s="33"/>
      <c r="H113" s="33"/>
      <c r="I113" s="33"/>
      <c r="J113" s="33"/>
      <c r="K113" s="33"/>
      <c r="L113" s="33"/>
      <c r="M113" s="33"/>
      <c r="N113" s="33"/>
      <c r="O113" s="33"/>
      <c r="P113" s="33"/>
      <c r="Q113" s="33"/>
    </row>
    <row r="114" spans="2:17">
      <c r="F114" s="33"/>
      <c r="G114" s="33"/>
      <c r="H114" s="33"/>
      <c r="I114" s="33"/>
      <c r="J114" s="33"/>
      <c r="K114" s="33"/>
      <c r="L114" s="33"/>
      <c r="M114" s="33"/>
      <c r="N114" s="33"/>
      <c r="O114" s="33"/>
      <c r="P114" s="33"/>
      <c r="Q114" s="33"/>
    </row>
    <row r="115" spans="2:17">
      <c r="F115" s="33"/>
      <c r="G115" s="33"/>
      <c r="H115" s="33"/>
      <c r="I115" s="33"/>
      <c r="J115" s="33"/>
      <c r="K115" s="33"/>
      <c r="L115" s="33"/>
      <c r="M115" s="33"/>
      <c r="N115" s="33"/>
      <c r="O115" s="33"/>
      <c r="P115" s="33"/>
      <c r="Q115" s="33"/>
    </row>
    <row r="116" spans="2:17">
      <c r="F116" s="33"/>
      <c r="G116" s="33"/>
      <c r="H116" s="33"/>
      <c r="I116" s="33"/>
      <c r="J116" s="33"/>
      <c r="K116" s="33"/>
      <c r="L116" s="33"/>
      <c r="M116" s="33"/>
      <c r="N116" s="33"/>
      <c r="O116" s="33"/>
      <c r="P116" s="33"/>
      <c r="Q116" s="33"/>
    </row>
    <row r="117" spans="2:17">
      <c r="F117" s="33"/>
      <c r="G117" s="33"/>
      <c r="H117" s="33"/>
      <c r="I117" s="33"/>
      <c r="J117" s="33"/>
      <c r="K117" s="33"/>
      <c r="L117" s="33"/>
      <c r="M117" s="33"/>
      <c r="N117" s="33"/>
      <c r="O117" s="33"/>
      <c r="P117" s="33"/>
      <c r="Q117" s="33"/>
    </row>
    <row r="118" spans="2:17">
      <c r="B118" s="622"/>
      <c r="C118" s="33"/>
      <c r="F118" s="33"/>
      <c r="G118" s="33"/>
      <c r="H118" s="33"/>
      <c r="I118" s="33"/>
      <c r="J118" s="33"/>
      <c r="K118" s="33"/>
      <c r="L118" s="33"/>
      <c r="M118" s="33"/>
      <c r="N118" s="33"/>
      <c r="O118" s="33"/>
      <c r="P118" s="33"/>
      <c r="Q118" s="33"/>
    </row>
    <row r="119" spans="2:17">
      <c r="B119" s="622"/>
      <c r="C119" s="33"/>
      <c r="F119" s="33"/>
      <c r="G119" s="33"/>
      <c r="H119" s="33"/>
      <c r="I119" s="33"/>
      <c r="J119" s="33"/>
      <c r="K119" s="33"/>
      <c r="L119" s="33"/>
      <c r="M119" s="33"/>
      <c r="N119" s="33"/>
      <c r="O119" s="33"/>
      <c r="P119" s="33"/>
      <c r="Q119" s="33"/>
    </row>
    <row r="120" spans="2:17">
      <c r="B120" s="622"/>
      <c r="C120" s="33"/>
      <c r="F120" s="33"/>
      <c r="G120" s="33"/>
      <c r="H120" s="33"/>
      <c r="I120" s="33"/>
      <c r="J120" s="33"/>
      <c r="K120" s="33"/>
      <c r="L120" s="33"/>
      <c r="M120" s="33"/>
      <c r="N120" s="33"/>
      <c r="O120" s="33"/>
      <c r="P120" s="33"/>
      <c r="Q120" s="33"/>
    </row>
    <row r="121" spans="2:17">
      <c r="B121" s="622"/>
      <c r="C121" s="33"/>
      <c r="F121" s="33"/>
      <c r="G121" s="33"/>
      <c r="H121" s="33"/>
      <c r="I121" s="33"/>
      <c r="J121" s="33"/>
      <c r="K121" s="33"/>
      <c r="L121" s="33"/>
      <c r="M121" s="33"/>
      <c r="N121" s="33"/>
      <c r="O121" s="33"/>
      <c r="P121" s="33"/>
      <c r="Q121" s="33"/>
    </row>
    <row r="122" spans="2:17">
      <c r="B122" s="622"/>
      <c r="C122" s="33"/>
      <c r="F122" s="33"/>
      <c r="G122" s="33"/>
      <c r="H122" s="33"/>
      <c r="I122" s="33"/>
      <c r="J122" s="33"/>
      <c r="K122" s="33"/>
      <c r="L122" s="33"/>
      <c r="M122" s="33"/>
      <c r="N122" s="33"/>
      <c r="O122" s="33"/>
      <c r="P122" s="33"/>
      <c r="Q122" s="33"/>
    </row>
    <row r="123" spans="2:17">
      <c r="B123" s="622"/>
      <c r="C123" s="33"/>
      <c r="F123" s="33"/>
      <c r="G123" s="33"/>
      <c r="H123" s="33"/>
      <c r="I123" s="33"/>
      <c r="J123" s="33"/>
      <c r="K123" s="33"/>
      <c r="L123" s="33"/>
      <c r="M123" s="33"/>
      <c r="N123" s="33"/>
      <c r="O123" s="33"/>
      <c r="P123" s="33"/>
      <c r="Q123" s="33"/>
    </row>
    <row r="124" spans="2:17">
      <c r="B124" s="622"/>
      <c r="C124" s="33"/>
      <c r="F124" s="33"/>
      <c r="G124" s="33"/>
      <c r="H124" s="33"/>
      <c r="I124" s="33"/>
      <c r="J124" s="33"/>
      <c r="K124" s="33"/>
      <c r="L124" s="33"/>
      <c r="M124" s="33"/>
      <c r="N124" s="33"/>
      <c r="O124" s="33"/>
      <c r="P124" s="33"/>
      <c r="Q124" s="33"/>
    </row>
    <row r="125" spans="2:17">
      <c r="B125" s="622"/>
      <c r="C125" s="33"/>
      <c r="F125" s="33"/>
      <c r="G125" s="33"/>
      <c r="H125" s="33"/>
      <c r="I125" s="33"/>
      <c r="J125" s="33"/>
      <c r="K125" s="33"/>
      <c r="L125" s="33"/>
      <c r="M125" s="33"/>
      <c r="N125" s="33"/>
      <c r="O125" s="33"/>
      <c r="P125" s="33"/>
      <c r="Q125" s="33"/>
    </row>
    <row r="126" spans="2:17">
      <c r="B126" s="622"/>
      <c r="C126" s="33"/>
      <c r="F126" s="33"/>
      <c r="G126" s="33"/>
      <c r="H126" s="33"/>
      <c r="I126" s="33"/>
      <c r="J126" s="33"/>
      <c r="K126" s="33"/>
      <c r="L126" s="33"/>
      <c r="M126" s="33"/>
      <c r="N126" s="33"/>
      <c r="O126" s="33"/>
      <c r="P126" s="33"/>
      <c r="Q126" s="33"/>
    </row>
    <row r="127" spans="2:17">
      <c r="B127" s="622"/>
      <c r="C127" s="33"/>
      <c r="F127" s="33"/>
      <c r="G127" s="33"/>
      <c r="H127" s="33"/>
      <c r="I127" s="33"/>
      <c r="J127" s="33"/>
      <c r="K127" s="33"/>
      <c r="L127" s="33"/>
      <c r="M127" s="33"/>
      <c r="N127" s="33"/>
      <c r="O127" s="33"/>
      <c r="P127" s="33"/>
      <c r="Q127" s="33"/>
    </row>
    <row r="128" spans="2:17">
      <c r="B128" s="622"/>
      <c r="C128" s="33"/>
      <c r="F128" s="33"/>
      <c r="G128" s="33"/>
      <c r="H128" s="33"/>
      <c r="I128" s="33"/>
      <c r="J128" s="33"/>
      <c r="K128" s="33"/>
      <c r="L128" s="33"/>
      <c r="M128" s="33"/>
      <c r="N128" s="33"/>
      <c r="O128" s="33"/>
      <c r="P128" s="33"/>
      <c r="Q128" s="33"/>
    </row>
    <row r="129" spans="2:17">
      <c r="B129" s="622"/>
      <c r="C129" s="33"/>
      <c r="F129" s="33"/>
      <c r="G129" s="33"/>
      <c r="H129" s="33"/>
      <c r="I129" s="33"/>
      <c r="J129" s="33"/>
      <c r="K129" s="33"/>
      <c r="L129" s="33"/>
      <c r="M129" s="33"/>
      <c r="N129" s="33"/>
      <c r="O129" s="33"/>
      <c r="P129" s="33"/>
      <c r="Q129" s="33"/>
    </row>
    <row r="130" spans="2:17">
      <c r="B130" s="622"/>
      <c r="C130" s="33"/>
      <c r="F130" s="33"/>
      <c r="G130" s="33"/>
      <c r="H130" s="33"/>
      <c r="I130" s="33"/>
      <c r="J130" s="33"/>
      <c r="K130" s="33"/>
      <c r="L130" s="33"/>
      <c r="M130" s="33"/>
      <c r="N130" s="33"/>
      <c r="O130" s="33"/>
      <c r="P130" s="33"/>
      <c r="Q130" s="33"/>
    </row>
    <row r="131" spans="2:17">
      <c r="B131" s="622"/>
      <c r="C131" s="33"/>
      <c r="F131" s="33"/>
      <c r="G131" s="33"/>
      <c r="H131" s="33"/>
      <c r="I131" s="33"/>
      <c r="J131" s="33"/>
      <c r="K131" s="33"/>
      <c r="L131" s="33"/>
      <c r="M131" s="33"/>
      <c r="N131" s="33"/>
      <c r="O131" s="33"/>
      <c r="P131" s="33"/>
      <c r="Q131" s="33"/>
    </row>
    <row r="132" spans="2:17">
      <c r="B132" s="622"/>
      <c r="C132" s="33"/>
      <c r="F132" s="33"/>
      <c r="G132" s="33"/>
      <c r="H132" s="33"/>
      <c r="I132" s="33"/>
      <c r="J132" s="33"/>
      <c r="K132" s="33"/>
      <c r="L132" s="33"/>
      <c r="M132" s="33"/>
      <c r="N132" s="33"/>
      <c r="O132" s="33"/>
      <c r="P132" s="33"/>
      <c r="Q132" s="33"/>
    </row>
    <row r="133" spans="2:17">
      <c r="B133" s="622"/>
      <c r="C133" s="33"/>
      <c r="F133" s="33"/>
      <c r="G133" s="33"/>
      <c r="H133" s="33"/>
      <c r="I133" s="33"/>
      <c r="J133" s="33"/>
      <c r="K133" s="33"/>
      <c r="L133" s="33"/>
      <c r="M133" s="33"/>
      <c r="N133" s="33"/>
      <c r="O133" s="33"/>
      <c r="P133" s="33"/>
      <c r="Q133" s="33"/>
    </row>
    <row r="134" spans="2:17">
      <c r="B134" s="622"/>
      <c r="C134" s="33"/>
      <c r="F134" s="33"/>
      <c r="G134" s="33"/>
      <c r="H134" s="33"/>
      <c r="I134" s="33"/>
      <c r="J134" s="33"/>
      <c r="K134" s="33"/>
      <c r="L134" s="33"/>
      <c r="M134" s="33"/>
      <c r="N134" s="33"/>
      <c r="O134" s="33"/>
      <c r="P134" s="33"/>
      <c r="Q134" s="33"/>
    </row>
    <row r="135" spans="2:17">
      <c r="B135" s="622"/>
      <c r="C135" s="33"/>
      <c r="F135" s="33"/>
      <c r="G135" s="33"/>
      <c r="H135" s="33"/>
      <c r="I135" s="33"/>
      <c r="J135" s="33"/>
      <c r="K135" s="33"/>
      <c r="L135" s="33"/>
      <c r="M135" s="33"/>
      <c r="N135" s="33"/>
      <c r="O135" s="33"/>
      <c r="P135" s="33"/>
      <c r="Q135" s="33"/>
    </row>
    <row r="136" spans="2:17">
      <c r="B136" s="622"/>
      <c r="C136" s="33"/>
      <c r="F136" s="33"/>
      <c r="G136" s="33"/>
      <c r="H136" s="33"/>
      <c r="I136" s="33"/>
      <c r="J136" s="33"/>
      <c r="K136" s="33"/>
      <c r="L136" s="33"/>
      <c r="M136" s="33"/>
      <c r="N136" s="33"/>
      <c r="O136" s="33"/>
      <c r="P136" s="33"/>
      <c r="Q136" s="33"/>
    </row>
    <row r="137" spans="2:17">
      <c r="B137" s="622"/>
      <c r="C137" s="33"/>
      <c r="F137" s="33"/>
      <c r="G137" s="33"/>
      <c r="H137" s="33"/>
      <c r="I137" s="33"/>
      <c r="J137" s="33"/>
      <c r="K137" s="33"/>
      <c r="L137" s="33"/>
      <c r="M137" s="33"/>
      <c r="N137" s="33"/>
      <c r="O137" s="33"/>
      <c r="P137" s="33"/>
      <c r="Q137" s="33"/>
    </row>
    <row r="138" spans="2:17">
      <c r="B138" s="622"/>
      <c r="C138" s="33"/>
      <c r="L138" s="33"/>
    </row>
    <row r="139" spans="2:17">
      <c r="B139" s="622"/>
      <c r="C139" s="33"/>
      <c r="L139" s="33"/>
    </row>
    <row r="140" spans="2:17">
      <c r="B140" s="622"/>
      <c r="C140" s="33"/>
      <c r="L140" s="33"/>
    </row>
    <row r="141" spans="2:17">
      <c r="B141" s="622"/>
      <c r="C141" s="33"/>
      <c r="L141" s="33"/>
    </row>
    <row r="142" spans="2:17">
      <c r="B142" s="622"/>
      <c r="C142" s="33"/>
      <c r="L142" s="33"/>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c r="H149" s="1929"/>
      <c r="J149" s="2389"/>
    </row>
    <row r="150" spans="2:12">
      <c r="B150" s="622"/>
      <c r="C150" s="33"/>
      <c r="H150" s="1929"/>
      <c r="J150" s="2389"/>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C42:E42"/>
    <mergeCell ref="C38:E38"/>
    <mergeCell ref="C46:D46"/>
    <mergeCell ref="C54:D54"/>
    <mergeCell ref="C56:D56"/>
    <mergeCell ref="C50:D50"/>
    <mergeCell ref="C53:D53"/>
    <mergeCell ref="C47:D47"/>
    <mergeCell ref="C51:D51"/>
    <mergeCell ref="C41:E41"/>
    <mergeCell ref="C39:E39"/>
    <mergeCell ref="C17:F17"/>
    <mergeCell ref="C19:F19"/>
    <mergeCell ref="C40:E40"/>
    <mergeCell ref="C37:E37"/>
    <mergeCell ref="E22:G22"/>
    <mergeCell ref="C36:E36"/>
    <mergeCell ref="F23:G23"/>
    <mergeCell ref="D25:E25"/>
    <mergeCell ref="D26:E26"/>
    <mergeCell ref="F34:G34"/>
    <mergeCell ref="C16:F16"/>
    <mergeCell ref="C15:F15"/>
    <mergeCell ref="W3:Y3"/>
    <mergeCell ref="W4:Y4"/>
    <mergeCell ref="H6:I6"/>
    <mergeCell ref="C14:F14"/>
    <mergeCell ref="N6:O6"/>
    <mergeCell ref="E10:F10"/>
    <mergeCell ref="N1:O1"/>
    <mergeCell ref="G1:I1"/>
    <mergeCell ref="K6:L6"/>
    <mergeCell ref="N3:O4"/>
    <mergeCell ref="K1:L1"/>
    <mergeCell ref="E4:I4"/>
    <mergeCell ref="K2:P2"/>
    <mergeCell ref="C78:F78"/>
    <mergeCell ref="C79:F79"/>
    <mergeCell ref="C52:D52"/>
    <mergeCell ref="C48:D48"/>
    <mergeCell ref="C49:D49"/>
    <mergeCell ref="C73:E73"/>
    <mergeCell ref="C74:E74"/>
    <mergeCell ref="B75:C75"/>
    <mergeCell ref="C57:D57"/>
    <mergeCell ref="C55:D55"/>
    <mergeCell ref="C62:E62"/>
    <mergeCell ref="C63:E63"/>
    <mergeCell ref="C68:E68"/>
    <mergeCell ref="C64:E64"/>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1" width="10.5" style="31" customWidth="1"/>
    <col min="32" max="16384" width="10.5" style="31"/>
  </cols>
  <sheetData>
    <row r="1" spans="1:41" s="276" customFormat="1" ht="30.2" customHeight="1">
      <c r="A1" s="2507"/>
      <c r="B1" s="326"/>
      <c r="C1" s="1908"/>
      <c r="D1" s="136"/>
      <c r="E1" s="323"/>
      <c r="F1" s="323"/>
      <c r="G1" s="4908" t="s">
        <v>1694</v>
      </c>
      <c r="H1" s="4908"/>
      <c r="I1" s="4908"/>
      <c r="J1" s="1906">
        <f>(J7+J13+J18+J22+I11+I12)-(J23+J27+J34+J43+J60+J65+J67+J69+J71+J75)</f>
        <v>1116.5021621173071</v>
      </c>
      <c r="K1" s="4859">
        <f>M1-J1</f>
        <v>359.93611857949213</v>
      </c>
      <c r="L1" s="4859"/>
      <c r="M1" s="1906">
        <f>(M7+M13+M18+M22+L11+L12)-(M23+M27+M34+M43+M60+M65+M67+M69+M71+M75)</f>
        <v>1476.4382806967992</v>
      </c>
      <c r="N1" s="4859">
        <f>P1-M1</f>
        <v>342.5844697200514</v>
      </c>
      <c r="O1" s="4859"/>
      <c r="P1" s="1906">
        <f>(P7+P13+P18+P22+O11+O12)-(P23+P27+P34+P43+P60+P65+P67+P69+P71+P75)</f>
        <v>1819.0227504168506</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1956</v>
      </c>
      <c r="L2" s="4870"/>
      <c r="M2" s="4870"/>
      <c r="N2" s="4870"/>
      <c r="O2" s="4870"/>
      <c r="P2" s="4870"/>
      <c r="Q2" s="2507"/>
    </row>
    <row r="3" spans="1:41" s="276" customFormat="1" ht="21.75" customHeight="1">
      <c r="A3" s="2507"/>
      <c r="B3" s="1903" t="s">
        <v>1693</v>
      </c>
      <c r="G3" s="1891"/>
      <c r="H3" s="1902"/>
      <c r="N3" s="4909"/>
      <c r="O3" s="4872"/>
      <c r="P3" s="1900"/>
      <c r="Q3" s="2507"/>
      <c r="T3" s="1918" t="b">
        <v>0</v>
      </c>
      <c r="W3" s="4866" t="s">
        <v>1262</v>
      </c>
      <c r="X3" s="4916"/>
      <c r="Y3" s="4916"/>
      <c r="Z3" s="1901"/>
    </row>
    <row r="4" spans="1:41" s="276" customFormat="1" ht="20.25" customHeight="1">
      <c r="A4" s="2507"/>
      <c r="B4" s="377" t="s">
        <v>1154</v>
      </c>
      <c r="C4" s="31"/>
      <c r="D4" s="31"/>
      <c r="E4" s="4830" t="s">
        <v>1268</v>
      </c>
      <c r="F4" s="4830"/>
      <c r="G4" s="4830"/>
      <c r="H4" s="4830"/>
      <c r="I4" s="4830"/>
      <c r="N4" s="4872"/>
      <c r="O4" s="4872"/>
      <c r="P4" s="1896">
        <f>SDÖ1!O3</f>
        <v>0</v>
      </c>
      <c r="Q4" s="2507"/>
      <c r="T4" s="1918"/>
      <c r="W4" s="4866" t="s">
        <v>1250</v>
      </c>
      <c r="X4" s="4916"/>
      <c r="Y4" s="4916"/>
      <c r="Z4" s="2522"/>
    </row>
    <row r="5" spans="1:41" ht="6" customHeight="1"/>
    <row r="6" spans="1:41" s="1885" customFormat="1" ht="24" customHeight="1">
      <c r="A6" s="48"/>
      <c r="B6" s="1890" t="s">
        <v>1207</v>
      </c>
      <c r="C6" s="1889"/>
      <c r="D6" s="1889"/>
      <c r="E6" s="1889"/>
      <c r="F6" s="1889"/>
      <c r="G6" s="1888" t="s">
        <v>1700</v>
      </c>
      <c r="H6" s="4864" t="s">
        <v>179</v>
      </c>
      <c r="I6" s="4865"/>
      <c r="J6" s="1887">
        <f>M6*0.75</f>
        <v>22.5</v>
      </c>
      <c r="K6" s="4849" t="s">
        <v>152</v>
      </c>
      <c r="L6" s="4850"/>
      <c r="M6" s="1887">
        <v>30</v>
      </c>
      <c r="N6" s="4864" t="s">
        <v>178</v>
      </c>
      <c r="O6" s="4865"/>
      <c r="P6" s="1886">
        <f>M6*1.25</f>
        <v>37.5</v>
      </c>
      <c r="Q6" s="70"/>
    </row>
    <row r="7" spans="1:41" s="252" customFormat="1" ht="18.75" customHeight="1">
      <c r="A7" s="47"/>
      <c r="B7" s="311" t="s">
        <v>1691</v>
      </c>
      <c r="C7" s="47"/>
      <c r="D7" s="47"/>
      <c r="E7" s="47"/>
      <c r="F7" s="47"/>
      <c r="G7" s="1884" t="s">
        <v>171</v>
      </c>
      <c r="H7" s="1881"/>
      <c r="I7" s="1880"/>
      <c r="J7" s="1614">
        <f>SUM(I9:I10)</f>
        <v>1151.3999999999996</v>
      </c>
      <c r="K7" s="1883"/>
      <c r="L7" s="1882"/>
      <c r="M7" s="1617">
        <f>SUM(L9:L10)</f>
        <v>1535.1999999999996</v>
      </c>
      <c r="N7" s="1881"/>
      <c r="O7" s="1880"/>
      <c r="P7" s="1614">
        <f>SUM(O9:O10)</f>
        <v>1918.9999999999993</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SDÖ1!O24</f>
        <v>51.173333333333318</v>
      </c>
      <c r="H9" s="1877">
        <f>J6-H10</f>
        <v>22.5</v>
      </c>
      <c r="I9" s="1873">
        <f>H9*G9</f>
        <v>1151.3999999999996</v>
      </c>
      <c r="J9" s="43"/>
      <c r="K9" s="1876">
        <f>M6-K10</f>
        <v>30</v>
      </c>
      <c r="L9" s="1875">
        <f>K9*G9</f>
        <v>1535.1999999999996</v>
      </c>
      <c r="M9" s="1854"/>
      <c r="N9" s="1874">
        <f>P6-N10</f>
        <v>37.5</v>
      </c>
      <c r="O9" s="1873">
        <f>N9*G9</f>
        <v>1918.9999999999993</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X13" s="1838" t="str">
        <f>IF(OR(T4=TRUE,T5=TRUE),J7*$E$11,"0")</f>
        <v>0</v>
      </c>
      <c r="Y13" s="1839" t="str">
        <f>IF(OR(T4=TRUE,T5=TRUE),M7*$E$11,"0")</f>
        <v>0</v>
      </c>
      <c r="Z13" s="1838" t="str">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13"/>
      <c r="C19" s="4833" t="s">
        <v>2172</v>
      </c>
      <c r="D19" s="4833"/>
      <c r="E19" s="4833"/>
      <c r="F19" s="4833"/>
      <c r="G19" s="4100" t="s">
        <v>171</v>
      </c>
      <c r="H19" s="1818"/>
      <c r="I19" s="3965">
        <f>IF(OR($C19=0,$J$6=0),0,VLOOKUP($C19,'SD2'!C59:N75,12,FALSE))</f>
        <v>158</v>
      </c>
      <c r="J19" s="3908">
        <f>SUM(I23:I24)</f>
        <v>0</v>
      </c>
      <c r="K19" s="1819"/>
      <c r="L19" s="3955">
        <f>IF(OR($C19=0,$M$6=0),0,VLOOKUP($C19,'SD2'!$C$59:$N$75,12,FALSE))</f>
        <v>158</v>
      </c>
      <c r="M19" s="3920">
        <f>SUM(L23:L24)</f>
        <v>0</v>
      </c>
      <c r="N19" s="1818"/>
      <c r="O19" s="3965">
        <f>IF(OR($C19=0,$P$6=0),0,VLOOKUP($C19,'SD2'!C59:N75,12,FALSE))</f>
        <v>158</v>
      </c>
      <c r="P19" s="1586">
        <f>SUM(O23:O24)</f>
        <v>0</v>
      </c>
      <c r="R19" s="1816">
        <f>J13+J18</f>
        <v>595.4</v>
      </c>
      <c r="S19" s="1816">
        <f>M13+M18</f>
        <v>595.4</v>
      </c>
      <c r="T19" s="1816">
        <f>P13+P18</f>
        <v>595.4</v>
      </c>
    </row>
    <row r="20" spans="1:26" s="4056" customFormat="1" ht="15.6" customHeight="1">
      <c r="A20" s="3913"/>
      <c r="B20" s="1821"/>
      <c r="C20" s="4058" t="s">
        <v>2182</v>
      </c>
      <c r="D20" s="4099"/>
      <c r="E20" s="4099"/>
      <c r="F20" s="4099"/>
      <c r="G20" s="1820"/>
      <c r="H20" s="1818"/>
      <c r="I20" s="3965">
        <f>IF(OR($C20=0,$J$6=0),0,VLOOKUP($C20,'SD2'!C60:N76,12,FALSE))</f>
        <v>63.4</v>
      </c>
      <c r="J20" s="43"/>
      <c r="K20" s="1819"/>
      <c r="L20" s="3955">
        <f>IF(OR($C20=0,$M$6=0),0,VLOOKUP($C20,'SD2'!$C$59:$N$75,12,FALSE))</f>
        <v>63.4</v>
      </c>
      <c r="M20" s="1854"/>
      <c r="N20" s="1818"/>
      <c r="O20" s="3965">
        <f>IF(OR($C20=0,$P$6=0),0,VLOOKUP($C20,'SD2'!C60:N76,12,FALSE))</f>
        <v>63.4</v>
      </c>
      <c r="P20" s="1586"/>
      <c r="Q20" s="4057"/>
      <c r="R20" s="4043"/>
      <c r="S20" s="4043"/>
      <c r="T20" s="4043"/>
    </row>
    <row r="21" spans="1:26" s="4056" customFormat="1" ht="15.6" customHeight="1">
      <c r="A21" s="3913"/>
      <c r="B21" s="1821"/>
      <c r="C21" s="4058" t="s">
        <v>2183</v>
      </c>
      <c r="D21" s="4099"/>
      <c r="E21" s="4099"/>
      <c r="F21" s="4099"/>
      <c r="G21" s="4100"/>
      <c r="H21" s="1818"/>
      <c r="I21" s="3965">
        <f>IF(OR($C21=0,$J$6=0),0,VLOOKUP($C21,'SD2'!C61:N77,12,FALSE))</f>
        <v>134</v>
      </c>
      <c r="J21" s="43"/>
      <c r="K21" s="1819"/>
      <c r="L21" s="3955">
        <f>IF(OR($C21=0,$M$6=0),0,VLOOKUP($C21,'SD2'!$C$59:$N$75,12,FALSE))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240</v>
      </c>
      <c r="K23" s="1619"/>
      <c r="L23" s="1618"/>
      <c r="M23" s="1800">
        <f>SUM(L25:L26)</f>
        <v>240</v>
      </c>
      <c r="N23" s="1616"/>
      <c r="O23" s="1615"/>
      <c r="P23" s="1599">
        <f>SUM(O25:O26)</f>
        <v>240</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1</v>
      </c>
      <c r="G25" s="1794">
        <f>F25*(100+$D$24)/100</f>
        <v>1</v>
      </c>
      <c r="H25" s="1793">
        <v>240</v>
      </c>
      <c r="I25" s="1754">
        <f>H25*$G25</f>
        <v>240</v>
      </c>
      <c r="J25" s="45"/>
      <c r="K25" s="1793">
        <f>H25</f>
        <v>240</v>
      </c>
      <c r="L25" s="1596">
        <f>K25*$G25</f>
        <v>240</v>
      </c>
      <c r="M25" s="1589"/>
      <c r="N25" s="1793">
        <f>H25</f>
        <v>240</v>
      </c>
      <c r="O25" s="1754">
        <f>N25*$G25</f>
        <v>240</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-0.60000000000005116</v>
      </c>
      <c r="K27" s="1748"/>
      <c r="L27" s="1747"/>
      <c r="M27" s="1617">
        <f>SUM(L30:L33)</f>
        <v>-0.8000000000000469</v>
      </c>
      <c r="N27" s="1746"/>
      <c r="O27" s="1745"/>
      <c r="P27" s="1614">
        <f>SUM(O30:O33)</f>
        <v>-1.0000000000000853</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f>VLOOKUP('SD8'!B30,'SD8'!B9:K44,3,FALSE)</f>
        <v>-0.80000000000000027</v>
      </c>
      <c r="F30" s="1774"/>
      <c r="G30" s="1773">
        <v>0</v>
      </c>
      <c r="H30" s="1771">
        <f>IF(J$6=0,0,(J$6*$E30+$G30+X13))</f>
        <v>-18.000000000000007</v>
      </c>
      <c r="I30" s="1754">
        <f>H30*$D30</f>
        <v>-81.600000000000037</v>
      </c>
      <c r="J30" s="45"/>
      <c r="K30" s="1772">
        <f>IF(M$6=0,0,(M$6*$E30+$G30+AA14))</f>
        <v>-24.000000000000007</v>
      </c>
      <c r="L30" s="1596">
        <f>K30*$D30</f>
        <v>-108.80000000000003</v>
      </c>
      <c r="M30" s="1589"/>
      <c r="N30" s="1771">
        <f>IF(P$6=0,0,(P$6*$E30+$G30+AD14))</f>
        <v>-30.000000000000011</v>
      </c>
      <c r="O30" s="1754">
        <f>N30*$D30</f>
        <v>-136.00000000000006</v>
      </c>
      <c r="P30" s="1718"/>
      <c r="Q30" s="32"/>
    </row>
    <row r="31" spans="1:26" s="42" customFormat="1" ht="15" customHeight="1">
      <c r="A31" s="1306"/>
      <c r="B31" s="274"/>
      <c r="C31" s="1306" t="s">
        <v>244</v>
      </c>
      <c r="D31" s="1723">
        <f>IF(SDÖ1!$U$17=TRUE,SDÖ1!O56,0)</f>
        <v>1.3999999999999997</v>
      </c>
      <c r="E31" s="1774">
        <f>VLOOKUP('SD8'!B30,'SD8'!B9:K44,4,FALSE)</f>
        <v>1.1000000000000001</v>
      </c>
      <c r="F31" s="1774"/>
      <c r="G31" s="1773"/>
      <c r="H31" s="1771">
        <f>IF(J$6=0,0,(J$6*$E31+$G31+X14))</f>
        <v>24.750000000000004</v>
      </c>
      <c r="I31" s="1754">
        <f>H31*$D31</f>
        <v>34.65</v>
      </c>
      <c r="J31" s="45"/>
      <c r="K31" s="1772">
        <f>IF(M$6=0,0,(M$6*$E31+$G31+Y14))</f>
        <v>33</v>
      </c>
      <c r="L31" s="1596">
        <f>K31*$D31</f>
        <v>46.199999999999989</v>
      </c>
      <c r="M31" s="1589"/>
      <c r="N31" s="1771">
        <f>IF(P$6=0,0,(P$6*$E31+$G31+Z14))</f>
        <v>41.25</v>
      </c>
      <c r="O31" s="1754">
        <f>N31*$D31</f>
        <v>57.749999999999986</v>
      </c>
      <c r="P31" s="1718"/>
      <c r="Q31" s="32"/>
    </row>
    <row r="32" spans="1:26" s="708" customFormat="1" ht="18.75" customHeight="1">
      <c r="A32" s="1270"/>
      <c r="B32" s="274"/>
      <c r="C32" s="1306" t="s">
        <v>242</v>
      </c>
      <c r="D32" s="1723">
        <f>IF(SDÖ1!$U$17=TRUE,SDÖ1!O57,0)</f>
        <v>1.3999999999999997</v>
      </c>
      <c r="E32" s="1774">
        <f>VLOOKUP('SD8'!B30,'SD8'!B9:K44,5,FALSE)</f>
        <v>1.4</v>
      </c>
      <c r="F32" s="1774"/>
      <c r="G32" s="1773"/>
      <c r="H32" s="1771">
        <f>IF(J$6=0,0,(J$6*$E32+$G32+X15))</f>
        <v>31.499999999999996</v>
      </c>
      <c r="I32" s="1754">
        <f>H32*$D32</f>
        <v>44.099999999999987</v>
      </c>
      <c r="J32" s="45"/>
      <c r="K32" s="1772">
        <f>IF(M$6=0,0,(M$6*$E32+$G32+Y15))</f>
        <v>42</v>
      </c>
      <c r="L32" s="1596">
        <f>K32*$D32</f>
        <v>58.79999999999999</v>
      </c>
      <c r="M32" s="1589"/>
      <c r="N32" s="1771">
        <f>IF(P$6=0,0,(P$6*$E32+$G32+Z15))</f>
        <v>52.5</v>
      </c>
      <c r="O32" s="1754">
        <f>N32*$D32</f>
        <v>73.499999999999986</v>
      </c>
      <c r="P32" s="1718"/>
      <c r="Q32" s="32"/>
    </row>
    <row r="33" spans="1:17" s="708" customFormat="1" ht="13.15" customHeight="1">
      <c r="A33" s="1270"/>
      <c r="B33" s="239"/>
      <c r="C33" s="1331" t="s">
        <v>240</v>
      </c>
      <c r="D33" s="1706">
        <f>IF(SDÖ1!$U$17=TRUE,SDÖ1!O58,0)</f>
        <v>0.5</v>
      </c>
      <c r="E33" s="1770">
        <f>VLOOKUP('SD8'!B30,'SD8'!B9:K44,6,FALSE)</f>
        <v>0.2</v>
      </c>
      <c r="F33" s="1770"/>
      <c r="G33" s="1769"/>
      <c r="H33" s="1767">
        <f>IF(J$6=0,0,(J$6*$E33+$G33+X16))</f>
        <v>4.5</v>
      </c>
      <c r="I33" s="1750">
        <f>H33*$D33</f>
        <v>2.25</v>
      </c>
      <c r="J33" s="45"/>
      <c r="K33" s="1768">
        <f>IF(M$6=0,0,(M$6*$E33+$G33+Y16))</f>
        <v>6</v>
      </c>
      <c r="L33" s="1590">
        <f>K33*$D33</f>
        <v>3</v>
      </c>
      <c r="M33" s="1589"/>
      <c r="N33" s="1767">
        <f>IF(P$6=0,0,(P$6*$E33+$G33+Z16))</f>
        <v>7.5</v>
      </c>
      <c r="O33" s="1750">
        <f>N33*$D33</f>
        <v>3.75</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140.93317039176472</v>
      </c>
      <c r="K43" s="1748"/>
      <c r="L43" s="1747"/>
      <c r="M43" s="1617">
        <f>SUM(M46:M57)</f>
        <v>142.22425408000001</v>
      </c>
      <c r="N43" s="1746"/>
      <c r="O43" s="1745"/>
      <c r="P43" s="1614">
        <f>SUM(P46:P57)</f>
        <v>160.71647666235296</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515</v>
      </c>
      <c r="D46" s="4836"/>
      <c r="E46" s="1725">
        <f>IF($C46=0,0,VLOOKUP($C46,SDÖ3!$C$24:$O$99,4,FALSE))</f>
        <v>120</v>
      </c>
      <c r="F46" s="1724">
        <f>IF($C46=0,0,VLOOKUP($C46,SDÖ3!$C$24:$O$99,12,FALSE))</f>
        <v>1.46</v>
      </c>
      <c r="G46" s="1723">
        <f>IF($C46=0,0,VLOOKUP($C46,SDÖ3!$C$24:$O$99,13,FALSE))</f>
        <v>56.986584941176474</v>
      </c>
      <c r="H46" s="1720">
        <v>1</v>
      </c>
      <c r="I46" s="1719">
        <f t="shared" ref="I46:I57" si="4">$F46*H46</f>
        <v>1.46</v>
      </c>
      <c r="J46" s="1718">
        <f t="shared" ref="J46:J57" si="5">H46*$G46</f>
        <v>56.986584941176474</v>
      </c>
      <c r="K46" s="1720">
        <v>1</v>
      </c>
      <c r="L46" s="1722">
        <f>$F46*K46</f>
        <v>1.46</v>
      </c>
      <c r="M46" s="1721">
        <f>K46*$G46</f>
        <v>56.986584941176474</v>
      </c>
      <c r="N46" s="1720">
        <v>1</v>
      </c>
      <c r="O46" s="1719">
        <f>$F46*N46</f>
        <v>1.46</v>
      </c>
      <c r="P46" s="1718">
        <f>N46*$G46</f>
        <v>56.986584941176474</v>
      </c>
      <c r="Q46" s="32"/>
    </row>
    <row r="47" spans="1:17" s="42" customFormat="1" ht="15" customHeight="1">
      <c r="A47" s="1306"/>
      <c r="B47" s="1726"/>
      <c r="C47" s="4835" t="s">
        <v>504</v>
      </c>
      <c r="D47" s="4836"/>
      <c r="E47" s="1725">
        <f>IF($C47=0,0,VLOOKUP($C47,SDÖ3!$C$24:$O$99,4,FALSE))</f>
        <v>83</v>
      </c>
      <c r="F47" s="1724">
        <f>IF($C47=0,0,VLOOKUP($C47,SDÖ3!$C$24:$O$99,12,FALSE))</f>
        <v>0.56999999999999995</v>
      </c>
      <c r="G47" s="1723">
        <f>IF($C47=0,0,VLOOKUP($C47,SDÖ3!$C$24:$O$99,13,FALSE))</f>
        <v>13.864622900840335</v>
      </c>
      <c r="H47" s="1720">
        <v>0</v>
      </c>
      <c r="I47" s="1719">
        <f t="shared" si="4"/>
        <v>0</v>
      </c>
      <c r="J47" s="1718">
        <f t="shared" si="5"/>
        <v>0</v>
      </c>
      <c r="K47" s="1720"/>
      <c r="L47" s="1722">
        <f>$F47*K47</f>
        <v>0</v>
      </c>
      <c r="M47" s="1721">
        <f>K47*$G47</f>
        <v>0</v>
      </c>
      <c r="N47" s="1720"/>
      <c r="O47" s="1719">
        <f>$F47*N47</f>
        <v>0</v>
      </c>
      <c r="P47" s="1718">
        <f>N47*$G47</f>
        <v>0</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$F48*K48</f>
        <v>1.03</v>
      </c>
      <c r="M48" s="1721">
        <f>K48*$G48</f>
        <v>33.576407529411767</v>
      </c>
      <c r="N48" s="1720">
        <v>1</v>
      </c>
      <c r="O48" s="1719">
        <f>$F48*N48</f>
        <v>1.03</v>
      </c>
      <c r="P48" s="1718">
        <f>N48*$G48</f>
        <v>33.576407529411767</v>
      </c>
      <c r="Q48" s="32"/>
    </row>
    <row r="49" spans="1:17" s="42" customFormat="1" ht="15" customHeight="1">
      <c r="A49" s="1306"/>
      <c r="B49" s="1726"/>
      <c r="C49" s="4835" t="s">
        <v>444</v>
      </c>
      <c r="D49" s="4836"/>
      <c r="E49" s="1725">
        <f>IF($C49=0,0,VLOOKUP($C49,SDÖ3!$C$24:$O$99,4,FALSE))</f>
        <v>83</v>
      </c>
      <c r="F49" s="1724">
        <f>IF($C49=0,0,VLOOKUP($C49,SDÖ3!$C$24:$O$99,12,FALSE))</f>
        <v>0.27</v>
      </c>
      <c r="G49" s="1723">
        <f>IF($C49=0,0,VLOOKUP($C49,SDÖ3!$C$24:$O$99,13,FALSE))</f>
        <v>5.8379012776470587</v>
      </c>
      <c r="H49" s="1720">
        <v>2</v>
      </c>
      <c r="I49" s="1719">
        <f t="shared" si="4"/>
        <v>0.54</v>
      </c>
      <c r="J49" s="1718">
        <f t="shared" si="5"/>
        <v>11.675802555294117</v>
      </c>
      <c r="K49" s="1720">
        <v>2</v>
      </c>
      <c r="L49" s="1722">
        <f>$F49*K49</f>
        <v>0.54</v>
      </c>
      <c r="M49" s="1721">
        <f>K49*$G49</f>
        <v>11.675802555294117</v>
      </c>
      <c r="N49" s="1720">
        <v>2</v>
      </c>
      <c r="O49" s="1719">
        <f>$F49*N49</f>
        <v>0.54</v>
      </c>
      <c r="P49" s="1718">
        <f>N49*$G49</f>
        <v>11.675802555294117</v>
      </c>
      <c r="Q49" s="32"/>
    </row>
    <row r="50" spans="1:17" s="42" customFormat="1" ht="15" customHeight="1">
      <c r="A50" s="1306"/>
      <c r="B50" s="1726"/>
      <c r="C50" s="4835" t="s">
        <v>441</v>
      </c>
      <c r="D50" s="4836"/>
      <c r="E50" s="1725">
        <f>IF($C50=0,0,VLOOKUP($C50,SDÖ3!$C$24:$O$99,4,FALSE))</f>
        <v>54</v>
      </c>
      <c r="F50" s="1724">
        <f>IF($C50=0,0,VLOOKUP($C50,SDÖ3!$C$24:$O$99,12,FALSE))</f>
        <v>1.1100000000000001</v>
      </c>
      <c r="G50" s="1723">
        <f>IF($C50=0,0,VLOOKUP($C50,SDÖ3!$C$24:$O$99,13,FALSE))</f>
        <v>17.201138894117648</v>
      </c>
      <c r="H50" s="1720"/>
      <c r="I50" s="1719">
        <f t="shared" si="4"/>
        <v>0</v>
      </c>
      <c r="J50" s="1718">
        <f t="shared" si="5"/>
        <v>0</v>
      </c>
      <c r="K50" s="1720"/>
      <c r="L50" s="1722">
        <f t="shared" ref="L50:L57" si="6">$F50*K50</f>
        <v>0</v>
      </c>
      <c r="M50" s="1721">
        <f t="shared" ref="M50:M57" si="7">K50*$G50</f>
        <v>0</v>
      </c>
      <c r="N50" s="1720">
        <v>1</v>
      </c>
      <c r="O50" s="1719">
        <f t="shared" ref="O50:O57" si="8">$F50*N50</f>
        <v>1.1100000000000001</v>
      </c>
      <c r="P50" s="1718">
        <f t="shared" ref="P50:P57" si="9">N50*$G50</f>
        <v>17.201138894117648</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t="s">
        <v>435</v>
      </c>
      <c r="D53" s="4836"/>
      <c r="E53" s="1725">
        <f>IF($C53=0,0,VLOOKUP($C53,SDÖ3!$C$24:$O$99,4,FALSE))</f>
        <v>83</v>
      </c>
      <c r="F53" s="1724">
        <f>IF($C53=0,0,VLOOKUP($C53,SDÖ3!$C$24:$O$99,12,FALSE))</f>
        <v>0.4</v>
      </c>
      <c r="G53" s="1723">
        <f>IF($C53=0,0,VLOOKUP($C53,SDÖ3!$C$24:$O$99,13,FALSE))</f>
        <v>6.8857796705882359</v>
      </c>
      <c r="H53" s="1720">
        <v>0.86250000000000004</v>
      </c>
      <c r="I53" s="1719">
        <f t="shared" si="4"/>
        <v>0.34500000000000003</v>
      </c>
      <c r="J53" s="1718">
        <f t="shared" si="5"/>
        <v>5.9389849658823541</v>
      </c>
      <c r="K53" s="1720">
        <v>1.05</v>
      </c>
      <c r="L53" s="1722">
        <f t="shared" si="6"/>
        <v>0.42000000000000004</v>
      </c>
      <c r="M53" s="1721">
        <f t="shared" si="7"/>
        <v>7.2300686541176482</v>
      </c>
      <c r="N53" s="1720">
        <v>1.2375</v>
      </c>
      <c r="O53" s="1719">
        <f t="shared" si="8"/>
        <v>0.49500000000000005</v>
      </c>
      <c r="P53" s="1718">
        <f t="shared" si="9"/>
        <v>8.5211523423529414</v>
      </c>
      <c r="Q53" s="32"/>
    </row>
    <row r="54" spans="1:17" s="42" customFormat="1" ht="15" customHeight="1">
      <c r="A54" s="1306"/>
      <c r="B54" s="1726"/>
      <c r="C54" s="4835" t="s">
        <v>508</v>
      </c>
      <c r="D54" s="4836"/>
      <c r="E54" s="1725">
        <f>IF($C54=0,0,VLOOKUP($C54,SDÖ3!$C$24:$O$99,4,FALSE))</f>
        <v>102</v>
      </c>
      <c r="F54" s="1724">
        <f>IF($C54=0,0,VLOOKUP($C54,SDÖ3!$C$24:$O$99,12,FALSE))</f>
        <v>0.54</v>
      </c>
      <c r="G54" s="1723">
        <f>IF($C54=0,0,VLOOKUP($C54,SDÖ3!$C$24:$O$99,13,FALSE))</f>
        <v>16.377695200000002</v>
      </c>
      <c r="H54" s="1720">
        <v>2</v>
      </c>
      <c r="I54" s="1719">
        <f t="shared" si="4"/>
        <v>1.08</v>
      </c>
      <c r="J54" s="1718">
        <f t="shared" si="5"/>
        <v>32.755390400000003</v>
      </c>
      <c r="K54" s="1720">
        <v>2</v>
      </c>
      <c r="L54" s="1722">
        <f t="shared" si="6"/>
        <v>1.08</v>
      </c>
      <c r="M54" s="1721">
        <f t="shared" si="7"/>
        <v>32.755390400000003</v>
      </c>
      <c r="N54" s="1720">
        <v>2</v>
      </c>
      <c r="O54" s="1719">
        <f t="shared" si="8"/>
        <v>1.08</v>
      </c>
      <c r="P54" s="1718">
        <f t="shared" si="9"/>
        <v>32.755390400000003</v>
      </c>
      <c r="Q54" s="32"/>
    </row>
    <row r="55" spans="1:17" s="42" customFormat="1" ht="15" customHeight="1">
      <c r="A55" s="1306"/>
      <c r="B55" s="1726"/>
      <c r="C55" s="4919"/>
      <c r="D55" s="4920"/>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v>
      </c>
      <c r="I57" s="1703">
        <f t="shared" si="4"/>
        <v>0</v>
      </c>
      <c r="J57" s="1702">
        <f t="shared" si="5"/>
        <v>0</v>
      </c>
      <c r="K57" s="3687">
        <f>K11/35</f>
        <v>0</v>
      </c>
      <c r="L57" s="1705">
        <f t="shared" si="6"/>
        <v>0</v>
      </c>
      <c r="M57" s="1652">
        <f t="shared" si="7"/>
        <v>0</v>
      </c>
      <c r="N57" s="3686">
        <f>N11/35</f>
        <v>0</v>
      </c>
      <c r="O57" s="1703">
        <f t="shared" si="8"/>
        <v>0</v>
      </c>
      <c r="P57" s="1702">
        <f t="shared" si="9"/>
        <v>0</v>
      </c>
      <c r="Q57" s="3678"/>
    </row>
    <row r="58" spans="1:17" s="708" customFormat="1" ht="18.75" customHeight="1">
      <c r="A58" s="1270"/>
      <c r="B58" s="1276" t="s">
        <v>1223</v>
      </c>
      <c r="C58" s="1373"/>
      <c r="D58" s="1373"/>
      <c r="E58" s="1373"/>
      <c r="F58" s="38"/>
      <c r="G58" s="1620"/>
      <c r="H58" s="1697"/>
      <c r="I58" s="1696">
        <f>SUM($I$46:$I$57)</f>
        <v>4.4550000000000001</v>
      </c>
      <c r="J58" s="1701"/>
      <c r="K58" s="1700"/>
      <c r="L58" s="1699">
        <f>SUM($L$46:$L$57)</f>
        <v>4.53</v>
      </c>
      <c r="M58" s="1698"/>
      <c r="N58" s="1697"/>
      <c r="O58" s="1696">
        <f>SUM($O$46:$O$57)</f>
        <v>5.7150000000000007</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8.0190000000000001</v>
      </c>
      <c r="J59" s="1686"/>
      <c r="K59" s="1691"/>
      <c r="L59" s="1690">
        <f>IF(L58+SUM($L$46:$L$57)*$E$59%&gt;L58+10,L58+10,L58+SUM($L$46:$L$57)*$E$59%)</f>
        <v>8.1539999999999999</v>
      </c>
      <c r="M59" s="1689"/>
      <c r="N59" s="1688"/>
      <c r="O59" s="1687">
        <f>IF(O58+SUM($O$46:$O$57)*$E$59%&gt;O58+10,O58+10,O58+SUM($O$46:$O$57)*$E$59%)</f>
        <v>10.287000000000003</v>
      </c>
      <c r="P59" s="1686"/>
      <c r="Q59" s="32"/>
    </row>
    <row r="60" spans="1:17" s="65" customFormat="1" ht="18.75" customHeight="1">
      <c r="A60" s="1373"/>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49.274999999999999</v>
      </c>
      <c r="K67" s="1641" t="s">
        <v>1217</v>
      </c>
      <c r="L67" s="1640" t="s">
        <v>1216</v>
      </c>
      <c r="M67" s="1617">
        <f>S68*(K9+K10)*L68%+F68</f>
        <v>65.7</v>
      </c>
      <c r="N67" s="1639" t="s">
        <v>1217</v>
      </c>
      <c r="O67" s="1638" t="s">
        <v>1216</v>
      </c>
      <c r="P67" s="1614">
        <f>T68*(N9+N10)*O68%+F68</f>
        <v>82.125</v>
      </c>
      <c r="Q67" s="32"/>
    </row>
    <row r="68" spans="1:20" s="708" customFormat="1" ht="15" customHeight="1">
      <c r="A68" s="1270"/>
      <c r="B68" s="1637"/>
      <c r="C68" s="4839" t="s">
        <v>1215</v>
      </c>
      <c r="D68" s="4839"/>
      <c r="E68" s="4839"/>
      <c r="F68" s="1636"/>
      <c r="G68" s="1627" t="s">
        <v>171</v>
      </c>
      <c r="H68" s="1634">
        <v>16</v>
      </c>
      <c r="I68" s="1633">
        <v>50</v>
      </c>
      <c r="J68" s="1632"/>
      <c r="K68" s="1634">
        <v>16</v>
      </c>
      <c r="L68" s="1633">
        <v>50</v>
      </c>
      <c r="M68" s="1635"/>
      <c r="N68" s="1634">
        <v>16</v>
      </c>
      <c r="O68" s="1633">
        <v>50</v>
      </c>
      <c r="P68" s="1632"/>
      <c r="Q68" s="32"/>
      <c r="R68" s="1631">
        <f>IF($H$68=0,0,VLOOKUP($H$68,'SD6'!D8:E155,'SD6'!E1,FALSE))*(1+'SDK1'!O11/100)</f>
        <v>4.38</v>
      </c>
      <c r="S68" s="1631">
        <f>IF($K$68=0,0,VLOOKUP($K$68,'SD6'!D8:E155,'SD6'!E1,FALSE))*(1+'SDK1'!O11/100)</f>
        <v>4.38</v>
      </c>
      <c r="T68" s="1631">
        <f>IF($N$68=0,0,VLOOKUP($N$68,'SD6'!D8:E155,'SD6'!E1,FALSE))*(1+'SDK1'!O11/100)</f>
        <v>4.38</v>
      </c>
    </row>
    <row r="69" spans="1:20" s="708" customFormat="1" ht="18.75" customHeight="1">
      <c r="A69" s="1270"/>
      <c r="B69" s="1276" t="s">
        <v>1214</v>
      </c>
      <c r="C69" s="1270"/>
      <c r="D69" s="1270"/>
      <c r="E69" s="38"/>
      <c r="F69" s="38"/>
      <c r="G69" s="1620"/>
      <c r="H69" s="44"/>
      <c r="I69" s="73"/>
      <c r="J69" s="1614">
        <f>H70*$F70/1000</f>
        <v>18.422399999999993</v>
      </c>
      <c r="K69" s="1630"/>
      <c r="L69" s="1629"/>
      <c r="M69" s="1617">
        <f>K70*$F70/1000</f>
        <v>24.563199999999995</v>
      </c>
      <c r="N69" s="44"/>
      <c r="O69" s="73"/>
      <c r="P69" s="1614">
        <f>N70*$F70/1000</f>
        <v>30.70399999999999</v>
      </c>
      <c r="Q69" s="32"/>
    </row>
    <row r="70" spans="1:20" s="708" customFormat="1" ht="15" customHeight="1">
      <c r="A70" s="1270"/>
      <c r="B70" s="1332"/>
      <c r="C70" s="1331" t="s">
        <v>896</v>
      </c>
      <c r="D70" s="353"/>
      <c r="E70" s="280"/>
      <c r="F70" s="1628">
        <f>'SDK7'!G102</f>
        <v>16</v>
      </c>
      <c r="G70" s="1627" t="s">
        <v>171</v>
      </c>
      <c r="H70" s="1623">
        <f>I9+I10</f>
        <v>1151.3999999999996</v>
      </c>
      <c r="I70" s="1622"/>
      <c r="J70" s="1621"/>
      <c r="K70" s="1626">
        <f>L9+L10</f>
        <v>1535.1999999999996</v>
      </c>
      <c r="L70" s="1625"/>
      <c r="M70" s="1624"/>
      <c r="N70" s="1623">
        <f>O9+O10</f>
        <v>1918.9999999999993</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5.4672674909279406</v>
      </c>
      <c r="K75" s="3063"/>
      <c r="L75" s="1056"/>
      <c r="M75" s="1578">
        <f>(M23+M27+M34+M43+M60+M65+M67+M69+M71)*('SDK1'!$O$59%*$G$75/12)</f>
        <v>5.6742652232000008</v>
      </c>
      <c r="N75" s="1580"/>
      <c r="O75" s="1579"/>
      <c r="P75" s="1578">
        <f>(P23+P27+P34+P43+P60+P65+P67+P69+P71)*('SDK1'!$O$59%*$G$75/12)</f>
        <v>6.0317729207955875</v>
      </c>
      <c r="Q75" s="32"/>
    </row>
    <row r="76" spans="1:20">
      <c r="L76" s="33"/>
    </row>
    <row r="77" spans="1:20">
      <c r="G77" s="3642"/>
      <c r="H77" s="3642"/>
      <c r="I77" s="3642"/>
      <c r="J77" s="3642"/>
      <c r="K77" s="3642"/>
      <c r="L77" s="3642"/>
      <c r="M77" s="3642"/>
      <c r="N77" s="3642"/>
      <c r="O77" s="3642"/>
      <c r="P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row>
    <row r="80" spans="1:20"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K90" s="3642"/>
      <c r="L90" s="3642"/>
      <c r="M90" s="3642"/>
      <c r="N90" s="3642"/>
      <c r="O90" s="3642"/>
      <c r="P90" s="3642"/>
    </row>
    <row r="91" spans="2:16">
      <c r="C91" s="33"/>
      <c r="D91" s="2538"/>
      <c r="E91" s="2538"/>
      <c r="F91" s="2538"/>
      <c r="G91" s="3642"/>
      <c r="H91" s="3642"/>
      <c r="I91" s="3642"/>
      <c r="J91" s="3642"/>
      <c r="K91" s="3642"/>
      <c r="L91" s="3642"/>
      <c r="M91" s="3642"/>
      <c r="N91" s="3642"/>
      <c r="O91" s="3642"/>
      <c r="P91" s="3642"/>
    </row>
    <row r="92" spans="2:16">
      <c r="C92" s="33"/>
      <c r="D92" s="2538"/>
      <c r="E92" s="2538"/>
      <c r="F92" s="2538"/>
      <c r="G92" s="3642"/>
      <c r="H92" s="3642"/>
      <c r="I92" s="3642"/>
      <c r="J92" s="3642"/>
      <c r="K92" s="3642"/>
      <c r="L92" s="3642"/>
      <c r="M92" s="3642"/>
      <c r="N92" s="3642"/>
      <c r="O92" s="3642"/>
      <c r="P92" s="3642"/>
    </row>
    <row r="93" spans="2:16">
      <c r="C93" s="33"/>
      <c r="D93" s="2538"/>
      <c r="E93" s="2538"/>
      <c r="F93" s="2538"/>
      <c r="G93" s="3642"/>
      <c r="H93" s="3642"/>
      <c r="I93" s="3642"/>
      <c r="J93" s="3642"/>
      <c r="K93" s="3642"/>
      <c r="L93" s="3642"/>
      <c r="M93" s="3642"/>
      <c r="N93" s="3642"/>
      <c r="O93" s="3642"/>
      <c r="P93" s="3642"/>
    </row>
    <row r="94" spans="2:16">
      <c r="C94" s="33"/>
      <c r="D94" s="2538"/>
      <c r="E94" s="2538"/>
      <c r="F94" s="2538"/>
      <c r="G94" s="3642"/>
      <c r="H94" s="3642"/>
      <c r="I94" s="3642"/>
      <c r="J94" s="3642"/>
      <c r="K94" s="3642"/>
      <c r="L94" s="3642"/>
      <c r="M94" s="3642"/>
      <c r="N94" s="3642"/>
      <c r="O94" s="3642"/>
      <c r="P94" s="3642"/>
    </row>
    <row r="95" spans="2:16">
      <c r="C95" s="33"/>
      <c r="D95" s="2538"/>
      <c r="E95" s="2538"/>
      <c r="F95" s="2538"/>
      <c r="G95" s="3642"/>
      <c r="H95" s="3642"/>
      <c r="I95" s="3642"/>
      <c r="J95" s="3642"/>
      <c r="K95" s="3642"/>
      <c r="L95" s="3642"/>
      <c r="M95" s="3642"/>
      <c r="N95" s="3642"/>
      <c r="O95" s="3642"/>
      <c r="P95" s="3642"/>
    </row>
    <row r="96" spans="2:16">
      <c r="C96" s="33"/>
      <c r="D96" s="2538"/>
      <c r="E96" s="2538"/>
      <c r="F96" s="2538"/>
      <c r="G96" s="3642"/>
      <c r="H96" s="3642"/>
      <c r="I96" s="3642"/>
      <c r="J96" s="3642"/>
      <c r="K96" s="3642"/>
      <c r="L96" s="3642"/>
      <c r="M96" s="3642"/>
      <c r="N96" s="3642"/>
      <c r="O96" s="3642"/>
      <c r="P96" s="3642"/>
    </row>
    <row r="97" spans="2:17">
      <c r="C97" s="33"/>
      <c r="D97" s="2538"/>
      <c r="E97" s="2538"/>
      <c r="G97" s="3642"/>
      <c r="H97" s="3642"/>
      <c r="I97" s="3642"/>
      <c r="J97" s="3642"/>
      <c r="K97" s="3642"/>
      <c r="L97" s="3642"/>
      <c r="M97" s="3642"/>
      <c r="N97" s="3642"/>
      <c r="O97" s="3642"/>
      <c r="P97" s="3642"/>
    </row>
    <row r="98" spans="2:17">
      <c r="C98" s="33"/>
      <c r="D98" s="2538"/>
      <c r="E98" s="2538"/>
      <c r="G98" s="3642"/>
      <c r="H98" s="3642"/>
      <c r="I98" s="3642"/>
      <c r="J98" s="3642"/>
      <c r="K98" s="3642"/>
      <c r="L98" s="3642"/>
      <c r="M98" s="3642"/>
      <c r="N98" s="3642"/>
      <c r="O98" s="3642"/>
      <c r="P98" s="3642"/>
    </row>
    <row r="99" spans="2:17">
      <c r="B99" s="33"/>
      <c r="C99" s="33"/>
      <c r="D99" s="3642"/>
      <c r="E99" s="2538"/>
      <c r="G99" s="3642"/>
      <c r="H99" s="3642"/>
      <c r="I99" s="3642"/>
      <c r="J99" s="3642"/>
      <c r="K99" s="3642"/>
      <c r="L99" s="3642"/>
      <c r="M99" s="3642"/>
      <c r="N99" s="3642"/>
      <c r="O99" s="3642"/>
      <c r="P99" s="3642"/>
    </row>
    <row r="100" spans="2:17">
      <c r="B100" s="33"/>
      <c r="C100" s="33"/>
      <c r="D100" s="33"/>
      <c r="G100" s="3642"/>
      <c r="H100" s="3642"/>
      <c r="I100" s="3642"/>
      <c r="J100" s="3642"/>
      <c r="K100" s="3642"/>
      <c r="L100" s="3642"/>
      <c r="M100" s="3642"/>
      <c r="N100" s="3642"/>
      <c r="O100" s="3642"/>
      <c r="P100" s="3642"/>
    </row>
    <row r="101" spans="2:17">
      <c r="B101" s="33"/>
      <c r="C101" s="33"/>
      <c r="D101" s="33"/>
      <c r="G101" s="3642"/>
      <c r="H101" s="3642"/>
      <c r="I101" s="3642"/>
      <c r="J101" s="3642"/>
      <c r="K101" s="3642"/>
      <c r="L101" s="3642"/>
      <c r="M101" s="3642"/>
      <c r="N101" s="3642"/>
      <c r="O101" s="3642"/>
      <c r="P101" s="3642"/>
    </row>
    <row r="102" spans="2:17">
      <c r="B102" s="33"/>
      <c r="C102" s="33"/>
      <c r="D102" s="33"/>
      <c r="G102" s="3642"/>
      <c r="H102" s="3642"/>
      <c r="I102" s="3642"/>
      <c r="J102" s="3642"/>
      <c r="K102" s="3642"/>
      <c r="L102" s="3642"/>
      <c r="M102" s="3642"/>
      <c r="N102" s="3642"/>
      <c r="O102" s="3642"/>
      <c r="P102" s="3642"/>
    </row>
    <row r="103" spans="2:17">
      <c r="B103" s="33"/>
      <c r="C103" s="33"/>
      <c r="D103" s="33"/>
      <c r="G103" s="3642"/>
      <c r="H103" s="3642"/>
      <c r="I103" s="3642"/>
      <c r="J103" s="3642"/>
      <c r="K103" s="3642"/>
      <c r="L103" s="3642"/>
      <c r="M103" s="3642"/>
      <c r="N103" s="3642"/>
      <c r="O103" s="3642"/>
      <c r="P103" s="3642"/>
    </row>
    <row r="104" spans="2:17">
      <c r="B104" s="33"/>
      <c r="C104" s="33"/>
      <c r="D104" s="33"/>
      <c r="G104" s="3642"/>
      <c r="H104" s="3642"/>
      <c r="I104" s="3642"/>
      <c r="J104" s="3642"/>
      <c r="K104" s="3642"/>
      <c r="L104" s="3642"/>
      <c r="M104" s="3642"/>
      <c r="N104" s="3642"/>
      <c r="O104" s="3642"/>
      <c r="P104" s="3642"/>
    </row>
    <row r="105" spans="2:17">
      <c r="B105" s="33"/>
      <c r="C105" s="33"/>
      <c r="D105" s="33"/>
      <c r="G105" s="3642"/>
      <c r="H105" s="3642"/>
      <c r="I105" s="3642"/>
      <c r="J105" s="3642"/>
      <c r="K105" s="3642"/>
      <c r="L105" s="3642"/>
      <c r="M105" s="3642"/>
      <c r="N105" s="3642"/>
      <c r="O105" s="3642"/>
      <c r="P105" s="3642"/>
    </row>
    <row r="106" spans="2:17">
      <c r="B106" s="33"/>
      <c r="C106" s="33"/>
      <c r="D106" s="33"/>
      <c r="F106" s="3642"/>
      <c r="G106" s="3642"/>
      <c r="H106" s="3642"/>
      <c r="I106" s="3642"/>
      <c r="J106" s="3642"/>
      <c r="K106" s="3642"/>
      <c r="L106" s="3642"/>
      <c r="M106" s="3642"/>
      <c r="N106" s="3642"/>
      <c r="O106" s="3642"/>
      <c r="P106" s="3642"/>
    </row>
    <row r="107" spans="2:17">
      <c r="G107" s="3642"/>
      <c r="H107" s="3642"/>
      <c r="I107" s="3642"/>
      <c r="J107" s="3642"/>
      <c r="K107" s="3642"/>
      <c r="L107" s="3642"/>
      <c r="M107" s="3642"/>
      <c r="N107" s="3642"/>
      <c r="O107" s="3642"/>
      <c r="P107" s="3642"/>
    </row>
    <row r="108" spans="2:17">
      <c r="G108" s="3642"/>
      <c r="H108" s="3642"/>
      <c r="I108" s="3642"/>
      <c r="J108" s="3642"/>
      <c r="K108" s="3642"/>
      <c r="L108" s="3642"/>
      <c r="M108" s="3642"/>
      <c r="N108" s="3642"/>
      <c r="O108" s="3642"/>
      <c r="P108" s="3642"/>
      <c r="Q108" s="3642"/>
    </row>
    <row r="109" spans="2:17">
      <c r="G109" s="3642"/>
      <c r="H109" s="3642"/>
      <c r="I109" s="3642"/>
      <c r="J109" s="3642"/>
      <c r="K109" s="3642"/>
      <c r="L109" s="3642"/>
      <c r="M109" s="3642"/>
      <c r="N109" s="3642"/>
      <c r="O109" s="3642"/>
      <c r="P109" s="3642"/>
      <c r="Q109" s="3642"/>
    </row>
    <row r="110" spans="2:17">
      <c r="G110" s="3642"/>
      <c r="H110" s="3642"/>
      <c r="I110" s="3642"/>
      <c r="J110" s="3642"/>
      <c r="K110" s="3642"/>
      <c r="L110" s="3642"/>
      <c r="M110" s="3642"/>
      <c r="N110" s="3642"/>
      <c r="O110" s="3642"/>
      <c r="P110" s="3642"/>
      <c r="Q110" s="3642"/>
    </row>
    <row r="111" spans="2:17">
      <c r="G111" s="3642"/>
      <c r="H111" s="3642"/>
      <c r="I111" s="3642"/>
      <c r="J111" s="3642"/>
      <c r="K111" s="3642"/>
      <c r="L111" s="3642"/>
      <c r="M111" s="3642"/>
      <c r="N111" s="3642"/>
      <c r="O111" s="3642"/>
      <c r="P111" s="3642"/>
      <c r="Q111" s="3642"/>
    </row>
    <row r="112" spans="2:17">
      <c r="G112" s="3642"/>
      <c r="H112" s="3642"/>
      <c r="I112" s="3642"/>
      <c r="J112" s="3642"/>
      <c r="K112" s="3642"/>
      <c r="L112" s="3642"/>
      <c r="M112" s="3642"/>
      <c r="N112" s="3642"/>
      <c r="O112" s="3642"/>
      <c r="P112" s="3642"/>
      <c r="Q112" s="3642"/>
    </row>
    <row r="113" spans="2:17">
      <c r="G113" s="3642"/>
      <c r="H113" s="3642"/>
      <c r="I113" s="3642"/>
      <c r="J113" s="3642"/>
      <c r="K113" s="3642"/>
      <c r="L113" s="3642"/>
      <c r="M113" s="3642"/>
      <c r="N113" s="3642"/>
      <c r="O113" s="3642"/>
      <c r="P113" s="3642"/>
      <c r="Q113" s="3642"/>
    </row>
    <row r="114" spans="2:17">
      <c r="G114" s="3642"/>
      <c r="H114" s="3642"/>
      <c r="I114" s="3642"/>
      <c r="J114" s="3642"/>
      <c r="K114" s="3642"/>
      <c r="L114" s="3642"/>
      <c r="M114" s="3642"/>
      <c r="N114" s="3642"/>
      <c r="O114" s="3642"/>
      <c r="P114" s="3642"/>
      <c r="Q114" s="3642"/>
    </row>
    <row r="115" spans="2:17">
      <c r="G115" s="3642"/>
      <c r="H115" s="3642"/>
      <c r="I115" s="3642"/>
      <c r="J115" s="3642"/>
      <c r="K115" s="3642"/>
      <c r="L115" s="3642"/>
      <c r="M115" s="3642"/>
      <c r="N115" s="3642"/>
      <c r="O115" s="3642"/>
      <c r="P115" s="3642"/>
      <c r="Q115" s="3642"/>
    </row>
    <row r="116" spans="2:17">
      <c r="G116" s="3642"/>
      <c r="H116" s="3642"/>
      <c r="I116" s="3642"/>
      <c r="J116" s="3642"/>
      <c r="K116" s="3642"/>
      <c r="L116" s="3642"/>
      <c r="M116" s="3642"/>
      <c r="N116" s="3642"/>
      <c r="O116" s="3642"/>
      <c r="P116" s="3642"/>
      <c r="Q116" s="3642"/>
    </row>
    <row r="117" spans="2:17">
      <c r="L117" s="3642"/>
      <c r="M117" s="3642"/>
      <c r="N117" s="3642"/>
      <c r="O117" s="3642"/>
      <c r="P117" s="3642"/>
      <c r="Q117" s="3642"/>
    </row>
    <row r="118" spans="2:17">
      <c r="B118" s="622"/>
      <c r="C118" s="33"/>
      <c r="L118" s="3642"/>
      <c r="M118" s="3642"/>
      <c r="N118" s="3642"/>
      <c r="O118" s="3642"/>
      <c r="P118" s="3642"/>
      <c r="Q118" s="3642"/>
    </row>
    <row r="119" spans="2:17">
      <c r="B119" s="622"/>
      <c r="C119" s="33"/>
      <c r="L119" s="3642"/>
      <c r="M119" s="3642"/>
      <c r="N119" s="3642"/>
      <c r="O119" s="3642"/>
      <c r="P119" s="3642"/>
      <c r="Q119" s="3642"/>
    </row>
    <row r="120" spans="2:17">
      <c r="B120" s="622"/>
      <c r="C120" s="33"/>
      <c r="L120" s="3642"/>
      <c r="M120" s="3642"/>
      <c r="N120" s="3642"/>
      <c r="O120" s="3642"/>
      <c r="P120" s="3642"/>
      <c r="Q120" s="3642"/>
    </row>
    <row r="121" spans="2:17">
      <c r="B121" s="622"/>
      <c r="C121" s="33"/>
      <c r="L121" s="3642"/>
      <c r="M121" s="3642"/>
      <c r="N121" s="3642"/>
      <c r="O121" s="3642"/>
      <c r="P121" s="3642"/>
      <c r="Q121" s="3642"/>
    </row>
    <row r="122" spans="2:17">
      <c r="B122" s="622"/>
      <c r="C122" s="33"/>
      <c r="L122" s="3642"/>
      <c r="M122" s="3642"/>
      <c r="N122" s="3642"/>
      <c r="O122" s="3642"/>
      <c r="P122" s="3642"/>
      <c r="Q122" s="3642"/>
    </row>
    <row r="123" spans="2:17">
      <c r="B123" s="622"/>
      <c r="C123" s="33"/>
      <c r="L123" s="3642"/>
      <c r="M123" s="3642"/>
      <c r="N123" s="3642"/>
      <c r="O123" s="3642"/>
      <c r="P123" s="3642"/>
      <c r="Q123" s="3642"/>
    </row>
    <row r="124" spans="2:17">
      <c r="B124" s="622"/>
      <c r="C124" s="33"/>
      <c r="L124" s="3642"/>
      <c r="M124" s="3642"/>
      <c r="N124" s="3642"/>
      <c r="O124" s="3642"/>
      <c r="P124" s="3642"/>
      <c r="Q124" s="3642"/>
    </row>
    <row r="125" spans="2:17">
      <c r="B125" s="622"/>
      <c r="C125" s="33"/>
      <c r="L125" s="3642"/>
      <c r="M125" s="3642"/>
      <c r="N125" s="3642"/>
      <c r="O125" s="3642"/>
      <c r="P125" s="3642"/>
      <c r="Q125" s="3642"/>
    </row>
    <row r="126" spans="2:17">
      <c r="B126" s="622"/>
      <c r="C126" s="33"/>
      <c r="L126" s="3642"/>
      <c r="M126" s="3642"/>
      <c r="N126" s="3642"/>
      <c r="O126" s="3642"/>
      <c r="P126" s="3642"/>
      <c r="Q126" s="3642"/>
    </row>
    <row r="127" spans="2:17">
      <c r="B127" s="622"/>
      <c r="C127" s="33"/>
      <c r="L127" s="3642"/>
      <c r="M127" s="3642"/>
      <c r="N127" s="3642"/>
      <c r="O127" s="3642"/>
      <c r="P127" s="3642"/>
      <c r="Q127" s="3642"/>
    </row>
    <row r="128" spans="2:17">
      <c r="B128" s="622"/>
      <c r="C128" s="33"/>
      <c r="L128" s="3642"/>
      <c r="M128" s="3642"/>
      <c r="N128" s="3642"/>
      <c r="O128" s="3642"/>
      <c r="P128" s="3642"/>
      <c r="Q128" s="3642"/>
    </row>
    <row r="129" spans="2:17">
      <c r="B129" s="622"/>
      <c r="C129" s="33"/>
      <c r="L129" s="3642"/>
      <c r="M129" s="3642"/>
      <c r="N129" s="3642"/>
      <c r="O129" s="3642"/>
      <c r="P129" s="3642"/>
      <c r="Q129" s="3642"/>
    </row>
    <row r="130" spans="2:17">
      <c r="B130" s="622"/>
      <c r="C130" s="33"/>
      <c r="L130" s="3642"/>
      <c r="M130" s="3642"/>
      <c r="N130" s="3642"/>
      <c r="O130" s="3642"/>
      <c r="P130" s="3642"/>
      <c r="Q130" s="3642"/>
    </row>
    <row r="131" spans="2:17">
      <c r="B131" s="622"/>
      <c r="C131" s="33"/>
      <c r="L131" s="3642"/>
      <c r="M131" s="3642"/>
      <c r="N131" s="3642"/>
      <c r="O131" s="3642"/>
      <c r="P131" s="3642"/>
      <c r="Q131" s="3642"/>
    </row>
    <row r="132" spans="2:17">
      <c r="B132" s="622"/>
      <c r="C132" s="33"/>
      <c r="L132" s="3642"/>
      <c r="M132" s="3642"/>
      <c r="N132" s="3642"/>
      <c r="O132" s="3642"/>
      <c r="P132" s="3642"/>
      <c r="Q132" s="3642"/>
    </row>
    <row r="133" spans="2:17">
      <c r="B133" s="622"/>
      <c r="C133" s="33"/>
      <c r="L133" s="3642"/>
      <c r="M133" s="3642"/>
      <c r="N133" s="3642"/>
      <c r="O133" s="3642"/>
      <c r="P133" s="3642"/>
      <c r="Q133" s="3642"/>
    </row>
    <row r="134" spans="2:17">
      <c r="B134" s="622"/>
      <c r="C134" s="33"/>
      <c r="L134" s="3642"/>
      <c r="M134" s="3642"/>
      <c r="N134" s="3642"/>
      <c r="O134" s="3642"/>
      <c r="P134" s="3642"/>
      <c r="Q134" s="3642"/>
    </row>
    <row r="135" spans="2:17">
      <c r="B135" s="622"/>
      <c r="C135" s="33"/>
      <c r="L135" s="3642"/>
      <c r="M135" s="3642"/>
      <c r="N135" s="3642"/>
      <c r="O135" s="3642"/>
      <c r="P135" s="3642"/>
      <c r="Q135" s="3642"/>
    </row>
    <row r="136" spans="2:17">
      <c r="B136" s="622"/>
      <c r="C136" s="33"/>
      <c r="L136" s="3642"/>
      <c r="M136" s="3642"/>
      <c r="N136" s="3642"/>
      <c r="O136" s="3642"/>
      <c r="P136" s="3642"/>
      <c r="Q136" s="3642"/>
    </row>
    <row r="137" spans="2:17">
      <c r="B137" s="622"/>
      <c r="C137" s="33"/>
      <c r="L137" s="3642"/>
      <c r="M137" s="3642"/>
      <c r="N137" s="3642"/>
      <c r="O137" s="3642"/>
      <c r="P137" s="3642"/>
      <c r="Q137" s="3642"/>
    </row>
    <row r="138" spans="2:17">
      <c r="B138" s="622"/>
      <c r="C138" s="33"/>
      <c r="L138" s="3642"/>
      <c r="M138" s="3642"/>
      <c r="N138" s="3642"/>
      <c r="O138" s="3642"/>
      <c r="P138" s="3642"/>
      <c r="Q138" s="3642"/>
    </row>
    <row r="139" spans="2:17">
      <c r="B139" s="622"/>
      <c r="C139" s="33"/>
      <c r="L139" s="3642"/>
      <c r="M139" s="3642"/>
      <c r="N139" s="3642"/>
      <c r="O139" s="3642"/>
      <c r="P139" s="3642"/>
      <c r="Q139" s="3642"/>
    </row>
    <row r="140" spans="2:17">
      <c r="B140" s="622"/>
      <c r="C140" s="33"/>
      <c r="L140" s="3642"/>
      <c r="M140" s="3642"/>
      <c r="N140" s="3642"/>
      <c r="O140" s="3642"/>
      <c r="P140" s="3642"/>
      <c r="Q140" s="3642"/>
    </row>
    <row r="141" spans="2:17">
      <c r="B141" s="622"/>
      <c r="C141" s="33"/>
      <c r="L141" s="3642"/>
      <c r="M141" s="3642"/>
      <c r="N141" s="3642"/>
      <c r="O141" s="3642"/>
      <c r="P141" s="3642"/>
      <c r="Q141" s="3642"/>
    </row>
    <row r="142" spans="2:17">
      <c r="B142" s="622"/>
      <c r="C142" s="33"/>
      <c r="L142" s="3642"/>
      <c r="M142" s="3642"/>
      <c r="N142" s="3642"/>
      <c r="O142" s="3642"/>
      <c r="P142" s="3642"/>
      <c r="Q142" s="3642"/>
    </row>
    <row r="143" spans="2:17">
      <c r="B143" s="622"/>
      <c r="C143" s="33"/>
      <c r="L143" s="3642"/>
      <c r="M143" s="3642"/>
      <c r="N143" s="3642"/>
      <c r="O143" s="3642"/>
      <c r="P143" s="3642"/>
      <c r="Q143" s="3642"/>
    </row>
    <row r="144" spans="2:17">
      <c r="B144" s="622"/>
      <c r="C144" s="33"/>
      <c r="L144" s="3642"/>
      <c r="M144" s="3642"/>
      <c r="N144" s="3642"/>
      <c r="O144" s="3642"/>
      <c r="P144" s="3642"/>
      <c r="Q144" s="3642"/>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c r="H157" s="1929"/>
      <c r="J157" s="2389"/>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D25:E25"/>
    <mergeCell ref="D26:E26"/>
    <mergeCell ref="C42:E42"/>
    <mergeCell ref="C57:D57"/>
    <mergeCell ref="C47:D47"/>
    <mergeCell ref="C48:D48"/>
    <mergeCell ref="C49:D49"/>
    <mergeCell ref="C50:D50"/>
    <mergeCell ref="C55:D55"/>
    <mergeCell ref="C16:F16"/>
    <mergeCell ref="C17:F17"/>
    <mergeCell ref="C19:F19"/>
    <mergeCell ref="F23:G23"/>
    <mergeCell ref="W3:Y3"/>
    <mergeCell ref="W4:Y4"/>
    <mergeCell ref="E10:F10"/>
    <mergeCell ref="N6:O6"/>
    <mergeCell ref="K6:L6"/>
    <mergeCell ref="N3:O4"/>
    <mergeCell ref="K1:L1"/>
    <mergeCell ref="N1:O1"/>
    <mergeCell ref="C41:E41"/>
    <mergeCell ref="H6:I6"/>
    <mergeCell ref="C37:E37"/>
    <mergeCell ref="E4:I4"/>
    <mergeCell ref="G1:I1"/>
    <mergeCell ref="C38:E38"/>
    <mergeCell ref="C39:E39"/>
    <mergeCell ref="K2:P2"/>
    <mergeCell ref="C14:F14"/>
    <mergeCell ref="C36:E36"/>
    <mergeCell ref="F34:G34"/>
    <mergeCell ref="E22:G22"/>
    <mergeCell ref="C40:E40"/>
    <mergeCell ref="C15:F15"/>
    <mergeCell ref="C78:F78"/>
    <mergeCell ref="C79:F79"/>
    <mergeCell ref="C46:D46"/>
    <mergeCell ref="C53:D53"/>
    <mergeCell ref="C64:E64"/>
    <mergeCell ref="C51:D51"/>
    <mergeCell ref="C56:D56"/>
    <mergeCell ref="C54:D54"/>
    <mergeCell ref="C52:D52"/>
    <mergeCell ref="C73:E73"/>
    <mergeCell ref="C74:E74"/>
    <mergeCell ref="B75:C75"/>
    <mergeCell ref="C62:E62"/>
    <mergeCell ref="C63:E63"/>
    <mergeCell ref="C68:E68"/>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4" orientation="portrait" r:id="rId1"/>
  <headerFooter alignWithMargins="0">
    <oddFooter>&amp;L&amp;11LEL Schwäbisch Gmünd&amp;C38&amp;R&amp;11&amp;F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0" width="10.5" style="31" customWidth="1"/>
    <col min="31" max="16384" width="10.5" style="31"/>
  </cols>
  <sheetData>
    <row r="1" spans="1:41" s="276" customFormat="1" ht="30.2" customHeight="1">
      <c r="A1" s="2507"/>
      <c r="B1" s="326"/>
      <c r="C1" s="1908"/>
      <c r="D1" s="136"/>
      <c r="E1" s="323"/>
      <c r="F1" s="323"/>
      <c r="G1" s="4908" t="s">
        <v>1694</v>
      </c>
      <c r="H1" s="4908"/>
      <c r="I1" s="4908"/>
      <c r="J1" s="1906">
        <f>(J7+J13+J18+J22+I11+I12)-(J23+J27+J34+J43+J60+J65+J67+J69+J71+J75)</f>
        <v>1984.551573922525</v>
      </c>
      <c r="K1" s="4859">
        <f>M1-J1</f>
        <v>356.44009914156663</v>
      </c>
      <c r="L1" s="4859"/>
      <c r="M1" s="1906">
        <f>(M7+M13+M18+M22+L11+L12)-(M23+M27+M34+M43+M60+M65+M67+M69+M71+M75)</f>
        <v>2340.9916730640916</v>
      </c>
      <c r="N1" s="4859">
        <f>P1-M1</f>
        <v>294.86811622773985</v>
      </c>
      <c r="O1" s="4859"/>
      <c r="P1" s="1906">
        <f>(P7+P13+P18+P22+O11+O12)-(P23+P27+P34+P43+P60+P65+P67+P69+P71+P75)</f>
        <v>2635.8597892918315</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1957</v>
      </c>
      <c r="L2" s="4870"/>
      <c r="M2" s="4870"/>
      <c r="N2" s="4870"/>
      <c r="O2" s="4870"/>
      <c r="P2" s="4870"/>
      <c r="Q2" s="2507"/>
    </row>
    <row r="3" spans="1:41" s="276" customFormat="1" ht="21.75" customHeight="1">
      <c r="A3" s="2507"/>
      <c r="B3" s="1903" t="s">
        <v>1693</v>
      </c>
      <c r="G3" s="1891"/>
      <c r="H3" s="1902"/>
      <c r="N3" s="4909"/>
      <c r="O3" s="4872"/>
      <c r="P3" s="1900"/>
      <c r="Q3" s="2507"/>
      <c r="T3" s="1918" t="b">
        <v>0</v>
      </c>
      <c r="W3" s="4866" t="s">
        <v>1262</v>
      </c>
      <c r="X3" s="4916"/>
      <c r="Y3" s="4916"/>
      <c r="Z3" s="1901"/>
    </row>
    <row r="4" spans="1:41" s="276" customFormat="1" ht="20.25" customHeight="1">
      <c r="A4" s="2507"/>
      <c r="B4" s="377" t="s">
        <v>1154</v>
      </c>
      <c r="C4" s="31"/>
      <c r="D4" s="31"/>
      <c r="E4" s="4830" t="s">
        <v>1268</v>
      </c>
      <c r="F4" s="4830"/>
      <c r="G4" s="4830"/>
      <c r="H4" s="4830"/>
      <c r="I4" s="4830"/>
      <c r="N4" s="4872"/>
      <c r="O4" s="4872"/>
      <c r="P4" s="1896">
        <f>SDÖ1!O3</f>
        <v>0</v>
      </c>
      <c r="Q4" s="2507"/>
      <c r="T4" s="1918"/>
      <c r="W4" s="4866" t="s">
        <v>1250</v>
      </c>
      <c r="X4" s="4916"/>
      <c r="Y4" s="4916"/>
      <c r="Z4" s="2522"/>
    </row>
    <row r="5" spans="1:41" ht="6" customHeight="1"/>
    <row r="6" spans="1:41" s="1885" customFormat="1" ht="24" customHeight="1">
      <c r="A6" s="48"/>
      <c r="B6" s="1890" t="s">
        <v>1207</v>
      </c>
      <c r="C6" s="1889"/>
      <c r="D6" s="1889"/>
      <c r="E6" s="1889"/>
      <c r="F6" s="1889"/>
      <c r="G6" s="1888" t="s">
        <v>1700</v>
      </c>
      <c r="H6" s="4864" t="s">
        <v>179</v>
      </c>
      <c r="I6" s="4865"/>
      <c r="J6" s="1887">
        <f>M6*0.85</f>
        <v>25.5</v>
      </c>
      <c r="K6" s="4849" t="s">
        <v>152</v>
      </c>
      <c r="L6" s="4850"/>
      <c r="M6" s="1887">
        <v>30</v>
      </c>
      <c r="N6" s="4864" t="s">
        <v>178</v>
      </c>
      <c r="O6" s="4865"/>
      <c r="P6" s="1886">
        <f>M6*1.15</f>
        <v>34.5</v>
      </c>
      <c r="Q6" s="70"/>
    </row>
    <row r="7" spans="1:41" s="252" customFormat="1" ht="18.75" customHeight="1">
      <c r="A7" s="47"/>
      <c r="B7" s="311" t="s">
        <v>1691</v>
      </c>
      <c r="C7" s="47"/>
      <c r="D7" s="47"/>
      <c r="E7" s="47"/>
      <c r="F7" s="47"/>
      <c r="G7" s="1884" t="s">
        <v>171</v>
      </c>
      <c r="H7" s="1881"/>
      <c r="I7" s="1880"/>
      <c r="J7" s="1614">
        <f>SUM(I9:I10)</f>
        <v>2286.5000000000005</v>
      </c>
      <c r="K7" s="1883"/>
      <c r="L7" s="1882"/>
      <c r="M7" s="1617">
        <f>SUM(L9:L10)</f>
        <v>2690.0000000000005</v>
      </c>
      <c r="N7" s="1881"/>
      <c r="O7" s="1880"/>
      <c r="P7" s="1614">
        <f>SUM(O9:O10)</f>
        <v>3093.5000000000005</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SDÖ1!O30</f>
        <v>89.666666666666686</v>
      </c>
      <c r="H9" s="1877">
        <f>J6-H10</f>
        <v>25.5</v>
      </c>
      <c r="I9" s="1873">
        <f>H9*G9</f>
        <v>2286.5000000000005</v>
      </c>
      <c r="J9" s="43"/>
      <c r="K9" s="1876">
        <f>M6-K10</f>
        <v>30</v>
      </c>
      <c r="L9" s="1875">
        <f>K9*G9</f>
        <v>2690.0000000000005</v>
      </c>
      <c r="M9" s="1854"/>
      <c r="N9" s="1874">
        <f>P6-N10</f>
        <v>34.5</v>
      </c>
      <c r="O9" s="1873">
        <f>N9*G9</f>
        <v>3093.5000000000005</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X13" s="1838" t="str">
        <f>IF(OR(T4=TRUE,T5=TRUE),J7*$E$11,"0")</f>
        <v>0</v>
      </c>
      <c r="Y13" s="1839" t="str">
        <f>IF(OR(T4=TRUE,T5=TRUE),M7*$E$11,"0")</f>
        <v>0</v>
      </c>
      <c r="Z13" s="1838" t="str">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IF(OR($C19=0,$M$6=0),0,VLOOKUP($C19,'SD2'!$C$59:$N$75,12,FALSE))</f>
        <v>158</v>
      </c>
      <c r="M19" s="1589">
        <f>SUM(L23:L24)</f>
        <v>0</v>
      </c>
      <c r="N19" s="1818"/>
      <c r="O19" s="1817">
        <f>IF(OR($C19=0,$P$6=0),0,VLOOKUP($C19,'SD2'!C59:N75,12,FALSE))</f>
        <v>158</v>
      </c>
      <c r="P19" s="1586">
        <f>SUM(O23:O24)</f>
        <v>0</v>
      </c>
      <c r="R19" s="1816">
        <f>J13+J18</f>
        <v>595.4</v>
      </c>
      <c r="S19" s="1816">
        <f>M13+M18</f>
        <v>595.4</v>
      </c>
      <c r="T19" s="1816">
        <f>P13+P18</f>
        <v>595.4</v>
      </c>
    </row>
    <row r="20" spans="1:26"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IF(OR($C20=0,$M$6=0),0,VLOOKUP($C20,'SD2'!$C$59:$N$75,12,FALSE))</f>
        <v>63.4</v>
      </c>
      <c r="M20" s="3920"/>
      <c r="N20" s="1818"/>
      <c r="O20" s="3965">
        <f>IF(OR($C20=0,$P$6=0),0,VLOOKUP($C20,'SD2'!C60:N76,12,FALSE))</f>
        <v>63.4</v>
      </c>
      <c r="P20" s="1586"/>
      <c r="Q20" s="4057"/>
      <c r="R20" s="4043"/>
      <c r="S20" s="4043"/>
      <c r="T20" s="4043"/>
    </row>
    <row r="21" spans="1:26"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IF(OR($C21=0,$M$6=0),0,VLOOKUP($C21,'SD2'!$C$59:$N$75,12,FALSE))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272</v>
      </c>
      <c r="K23" s="1619"/>
      <c r="L23" s="1618"/>
      <c r="M23" s="1800">
        <f>SUM(L25:L26)</f>
        <v>272</v>
      </c>
      <c r="N23" s="1616"/>
      <c r="O23" s="1615"/>
      <c r="P23" s="1599">
        <f>SUM(O25:O26)</f>
        <v>272</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68</v>
      </c>
      <c r="G25" s="1794">
        <f>F25*(100+$D$24)/100</f>
        <v>68</v>
      </c>
      <c r="H25" s="1793">
        <v>4</v>
      </c>
      <c r="I25" s="1754">
        <f>H25*$G25</f>
        <v>272</v>
      </c>
      <c r="J25" s="45"/>
      <c r="K25" s="1793">
        <f>H25</f>
        <v>4</v>
      </c>
      <c r="L25" s="1596">
        <f>K25*$G25</f>
        <v>272</v>
      </c>
      <c r="M25" s="1589"/>
      <c r="N25" s="1793">
        <f>H25</f>
        <v>4</v>
      </c>
      <c r="O25" s="1754">
        <f>N25*$G25</f>
        <v>272</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22.450200000000027</v>
      </c>
      <c r="K27" s="1748"/>
      <c r="L27" s="1747"/>
      <c r="M27" s="1617">
        <f>SUM(L30:L33)</f>
        <v>26.412000000000035</v>
      </c>
      <c r="N27" s="1746"/>
      <c r="O27" s="1745"/>
      <c r="P27" s="1614">
        <f>SUM(O30:O33)</f>
        <v>30.373800000000063</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f>VLOOKUP('SD8'!B28,'SD8'!B9:K44,3,FALSE)</f>
        <v>-0.89999999999999947</v>
      </c>
      <c r="F30" s="1774"/>
      <c r="G30" s="1773">
        <v>0</v>
      </c>
      <c r="H30" s="1771">
        <f>IF(J$6=0,0,(J$6*$E30+$G30+X13))</f>
        <v>-22.949999999999985</v>
      </c>
      <c r="I30" s="1754">
        <f>H30*$D30</f>
        <v>-104.03999999999994</v>
      </c>
      <c r="J30" s="45"/>
      <c r="K30" s="1772">
        <f>IF(M$6=0,0,(M$6*$E30+$G30+AA14))</f>
        <v>-26.999999999999986</v>
      </c>
      <c r="L30" s="1596">
        <f>K30*$D30</f>
        <v>-122.39999999999993</v>
      </c>
      <c r="M30" s="1589"/>
      <c r="N30" s="1771">
        <f>IF(P$6=0,0,(P$6*$E30+$G30+AD14))</f>
        <v>-31.049999999999983</v>
      </c>
      <c r="O30" s="1754">
        <f>N30*$D30</f>
        <v>-140.75999999999991</v>
      </c>
      <c r="P30" s="1718"/>
      <c r="Q30" s="32"/>
    </row>
    <row r="31" spans="1:26" s="42" customFormat="1" ht="15" customHeight="1">
      <c r="A31" s="1306"/>
      <c r="B31" s="274"/>
      <c r="C31" s="1306" t="s">
        <v>244</v>
      </c>
      <c r="D31" s="1723">
        <f>IF(SDÖ1!$U$17=TRUE,SDÖ1!O56,0)</f>
        <v>1.3999999999999997</v>
      </c>
      <c r="E31" s="1774">
        <f>VLOOKUP('SD8'!B28,'SD8'!B9:K44,4,FALSE)</f>
        <v>1.5</v>
      </c>
      <c r="F31" s="1774"/>
      <c r="G31" s="1773"/>
      <c r="H31" s="1771">
        <f>IF(J$6=0,0,(J$6*$E31+$G31+X14))</f>
        <v>38.25</v>
      </c>
      <c r="I31" s="1754">
        <f>H31*$D31</f>
        <v>53.54999999999999</v>
      </c>
      <c r="J31" s="45"/>
      <c r="K31" s="1772">
        <f>IF(M$6=0,0,(M$6*$E31+$G31+Y14))</f>
        <v>45</v>
      </c>
      <c r="L31" s="1596">
        <f>K31*$D31</f>
        <v>62.999999999999986</v>
      </c>
      <c r="M31" s="1589"/>
      <c r="N31" s="1771">
        <f>IF(P$6=0,0,(P$6*$E31+$G31+Z14))</f>
        <v>51.75</v>
      </c>
      <c r="O31" s="1754">
        <f>N31*$D31</f>
        <v>72.449999999999989</v>
      </c>
      <c r="P31" s="1718"/>
      <c r="Q31" s="32"/>
    </row>
    <row r="32" spans="1:26" s="708" customFormat="1" ht="18.75" customHeight="1">
      <c r="A32" s="1270"/>
      <c r="B32" s="274"/>
      <c r="C32" s="1306" t="s">
        <v>242</v>
      </c>
      <c r="D32" s="1723">
        <f>IF(SDÖ1!$U$17=TRUE,SDÖ1!O57,0)</f>
        <v>1.3999999999999997</v>
      </c>
      <c r="E32" s="1774">
        <f>VLOOKUP('SD8'!B28,'SD8'!B9:K44,5,FALSE)</f>
        <v>1.9359999999999999</v>
      </c>
      <c r="F32" s="1774"/>
      <c r="G32" s="1773"/>
      <c r="H32" s="1771">
        <f>IF(J$6=0,0,(J$6*$E32+$G32+X15))</f>
        <v>49.367999999999995</v>
      </c>
      <c r="I32" s="1754">
        <f>H32*$D32</f>
        <v>69.115199999999973</v>
      </c>
      <c r="J32" s="45"/>
      <c r="K32" s="1772">
        <f>IF(M$6=0,0,(M$6*$E32+$G32+Y15))</f>
        <v>58.08</v>
      </c>
      <c r="L32" s="1596">
        <f>K32*$D32</f>
        <v>81.311999999999983</v>
      </c>
      <c r="M32" s="1589"/>
      <c r="N32" s="1771">
        <f>IF(P$6=0,0,(P$6*$E32+$G32+Z15))</f>
        <v>66.792000000000002</v>
      </c>
      <c r="O32" s="1754">
        <f>N32*$D32</f>
        <v>93.508799999999979</v>
      </c>
      <c r="P32" s="1718"/>
      <c r="Q32" s="32"/>
    </row>
    <row r="33" spans="1:17" s="708" customFormat="1" ht="13.15" customHeight="1">
      <c r="A33" s="1270"/>
      <c r="B33" s="239"/>
      <c r="C33" s="1331" t="s">
        <v>240</v>
      </c>
      <c r="D33" s="1706">
        <f>IF(SDÖ1!$U$17=TRUE,SDÖ1!O58,0)</f>
        <v>0.5</v>
      </c>
      <c r="E33" s="1770">
        <f>VLOOKUP('SD8'!B28,'SD8'!B9:K44,6,FALSE)</f>
        <v>0.3</v>
      </c>
      <c r="F33" s="1770"/>
      <c r="G33" s="1769"/>
      <c r="H33" s="1767">
        <f>IF(J$6=0,0,(J$6*$E33+$G33+X16))</f>
        <v>7.6499999999999995</v>
      </c>
      <c r="I33" s="1750">
        <f>H33*$D33</f>
        <v>3.8249999999999997</v>
      </c>
      <c r="J33" s="45"/>
      <c r="K33" s="1768">
        <f>IF(M$6=0,0,(M$6*$E33+$G33+Y16))</f>
        <v>9</v>
      </c>
      <c r="L33" s="1590">
        <f>K33*$D33</f>
        <v>4.5</v>
      </c>
      <c r="M33" s="1589"/>
      <c r="N33" s="1767">
        <f>IF(P$6=0,0,(P$6*$E33+$G33+Z16))</f>
        <v>10.35</v>
      </c>
      <c r="O33" s="1750">
        <f>N33*$D33</f>
        <v>5.1749999999999998</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179.77053464929415</v>
      </c>
      <c r="K43" s="1748"/>
      <c r="L43" s="1747"/>
      <c r="M43" s="1617">
        <f>SUM(M46:M57)</f>
        <v>180.36443314588237</v>
      </c>
      <c r="N43" s="1746"/>
      <c r="O43" s="1745"/>
      <c r="P43" s="1614">
        <f>SUM(P46:P57)</f>
        <v>186.79623292011763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c r="D46" s="4836"/>
      <c r="E46" s="1725">
        <f>IF($C46=0,0,VLOOKUP($C46,SDÖ3!$C$24:$O$99,4,FALSE))</f>
        <v>0</v>
      </c>
      <c r="F46" s="1724">
        <f>IF($C46=0,0,VLOOKUP($C46,SDÖ3!$C$24:$O$99,12,FALSE))</f>
        <v>0</v>
      </c>
      <c r="G46" s="1723">
        <f>IF($C46=0,0,VLOOKUP($C46,SDÖ3!$C$24:$O$99,13,FALSE))</f>
        <v>0</v>
      </c>
      <c r="H46" s="1720"/>
      <c r="I46" s="1719">
        <f t="shared" ref="I46:I57" si="4">$F46*H46</f>
        <v>0</v>
      </c>
      <c r="J46" s="1718">
        <f t="shared" ref="J46:J55" si="5">H46*$G46</f>
        <v>0</v>
      </c>
      <c r="K46" s="1720"/>
      <c r="L46" s="1722">
        <f t="shared" ref="L46:L57" si="6">$F46*K46</f>
        <v>0</v>
      </c>
      <c r="M46" s="1721">
        <f t="shared" ref="M46:M57" si="7">K46*$G46</f>
        <v>0</v>
      </c>
      <c r="N46" s="1720"/>
      <c r="O46" s="1719">
        <f t="shared" ref="O46:O57" si="8">$F46*N46</f>
        <v>0</v>
      </c>
      <c r="P46" s="1718">
        <f t="shared" ref="P46:P57"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c r="I48" s="1719">
        <f t="shared" si="4"/>
        <v>0</v>
      </c>
      <c r="J48" s="1718">
        <f t="shared" si="5"/>
        <v>0</v>
      </c>
      <c r="K48" s="1720"/>
      <c r="L48" s="1722">
        <f t="shared" si="6"/>
        <v>0</v>
      </c>
      <c r="M48" s="1721">
        <f t="shared" si="7"/>
        <v>0</v>
      </c>
      <c r="N48" s="1720"/>
      <c r="O48" s="1719">
        <f t="shared" si="8"/>
        <v>0</v>
      </c>
      <c r="P48" s="1718">
        <f t="shared" si="9"/>
        <v>0</v>
      </c>
      <c r="Q48" s="32"/>
    </row>
    <row r="49" spans="1:17" s="42" customFormat="1" ht="15" customHeight="1">
      <c r="A49" s="1306"/>
      <c r="B49" s="1726"/>
      <c r="C49" s="4835" t="s">
        <v>493</v>
      </c>
      <c r="D49" s="4836"/>
      <c r="E49" s="1725">
        <f>IF($C49=0,0,VLOOKUP($C49,SDÖ3!$C$24:$O$99,4,FALSE))</f>
        <v>120</v>
      </c>
      <c r="F49" s="1724">
        <f>IF($C49=0,0,VLOOKUP($C49,SDÖ3!$C$24:$O$99,12,FALSE))</f>
        <v>1.03</v>
      </c>
      <c r="G49" s="1723">
        <f>IF($C49=0,0,VLOOKUP($C49,SDÖ3!$C$24:$O$99,13,FALSE))</f>
        <v>33.576407529411767</v>
      </c>
      <c r="H49" s="1720">
        <v>1</v>
      </c>
      <c r="I49" s="1719">
        <f t="shared" si="4"/>
        <v>1.03</v>
      </c>
      <c r="J49" s="1718">
        <f t="shared" si="5"/>
        <v>33.576407529411767</v>
      </c>
      <c r="K49" s="1720">
        <v>1</v>
      </c>
      <c r="L49" s="1722">
        <f t="shared" si="6"/>
        <v>1.03</v>
      </c>
      <c r="M49" s="1721">
        <f t="shared" si="7"/>
        <v>33.576407529411767</v>
      </c>
      <c r="N49" s="1720">
        <v>1</v>
      </c>
      <c r="O49" s="1719">
        <f t="shared" si="8"/>
        <v>1.03</v>
      </c>
      <c r="P49" s="1718">
        <f t="shared" si="9"/>
        <v>33.576407529411767</v>
      </c>
      <c r="Q49" s="32"/>
    </row>
    <row r="50" spans="1:17" s="42" customFormat="1" ht="15" customHeight="1">
      <c r="A50" s="1306"/>
      <c r="B50" s="1726"/>
      <c r="C50" s="4835" t="s">
        <v>497</v>
      </c>
      <c r="D50" s="4836"/>
      <c r="E50" s="1725">
        <f>IF($C50=0,0,VLOOKUP($C50,SDÖ3!$C$24:$O$99,4,FALSE))</f>
        <v>83</v>
      </c>
      <c r="F50" s="1724">
        <f>IF($C50=0,0,VLOOKUP($C50,SDÖ3!$C$24:$O$99,12,FALSE))</f>
        <v>0.61</v>
      </c>
      <c r="G50" s="1723">
        <f>IF($C50=0,0,VLOOKUP($C50,SDÖ3!$C$24:$O$99,13,FALSE))</f>
        <v>10.780813997647058</v>
      </c>
      <c r="H50" s="1720">
        <v>1</v>
      </c>
      <c r="I50" s="1719">
        <f t="shared" si="4"/>
        <v>0.61</v>
      </c>
      <c r="J50" s="1718">
        <f t="shared" si="5"/>
        <v>10.780813997647058</v>
      </c>
      <c r="K50" s="1720">
        <v>1</v>
      </c>
      <c r="L50" s="1722">
        <f t="shared" si="6"/>
        <v>0.61</v>
      </c>
      <c r="M50" s="1721">
        <f t="shared" si="7"/>
        <v>10.780813997647058</v>
      </c>
      <c r="N50" s="1720">
        <v>1</v>
      </c>
      <c r="O50" s="1719">
        <f t="shared" si="8"/>
        <v>0.61</v>
      </c>
      <c r="P50" s="1718">
        <f t="shared" si="9"/>
        <v>10.780813997647058</v>
      </c>
      <c r="Q50" s="32"/>
    </row>
    <row r="51" spans="1:17" s="42" customFormat="1" ht="15" customHeight="1">
      <c r="A51" s="1306"/>
      <c r="B51" s="1726"/>
      <c r="C51" s="4835" t="s">
        <v>444</v>
      </c>
      <c r="D51" s="4836"/>
      <c r="E51" s="1725">
        <f>IF($C51=0,0,VLOOKUP($C51,SDÖ3!$C$24:$O$99,4,FALSE))</f>
        <v>83</v>
      </c>
      <c r="F51" s="1724">
        <f>IF($C51=0,0,VLOOKUP($C51,SDÖ3!$C$24:$O$99,12,FALSE))</f>
        <v>0.27</v>
      </c>
      <c r="G51" s="1723">
        <f>IF($C51=0,0,VLOOKUP($C51,SDÖ3!$C$24:$O$99,13,FALSE))</f>
        <v>5.8379012776470587</v>
      </c>
      <c r="H51" s="1720">
        <v>1</v>
      </c>
      <c r="I51" s="1719">
        <f t="shared" si="4"/>
        <v>0.27</v>
      </c>
      <c r="J51" s="1718">
        <f t="shared" si="5"/>
        <v>5.8379012776470587</v>
      </c>
      <c r="K51" s="1720">
        <v>1</v>
      </c>
      <c r="L51" s="1722">
        <f t="shared" si="6"/>
        <v>0.27</v>
      </c>
      <c r="M51" s="1721">
        <f t="shared" si="7"/>
        <v>5.8379012776470587</v>
      </c>
      <c r="N51" s="1720">
        <v>2</v>
      </c>
      <c r="O51" s="1719">
        <f t="shared" si="8"/>
        <v>0.54</v>
      </c>
      <c r="P51" s="1718">
        <f t="shared" si="9"/>
        <v>11.675802555294117</v>
      </c>
      <c r="Q51" s="32"/>
    </row>
    <row r="52" spans="1:17" s="42" customFormat="1" ht="15" customHeight="1">
      <c r="A52" s="1306"/>
      <c r="B52" s="1726"/>
      <c r="C52" s="4835" t="s">
        <v>441</v>
      </c>
      <c r="D52" s="4836"/>
      <c r="E52" s="1725">
        <f>IF($C52=0,0,VLOOKUP($C52,SDÖ3!$C$24:$O$99,4,FALSE))</f>
        <v>54</v>
      </c>
      <c r="F52" s="1724">
        <f>IF($C52=0,0,VLOOKUP($C52,SDÖ3!$C$24:$O$99,12,FALSE))</f>
        <v>1.1100000000000001</v>
      </c>
      <c r="G52" s="1723">
        <f>IF($C52=0,0,VLOOKUP($C52,SDÖ3!$C$24:$O$99,13,FALSE))</f>
        <v>17.201138894117648</v>
      </c>
      <c r="H52" s="1720">
        <v>2</v>
      </c>
      <c r="I52" s="1719">
        <f t="shared" si="4"/>
        <v>2.2200000000000002</v>
      </c>
      <c r="J52" s="1718">
        <f t="shared" si="5"/>
        <v>34.402277788235295</v>
      </c>
      <c r="K52" s="1720">
        <v>2</v>
      </c>
      <c r="L52" s="1722">
        <f t="shared" si="6"/>
        <v>2.2200000000000002</v>
      </c>
      <c r="M52" s="1721">
        <f t="shared" si="7"/>
        <v>34.402277788235295</v>
      </c>
      <c r="N52" s="1720">
        <v>2</v>
      </c>
      <c r="O52" s="1719">
        <f t="shared" si="8"/>
        <v>2.2200000000000002</v>
      </c>
      <c r="P52" s="1718">
        <f t="shared" si="9"/>
        <v>34.402277788235295</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8"/>
    </row>
    <row r="54" spans="1:17" s="42" customFormat="1" ht="15" customHeight="1">
      <c r="A54" s="1306"/>
      <c r="B54" s="1726"/>
      <c r="C54" s="4935" t="s">
        <v>435</v>
      </c>
      <c r="D54" s="4936"/>
      <c r="E54" s="1725">
        <f>IF($C54=0,0,VLOOKUP($C54,SDÖ3!$C$24:$O$99,4,FALSE))</f>
        <v>83</v>
      </c>
      <c r="F54" s="1724">
        <f>IF($C54=0,0,VLOOKUP($C54,SDÖ3!$C$24:$O$99,12,FALSE))</f>
        <v>0.4</v>
      </c>
      <c r="G54" s="1723">
        <f>IF($C54=0,0,VLOOKUP($C54,SDÖ3!$C$24:$O$99,13,FALSE))</f>
        <v>6.8857796705882359</v>
      </c>
      <c r="H54" s="1720">
        <v>0.78875000000000006</v>
      </c>
      <c r="I54" s="1719">
        <f t="shared" si="4"/>
        <v>0.31550000000000006</v>
      </c>
      <c r="J54" s="1718">
        <f t="shared" si="5"/>
        <v>5.4311587151764718</v>
      </c>
      <c r="K54" s="1720">
        <v>0.875</v>
      </c>
      <c r="L54" s="1722">
        <f t="shared" si="6"/>
        <v>0.35000000000000003</v>
      </c>
      <c r="M54" s="1721">
        <f t="shared" si="7"/>
        <v>6.0250572117647065</v>
      </c>
      <c r="N54" s="1720">
        <v>0.96124999999999994</v>
      </c>
      <c r="O54" s="1719">
        <f t="shared" si="8"/>
        <v>0.38450000000000001</v>
      </c>
      <c r="P54" s="1718">
        <f t="shared" si="9"/>
        <v>6.6189557083529413</v>
      </c>
      <c r="Q54" s="32"/>
    </row>
    <row r="55" spans="1:17" s="42" customFormat="1" ht="15" customHeight="1">
      <c r="A55" s="1306"/>
      <c r="B55" s="1726"/>
      <c r="C55" s="4935" t="s">
        <v>508</v>
      </c>
      <c r="D55" s="4936"/>
      <c r="E55" s="1725">
        <f>IF($C55=0,0,VLOOKUP($C55,SDÖ3!$C$24:$O$99,4,FALSE))</f>
        <v>102</v>
      </c>
      <c r="F55" s="1724">
        <f>IF($C55=0,0,VLOOKUP($C55,SDÖ3!$C$24:$O$99,12,FALSE))</f>
        <v>0.54</v>
      </c>
      <c r="G55" s="1723">
        <f>IF($C55=0,0,VLOOKUP($C55,SDÖ3!$C$24:$O$99,13,FALSE))</f>
        <v>16.377695200000002</v>
      </c>
      <c r="H55" s="1720">
        <v>2</v>
      </c>
      <c r="I55" s="1719">
        <f t="shared" si="4"/>
        <v>1.08</v>
      </c>
      <c r="J55" s="1718">
        <f t="shared" si="5"/>
        <v>32.755390400000003</v>
      </c>
      <c r="K55" s="1720">
        <v>2</v>
      </c>
      <c r="L55" s="1722">
        <f t="shared" si="6"/>
        <v>1.08</v>
      </c>
      <c r="M55" s="1721">
        <f t="shared" si="7"/>
        <v>32.755390400000003</v>
      </c>
      <c r="N55" s="1720">
        <v>2</v>
      </c>
      <c r="O55" s="1719">
        <f t="shared" si="8"/>
        <v>1.08</v>
      </c>
      <c r="P55" s="1718">
        <f t="shared" si="9"/>
        <v>32.755390400000003</v>
      </c>
      <c r="Q55" s="32"/>
    </row>
    <row r="56" spans="1:17" s="42" customFormat="1" ht="14.25">
      <c r="A56" s="1306"/>
      <c r="B56" s="1917"/>
      <c r="C56" s="4937"/>
      <c r="D56" s="4938"/>
      <c r="E56" s="1725">
        <f>IF($C56=0,0,VLOOKUP($C56,SDÖ3!$C$24:$O$99,4,FALSE))</f>
        <v>0</v>
      </c>
      <c r="F56" s="1724">
        <f>IF($C56=0,0,VLOOKUP($C56,SDÖ3!$C$24:$O$99,12,FALSE))</f>
        <v>0</v>
      </c>
      <c r="G56" s="1723">
        <f>IF($C56=0,0,VLOOKUP($C56,SDÖ3!$C$24:$O$99,13,FALSE))</f>
        <v>0</v>
      </c>
      <c r="H56" s="1911"/>
      <c r="I56" s="1910">
        <f t="shared" si="4"/>
        <v>0</v>
      </c>
      <c r="J56" s="1909"/>
      <c r="K56" s="1911"/>
      <c r="L56" s="1913">
        <f t="shared" si="6"/>
        <v>0</v>
      </c>
      <c r="M56" s="1912">
        <f t="shared" si="7"/>
        <v>0</v>
      </c>
      <c r="N56" s="1911"/>
      <c r="O56" s="1910">
        <f t="shared" si="8"/>
        <v>0</v>
      </c>
      <c r="P56" s="1909">
        <f t="shared" si="9"/>
        <v>0</v>
      </c>
      <c r="Q56" s="32"/>
    </row>
    <row r="57" spans="1:17" s="42" customFormat="1" ht="24.75" customHeight="1">
      <c r="A57" s="1306"/>
      <c r="B57" s="1657"/>
      <c r="C57" s="4925" t="s">
        <v>425</v>
      </c>
      <c r="D57" s="4926"/>
      <c r="E57" s="3617">
        <f>IF($C57=0,0,VLOOKUP($C57,SDÖ3!$C$24:$O$99,4,FALSE))</f>
        <v>83</v>
      </c>
      <c r="F57" s="3618">
        <f>IF($C57=0,0,VLOOKUP($C57,SDÖ3!$C$24:$O$99,12,FALSE))</f>
        <v>1</v>
      </c>
      <c r="G57" s="3619">
        <f>IF($C57=0,0,VLOOKUP($C57,SDÖ3!$C$24:$O$99,13,FALSE))</f>
        <v>16.014449176470588</v>
      </c>
      <c r="H57" s="3686">
        <f>H11/35</f>
        <v>0</v>
      </c>
      <c r="I57" s="1703">
        <f t="shared" si="4"/>
        <v>0</v>
      </c>
      <c r="J57" s="1702">
        <f>H57*$G57</f>
        <v>0</v>
      </c>
      <c r="K57" s="3687">
        <f>K11/35</f>
        <v>0</v>
      </c>
      <c r="L57" s="1705">
        <f t="shared" si="6"/>
        <v>0</v>
      </c>
      <c r="M57" s="1652">
        <f t="shared" si="7"/>
        <v>0</v>
      </c>
      <c r="N57" s="3686">
        <f>N11/35</f>
        <v>0</v>
      </c>
      <c r="O57" s="1703">
        <f t="shared" si="8"/>
        <v>0</v>
      </c>
      <c r="P57" s="1702">
        <f t="shared" si="9"/>
        <v>0</v>
      </c>
      <c r="Q57" s="3678"/>
    </row>
    <row r="58" spans="1:17" s="708" customFormat="1" ht="18.75" customHeight="1">
      <c r="A58" s="1270"/>
      <c r="B58" s="1276" t="s">
        <v>1223</v>
      </c>
      <c r="C58" s="1373"/>
      <c r="D58" s="1373"/>
      <c r="E58" s="1373"/>
      <c r="F58" s="38"/>
      <c r="G58" s="1620"/>
      <c r="H58" s="1697"/>
      <c r="I58" s="1696">
        <f>SUM($I$46:$I$57)</f>
        <v>6.9855</v>
      </c>
      <c r="J58" s="1701"/>
      <c r="K58" s="1700"/>
      <c r="L58" s="1699">
        <f>SUM($L$46:$L$57)</f>
        <v>7.02</v>
      </c>
      <c r="M58" s="1698"/>
      <c r="N58" s="1697"/>
      <c r="O58" s="1696">
        <f>SUM($O$46:$O$57)</f>
        <v>7.3245000000000005</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12.5739</v>
      </c>
      <c r="J59" s="1686"/>
      <c r="K59" s="1691"/>
      <c r="L59" s="1690">
        <f>IF(L58+SUM($L$46:$L$57)*$E$59%&gt;L58+10,L58+10,L58+SUM($L$46:$L$57)*$E$59%)</f>
        <v>12.635999999999999</v>
      </c>
      <c r="M59" s="1689"/>
      <c r="N59" s="1688"/>
      <c r="O59" s="1687">
        <f>IF(O58+SUM($O$46:$O$57)*$E$59%&gt;O58+10,O58+10,O58+SUM($O$46:$O$57)*$E$59%)</f>
        <v>13.184100000000001</v>
      </c>
      <c r="P59" s="1686"/>
      <c r="Q59" s="32"/>
    </row>
    <row r="60" spans="1:17" s="65" customFormat="1" ht="18.75" customHeight="1">
      <c r="A60" s="1373"/>
      <c r="B60" s="1276" t="s">
        <v>1220</v>
      </c>
      <c r="C60" s="1373"/>
      <c r="D60" s="1373"/>
      <c r="E60" s="45"/>
      <c r="F60" s="45"/>
      <c r="G60" s="1685"/>
      <c r="H60" s="1677"/>
      <c r="I60" s="1676"/>
      <c r="J60" s="1684">
        <f>IF(J6=0,0,SUM(I62:I64))</f>
        <v>176.8</v>
      </c>
      <c r="K60" s="1680"/>
      <c r="L60" s="1679"/>
      <c r="M60" s="1617">
        <f>IF(M6=0,0,SUM(L62:L64))</f>
        <v>176.8</v>
      </c>
      <c r="N60" s="1677"/>
      <c r="O60" s="1676"/>
      <c r="P60" s="1684">
        <f>IF(P6=0,0,SUM(O62:O64))</f>
        <v>176.8</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344</v>
      </c>
      <c r="D62" s="4833"/>
      <c r="E62" s="4833"/>
      <c r="F62" s="1674">
        <f>IF($C62=0,0,VLOOKUP($C62,'SDK3'!$C$98:$D$119,2,FALSE))</f>
        <v>176.8</v>
      </c>
      <c r="G62" s="1673">
        <f>(100+$D$61)/100*F62</f>
        <v>176.8</v>
      </c>
      <c r="H62" s="227"/>
      <c r="I62" s="1669">
        <f>$G$62</f>
        <v>176.8</v>
      </c>
      <c r="J62" s="227"/>
      <c r="K62" s="1672"/>
      <c r="L62" s="1671">
        <f>$G$62</f>
        <v>176.8</v>
      </c>
      <c r="M62" s="1589"/>
      <c r="N62" s="1670"/>
      <c r="O62" s="1669">
        <f>$G$62</f>
        <v>176.8</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201.96</v>
      </c>
      <c r="K67" s="1641" t="s">
        <v>1217</v>
      </c>
      <c r="L67" s="1640" t="s">
        <v>1216</v>
      </c>
      <c r="M67" s="1617">
        <f>S68*(K9+K10)*L68%+F68</f>
        <v>237.6</v>
      </c>
      <c r="N67" s="1639" t="s">
        <v>1217</v>
      </c>
      <c r="O67" s="1638" t="s">
        <v>1216</v>
      </c>
      <c r="P67" s="1614">
        <f>T68*(N9+N10)*O68%+F68</f>
        <v>328.44</v>
      </c>
      <c r="Q67" s="32"/>
    </row>
    <row r="68" spans="1:20" s="708" customFormat="1" ht="15" customHeight="1">
      <c r="A68" s="1270"/>
      <c r="B68" s="1637"/>
      <c r="C68" s="4839" t="s">
        <v>1215</v>
      </c>
      <c r="D68" s="4839"/>
      <c r="E68" s="4839"/>
      <c r="F68" s="1636"/>
      <c r="G68" s="1627" t="s">
        <v>171</v>
      </c>
      <c r="H68" s="1634">
        <v>20</v>
      </c>
      <c r="I68" s="1633">
        <v>100</v>
      </c>
      <c r="J68" s="1632"/>
      <c r="K68" s="1634">
        <v>20</v>
      </c>
      <c r="L68" s="1633">
        <v>100</v>
      </c>
      <c r="M68" s="1635"/>
      <c r="N68" s="1634">
        <v>22</v>
      </c>
      <c r="O68" s="1633">
        <v>100</v>
      </c>
      <c r="P68" s="1632"/>
      <c r="Q68" s="32"/>
      <c r="R68" s="1631">
        <f>IF($H$68=0,0,VLOOKUP($H$68,'SD6'!F8:G146,'SD6'!G1,FALSE))*(1+'SDK1'!O11/100)</f>
        <v>7.92</v>
      </c>
      <c r="S68" s="1631">
        <f>IF($K$68=0,0,VLOOKUP($K$68,'SD6'!F8:G146,'SD6'!G1,FALSE))*(1+'SDK1'!O11/100)</f>
        <v>7.92</v>
      </c>
      <c r="T68" s="1631">
        <f>IF($N$68=0,0,VLOOKUP($N$68,'SD6'!F8:G146,'SD6'!G1,FALSE))*(1+'SDK1'!O11/100)</f>
        <v>9.52</v>
      </c>
    </row>
    <row r="69" spans="1:20" s="708" customFormat="1" ht="18.75" customHeight="1">
      <c r="A69" s="1270"/>
      <c r="B69" s="1276" t="s">
        <v>1214</v>
      </c>
      <c r="C69" s="1270"/>
      <c r="D69" s="1270"/>
      <c r="E69" s="38"/>
      <c r="F69" s="38"/>
      <c r="G69" s="1620"/>
      <c r="H69" s="44"/>
      <c r="I69" s="73"/>
      <c r="J69" s="1614">
        <f>H70*$F70/1000</f>
        <v>36.58400000000001</v>
      </c>
      <c r="K69" s="1630"/>
      <c r="L69" s="1629"/>
      <c r="M69" s="1617">
        <f>K70*$F70/1000</f>
        <v>43.040000000000006</v>
      </c>
      <c r="N69" s="44"/>
      <c r="O69" s="73"/>
      <c r="P69" s="1614">
        <f>N70*$F70/1000</f>
        <v>49.496000000000009</v>
      </c>
      <c r="Q69" s="32"/>
    </row>
    <row r="70" spans="1:20" s="708" customFormat="1" ht="15" customHeight="1">
      <c r="A70" s="1270"/>
      <c r="B70" s="1332"/>
      <c r="C70" s="1331" t="s">
        <v>896</v>
      </c>
      <c r="D70" s="353"/>
      <c r="E70" s="280"/>
      <c r="F70" s="1628">
        <f>'SDK7'!G102</f>
        <v>16</v>
      </c>
      <c r="G70" s="1627" t="s">
        <v>171</v>
      </c>
      <c r="H70" s="1623">
        <f>I9+I10</f>
        <v>2286.5000000000005</v>
      </c>
      <c r="I70" s="1622"/>
      <c r="J70" s="1621"/>
      <c r="K70" s="1626">
        <f>L9+L10</f>
        <v>2690.0000000000005</v>
      </c>
      <c r="L70" s="1625"/>
      <c r="M70" s="1624"/>
      <c r="N70" s="1623">
        <f>O9+O10</f>
        <v>3093.5000000000005</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7.7836914281813234</v>
      </c>
      <c r="K75" s="3063"/>
      <c r="L75" s="1056"/>
      <c r="M75" s="1578">
        <f>(M23+M27+M34+M43+M60+M65+M67+M69+M71)*('SDK1'!$O$59%*$G$75/12)</f>
        <v>8.1918937900264712</v>
      </c>
      <c r="N75" s="1580"/>
      <c r="O75" s="1579"/>
      <c r="P75" s="1578">
        <f>(P23+P27+P34+P43+P60+P65+P67+P69+P71)*('SDK1'!$O$59%*$G$75/12)</f>
        <v>9.1341777880510318</v>
      </c>
      <c r="Q75" s="32"/>
    </row>
    <row r="76" spans="1:20">
      <c r="L76" s="33"/>
    </row>
    <row r="77" spans="1:20">
      <c r="L77" s="33"/>
      <c r="M77" s="3642"/>
      <c r="N77" s="3642"/>
      <c r="O77" s="3642"/>
      <c r="P77" s="3642"/>
      <c r="Q77" s="3642"/>
    </row>
    <row r="78" spans="1:20" ht="14.25">
      <c r="C78" s="4921" t="s">
        <v>1946</v>
      </c>
      <c r="D78" s="4922"/>
      <c r="E78" s="4922"/>
      <c r="F78" s="4923"/>
      <c r="G78" s="3642"/>
      <c r="H78" s="3642"/>
      <c r="I78" s="3642"/>
      <c r="J78" s="3642"/>
      <c r="K78" s="3642"/>
      <c r="L78" s="3642"/>
      <c r="M78" s="3642"/>
      <c r="N78" s="3642"/>
      <c r="O78" s="3642"/>
      <c r="P78" s="3642"/>
      <c r="Q78" s="3642"/>
    </row>
    <row r="79" spans="1:20">
      <c r="C79" s="4913" t="s">
        <v>295</v>
      </c>
      <c r="D79" s="4914"/>
      <c r="E79" s="4914"/>
      <c r="F79" s="4915"/>
      <c r="G79" s="3642"/>
      <c r="H79" s="3642"/>
      <c r="I79" s="3642"/>
      <c r="J79" s="3642"/>
      <c r="K79" s="3642"/>
      <c r="L79" s="3642"/>
      <c r="M79" s="3642"/>
      <c r="N79" s="3642"/>
      <c r="O79" s="3642"/>
      <c r="P79" s="3642"/>
      <c r="Q79" s="3642"/>
    </row>
    <row r="80" spans="1:20" ht="14.25">
      <c r="B80" s="3078"/>
      <c r="C80" s="3074" t="s">
        <v>1942</v>
      </c>
      <c r="D80" s="3075"/>
      <c r="E80" s="3075"/>
      <c r="F80" s="3076"/>
      <c r="G80" s="3642"/>
      <c r="H80" s="3642"/>
      <c r="I80" s="3642"/>
      <c r="J80" s="3642"/>
      <c r="K80" s="3642"/>
      <c r="L80" s="3642"/>
      <c r="M80" s="3642"/>
      <c r="N80" s="3642"/>
      <c r="O80" s="3642"/>
      <c r="P80" s="3642"/>
      <c r="Q80" s="3642"/>
    </row>
    <row r="81" spans="2:17" ht="14.25">
      <c r="B81" s="3078"/>
      <c r="C81" s="3074" t="s">
        <v>1943</v>
      </c>
      <c r="D81" s="3075"/>
      <c r="E81" s="3075"/>
      <c r="F81" s="3076"/>
      <c r="G81" s="3642"/>
      <c r="H81" s="3642"/>
      <c r="I81" s="3642"/>
      <c r="J81" s="3642"/>
      <c r="K81" s="3642"/>
      <c r="L81" s="3642"/>
      <c r="M81" s="3642"/>
      <c r="N81" s="3642"/>
      <c r="O81" s="3642"/>
      <c r="P81" s="3642"/>
      <c r="Q81" s="3642"/>
    </row>
    <row r="82" spans="2:17">
      <c r="B82" s="3078"/>
      <c r="C82" s="3066" t="s">
        <v>294</v>
      </c>
      <c r="D82" s="3067"/>
      <c r="E82" s="3067"/>
      <c r="F82" s="3068"/>
      <c r="G82" s="3642"/>
      <c r="H82" s="3642"/>
      <c r="I82" s="3642"/>
      <c r="J82" s="3642"/>
      <c r="K82" s="3642"/>
      <c r="L82" s="3642"/>
      <c r="M82" s="3642"/>
      <c r="N82" s="3642"/>
      <c r="O82" s="3642"/>
      <c r="P82" s="3642"/>
      <c r="Q82" s="3642"/>
    </row>
    <row r="83" spans="2:17" ht="14.25">
      <c r="B83" s="3078"/>
      <c r="C83" s="3074" t="s">
        <v>1944</v>
      </c>
      <c r="D83" s="3075"/>
      <c r="E83" s="3075"/>
      <c r="F83" s="3076"/>
      <c r="G83" s="3642"/>
      <c r="H83" s="3642"/>
      <c r="I83" s="3642"/>
      <c r="J83" s="3642"/>
      <c r="K83" s="3642"/>
      <c r="L83" s="3642"/>
      <c r="M83" s="3642"/>
      <c r="N83" s="3642"/>
      <c r="O83" s="3642"/>
      <c r="P83" s="3642"/>
      <c r="Q83" s="3642"/>
    </row>
    <row r="84" spans="2:17" ht="14.25">
      <c r="B84" s="3078"/>
      <c r="C84" s="3074" t="s">
        <v>1945</v>
      </c>
      <c r="D84" s="3075"/>
      <c r="E84" s="3075"/>
      <c r="F84" s="3076"/>
      <c r="G84" s="3642"/>
      <c r="H84" s="3642"/>
      <c r="I84" s="3642"/>
      <c r="J84" s="3642"/>
      <c r="K84" s="3642"/>
      <c r="L84" s="3642"/>
      <c r="M84" s="3642"/>
      <c r="N84" s="3642"/>
      <c r="O84" s="3642"/>
      <c r="P84" s="3642"/>
      <c r="Q84" s="3642"/>
    </row>
    <row r="85" spans="2:17">
      <c r="B85" s="3078"/>
      <c r="C85" s="3066" t="s">
        <v>293</v>
      </c>
      <c r="D85" s="3067"/>
      <c r="E85" s="3067"/>
      <c r="F85" s="3068"/>
      <c r="G85" s="3642"/>
      <c r="H85" s="3642"/>
      <c r="I85" s="3642"/>
      <c r="J85" s="3642"/>
      <c r="K85" s="3642"/>
      <c r="L85" s="3642"/>
      <c r="M85" s="3642"/>
      <c r="N85" s="3642"/>
      <c r="O85" s="3642"/>
      <c r="P85" s="3642"/>
      <c r="Q85" s="3642"/>
    </row>
    <row r="86" spans="2:17">
      <c r="B86" s="3078"/>
      <c r="C86" s="3066" t="s">
        <v>292</v>
      </c>
      <c r="D86" s="3067"/>
      <c r="E86" s="3067"/>
      <c r="F86" s="3068"/>
      <c r="G86" s="3642"/>
      <c r="H86" s="3642"/>
      <c r="I86" s="3642"/>
      <c r="J86" s="3642"/>
      <c r="K86" s="3642"/>
      <c r="L86" s="3642"/>
      <c r="M86" s="3642"/>
      <c r="N86" s="3642"/>
      <c r="O86" s="3642"/>
      <c r="P86" s="3642"/>
      <c r="Q86" s="3642"/>
    </row>
    <row r="87" spans="2:17" ht="14.25">
      <c r="B87" s="3078"/>
      <c r="C87" s="3066" t="s">
        <v>291</v>
      </c>
      <c r="D87" s="3067"/>
      <c r="E87" s="3067"/>
      <c r="F87" s="3068"/>
      <c r="G87" s="3642"/>
      <c r="H87" s="3642"/>
      <c r="I87" s="3642"/>
      <c r="J87" s="3642"/>
      <c r="K87" s="3642"/>
      <c r="L87" s="3642"/>
      <c r="M87" s="3642"/>
      <c r="N87" s="3642"/>
      <c r="O87" s="3642"/>
      <c r="P87" s="3642"/>
      <c r="Q87" s="3642"/>
    </row>
    <row r="88" spans="2:17" ht="13.15" customHeight="1">
      <c r="B88" s="3078"/>
      <c r="C88" s="3066" t="s">
        <v>290</v>
      </c>
      <c r="D88" s="3069"/>
      <c r="E88" s="3069"/>
      <c r="F88" s="3070"/>
      <c r="G88" s="3642"/>
      <c r="H88" s="3642"/>
      <c r="I88" s="3642"/>
      <c r="J88" s="3642"/>
      <c r="K88" s="3642"/>
      <c r="L88" s="3642"/>
      <c r="M88" s="3642"/>
      <c r="N88" s="3642"/>
      <c r="O88" s="3642"/>
      <c r="P88" s="3642"/>
      <c r="Q88" s="3642"/>
    </row>
    <row r="89" spans="2:17">
      <c r="B89" s="3078"/>
      <c r="C89" s="3066" t="s">
        <v>289</v>
      </c>
      <c r="D89" s="3069"/>
      <c r="E89" s="3069"/>
      <c r="F89" s="3070"/>
      <c r="G89" s="3642"/>
      <c r="H89" s="3642"/>
      <c r="I89" s="3642"/>
      <c r="J89" s="3642"/>
      <c r="K89" s="3642"/>
      <c r="L89" s="3642"/>
      <c r="M89" s="3642"/>
      <c r="N89" s="3642"/>
      <c r="O89" s="3642"/>
      <c r="P89" s="3642"/>
      <c r="Q89" s="3642"/>
    </row>
    <row r="90" spans="2:17" ht="25.5">
      <c r="B90" s="3078"/>
      <c r="C90" s="3071" t="s">
        <v>288</v>
      </c>
      <c r="D90" s="3072"/>
      <c r="E90" s="3072"/>
      <c r="F90" s="3073"/>
      <c r="G90" s="3642"/>
      <c r="H90" s="3642"/>
      <c r="I90" s="3642"/>
      <c r="J90" s="3642"/>
      <c r="K90" s="3642"/>
      <c r="L90" s="3642"/>
      <c r="M90" s="3642"/>
      <c r="N90" s="3642"/>
      <c r="O90" s="3642"/>
      <c r="P90" s="3642"/>
      <c r="Q90" s="3642"/>
    </row>
    <row r="91" spans="2:17">
      <c r="C91" s="33"/>
      <c r="D91" s="33"/>
      <c r="E91" s="33"/>
      <c r="F91" s="2538"/>
      <c r="G91" s="3642"/>
      <c r="H91" s="3642"/>
      <c r="I91" s="3642"/>
      <c r="J91" s="3642"/>
      <c r="K91" s="3642"/>
      <c r="L91" s="3642"/>
      <c r="M91" s="3642"/>
      <c r="N91" s="3642"/>
      <c r="O91" s="3642"/>
      <c r="P91" s="3642"/>
      <c r="Q91" s="3642"/>
    </row>
    <row r="92" spans="2:17">
      <c r="C92" s="33"/>
      <c r="D92" s="33"/>
      <c r="E92" s="33"/>
      <c r="F92" s="2538"/>
      <c r="G92" s="3642"/>
      <c r="H92" s="3642"/>
      <c r="I92" s="3642"/>
      <c r="J92" s="3642"/>
      <c r="K92" s="3642"/>
      <c r="L92" s="3642"/>
      <c r="M92" s="3642"/>
      <c r="N92" s="3642"/>
      <c r="O92" s="3642"/>
      <c r="P92" s="3642"/>
      <c r="Q92" s="3642"/>
    </row>
    <row r="93" spans="2:17">
      <c r="C93" s="33"/>
      <c r="D93" s="33"/>
      <c r="E93" s="33"/>
      <c r="F93" s="2538"/>
      <c r="G93" s="3642"/>
      <c r="H93" s="3642"/>
      <c r="I93" s="3642"/>
      <c r="J93" s="3642"/>
      <c r="K93" s="3642"/>
      <c r="L93" s="3642"/>
      <c r="M93" s="3642"/>
      <c r="N93" s="3642"/>
      <c r="O93" s="3642"/>
      <c r="P93" s="3642"/>
      <c r="Q93" s="3642"/>
    </row>
    <row r="94" spans="2:17">
      <c r="C94" s="33"/>
      <c r="D94" s="33"/>
      <c r="E94" s="33"/>
      <c r="F94" s="2538"/>
      <c r="G94" s="3642"/>
      <c r="H94" s="3642"/>
      <c r="I94" s="3642"/>
      <c r="J94" s="3642"/>
      <c r="K94" s="3642"/>
      <c r="L94" s="3642"/>
      <c r="M94" s="3642"/>
      <c r="N94" s="3642"/>
      <c r="O94" s="3642"/>
      <c r="P94" s="3642"/>
      <c r="Q94" s="3642"/>
    </row>
    <row r="95" spans="2:17">
      <c r="C95" s="33"/>
      <c r="D95" s="33"/>
      <c r="E95" s="33"/>
      <c r="F95" s="2538"/>
      <c r="G95" s="3642"/>
      <c r="H95" s="3642"/>
      <c r="I95" s="3642"/>
      <c r="J95" s="3642"/>
      <c r="K95" s="3642"/>
      <c r="L95" s="3642"/>
      <c r="M95" s="3642"/>
      <c r="N95" s="3642"/>
      <c r="O95" s="3642"/>
      <c r="P95" s="3642"/>
      <c r="Q95" s="3642"/>
    </row>
    <row r="96" spans="2:17">
      <c r="C96" s="33"/>
      <c r="D96" s="33"/>
      <c r="E96" s="33"/>
      <c r="F96" s="2538"/>
      <c r="G96" s="3642"/>
      <c r="H96" s="3642"/>
      <c r="I96" s="3642"/>
      <c r="J96" s="3642"/>
      <c r="K96" s="3642"/>
      <c r="L96" s="3642"/>
      <c r="M96" s="3642"/>
      <c r="N96" s="3642"/>
      <c r="O96" s="3642"/>
      <c r="P96" s="3642"/>
      <c r="Q96" s="3642"/>
    </row>
    <row r="97" spans="2:17">
      <c r="C97" s="33"/>
      <c r="D97" s="33"/>
      <c r="E97" s="33"/>
      <c r="G97" s="3642"/>
      <c r="H97" s="3642"/>
      <c r="I97" s="3642"/>
      <c r="J97" s="3642"/>
      <c r="K97" s="3642"/>
      <c r="L97" s="3642"/>
      <c r="M97" s="3642"/>
      <c r="N97" s="3642"/>
      <c r="O97" s="3642"/>
      <c r="P97" s="3642"/>
      <c r="Q97" s="3642"/>
    </row>
    <row r="98" spans="2:17">
      <c r="C98" s="33"/>
      <c r="D98" s="33"/>
      <c r="E98" s="33"/>
      <c r="G98" s="3642"/>
      <c r="H98" s="3642"/>
      <c r="I98" s="3642"/>
      <c r="J98" s="3642"/>
      <c r="K98" s="3642"/>
      <c r="L98" s="3642"/>
      <c r="M98" s="3642"/>
      <c r="N98" s="3642"/>
      <c r="O98" s="3642"/>
      <c r="P98" s="3642"/>
      <c r="Q98" s="3642"/>
    </row>
    <row r="99" spans="2:17">
      <c r="B99" s="33"/>
      <c r="C99" s="33"/>
      <c r="D99" s="33"/>
      <c r="E99" s="33"/>
      <c r="G99" s="3642"/>
      <c r="H99" s="3642"/>
      <c r="I99" s="3642"/>
      <c r="J99" s="3642"/>
      <c r="K99" s="3642"/>
      <c r="L99" s="3642"/>
      <c r="M99" s="3642"/>
      <c r="N99" s="3642"/>
      <c r="O99" s="3642"/>
      <c r="P99" s="3642"/>
      <c r="Q99" s="3642"/>
    </row>
    <row r="100" spans="2:17">
      <c r="B100" s="33"/>
      <c r="C100" s="33"/>
      <c r="D100" s="33"/>
      <c r="E100" s="33"/>
      <c r="G100" s="3642"/>
      <c r="H100" s="3642"/>
      <c r="I100" s="3642"/>
      <c r="J100" s="3642"/>
      <c r="K100" s="3642"/>
      <c r="L100" s="3642"/>
      <c r="M100" s="3642"/>
      <c r="N100" s="3642"/>
      <c r="O100" s="3642"/>
      <c r="P100" s="3642"/>
      <c r="Q100" s="3642"/>
    </row>
    <row r="101" spans="2:17">
      <c r="B101" s="33"/>
      <c r="C101" s="33"/>
      <c r="D101" s="33"/>
      <c r="E101" s="33"/>
      <c r="G101" s="3642"/>
      <c r="H101" s="3642"/>
      <c r="I101" s="3642"/>
      <c r="J101" s="3642"/>
      <c r="K101" s="3642"/>
      <c r="L101" s="3642"/>
      <c r="M101" s="3642"/>
      <c r="N101" s="3642"/>
      <c r="O101" s="3642"/>
      <c r="P101" s="3642"/>
      <c r="Q101" s="3642"/>
    </row>
    <row r="102" spans="2:17">
      <c r="B102" s="33"/>
      <c r="C102" s="33"/>
      <c r="D102" s="33"/>
      <c r="E102" s="33"/>
      <c r="G102" s="3642"/>
      <c r="H102" s="3642"/>
      <c r="I102" s="3642"/>
      <c r="J102" s="3642"/>
      <c r="K102" s="3642"/>
      <c r="L102" s="3642"/>
      <c r="M102" s="3642"/>
      <c r="N102" s="3642"/>
      <c r="O102" s="3642"/>
      <c r="P102" s="3642"/>
      <c r="Q102" s="3642"/>
    </row>
    <row r="103" spans="2:17">
      <c r="B103" s="33"/>
      <c r="C103" s="33"/>
      <c r="D103" s="33"/>
      <c r="G103" s="3642"/>
      <c r="H103" s="3642"/>
      <c r="I103" s="3642"/>
      <c r="J103" s="3642"/>
      <c r="K103" s="3642"/>
      <c r="L103" s="3642"/>
      <c r="M103" s="3642"/>
      <c r="N103" s="3642"/>
      <c r="O103" s="3642"/>
      <c r="P103" s="3642"/>
      <c r="Q103" s="3642"/>
    </row>
    <row r="104" spans="2:17">
      <c r="B104" s="33"/>
      <c r="C104" s="33"/>
      <c r="D104" s="33"/>
      <c r="G104" s="3642"/>
      <c r="H104" s="3642"/>
      <c r="I104" s="3642"/>
      <c r="J104" s="3642"/>
      <c r="K104" s="3642"/>
      <c r="L104" s="3642"/>
      <c r="M104" s="3642"/>
      <c r="N104" s="3642"/>
      <c r="O104" s="3642"/>
      <c r="P104" s="3642"/>
      <c r="Q104" s="3642"/>
    </row>
    <row r="105" spans="2:17">
      <c r="B105" s="33"/>
      <c r="C105" s="33"/>
      <c r="D105" s="33"/>
      <c r="G105" s="3642"/>
      <c r="H105" s="3642"/>
      <c r="I105" s="3642"/>
      <c r="J105" s="3642"/>
      <c r="K105" s="3642"/>
      <c r="L105" s="3642"/>
      <c r="M105" s="3642"/>
      <c r="N105" s="3642"/>
      <c r="O105" s="3642"/>
      <c r="P105" s="3642"/>
      <c r="Q105" s="3642"/>
    </row>
    <row r="106" spans="2:17">
      <c r="B106" s="33"/>
      <c r="C106" s="33"/>
      <c r="D106" s="33"/>
      <c r="G106" s="3642"/>
      <c r="H106" s="3642"/>
      <c r="I106" s="3642"/>
      <c r="J106" s="3642"/>
      <c r="K106" s="3642"/>
      <c r="L106" s="3642"/>
      <c r="M106" s="3642"/>
      <c r="N106" s="3642"/>
      <c r="O106" s="3642"/>
      <c r="P106" s="3642"/>
      <c r="Q106" s="3642"/>
    </row>
    <row r="107" spans="2:17">
      <c r="G107" s="3642"/>
      <c r="H107" s="3642"/>
      <c r="I107" s="3642"/>
      <c r="J107" s="3642"/>
      <c r="K107" s="3642"/>
      <c r="L107" s="3642"/>
      <c r="M107" s="3642"/>
      <c r="N107" s="3642"/>
      <c r="O107" s="3642"/>
      <c r="P107" s="3642"/>
    </row>
    <row r="108" spans="2:17">
      <c r="G108" s="3642"/>
      <c r="H108" s="3642"/>
      <c r="I108" s="3642"/>
      <c r="J108" s="3642"/>
      <c r="K108" s="3642"/>
      <c r="L108" s="3642"/>
      <c r="M108" s="3642"/>
      <c r="N108" s="3642"/>
      <c r="O108" s="3642"/>
      <c r="P108" s="3642"/>
      <c r="Q108" s="3642"/>
    </row>
    <row r="109" spans="2:17">
      <c r="G109" s="3642"/>
      <c r="H109" s="3642"/>
      <c r="I109" s="3642"/>
      <c r="J109" s="3642"/>
      <c r="K109" s="3642"/>
      <c r="L109" s="3642"/>
      <c r="M109" s="3642"/>
      <c r="N109" s="3642"/>
      <c r="O109" s="3642"/>
      <c r="P109" s="3642"/>
      <c r="Q109" s="3642"/>
    </row>
    <row r="110" spans="2:17">
      <c r="G110" s="3642"/>
      <c r="H110" s="3642"/>
      <c r="I110" s="3642"/>
      <c r="J110" s="3642"/>
      <c r="K110" s="3642"/>
      <c r="L110" s="3642"/>
      <c r="M110" s="3642"/>
      <c r="N110" s="3642"/>
      <c r="O110" s="3642"/>
      <c r="P110" s="3642"/>
      <c r="Q110" s="3642"/>
    </row>
    <row r="111" spans="2:17">
      <c r="G111" s="3642"/>
      <c r="H111" s="3642"/>
      <c r="I111" s="3642"/>
      <c r="J111" s="3642"/>
      <c r="K111" s="3642"/>
      <c r="L111" s="3642"/>
      <c r="M111" s="3642"/>
      <c r="N111" s="3642"/>
      <c r="O111" s="3642"/>
      <c r="P111" s="3642"/>
      <c r="Q111" s="3642"/>
    </row>
    <row r="112" spans="2:17">
      <c r="G112" s="3642"/>
      <c r="H112" s="3642"/>
      <c r="I112" s="3642"/>
      <c r="J112" s="3642"/>
      <c r="K112" s="3642"/>
      <c r="L112" s="3642"/>
      <c r="M112" s="3642"/>
      <c r="N112" s="3642"/>
      <c r="O112" s="3642"/>
      <c r="P112" s="3642"/>
      <c r="Q112" s="3642"/>
    </row>
    <row r="113" spans="2:17">
      <c r="G113" s="3642"/>
      <c r="H113" s="3642"/>
      <c r="I113" s="3642"/>
      <c r="J113" s="3642"/>
      <c r="K113" s="3642"/>
      <c r="L113" s="3642"/>
      <c r="M113" s="3642"/>
      <c r="N113" s="3642"/>
      <c r="O113" s="3642"/>
      <c r="P113" s="3642"/>
      <c r="Q113" s="3642"/>
    </row>
    <row r="114" spans="2:17">
      <c r="G114" s="3642"/>
      <c r="H114" s="3642"/>
      <c r="I114" s="3642"/>
      <c r="J114" s="3642"/>
      <c r="K114" s="3642"/>
      <c r="L114" s="3642"/>
      <c r="M114" s="3642"/>
      <c r="N114" s="3642"/>
      <c r="O114" s="3642"/>
      <c r="P114" s="3642"/>
      <c r="Q114" s="3642"/>
    </row>
    <row r="115" spans="2:17">
      <c r="G115" s="3642"/>
      <c r="H115" s="3642"/>
      <c r="I115" s="3642"/>
      <c r="J115" s="3642"/>
      <c r="K115" s="3642"/>
      <c r="L115" s="3642"/>
      <c r="M115" s="3642"/>
      <c r="N115" s="3642"/>
      <c r="O115" s="3642"/>
      <c r="P115" s="3642"/>
      <c r="Q115" s="3642"/>
    </row>
    <row r="116" spans="2:17">
      <c r="G116" s="3642"/>
      <c r="H116" s="3642"/>
      <c r="I116" s="3642"/>
      <c r="J116" s="3642"/>
      <c r="K116" s="3642"/>
      <c r="L116" s="3642"/>
      <c r="M116" s="3642"/>
      <c r="N116" s="3642"/>
      <c r="O116" s="3642"/>
      <c r="P116" s="3642"/>
      <c r="Q116" s="3642"/>
    </row>
    <row r="117" spans="2:17">
      <c r="G117" s="3642"/>
      <c r="H117" s="3642"/>
      <c r="I117" s="3642"/>
      <c r="J117" s="3642"/>
      <c r="K117" s="3642"/>
      <c r="L117" s="3642"/>
      <c r="M117" s="3642"/>
      <c r="N117" s="3642"/>
      <c r="O117" s="3642"/>
      <c r="P117" s="3642"/>
      <c r="Q117" s="3642"/>
    </row>
    <row r="118" spans="2:17">
      <c r="B118" s="622"/>
      <c r="C118" s="33"/>
      <c r="K118" s="3642"/>
      <c r="L118" s="3642"/>
      <c r="M118" s="3642"/>
      <c r="N118" s="3642"/>
      <c r="O118" s="3642"/>
      <c r="P118" s="3642"/>
      <c r="Q118" s="3642"/>
    </row>
    <row r="119" spans="2:17">
      <c r="B119" s="622"/>
      <c r="C119" s="33"/>
      <c r="K119" s="3642"/>
      <c r="L119" s="3642"/>
      <c r="M119" s="3642"/>
      <c r="N119" s="3642"/>
      <c r="O119" s="3642"/>
      <c r="P119" s="3642"/>
      <c r="Q119" s="3642"/>
    </row>
    <row r="120" spans="2:17">
      <c r="B120" s="622"/>
      <c r="C120" s="33"/>
      <c r="K120" s="3642"/>
      <c r="L120" s="3642"/>
      <c r="M120" s="3642"/>
      <c r="N120" s="3642"/>
      <c r="O120" s="3642"/>
      <c r="P120" s="3642"/>
      <c r="Q120" s="3642"/>
    </row>
    <row r="121" spans="2:17">
      <c r="B121" s="622"/>
      <c r="C121" s="33"/>
      <c r="K121" s="3642"/>
      <c r="L121" s="3642"/>
      <c r="M121" s="3642"/>
      <c r="N121" s="3642"/>
      <c r="O121" s="3642"/>
      <c r="P121" s="3642"/>
      <c r="Q121" s="3642"/>
    </row>
    <row r="122" spans="2:17">
      <c r="B122" s="622"/>
      <c r="C122" s="33"/>
      <c r="K122" s="3642"/>
      <c r="L122" s="3642"/>
      <c r="M122" s="3642"/>
      <c r="N122" s="3642"/>
      <c r="O122" s="3642"/>
      <c r="P122" s="3642"/>
      <c r="Q122" s="3642"/>
    </row>
    <row r="123" spans="2:17">
      <c r="B123" s="622"/>
      <c r="C123" s="33"/>
      <c r="K123" s="3642"/>
      <c r="L123" s="3642"/>
      <c r="M123" s="3642"/>
      <c r="N123" s="3642"/>
      <c r="O123" s="3642"/>
      <c r="P123" s="3642"/>
      <c r="Q123" s="3642"/>
    </row>
    <row r="124" spans="2:17">
      <c r="B124" s="622"/>
      <c r="C124" s="33"/>
      <c r="K124" s="3642"/>
      <c r="L124" s="3642"/>
      <c r="M124" s="3642"/>
      <c r="N124" s="3642"/>
      <c r="O124" s="3642"/>
      <c r="P124" s="3642"/>
      <c r="Q124" s="3642"/>
    </row>
    <row r="125" spans="2:17">
      <c r="B125" s="622"/>
      <c r="C125" s="33"/>
      <c r="K125" s="3642"/>
      <c r="L125" s="3642"/>
      <c r="M125" s="3642"/>
      <c r="N125" s="3642"/>
      <c r="O125" s="3642"/>
      <c r="P125" s="3642"/>
      <c r="Q125" s="3642"/>
    </row>
    <row r="126" spans="2:17">
      <c r="B126" s="622"/>
      <c r="C126" s="33"/>
      <c r="K126" s="3642"/>
      <c r="L126" s="3642"/>
      <c r="M126" s="3642"/>
      <c r="N126" s="3642"/>
      <c r="O126" s="3642"/>
      <c r="P126" s="3642"/>
      <c r="Q126" s="3642"/>
    </row>
    <row r="127" spans="2:17">
      <c r="B127" s="622"/>
      <c r="C127" s="33"/>
      <c r="K127" s="3642"/>
      <c r="L127" s="3642"/>
      <c r="M127" s="3642"/>
      <c r="N127" s="3642"/>
      <c r="O127" s="3642"/>
      <c r="P127" s="3642"/>
      <c r="Q127" s="3642"/>
    </row>
    <row r="128" spans="2:17">
      <c r="B128" s="622"/>
      <c r="C128" s="33"/>
      <c r="K128" s="3642"/>
      <c r="L128" s="3642"/>
      <c r="M128" s="3642"/>
      <c r="N128" s="3642"/>
      <c r="O128" s="3642"/>
      <c r="P128" s="3642"/>
      <c r="Q128" s="3642"/>
    </row>
    <row r="129" spans="2:17">
      <c r="B129" s="622"/>
      <c r="C129" s="33"/>
      <c r="K129" s="3642"/>
      <c r="L129" s="3642"/>
      <c r="M129" s="3642"/>
      <c r="N129" s="3642"/>
      <c r="O129" s="3642"/>
      <c r="P129" s="3642"/>
      <c r="Q129" s="3642"/>
    </row>
    <row r="130" spans="2:17">
      <c r="B130" s="622"/>
      <c r="C130" s="33"/>
      <c r="K130" s="3642"/>
      <c r="L130" s="3642"/>
      <c r="M130" s="3642"/>
      <c r="N130" s="3642"/>
      <c r="O130" s="3642"/>
      <c r="P130" s="3642"/>
      <c r="Q130" s="3642"/>
    </row>
    <row r="131" spans="2:17">
      <c r="B131" s="622"/>
      <c r="C131" s="33"/>
      <c r="K131" s="3642"/>
      <c r="L131" s="3642"/>
      <c r="M131" s="3642"/>
      <c r="N131" s="3642"/>
      <c r="O131" s="3642"/>
      <c r="P131" s="3642"/>
      <c r="Q131" s="3642"/>
    </row>
    <row r="132" spans="2:17">
      <c r="B132" s="622"/>
      <c r="C132" s="33"/>
      <c r="K132" s="3642"/>
      <c r="L132" s="3642"/>
      <c r="M132" s="3642"/>
      <c r="N132" s="3642"/>
      <c r="O132" s="3642"/>
      <c r="P132" s="3642"/>
      <c r="Q132" s="3642"/>
    </row>
    <row r="133" spans="2:17">
      <c r="B133" s="622"/>
      <c r="C133" s="33"/>
      <c r="K133" s="3642"/>
      <c r="L133" s="3642"/>
      <c r="M133" s="3642"/>
      <c r="N133" s="3642"/>
      <c r="O133" s="3642"/>
      <c r="P133" s="3642"/>
      <c r="Q133" s="3642"/>
    </row>
    <row r="134" spans="2:17">
      <c r="B134" s="622"/>
      <c r="C134" s="33"/>
      <c r="K134" s="3642"/>
      <c r="L134" s="3642"/>
      <c r="M134" s="3642"/>
      <c r="N134" s="3642"/>
      <c r="O134" s="3642"/>
      <c r="P134" s="3642"/>
      <c r="Q134" s="3642"/>
    </row>
    <row r="135" spans="2:17">
      <c r="B135" s="622"/>
      <c r="C135" s="33"/>
      <c r="K135" s="3642"/>
      <c r="L135" s="3642"/>
      <c r="M135" s="3642"/>
      <c r="N135" s="3642"/>
      <c r="O135" s="3642"/>
      <c r="P135" s="3642"/>
      <c r="Q135" s="3642"/>
    </row>
    <row r="136" spans="2:17">
      <c r="B136" s="622"/>
      <c r="C136" s="33"/>
      <c r="K136" s="3642"/>
      <c r="L136" s="3642"/>
      <c r="M136" s="3642"/>
      <c r="N136" s="3642"/>
      <c r="O136" s="3642"/>
      <c r="P136" s="3642"/>
      <c r="Q136" s="3642"/>
    </row>
    <row r="137" spans="2:17">
      <c r="B137" s="622"/>
      <c r="C137" s="33"/>
      <c r="L137" s="33"/>
    </row>
    <row r="138" spans="2:17">
      <c r="B138" s="622"/>
      <c r="C138" s="33"/>
      <c r="L138" s="33"/>
    </row>
    <row r="139" spans="2:17">
      <c r="B139" s="622"/>
      <c r="C139" s="33"/>
      <c r="L139" s="33"/>
    </row>
    <row r="140" spans="2:17">
      <c r="B140" s="622"/>
      <c r="C140" s="33"/>
      <c r="L140" s="33"/>
    </row>
    <row r="141" spans="2:17">
      <c r="B141" s="622"/>
      <c r="C141" s="33"/>
      <c r="L141" s="33"/>
    </row>
    <row r="142" spans="2:17">
      <c r="B142" s="622"/>
      <c r="C142" s="33"/>
      <c r="L142" s="33"/>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c r="D157" s="33"/>
      <c r="F157" s="33"/>
      <c r="G157" s="33"/>
      <c r="H157" s="33"/>
      <c r="I157" s="33"/>
      <c r="J157" s="33"/>
      <c r="K157" s="33"/>
    </row>
    <row r="158" spans="2:12">
      <c r="B158" s="622"/>
      <c r="C158" s="33"/>
      <c r="D158" s="33"/>
      <c r="F158" s="33"/>
      <c r="G158" s="33"/>
      <c r="H158" s="33"/>
      <c r="I158" s="33"/>
      <c r="J158" s="33"/>
      <c r="K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50">
    <mergeCell ref="B75:C75"/>
    <mergeCell ref="F34:G34"/>
    <mergeCell ref="C42:E42"/>
    <mergeCell ref="C57:D57"/>
    <mergeCell ref="C52:D52"/>
    <mergeCell ref="C64:E64"/>
    <mergeCell ref="C53:D53"/>
    <mergeCell ref="C54:D54"/>
    <mergeCell ref="C56:D56"/>
    <mergeCell ref="C55:D55"/>
    <mergeCell ref="C62:E62"/>
    <mergeCell ref="C63:E63"/>
    <mergeCell ref="C68:E68"/>
    <mergeCell ref="D25:E25"/>
    <mergeCell ref="D26:E26"/>
    <mergeCell ref="C73:E73"/>
    <mergeCell ref="E22:G22"/>
    <mergeCell ref="C74:E74"/>
    <mergeCell ref="W3:Y3"/>
    <mergeCell ref="W4:Y4"/>
    <mergeCell ref="H6:I6"/>
    <mergeCell ref="C49:D49"/>
    <mergeCell ref="C48:D48"/>
    <mergeCell ref="N6:O6"/>
    <mergeCell ref="C38:E38"/>
    <mergeCell ref="C39:E39"/>
    <mergeCell ref="C36:E36"/>
    <mergeCell ref="C47:D47"/>
    <mergeCell ref="C37:E37"/>
    <mergeCell ref="C40:E40"/>
    <mergeCell ref="K6:L6"/>
    <mergeCell ref="E4:I4"/>
    <mergeCell ref="N3:O4"/>
    <mergeCell ref="F23:G23"/>
    <mergeCell ref="C78:F78"/>
    <mergeCell ref="C79:F79"/>
    <mergeCell ref="G1:I1"/>
    <mergeCell ref="K1:L1"/>
    <mergeCell ref="N1:O1"/>
    <mergeCell ref="C16:F16"/>
    <mergeCell ref="C51:D51"/>
    <mergeCell ref="K2:P2"/>
    <mergeCell ref="C14:F14"/>
    <mergeCell ref="C15:F15"/>
    <mergeCell ref="C50:D50"/>
    <mergeCell ref="E10:F10"/>
    <mergeCell ref="C46:D46"/>
    <mergeCell ref="C41:E41"/>
    <mergeCell ref="C17:F17"/>
    <mergeCell ref="C19:F19"/>
  </mergeCells>
  <dataValidations count="4">
    <dataValidation type="decimal" allowBlank="1" showInputMessage="1" showErrorMessage="1" errorTitle="Wassergehalt Getreide" error="Zulässig sind nur Werte zwischen 14,1 und 22,0 % Wassergehalt." sqref="N68 H68 K68">
      <formula1>14.1</formula1>
      <formula2>26.9</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4" width="10.5" style="31" hidden="1" customWidth="1"/>
    <col min="25" max="28" width="10.5" style="3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1107.4615613928577</v>
      </c>
      <c r="K1" s="4859">
        <f>M1-J1</f>
        <v>471.13209043932352</v>
      </c>
      <c r="L1" s="4859"/>
      <c r="M1" s="1906">
        <f>(M7+M13+M18+M22+L11+L12)-(M23+M27+M34+M43+M60+M65+M67+M69+M71+M75)</f>
        <v>1578.5936518321812</v>
      </c>
      <c r="N1" s="4859">
        <f>P1-M1</f>
        <v>435.23070102427096</v>
      </c>
      <c r="O1" s="4859"/>
      <c r="P1" s="1906">
        <f>(P7+P13+P18+P22+O11+O12)-(P23+P27+P34+P43+P60+P65+P67+P69+P71+P75)</f>
        <v>2013.8243528564522</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1959</v>
      </c>
      <c r="L2" s="4870"/>
      <c r="M2" s="4870"/>
      <c r="N2" s="4870"/>
      <c r="O2" s="4870"/>
      <c r="P2" s="4870"/>
      <c r="Q2" s="2507"/>
    </row>
    <row r="3" spans="1:41" s="276" customFormat="1" ht="21.75" customHeight="1">
      <c r="A3" s="2507"/>
      <c r="B3" s="1903" t="s">
        <v>1693</v>
      </c>
      <c r="G3" s="1891"/>
      <c r="H3" s="1902"/>
      <c r="J3" s="33"/>
      <c r="K3" s="33"/>
      <c r="L3" s="33"/>
      <c r="M3" s="33"/>
      <c r="N3" s="33"/>
      <c r="O3" s="33"/>
      <c r="P3" s="1900"/>
      <c r="Q3" s="2507"/>
      <c r="T3" s="1918" t="b">
        <v>1</v>
      </c>
    </row>
    <row r="4" spans="1:41" s="276" customFormat="1" ht="20.25" customHeight="1">
      <c r="A4" s="2507"/>
      <c r="B4" s="377" t="s">
        <v>1154</v>
      </c>
      <c r="C4" s="31"/>
      <c r="D4" s="31"/>
      <c r="E4" s="4830" t="s">
        <v>1706</v>
      </c>
      <c r="F4" s="4830"/>
      <c r="G4" s="4830"/>
      <c r="H4" s="4830"/>
      <c r="I4" s="4830"/>
      <c r="J4" s="33"/>
      <c r="K4" s="33"/>
      <c r="L4" s="33"/>
      <c r="M4" s="33"/>
      <c r="N4" s="33"/>
      <c r="O4" s="33"/>
      <c r="P4" s="1896">
        <f>SDÖ1!O3</f>
        <v>0</v>
      </c>
      <c r="Q4" s="2507"/>
      <c r="T4" s="1918" t="b">
        <v>1</v>
      </c>
    </row>
    <row r="5" spans="1:41" ht="6" customHeight="1"/>
    <row r="6" spans="1:41" s="1885" customFormat="1" ht="24" customHeight="1">
      <c r="A6" s="48"/>
      <c r="B6" s="1890" t="s">
        <v>1207</v>
      </c>
      <c r="C6" s="1889"/>
      <c r="D6" s="1889"/>
      <c r="E6" s="1889"/>
      <c r="F6" s="1889"/>
      <c r="G6" s="1888" t="s">
        <v>1700</v>
      </c>
      <c r="H6" s="4864"/>
      <c r="I6" s="4865"/>
      <c r="J6" s="1887">
        <v>20</v>
      </c>
      <c r="K6" s="4849"/>
      <c r="L6" s="4850"/>
      <c r="M6" s="1887">
        <v>30</v>
      </c>
      <c r="N6" s="4864"/>
      <c r="O6" s="4865"/>
      <c r="P6" s="1886">
        <v>40</v>
      </c>
      <c r="Q6" s="70"/>
    </row>
    <row r="7" spans="1:41" s="252" customFormat="1" ht="18.75" customHeight="1">
      <c r="A7" s="47"/>
      <c r="B7" s="311" t="s">
        <v>1691</v>
      </c>
      <c r="C7" s="47"/>
      <c r="D7" s="47"/>
      <c r="E7" s="47"/>
      <c r="F7" s="47"/>
      <c r="G7" s="1884" t="s">
        <v>171</v>
      </c>
      <c r="H7" s="1881"/>
      <c r="I7" s="1880"/>
      <c r="J7" s="1614">
        <f>SUM(I9:I10)</f>
        <v>1671.1000000000001</v>
      </c>
      <c r="K7" s="1883"/>
      <c r="L7" s="1882"/>
      <c r="M7" s="1617">
        <f>SUM(L9:L10)</f>
        <v>2506.65</v>
      </c>
      <c r="N7" s="1881"/>
      <c r="O7" s="1880"/>
      <c r="P7" s="1614">
        <f>SUM(O9:O10)</f>
        <v>3342.2000000000003</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SDÖ1!O44</f>
        <v>83.555000000000007</v>
      </c>
      <c r="H9" s="1877">
        <f>J6-H10</f>
        <v>20</v>
      </c>
      <c r="I9" s="1873">
        <f>H9*G9</f>
        <v>1671.1000000000001</v>
      </c>
      <c r="J9" s="43"/>
      <c r="K9" s="1876">
        <f>M6-K10</f>
        <v>30</v>
      </c>
      <c r="L9" s="1875">
        <f>K9*G9</f>
        <v>2506.65</v>
      </c>
      <c r="M9" s="1854"/>
      <c r="N9" s="1874">
        <f>P6-N10</f>
        <v>40</v>
      </c>
      <c r="O9" s="1873">
        <f>N9*G9</f>
        <v>3342.2000000000003</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0</v>
      </c>
      <c r="Y12" s="1839">
        <f>IF(OR(T3=TRUE,T4=TRUE),M6*$E$11,"0")</f>
        <v>0</v>
      </c>
      <c r="Z12" s="1838">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X13" s="1838">
        <f>IF(OR(T4=TRUE,T5=TRUE),J7*$E$11,"0")</f>
        <v>0</v>
      </c>
      <c r="Y13" s="1839">
        <f>IF(OR(T4=TRUE,T5=TRUE),M7*$E$11,"0")</f>
        <v>0</v>
      </c>
      <c r="Z13" s="1838">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4100" t="s">
        <v>171</v>
      </c>
      <c r="H19" s="1818"/>
      <c r="I19" s="3965">
        <f>IF(OR($C19=0,$J$6=0),0,VLOOKUP($C19,'SD2'!C59:N75,12,FALSE))</f>
        <v>158</v>
      </c>
      <c r="J19" s="45">
        <f>SUM(I23:I24)</f>
        <v>0</v>
      </c>
      <c r="K19" s="1819"/>
      <c r="L19" s="1671">
        <f>IF(OR($C19=0,$M$6=0),0,VLOOKUP($C19,'SD2'!$C$59:$N$74,12,FALSE))</f>
        <v>158</v>
      </c>
      <c r="M19" s="1589">
        <f>SUM(L23:L24)</f>
        <v>0</v>
      </c>
      <c r="N19" s="1818"/>
      <c r="O19" s="1817">
        <f>IF(OR($C19=0,$P$6=0),0,VLOOKUP($C19,'SD2'!C59:N75,12,FALSE))</f>
        <v>158</v>
      </c>
      <c r="P19" s="1586">
        <f>SUM(O23:O24)</f>
        <v>0</v>
      </c>
      <c r="R19" s="1816">
        <f>J13+J18</f>
        <v>595.4</v>
      </c>
      <c r="S19" s="1816">
        <f>M13+M18</f>
        <v>595.4</v>
      </c>
      <c r="T19" s="1816">
        <f>P13+P18</f>
        <v>595.4</v>
      </c>
    </row>
    <row r="20" spans="1:26"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IF(OR($C20=0,$M$6=0),0,VLOOKUP($C20,'SD2'!$C$59:$N$74,12,FALSE))</f>
        <v>63.4</v>
      </c>
      <c r="M20" s="3920"/>
      <c r="N20" s="1818"/>
      <c r="O20" s="3965">
        <f>IF(OR($C20=0,$P$6=0),0,VLOOKUP($C20,'SD2'!C60:N76,12,FALSE))</f>
        <v>63.4</v>
      </c>
      <c r="P20" s="1586"/>
      <c r="Q20" s="4057"/>
      <c r="R20" s="4043"/>
      <c r="S20" s="4043"/>
      <c r="T20" s="4043"/>
    </row>
    <row r="21" spans="1:26" s="4056" customFormat="1" ht="15.6" customHeight="1">
      <c r="A21" s="3913"/>
      <c r="B21" s="1821"/>
      <c r="C21" s="4099" t="s">
        <v>2183</v>
      </c>
      <c r="D21" s="4099"/>
      <c r="E21" s="4099"/>
      <c r="F21" s="4099"/>
      <c r="G21" s="4100"/>
      <c r="H21" s="1818"/>
      <c r="I21" s="3965">
        <f>IF(OR($C21=0,$J$6=0),0,VLOOKUP($C21,'SD2'!C61:N77,12,FALSE))</f>
        <v>134</v>
      </c>
      <c r="J21" s="3908"/>
      <c r="K21" s="1819"/>
      <c r="L21" s="3955">
        <f>IF(OR($C21=0,$M$6=0),0,VLOOKUP($C21,'SD2'!$C$59:$N$74,12,FALSE))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225</v>
      </c>
      <c r="K23" s="1619"/>
      <c r="L23" s="1618"/>
      <c r="M23" s="1800">
        <f>SUM(L25:L26)</f>
        <v>225</v>
      </c>
      <c r="N23" s="1616"/>
      <c r="O23" s="1615"/>
      <c r="P23" s="1599">
        <f>SUM(O25:O26)</f>
        <v>225</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225</v>
      </c>
      <c r="G25" s="1794">
        <f>F25*(100+$D$24)/100</f>
        <v>225</v>
      </c>
      <c r="H25" s="1793">
        <v>1</v>
      </c>
      <c r="I25" s="1754">
        <f>H25*$G25</f>
        <v>225</v>
      </c>
      <c r="J25" s="45"/>
      <c r="K25" s="1793">
        <f>H25</f>
        <v>1</v>
      </c>
      <c r="L25" s="1596">
        <f>K25*$G25</f>
        <v>225</v>
      </c>
      <c r="M25" s="1589"/>
      <c r="N25" s="1793">
        <f>H25</f>
        <v>1</v>
      </c>
      <c r="O25" s="1754">
        <f>N25*$G25</f>
        <v>225</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300.33333333333326</v>
      </c>
      <c r="K27" s="1748"/>
      <c r="L27" s="1747"/>
      <c r="M27" s="1617">
        <f>SUM(L30:L33)</f>
        <v>450.5</v>
      </c>
      <c r="N27" s="1746"/>
      <c r="O27" s="1745"/>
      <c r="P27" s="1614">
        <f>SUM(O30:O33)</f>
        <v>600.66666666666652</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v>2</v>
      </c>
      <c r="F30" s="1774"/>
      <c r="G30" s="1773">
        <v>0</v>
      </c>
      <c r="H30" s="1771">
        <f>IF(J$6=0,0,(J$6*$E30+$G30+X13))</f>
        <v>40</v>
      </c>
      <c r="I30" s="1754">
        <f>H30*$D30</f>
        <v>181.33333333333331</v>
      </c>
      <c r="J30" s="45"/>
      <c r="K30" s="1772">
        <f>IF(M$6=0,0,(M$6*$E30+$G30+AA14))</f>
        <v>60</v>
      </c>
      <c r="L30" s="1596">
        <f>K30*$D30</f>
        <v>272</v>
      </c>
      <c r="M30" s="1589"/>
      <c r="N30" s="1771">
        <f>IF(P$6=0,0,(P$6*$E30+$G30+AD14))</f>
        <v>80</v>
      </c>
      <c r="O30" s="1754">
        <f>N30*$D30</f>
        <v>362.66666666666663</v>
      </c>
      <c r="P30" s="1718"/>
      <c r="Q30" s="32"/>
    </row>
    <row r="31" spans="1:26" s="42" customFormat="1" ht="15" customHeight="1">
      <c r="A31" s="1306"/>
      <c r="B31" s="274"/>
      <c r="C31" s="1306" t="s">
        <v>244</v>
      </c>
      <c r="D31" s="1723">
        <f>IF(SDÖ1!$U$17=TRUE,SDÖ1!O56,0)</f>
        <v>1.3999999999999997</v>
      </c>
      <c r="E31" s="1774">
        <f>VLOOKUP('SD8'!B27,'SD8'!B9:K44,4,FALSE)</f>
        <v>1.6</v>
      </c>
      <c r="F31" s="1774"/>
      <c r="G31" s="1773"/>
      <c r="H31" s="1771">
        <f>IF(J$6=0,0,(J$6*$E31+$G31+X14))</f>
        <v>32</v>
      </c>
      <c r="I31" s="1754">
        <f>H31*$D31</f>
        <v>44.79999999999999</v>
      </c>
      <c r="J31" s="45"/>
      <c r="K31" s="1772">
        <f>IF(M$6=0,0,(M$6*$E31+$G31+Y14))</f>
        <v>48</v>
      </c>
      <c r="L31" s="1596">
        <f>K31*$D31</f>
        <v>67.199999999999989</v>
      </c>
      <c r="M31" s="1589"/>
      <c r="N31" s="1771">
        <f>IF(P$6=0,0,(P$6*$E31+$G31+Z14))</f>
        <v>64</v>
      </c>
      <c r="O31" s="1754">
        <f>N31*$D31</f>
        <v>89.59999999999998</v>
      </c>
      <c r="P31" s="1718"/>
      <c r="Q31" s="32"/>
    </row>
    <row r="32" spans="1:26" s="708" customFormat="1" ht="18.75" customHeight="1">
      <c r="A32" s="1270"/>
      <c r="B32" s="274"/>
      <c r="C32" s="1306" t="s">
        <v>242</v>
      </c>
      <c r="D32" s="1723">
        <f>IF(SDÖ1!$U$17=TRUE,SDÖ1!O57,0)</f>
        <v>1.3999999999999997</v>
      </c>
      <c r="E32" s="1774">
        <f>VLOOKUP('SD8'!B27,'SD8'!B9:K44,5,FALSE)</f>
        <v>2.4</v>
      </c>
      <c r="F32" s="1774"/>
      <c r="G32" s="1773"/>
      <c r="H32" s="1771">
        <f>IF(J$6=0,0,(J$6*$E32+$G32+X15))</f>
        <v>48</v>
      </c>
      <c r="I32" s="1754">
        <f>H32*$D32</f>
        <v>67.199999999999989</v>
      </c>
      <c r="J32" s="45"/>
      <c r="K32" s="1772">
        <f>IF(M$6=0,0,(M$6*$E32+$G32+Y15))</f>
        <v>72</v>
      </c>
      <c r="L32" s="1596">
        <f>K32*$D32</f>
        <v>100.79999999999998</v>
      </c>
      <c r="M32" s="1589"/>
      <c r="N32" s="1771">
        <f>IF(P$6=0,0,(P$6*$E32+$G32+Z15))</f>
        <v>96</v>
      </c>
      <c r="O32" s="1754">
        <f>N32*$D32</f>
        <v>134.39999999999998</v>
      </c>
      <c r="P32" s="1718"/>
      <c r="Q32" s="32"/>
    </row>
    <row r="33" spans="1:17" s="708" customFormat="1" ht="13.15" customHeight="1">
      <c r="A33" s="1270"/>
      <c r="B33" s="239"/>
      <c r="C33" s="1331" t="s">
        <v>240</v>
      </c>
      <c r="D33" s="1706">
        <f>IF(SDÖ1!$U$17=TRUE,SDÖ1!O58,0)</f>
        <v>0.5</v>
      </c>
      <c r="E33" s="1770">
        <f>VLOOKUP('SD8'!B27,'SD8'!B9:K44,6,FALSE)</f>
        <v>0.7</v>
      </c>
      <c r="F33" s="1770"/>
      <c r="G33" s="1769"/>
      <c r="H33" s="1767">
        <f>IF(J$6=0,0,(J$6*$E33+$G33+X16))</f>
        <v>14</v>
      </c>
      <c r="I33" s="1750">
        <f>H33*$D33</f>
        <v>7</v>
      </c>
      <c r="J33" s="45"/>
      <c r="K33" s="1768">
        <f>IF(M$6=0,0,(M$6*$E33+$G33+Y16))</f>
        <v>21</v>
      </c>
      <c r="L33" s="1590">
        <f>K33*$D33</f>
        <v>10.5</v>
      </c>
      <c r="M33" s="1589"/>
      <c r="N33" s="1767">
        <f>IF(P$6=0,0,(P$6*$E33+$G33+Z16))</f>
        <v>28</v>
      </c>
      <c r="O33" s="1750">
        <f>N33*$D33</f>
        <v>14</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167.01388808638657</v>
      </c>
      <c r="K43" s="1748"/>
      <c r="L43" s="1747"/>
      <c r="M43" s="1617">
        <f>SUM(M46:M57)</f>
        <v>168.73533300403363</v>
      </c>
      <c r="N43" s="1746"/>
      <c r="O43" s="1745"/>
      <c r="P43" s="1614">
        <f>SUM(P46:P57)</f>
        <v>168.04675503697482</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62" t="s">
        <v>515</v>
      </c>
      <c r="D46" s="4863"/>
      <c r="E46" s="1725">
        <f>IF($C46=0,0,VLOOKUP($C46,SDÖ3!$C$24:$O$99,4,FALSE))</f>
        <v>120</v>
      </c>
      <c r="F46" s="1724">
        <f>IF($C46=0,0,VLOOKUP($C46,SDÖ3!$C$24:$O$99,12,FALSE))</f>
        <v>1.46</v>
      </c>
      <c r="G46" s="1723">
        <f>IF($C46=0,0,VLOOKUP($C46,SDÖ3!$C$24:$O$99,13,FALSE))</f>
        <v>56.986584941176474</v>
      </c>
      <c r="H46" s="1720">
        <v>1</v>
      </c>
      <c r="I46" s="1719">
        <f t="shared" ref="I46:I51" si="4">$F46*H46</f>
        <v>1.46</v>
      </c>
      <c r="J46" s="1718">
        <f t="shared" ref="J46:J51" si="5">H46*$G46</f>
        <v>56.986584941176474</v>
      </c>
      <c r="K46" s="1720">
        <v>1</v>
      </c>
      <c r="L46" s="1722">
        <f t="shared" ref="L46:L56" si="6">$F46*K46</f>
        <v>1.46</v>
      </c>
      <c r="M46" s="1721">
        <f t="shared" ref="M46:M56" si="7">K46*$G46</f>
        <v>56.986584941176474</v>
      </c>
      <c r="N46" s="1720">
        <v>1</v>
      </c>
      <c r="O46" s="1719">
        <f t="shared" ref="O46:O56" si="8">$F46*N46</f>
        <v>1.46</v>
      </c>
      <c r="P46" s="1718">
        <f t="shared" ref="P46:P56" si="9">N46*$G46</f>
        <v>56.986584941176474</v>
      </c>
      <c r="Q46" s="32"/>
    </row>
    <row r="47" spans="1:17" s="42" customFormat="1" ht="15" customHeight="1">
      <c r="A47" s="1306"/>
      <c r="B47" s="1726"/>
      <c r="C47" s="4835" t="s">
        <v>504</v>
      </c>
      <c r="D47" s="4836"/>
      <c r="E47" s="1725">
        <f>IF($C47=0,0,VLOOKUP($C47,SDÖ3!$C$24:$O$99,4,FALSE))</f>
        <v>83</v>
      </c>
      <c r="F47" s="1724">
        <f>IF($C47=0,0,VLOOKUP($C47,SDÖ3!$C$24:$O$99,12,FALSE))</f>
        <v>0.56999999999999995</v>
      </c>
      <c r="G47" s="1723">
        <f>IF($C47=0,0,VLOOKUP($C47,SDÖ3!$C$24:$O$99,13,FALSE))</f>
        <v>13.864622900840335</v>
      </c>
      <c r="H47" s="1720">
        <v>2</v>
      </c>
      <c r="I47" s="1719">
        <f t="shared" si="4"/>
        <v>1.1399999999999999</v>
      </c>
      <c r="J47" s="1718">
        <f t="shared" si="5"/>
        <v>27.729245801680669</v>
      </c>
      <c r="K47" s="1720">
        <v>2</v>
      </c>
      <c r="L47" s="1722">
        <f t="shared" si="6"/>
        <v>1.1399999999999999</v>
      </c>
      <c r="M47" s="1721">
        <f t="shared" si="7"/>
        <v>27.729245801680669</v>
      </c>
      <c r="N47" s="1720">
        <v>2</v>
      </c>
      <c r="O47" s="1719">
        <f t="shared" si="8"/>
        <v>1.1399999999999999</v>
      </c>
      <c r="P47" s="1718">
        <f t="shared" si="9"/>
        <v>27.729245801680669</v>
      </c>
      <c r="Q47" s="32"/>
    </row>
    <row r="48" spans="1:17" s="42" customFormat="1" ht="15" customHeight="1">
      <c r="A48" s="1306"/>
      <c r="B48" s="1726"/>
      <c r="C48" s="4835" t="s">
        <v>482</v>
      </c>
      <c r="D48" s="4836"/>
      <c r="E48" s="1725">
        <f>IF($C48=0,0,VLOOKUP($C48,SDÖ3!$C$24:$O$99,4,FALSE))</f>
        <v>83</v>
      </c>
      <c r="F48" s="1724">
        <f>IF($C48=0,0,VLOOKUP($C48,SDÖ3!$C$24:$O$99,12,FALSE))</f>
        <v>0.8</v>
      </c>
      <c r="G48" s="1723">
        <f>IF($C48=0,0,VLOOKUP($C48,SDÖ3!$C$24:$O$99,13,FALSE))</f>
        <v>20.171559341176469</v>
      </c>
      <c r="H48" s="1720">
        <v>1</v>
      </c>
      <c r="I48" s="1719">
        <f t="shared" si="4"/>
        <v>0.8</v>
      </c>
      <c r="J48" s="1718">
        <f t="shared" si="5"/>
        <v>20.171559341176469</v>
      </c>
      <c r="K48" s="1720">
        <v>1</v>
      </c>
      <c r="L48" s="1722">
        <f t="shared" si="6"/>
        <v>0.8</v>
      </c>
      <c r="M48" s="1721">
        <f t="shared" si="7"/>
        <v>20.171559341176469</v>
      </c>
      <c r="N48" s="1720">
        <v>1</v>
      </c>
      <c r="O48" s="1719">
        <f t="shared" si="8"/>
        <v>0.8</v>
      </c>
      <c r="P48" s="1718">
        <f t="shared" si="9"/>
        <v>20.171559341176469</v>
      </c>
      <c r="Q48" s="32"/>
    </row>
    <row r="49" spans="1:17" s="42" customFormat="1" ht="15" customHeight="1">
      <c r="A49" s="1306"/>
      <c r="B49" s="1726"/>
      <c r="C49" s="4835"/>
      <c r="D49" s="4836"/>
      <c r="E49" s="1725">
        <f>IF($C49=0,0,VLOOKUP($C49,SDÖ3!$C$24:$O$99,4,FALSE))</f>
        <v>0</v>
      </c>
      <c r="F49" s="1724">
        <f>IF($C49=0,0,VLOOKUP($C49,SDÖ3!$C$24:$O$99,12,FALSE))</f>
        <v>0</v>
      </c>
      <c r="G49" s="1723">
        <f>IF($C49=0,0,VLOOKUP($C49,SDÖ3!$C$24:$O$99,13,FALSE))</f>
        <v>0</v>
      </c>
      <c r="H49" s="1720"/>
      <c r="I49" s="1719">
        <f t="shared" si="4"/>
        <v>0</v>
      </c>
      <c r="J49" s="1718">
        <f t="shared" si="5"/>
        <v>0</v>
      </c>
      <c r="K49" s="1720"/>
      <c r="L49" s="1722">
        <f t="shared" si="6"/>
        <v>0</v>
      </c>
      <c r="M49" s="1721">
        <f t="shared" si="7"/>
        <v>0</v>
      </c>
      <c r="N49" s="1720"/>
      <c r="O49" s="1719">
        <f t="shared" si="8"/>
        <v>0</v>
      </c>
      <c r="P49" s="1718">
        <f t="shared" si="9"/>
        <v>0</v>
      </c>
      <c r="Q49" s="32"/>
    </row>
    <row r="50" spans="1:17" s="42" customFormat="1" ht="15" customHeight="1">
      <c r="A50" s="1306"/>
      <c r="B50" s="1726"/>
      <c r="C50" s="4835" t="s">
        <v>444</v>
      </c>
      <c r="D50" s="4836"/>
      <c r="E50" s="1725">
        <f>IF($C50=0,0,VLOOKUP($C50,SDÖ3!$C$24:$O$99,4,FALSE))</f>
        <v>83</v>
      </c>
      <c r="F50" s="1724">
        <f>IF($C50=0,0,VLOOKUP($C50,SDÖ3!$C$24:$O$99,12,FALSE))</f>
        <v>0.27</v>
      </c>
      <c r="G50" s="1723">
        <f>IF($C50=0,0,VLOOKUP($C50,SDÖ3!$C$24:$O$99,13,FALSE))</f>
        <v>5.8379012776470587</v>
      </c>
      <c r="H50" s="1720">
        <v>1</v>
      </c>
      <c r="I50" s="1719">
        <f t="shared" si="4"/>
        <v>0.27</v>
      </c>
      <c r="J50" s="1718">
        <f t="shared" si="5"/>
        <v>5.8379012776470587</v>
      </c>
      <c r="K50" s="1720">
        <v>1</v>
      </c>
      <c r="L50" s="1722">
        <f t="shared" si="6"/>
        <v>0.27</v>
      </c>
      <c r="M50" s="1721">
        <f t="shared" si="7"/>
        <v>5.8379012776470587</v>
      </c>
      <c r="N50" s="1720">
        <v>1</v>
      </c>
      <c r="O50" s="1719">
        <f t="shared" si="8"/>
        <v>0.27</v>
      </c>
      <c r="P50" s="1718">
        <f t="shared" si="9"/>
        <v>5.8379012776470587</v>
      </c>
      <c r="Q50" s="32"/>
    </row>
    <row r="51" spans="1:17" s="42" customFormat="1" ht="15" customHeight="1">
      <c r="A51" s="1306"/>
      <c r="B51" s="1726"/>
      <c r="C51" s="4835" t="s">
        <v>441</v>
      </c>
      <c r="D51" s="4836"/>
      <c r="E51" s="1725">
        <f>IF($C51=0,0,VLOOKUP($C51,SDÖ3!$C$24:$O$99,4,FALSE))</f>
        <v>54</v>
      </c>
      <c r="F51" s="1724">
        <f>IF($C51=0,0,VLOOKUP($C51,SDÖ3!$C$24:$O$99,12,FALSE))</f>
        <v>1.1100000000000001</v>
      </c>
      <c r="G51" s="1723">
        <f>IF($C51=0,0,VLOOKUP($C51,SDÖ3!$C$24:$O$99,13,FALSE))</f>
        <v>17.201138894117648</v>
      </c>
      <c r="H51" s="1720">
        <v>2</v>
      </c>
      <c r="I51" s="1719">
        <f t="shared" si="4"/>
        <v>2.2200000000000002</v>
      </c>
      <c r="J51" s="1718">
        <f t="shared" si="5"/>
        <v>34.402277788235295</v>
      </c>
      <c r="K51" s="1720">
        <v>2</v>
      </c>
      <c r="L51" s="1722">
        <f t="shared" si="6"/>
        <v>2.2200000000000002</v>
      </c>
      <c r="M51" s="1721">
        <f t="shared" si="7"/>
        <v>34.402277788235295</v>
      </c>
      <c r="N51" s="1720">
        <v>2</v>
      </c>
      <c r="O51" s="1719">
        <f t="shared" si="8"/>
        <v>2.2200000000000002</v>
      </c>
      <c r="P51" s="1718">
        <f t="shared" si="9"/>
        <v>34.402277788235295</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$F52*H52</f>
        <v>0</v>
      </c>
      <c r="J52" s="1718">
        <f>H52*$G52</f>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$F53*H53</f>
        <v>0</v>
      </c>
      <c r="J53" s="1718">
        <f>H53*$G53</f>
        <v>0</v>
      </c>
      <c r="K53" s="1720"/>
      <c r="L53" s="1722">
        <f t="shared" si="6"/>
        <v>0</v>
      </c>
      <c r="M53" s="1721">
        <f t="shared" si="7"/>
        <v>0</v>
      </c>
      <c r="N53" s="1720"/>
      <c r="O53" s="1719">
        <f t="shared" si="8"/>
        <v>0</v>
      </c>
      <c r="P53" s="1718">
        <f t="shared" si="9"/>
        <v>0</v>
      </c>
      <c r="Q53" s="32"/>
    </row>
    <row r="54" spans="1:17" s="42" customFormat="1" ht="15" customHeight="1">
      <c r="A54" s="1306"/>
      <c r="B54" s="1726"/>
      <c r="C54" s="4835" t="s">
        <v>435</v>
      </c>
      <c r="D54" s="4836"/>
      <c r="E54" s="1725">
        <f>IF($C54=0,0,VLOOKUP($C54,SDÖ3!$C$24:$O$99,4,FALSE))</f>
        <v>83</v>
      </c>
      <c r="F54" s="1724">
        <f>IF($C54=0,0,VLOOKUP($C54,SDÖ3!$C$24:$O$99,12,FALSE))</f>
        <v>0.4</v>
      </c>
      <c r="G54" s="1723">
        <f>IF($C54=0,0,VLOOKUP($C54,SDÖ3!$C$24:$O$99,13,FALSE))</f>
        <v>6.8857796705882359</v>
      </c>
      <c r="H54" s="1720">
        <v>0.8</v>
      </c>
      <c r="I54" s="1719">
        <f>$F54*H54</f>
        <v>0.32000000000000006</v>
      </c>
      <c r="J54" s="1718">
        <f>H54*$G54</f>
        <v>5.5086237364705894</v>
      </c>
      <c r="K54" s="1720">
        <v>1.05</v>
      </c>
      <c r="L54" s="1722">
        <f t="shared" si="6"/>
        <v>0.42000000000000004</v>
      </c>
      <c r="M54" s="1721">
        <f t="shared" si="7"/>
        <v>7.2300686541176482</v>
      </c>
      <c r="N54" s="1720">
        <v>0.95</v>
      </c>
      <c r="O54" s="1719">
        <f t="shared" si="8"/>
        <v>0.38</v>
      </c>
      <c r="P54" s="1718">
        <f t="shared" si="9"/>
        <v>6.5414906870588236</v>
      </c>
      <c r="Q54" s="32"/>
    </row>
    <row r="55" spans="1:17" s="42" customFormat="1" ht="15" customHeight="1">
      <c r="A55" s="1306"/>
      <c r="B55" s="1726"/>
      <c r="C55" s="4835" t="s">
        <v>508</v>
      </c>
      <c r="D55" s="4836"/>
      <c r="E55" s="1725">
        <f>IF($C55=0,0,VLOOKUP($C55,SDÖ3!$C$24:$O$99,4,FALSE))</f>
        <v>102</v>
      </c>
      <c r="F55" s="1724">
        <f>IF($C55=0,0,VLOOKUP($C55,SDÖ3!$C$24:$O$99,12,FALSE))</f>
        <v>0.54</v>
      </c>
      <c r="G55" s="1723">
        <f>IF($C55=0,0,VLOOKUP($C55,SDÖ3!$C$24:$O$99,13,FALSE))</f>
        <v>16.377695200000002</v>
      </c>
      <c r="H55" s="1720">
        <v>1</v>
      </c>
      <c r="I55" s="1719">
        <f>$F55*H55</f>
        <v>0.54</v>
      </c>
      <c r="J55" s="1718">
        <f>H55*$G55</f>
        <v>16.377695200000002</v>
      </c>
      <c r="K55" s="1720">
        <v>1</v>
      </c>
      <c r="L55" s="1722">
        <f t="shared" si="6"/>
        <v>0.54</v>
      </c>
      <c r="M55" s="1721">
        <f t="shared" si="7"/>
        <v>16.377695200000002</v>
      </c>
      <c r="N55" s="1720">
        <v>1</v>
      </c>
      <c r="O55" s="1719">
        <f t="shared" si="8"/>
        <v>0.54</v>
      </c>
      <c r="P55" s="1718">
        <f t="shared" si="9"/>
        <v>16.377695200000002</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$F56*H56</f>
        <v>0</v>
      </c>
      <c r="J56" s="1909">
        <f>H56*$G56</f>
        <v>0</v>
      </c>
      <c r="K56" s="1911"/>
      <c r="L56" s="1913">
        <f t="shared" si="6"/>
        <v>0</v>
      </c>
      <c r="M56" s="1912">
        <f t="shared" si="7"/>
        <v>0</v>
      </c>
      <c r="N56" s="1911"/>
      <c r="O56" s="1910">
        <f t="shared" si="8"/>
        <v>0</v>
      </c>
      <c r="P56" s="1909">
        <f t="shared" si="9"/>
        <v>0</v>
      </c>
      <c r="Q56" s="32"/>
    </row>
    <row r="57" spans="1:17" s="42" customFormat="1" ht="24.75" customHeight="1">
      <c r="A57" s="1306"/>
      <c r="B57" s="1657"/>
      <c r="C57" s="4847"/>
      <c r="D57" s="4848"/>
      <c r="E57" s="3617">
        <f>IF($C57=0,0,VLOOKUP($C57,SDÖ3!$C$24:$O$99,4,FALSE))</f>
        <v>0</v>
      </c>
      <c r="F57" s="3618">
        <f>IF($C57=0,0,VLOOKUP($C57,SDÖ3!$C$24:$O$99,12,FALSE))</f>
        <v>0</v>
      </c>
      <c r="G57" s="3619">
        <f>IF($C57=0,0,VLOOKUP($C57,SDÖ3!$C$24:$O$99,13,FALSE))</f>
        <v>0</v>
      </c>
      <c r="H57" s="1704"/>
      <c r="I57" s="1703">
        <f>SUM(I44:I56)</f>
        <v>6.75</v>
      </c>
      <c r="J57" s="1702"/>
      <c r="K57" s="1704"/>
      <c r="L57" s="1705">
        <f>SUM(L44:L56)</f>
        <v>6.85</v>
      </c>
      <c r="M57" s="1652"/>
      <c r="N57" s="1704"/>
      <c r="O57" s="1703">
        <f>SUM(O44:O56)</f>
        <v>6.81</v>
      </c>
      <c r="P57" s="1702"/>
      <c r="Q57" s="32"/>
    </row>
    <row r="58" spans="1:17" s="708" customFormat="1" ht="18.75" customHeight="1">
      <c r="A58" s="1270"/>
      <c r="B58" s="1276" t="s">
        <v>1223</v>
      </c>
      <c r="C58" s="1373"/>
      <c r="D58" s="1373"/>
      <c r="E58" s="1373"/>
      <c r="F58" s="38"/>
      <c r="G58" s="1620"/>
      <c r="H58" s="1697"/>
      <c r="I58" s="1696">
        <f>SUM($I$46:$I$57)</f>
        <v>13.5</v>
      </c>
      <c r="J58" s="1701"/>
      <c r="K58" s="1700"/>
      <c r="L58" s="1699">
        <f>SUM($L$46:$L$57)</f>
        <v>13.7</v>
      </c>
      <c r="M58" s="1698"/>
      <c r="N58" s="1697"/>
      <c r="O58" s="1696">
        <f>SUM($O$46:$O$57)</f>
        <v>13.62</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23.5</v>
      </c>
      <c r="J59" s="1686"/>
      <c r="K59" s="1691"/>
      <c r="L59" s="1690">
        <f>IF(L58+SUM($L$46:$L$57)*$E$59%&gt;L58+10,L58+10,L58+SUM($L$46:$L$57)*$E$59%)</f>
        <v>23.7</v>
      </c>
      <c r="M59" s="1689"/>
      <c r="N59" s="1688"/>
      <c r="O59" s="1687">
        <f>IF(O58+SUM($O$46:$O$57)*$E$59%&gt;O58+10,O58+10,O58+SUM($O$46:$O$57)*$E$59%)</f>
        <v>23.619999999999997</v>
      </c>
      <c r="P59" s="1686"/>
      <c r="Q59" s="32"/>
    </row>
    <row r="60" spans="1:17" s="65" customFormat="1" ht="18.75" customHeight="1">
      <c r="A60" s="1373"/>
      <c r="B60" s="3915" t="s">
        <v>1220</v>
      </c>
      <c r="C60" s="3918"/>
      <c r="D60" s="3918"/>
      <c r="E60" s="3908"/>
      <c r="F60" s="3908"/>
      <c r="G60" s="3964"/>
      <c r="H60" s="3960"/>
      <c r="I60" s="3959"/>
      <c r="J60" s="1684">
        <f>IF(J6=0,0,SUM(I62:I64))</f>
        <v>151.9</v>
      </c>
      <c r="K60" s="3962"/>
      <c r="L60" s="3961"/>
      <c r="M60" s="1617">
        <f>IF(M6=0,0,SUM(L62:L64))</f>
        <v>151.9</v>
      </c>
      <c r="N60" s="3960"/>
      <c r="O60" s="3959"/>
      <c r="P60" s="1684">
        <f>IF(P6=0,0,SUM(O62:O64))</f>
        <v>151.9</v>
      </c>
      <c r="Q60" s="32"/>
    </row>
    <row r="61" spans="1:17" s="65" customFormat="1" ht="15" customHeight="1">
      <c r="A61" s="1373"/>
      <c r="B61" s="3927"/>
      <c r="C61" s="3926" t="s">
        <v>1212</v>
      </c>
      <c r="D61" s="3963">
        <f>SDÖ1!$O$11</f>
        <v>0</v>
      </c>
      <c r="E61" s="1610"/>
      <c r="F61" s="1606" t="s">
        <v>249</v>
      </c>
      <c r="G61" s="1682" t="s">
        <v>1211</v>
      </c>
      <c r="H61" s="3960"/>
      <c r="I61" s="3959"/>
      <c r="J61" s="1681"/>
      <c r="K61" s="3962"/>
      <c r="L61" s="3961"/>
      <c r="M61" s="1678"/>
      <c r="N61" s="3960"/>
      <c r="O61" s="3959"/>
      <c r="P61" s="1675"/>
      <c r="Q61" s="32"/>
    </row>
    <row r="62" spans="1:17" s="42" customFormat="1" ht="18.75" customHeight="1">
      <c r="A62" s="1306"/>
      <c r="B62" s="3922"/>
      <c r="C62" s="4833" t="s">
        <v>340</v>
      </c>
      <c r="D62" s="4833"/>
      <c r="E62" s="4833"/>
      <c r="F62" s="3958">
        <f>IF($C62=0,0,VLOOKUP($C62,'SDK3'!$C$98:$D$119,2,FALSE))</f>
        <v>151.9</v>
      </c>
      <c r="G62" s="3957">
        <f>(100+$D$61)/100*F62</f>
        <v>151.9</v>
      </c>
      <c r="H62" s="3909"/>
      <c r="I62" s="3953">
        <f>$G$62</f>
        <v>151.9</v>
      </c>
      <c r="J62" s="3909"/>
      <c r="K62" s="3956"/>
      <c r="L62" s="3955">
        <f>$G$62</f>
        <v>151.9</v>
      </c>
      <c r="M62" s="3920"/>
      <c r="N62" s="3954"/>
      <c r="O62" s="3953">
        <f>$G$62</f>
        <v>151.9</v>
      </c>
      <c r="P62" s="3952"/>
      <c r="Q62" s="32"/>
    </row>
    <row r="63" spans="1:17" s="42" customFormat="1" ht="13.15" customHeight="1">
      <c r="A63" s="1306"/>
      <c r="B63" s="3951"/>
      <c r="C63" s="4843"/>
      <c r="D63" s="4843"/>
      <c r="E63" s="4844"/>
      <c r="F63" s="3950">
        <f>IF($C63=0,0,VLOOKUP($C63,'SDK3'!$C$98:$D$119,2,FALSE))</f>
        <v>0</v>
      </c>
      <c r="G63" s="3949">
        <f>(100+$D$61)/100*F63</f>
        <v>0</v>
      </c>
      <c r="H63" s="3948"/>
      <c r="I63" s="3943">
        <f>$G$63</f>
        <v>0</v>
      </c>
      <c r="J63" s="3948"/>
      <c r="K63" s="3947"/>
      <c r="L63" s="3946">
        <f>$G$63</f>
        <v>0</v>
      </c>
      <c r="M63" s="3945"/>
      <c r="N63" s="3944"/>
      <c r="O63" s="3943">
        <f>$G$63</f>
        <v>0</v>
      </c>
      <c r="P63" s="3942"/>
      <c r="Q63" s="32"/>
    </row>
    <row r="64" spans="1:17" s="42" customFormat="1" ht="15" customHeight="1">
      <c r="A64" s="1306"/>
      <c r="B64" s="3941"/>
      <c r="C64" s="4842" t="s">
        <v>322</v>
      </c>
      <c r="D64" s="4842"/>
      <c r="E64" s="4842"/>
      <c r="F64" s="3940">
        <f>IF($T$3=FALSE,0,VLOOKUP($C64,'SDK3'!$C$98:$D$119,2,FALSE))</f>
        <v>2.5</v>
      </c>
      <c r="G64" s="3939">
        <f>(100+$D$61)/100*F64</f>
        <v>2.5</v>
      </c>
      <c r="H64" s="3936"/>
      <c r="I64" s="3935">
        <f>H11*$G$64</f>
        <v>0</v>
      </c>
      <c r="J64" s="3909"/>
      <c r="K64" s="3938"/>
      <c r="L64" s="3937">
        <f>K11*$G$64</f>
        <v>0</v>
      </c>
      <c r="M64" s="1652"/>
      <c r="N64" s="3936"/>
      <c r="O64" s="3935">
        <f>N11*$G$64</f>
        <v>0</v>
      </c>
      <c r="P64" s="3934"/>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278</v>
      </c>
      <c r="K67" s="1641" t="s">
        <v>1217</v>
      </c>
      <c r="L67" s="1640" t="s">
        <v>1216</v>
      </c>
      <c r="M67" s="1617">
        <f>S68*(K9+K10)*L68%+F68</f>
        <v>474</v>
      </c>
      <c r="N67" s="1639" t="s">
        <v>1217</v>
      </c>
      <c r="O67" s="1638" t="s">
        <v>1216</v>
      </c>
      <c r="P67" s="1614">
        <f>T68*(N9+N10)*O68%+F68</f>
        <v>708</v>
      </c>
      <c r="Q67" s="32"/>
    </row>
    <row r="68" spans="1:20" s="708" customFormat="1" ht="15" customHeight="1">
      <c r="A68" s="1270"/>
      <c r="B68" s="1637"/>
      <c r="C68" s="4839" t="s">
        <v>1215</v>
      </c>
      <c r="D68" s="4839"/>
      <c r="E68" s="4839"/>
      <c r="F68" s="1636"/>
      <c r="G68" s="1627" t="s">
        <v>171</v>
      </c>
      <c r="H68" s="1634">
        <v>20</v>
      </c>
      <c r="I68" s="1633">
        <v>100</v>
      </c>
      <c r="J68" s="1632"/>
      <c r="K68" s="1634">
        <v>22</v>
      </c>
      <c r="L68" s="1633">
        <v>100</v>
      </c>
      <c r="M68" s="1635"/>
      <c r="N68" s="1634">
        <v>23.9</v>
      </c>
      <c r="O68" s="1633">
        <v>100</v>
      </c>
      <c r="P68" s="1632"/>
      <c r="Q68" s="32"/>
      <c r="R68" s="1948">
        <f>IF(H68=0,0,VLOOKUP(H68,'SD6'!L8:M156,'SD6'!M1))*(1+'SDK1'!O11/100)</f>
        <v>13.9</v>
      </c>
      <c r="S68" s="1948">
        <f>IF(K68=0,0,VLOOKUP(K68,'SD6'!L8:M156,'SD6'!M1))*(1+'SDK1'!O11/100)</f>
        <v>15.8</v>
      </c>
      <c r="T68" s="1947">
        <f>IF(N68=0,0,VLOOKUP(N68,'SD6'!L8:M156,'SD6'!M1))*(1+'SDK1'!O11/100)</f>
        <v>17.7</v>
      </c>
    </row>
    <row r="69" spans="1:20" s="708" customFormat="1" ht="18.75" customHeight="1">
      <c r="A69" s="1270"/>
      <c r="B69" s="1276" t="s">
        <v>1214</v>
      </c>
      <c r="C69" s="1270"/>
      <c r="D69" s="1270"/>
      <c r="E69" s="38"/>
      <c r="F69" s="38"/>
      <c r="G69" s="1620"/>
      <c r="H69" s="44"/>
      <c r="I69" s="73"/>
      <c r="J69" s="1614">
        <f>H70*$F70/1000</f>
        <v>26.7376</v>
      </c>
      <c r="K69" s="1630"/>
      <c r="L69" s="1629"/>
      <c r="M69" s="1617">
        <f>K70*$F70/1000</f>
        <v>40.106400000000001</v>
      </c>
      <c r="N69" s="44"/>
      <c r="O69" s="73"/>
      <c r="P69" s="1614">
        <f>N70*$F70/1000</f>
        <v>53.475200000000001</v>
      </c>
      <c r="Q69" s="32"/>
    </row>
    <row r="70" spans="1:20" s="708" customFormat="1" ht="15" customHeight="1">
      <c r="A70" s="1270"/>
      <c r="B70" s="1332"/>
      <c r="C70" s="1331" t="s">
        <v>896</v>
      </c>
      <c r="D70" s="353"/>
      <c r="E70" s="280"/>
      <c r="F70" s="1628">
        <f>'SDK7'!G102</f>
        <v>16</v>
      </c>
      <c r="G70" s="1627" t="s">
        <v>171</v>
      </c>
      <c r="H70" s="1623">
        <f>I9+I10</f>
        <v>1671.1000000000001</v>
      </c>
      <c r="I70" s="1622"/>
      <c r="J70" s="1621"/>
      <c r="K70" s="1626">
        <f>L9+L10</f>
        <v>2506.65</v>
      </c>
      <c r="L70" s="1625"/>
      <c r="M70" s="1624"/>
      <c r="N70" s="1623">
        <f>O9+O10</f>
        <v>3342.2000000000003</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10.053617187422548</v>
      </c>
      <c r="K75" s="3063"/>
      <c r="L75" s="1056"/>
      <c r="M75" s="1578">
        <f>(M23+M27+M34+M43+M60+M65+M67+M69+M71)*('SDK1'!$O$59%*$G$75/12)</f>
        <v>13.214615163785293</v>
      </c>
      <c r="N75" s="1580"/>
      <c r="O75" s="1579"/>
      <c r="P75" s="1578">
        <f>(P23+P27+P34+P43+P60+P65+P67+P69+P71)*('SDK1'!$O$59%*$G$75/12)</f>
        <v>16.687025439906861</v>
      </c>
      <c r="Q75" s="32"/>
    </row>
    <row r="76" spans="1:20">
      <c r="L76" s="33"/>
    </row>
    <row r="77" spans="1:20">
      <c r="G77" s="3642"/>
      <c r="H77" s="3642"/>
      <c r="I77" s="3642"/>
      <c r="J77" s="3642"/>
      <c r="K77" s="3642"/>
      <c r="L77" s="3642"/>
      <c r="M77" s="3642"/>
      <c r="N77" s="3642"/>
      <c r="O77" s="3642"/>
      <c r="P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row>
    <row r="80" spans="1:20"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K90" s="3642"/>
      <c r="L90" s="3642"/>
      <c r="M90" s="3642"/>
      <c r="N90" s="3642"/>
      <c r="O90" s="3642"/>
      <c r="P90" s="3642"/>
    </row>
    <row r="91" spans="2:16">
      <c r="C91" s="2538"/>
      <c r="D91" s="2538"/>
      <c r="E91" s="2538"/>
      <c r="F91" s="2538"/>
      <c r="G91" s="3642"/>
      <c r="H91" s="3642"/>
      <c r="I91" s="3642"/>
      <c r="J91" s="3642"/>
      <c r="K91" s="3642"/>
      <c r="L91" s="3642"/>
      <c r="M91" s="3642"/>
      <c r="N91" s="3642"/>
      <c r="O91" s="3642"/>
      <c r="P91" s="3642"/>
    </row>
    <row r="92" spans="2:16">
      <c r="C92" s="2538"/>
      <c r="D92" s="2538"/>
      <c r="E92" s="2538"/>
      <c r="F92" s="2538"/>
      <c r="G92" s="3642"/>
      <c r="H92" s="3642"/>
      <c r="I92" s="3642"/>
      <c r="J92" s="3642"/>
      <c r="K92" s="3642"/>
      <c r="L92" s="3642"/>
      <c r="M92" s="3642"/>
      <c r="N92" s="3642"/>
      <c r="O92" s="3642"/>
      <c r="P92" s="3642"/>
    </row>
    <row r="93" spans="2:16">
      <c r="C93" s="2538"/>
      <c r="D93" s="2538"/>
      <c r="E93" s="2538"/>
      <c r="F93" s="2538"/>
      <c r="G93" s="3642"/>
      <c r="H93" s="3642"/>
      <c r="I93" s="3642"/>
      <c r="J93" s="3642"/>
      <c r="K93" s="3642"/>
      <c r="L93" s="3642"/>
      <c r="M93" s="3642"/>
      <c r="N93" s="3642"/>
      <c r="O93" s="3642"/>
      <c r="P93" s="3642"/>
    </row>
    <row r="94" spans="2:16">
      <c r="C94" s="2538"/>
      <c r="D94" s="2538"/>
      <c r="E94" s="2538"/>
      <c r="F94" s="2538"/>
      <c r="G94" s="3642"/>
      <c r="H94" s="3642"/>
      <c r="I94" s="3642"/>
      <c r="J94" s="3642"/>
      <c r="K94" s="3642"/>
      <c r="L94" s="3642"/>
      <c r="M94" s="3642"/>
      <c r="N94" s="3642"/>
      <c r="O94" s="3642"/>
      <c r="P94" s="3642"/>
    </row>
    <row r="95" spans="2:16">
      <c r="C95" s="2538"/>
      <c r="D95" s="2538"/>
      <c r="E95" s="2538"/>
      <c r="F95" s="2538"/>
      <c r="G95" s="3642"/>
      <c r="H95" s="3642"/>
      <c r="I95" s="3642"/>
      <c r="J95" s="3642"/>
      <c r="K95" s="3642"/>
      <c r="L95" s="3642"/>
      <c r="M95" s="3642"/>
      <c r="N95" s="3642"/>
      <c r="O95" s="3642"/>
      <c r="P95" s="3642"/>
    </row>
    <row r="96" spans="2:16">
      <c r="C96" s="2538"/>
      <c r="D96" s="2538"/>
      <c r="E96" s="2538"/>
      <c r="F96" s="2538"/>
      <c r="G96" s="3642"/>
      <c r="H96" s="3642"/>
      <c r="I96" s="3642"/>
      <c r="J96" s="3642"/>
      <c r="K96" s="3642"/>
      <c r="L96" s="3642"/>
      <c r="M96" s="3642"/>
      <c r="N96" s="3642"/>
      <c r="O96" s="3642"/>
      <c r="P96" s="3642"/>
    </row>
    <row r="97" spans="2:16">
      <c r="C97" s="2538"/>
      <c r="D97" s="2538"/>
      <c r="E97" s="2538"/>
      <c r="G97" s="3642"/>
      <c r="H97" s="3642"/>
      <c r="I97" s="3642"/>
      <c r="J97" s="3642"/>
      <c r="K97" s="3642"/>
      <c r="L97" s="3642"/>
      <c r="M97" s="3642"/>
      <c r="N97" s="3642"/>
      <c r="O97" s="3642"/>
      <c r="P97" s="3642"/>
    </row>
    <row r="98" spans="2:16">
      <c r="B98" s="3642"/>
      <c r="C98" s="3642"/>
      <c r="D98" s="3642"/>
      <c r="E98" s="2538"/>
      <c r="G98" s="3642"/>
      <c r="H98" s="3642"/>
      <c r="I98" s="3642"/>
      <c r="J98" s="3642"/>
      <c r="K98" s="3642"/>
      <c r="L98" s="3642"/>
      <c r="M98" s="3642"/>
      <c r="N98" s="3642"/>
      <c r="O98" s="3642"/>
      <c r="P98" s="3642"/>
    </row>
    <row r="99" spans="2:16">
      <c r="B99" s="3642"/>
      <c r="C99" s="3642"/>
      <c r="D99" s="3642"/>
      <c r="G99" s="3642"/>
      <c r="H99" s="3642"/>
      <c r="I99" s="3642"/>
      <c r="J99" s="3642"/>
      <c r="K99" s="3642"/>
      <c r="L99" s="3642"/>
      <c r="M99" s="3642"/>
      <c r="N99" s="3642"/>
      <c r="O99" s="3642"/>
      <c r="P99" s="3642"/>
    </row>
    <row r="100" spans="2:16">
      <c r="B100" s="3642"/>
      <c r="C100" s="3642"/>
      <c r="D100" s="3642"/>
      <c r="G100" s="3642"/>
      <c r="I100" s="3642"/>
      <c r="J100" s="3642"/>
      <c r="K100" s="3642"/>
      <c r="L100" s="3642"/>
      <c r="M100" s="3642"/>
      <c r="N100" s="3642"/>
      <c r="O100" s="3642"/>
      <c r="P100" s="3642"/>
    </row>
    <row r="101" spans="2:16">
      <c r="B101" s="3642"/>
      <c r="C101" s="3642"/>
      <c r="D101" s="3642"/>
      <c r="G101" s="3642"/>
      <c r="H101" s="3642"/>
      <c r="I101" s="3642"/>
      <c r="J101" s="3642"/>
      <c r="K101" s="3642"/>
      <c r="L101" s="3642"/>
      <c r="M101" s="3642"/>
      <c r="N101" s="3642"/>
      <c r="O101" s="3642"/>
      <c r="P101" s="3642"/>
    </row>
    <row r="102" spans="2:16">
      <c r="B102" s="3642"/>
      <c r="C102" s="3642"/>
      <c r="D102" s="3642"/>
      <c r="G102" s="3642"/>
      <c r="H102" s="3642"/>
      <c r="I102" s="3642"/>
      <c r="J102" s="3642"/>
      <c r="K102" s="3642"/>
      <c r="L102" s="3642"/>
      <c r="M102" s="3642"/>
      <c r="N102" s="3642"/>
      <c r="O102" s="3642"/>
      <c r="P102" s="3642"/>
    </row>
    <row r="103" spans="2:16">
      <c r="B103" s="3642"/>
      <c r="C103" s="3642"/>
      <c r="D103" s="3642"/>
      <c r="G103" s="3642"/>
      <c r="H103" s="3642"/>
      <c r="I103" s="3642"/>
      <c r="J103" s="3642"/>
      <c r="K103" s="3642"/>
      <c r="L103" s="3642"/>
      <c r="M103" s="3642"/>
      <c r="N103" s="3642"/>
      <c r="O103" s="3642"/>
      <c r="P103" s="3642"/>
    </row>
    <row r="104" spans="2:16">
      <c r="B104" s="3642"/>
      <c r="C104" s="3642"/>
      <c r="D104" s="3642"/>
      <c r="G104" s="3642"/>
      <c r="H104" s="3642"/>
      <c r="I104" s="3642"/>
      <c r="J104" s="3642"/>
      <c r="K104" s="3642"/>
      <c r="L104" s="3642"/>
      <c r="M104" s="3642"/>
      <c r="N104" s="3642"/>
      <c r="O104" s="3642"/>
      <c r="P104" s="3642"/>
    </row>
    <row r="105" spans="2:16">
      <c r="B105" s="3642"/>
      <c r="C105" s="3642"/>
      <c r="D105" s="3642"/>
      <c r="G105" s="3642"/>
      <c r="H105" s="3642"/>
      <c r="I105" s="3642"/>
      <c r="J105" s="3642"/>
      <c r="K105" s="3642"/>
      <c r="L105" s="3642"/>
      <c r="M105" s="3642"/>
      <c r="N105" s="3642"/>
      <c r="O105" s="3642"/>
      <c r="P105" s="3642"/>
    </row>
    <row r="106" spans="2:16">
      <c r="B106" s="3642"/>
      <c r="C106" s="3642"/>
      <c r="D106" s="3642"/>
      <c r="G106" s="3642"/>
      <c r="H106" s="3642"/>
      <c r="I106" s="3642"/>
      <c r="J106" s="3642"/>
      <c r="K106" s="3642"/>
      <c r="L106" s="3642"/>
      <c r="M106" s="3642"/>
      <c r="N106" s="3642"/>
      <c r="O106" s="3642"/>
      <c r="P106" s="3642"/>
    </row>
    <row r="107" spans="2:16">
      <c r="B107" s="3642"/>
      <c r="C107" s="3642"/>
      <c r="D107" s="3642"/>
      <c r="G107" s="3642"/>
      <c r="H107" s="3642"/>
      <c r="I107" s="3642"/>
      <c r="J107" s="3642"/>
      <c r="K107" s="3642"/>
      <c r="L107" s="3642"/>
      <c r="M107" s="3642"/>
      <c r="N107" s="3642"/>
      <c r="O107" s="3642"/>
      <c r="P107" s="3642"/>
    </row>
    <row r="108" spans="2:16">
      <c r="B108" s="3642"/>
      <c r="C108" s="3642"/>
      <c r="D108" s="3642"/>
      <c r="G108" s="3642"/>
      <c r="H108" s="3642"/>
      <c r="I108" s="3642"/>
      <c r="J108" s="3642"/>
      <c r="K108" s="3642"/>
      <c r="L108" s="3642"/>
      <c r="M108" s="3642"/>
      <c r="N108" s="3642"/>
      <c r="O108" s="3642"/>
      <c r="P108" s="3642"/>
    </row>
    <row r="109" spans="2:16">
      <c r="B109" s="3642"/>
      <c r="C109" s="3642"/>
      <c r="D109" s="3642"/>
      <c r="G109" s="3642"/>
      <c r="H109" s="3642"/>
      <c r="I109" s="3642"/>
      <c r="J109" s="3642"/>
      <c r="K109" s="3642"/>
      <c r="L109" s="3642"/>
      <c r="M109" s="3642"/>
      <c r="N109" s="3642"/>
      <c r="O109" s="3642"/>
      <c r="P109" s="3642"/>
    </row>
    <row r="110" spans="2:16">
      <c r="G110" s="3642"/>
      <c r="H110" s="3642"/>
      <c r="I110" s="3642"/>
      <c r="J110" s="3642"/>
      <c r="K110" s="3642"/>
      <c r="L110" s="3642"/>
      <c r="M110" s="3642"/>
      <c r="N110" s="3642"/>
      <c r="O110" s="3642"/>
      <c r="P110" s="3642"/>
    </row>
    <row r="111" spans="2:16">
      <c r="G111" s="3642"/>
      <c r="H111" s="3642"/>
      <c r="I111" s="3642"/>
      <c r="J111" s="3642"/>
      <c r="K111" s="3642"/>
      <c r="L111" s="3642"/>
      <c r="M111" s="3642"/>
      <c r="N111" s="3642"/>
      <c r="O111" s="3642"/>
      <c r="P111" s="3642"/>
    </row>
    <row r="112" spans="2:16">
      <c r="G112" s="3642"/>
      <c r="H112" s="3642"/>
      <c r="I112" s="3642"/>
      <c r="J112" s="3642"/>
      <c r="K112" s="3642"/>
      <c r="L112" s="3642"/>
      <c r="M112" s="3642"/>
      <c r="N112" s="3642"/>
      <c r="O112" s="3642"/>
      <c r="P112" s="3642"/>
    </row>
    <row r="113" spans="2:16">
      <c r="G113" s="3642"/>
      <c r="H113" s="3642"/>
      <c r="I113" s="3642"/>
      <c r="J113" s="3642"/>
      <c r="K113" s="3642"/>
      <c r="L113" s="3642"/>
      <c r="M113" s="3642"/>
      <c r="N113" s="3642"/>
      <c r="O113" s="3642"/>
      <c r="P113" s="3642"/>
    </row>
    <row r="114" spans="2:16">
      <c r="G114" s="3642"/>
      <c r="H114" s="3642"/>
      <c r="I114" s="3642"/>
      <c r="J114" s="3642"/>
      <c r="K114" s="3642"/>
      <c r="L114" s="3642"/>
      <c r="M114" s="3642"/>
      <c r="N114" s="3642"/>
      <c r="O114" s="3642"/>
      <c r="P114" s="3642"/>
    </row>
    <row r="115" spans="2:16">
      <c r="G115" s="3642"/>
      <c r="H115" s="3642"/>
      <c r="I115" s="3642"/>
      <c r="J115" s="3642"/>
      <c r="K115" s="3642"/>
      <c r="L115" s="3642"/>
      <c r="M115" s="3642"/>
      <c r="N115" s="3642"/>
      <c r="O115" s="3642"/>
      <c r="P115" s="3642"/>
    </row>
    <row r="116" spans="2:16">
      <c r="G116" s="3642"/>
      <c r="H116" s="3642"/>
      <c r="I116" s="3642"/>
      <c r="J116" s="3642"/>
      <c r="K116" s="3642"/>
      <c r="L116" s="3642"/>
      <c r="M116" s="3642"/>
      <c r="N116" s="3642"/>
      <c r="O116" s="3642"/>
      <c r="P116" s="3642"/>
    </row>
    <row r="117" spans="2:16">
      <c r="G117" s="3642"/>
      <c r="H117" s="3642"/>
      <c r="I117" s="3642"/>
      <c r="J117" s="3642"/>
      <c r="K117" s="3642"/>
      <c r="L117" s="3642"/>
      <c r="M117" s="3642"/>
      <c r="N117" s="3642"/>
      <c r="O117" s="3642"/>
      <c r="P117" s="3642"/>
    </row>
    <row r="118" spans="2:16">
      <c r="B118" s="622"/>
      <c r="C118" s="33"/>
      <c r="G118" s="3642"/>
      <c r="H118" s="3642"/>
      <c r="I118" s="3642"/>
      <c r="J118" s="3642"/>
      <c r="K118" s="3642"/>
      <c r="L118" s="3642"/>
      <c r="M118" s="3642"/>
      <c r="N118" s="3642"/>
      <c r="O118" s="3642"/>
      <c r="P118" s="3642"/>
    </row>
    <row r="119" spans="2:16">
      <c r="B119" s="622"/>
      <c r="C119" s="33"/>
      <c r="G119" s="3642"/>
      <c r="H119" s="3642"/>
      <c r="I119" s="3642"/>
      <c r="J119" s="3642"/>
      <c r="K119" s="3642"/>
      <c r="L119" s="3642"/>
      <c r="M119" s="3642"/>
      <c r="N119" s="3642"/>
      <c r="O119" s="3642"/>
      <c r="P119" s="3642"/>
    </row>
    <row r="120" spans="2:16">
      <c r="B120" s="622"/>
      <c r="C120" s="33"/>
      <c r="G120" s="3642"/>
      <c r="H120" s="3642"/>
      <c r="I120" s="3642"/>
      <c r="J120" s="3642"/>
      <c r="K120" s="3642"/>
      <c r="L120" s="3642"/>
      <c r="M120" s="3642"/>
      <c r="N120" s="3642"/>
      <c r="O120" s="3642"/>
      <c r="P120" s="3642"/>
    </row>
    <row r="121" spans="2:16">
      <c r="B121" s="622"/>
      <c r="C121" s="33"/>
      <c r="G121" s="3642"/>
      <c r="H121" s="3642"/>
      <c r="I121" s="3642"/>
      <c r="J121" s="3642"/>
      <c r="K121" s="3642"/>
      <c r="L121" s="3642"/>
      <c r="M121" s="3642"/>
      <c r="N121" s="3642"/>
      <c r="O121" s="3642"/>
      <c r="P121" s="3642"/>
    </row>
    <row r="122" spans="2:16">
      <c r="B122" s="622"/>
      <c r="C122" s="33"/>
      <c r="G122" s="3642"/>
      <c r="H122" s="3642"/>
      <c r="I122" s="3642"/>
      <c r="J122" s="3642"/>
      <c r="K122" s="3642"/>
      <c r="L122" s="3642"/>
      <c r="M122" s="3642"/>
      <c r="N122" s="3642"/>
      <c r="O122" s="3642"/>
      <c r="P122" s="3642"/>
    </row>
    <row r="123" spans="2:16">
      <c r="B123" s="622"/>
      <c r="C123" s="33"/>
      <c r="G123" s="3642"/>
      <c r="H123" s="3642"/>
      <c r="I123" s="3642"/>
      <c r="J123" s="3642"/>
      <c r="K123" s="3642"/>
      <c r="L123" s="3642"/>
      <c r="M123" s="3642"/>
      <c r="N123" s="3642"/>
      <c r="O123" s="3642"/>
      <c r="P123" s="3642"/>
    </row>
    <row r="124" spans="2:16">
      <c r="B124" s="622"/>
      <c r="C124" s="33"/>
      <c r="G124" s="3642"/>
      <c r="H124" s="3642"/>
      <c r="I124" s="3642"/>
      <c r="J124" s="3642"/>
      <c r="K124" s="3642"/>
      <c r="L124" s="3642"/>
      <c r="M124" s="3642"/>
      <c r="N124" s="3642"/>
      <c r="O124" s="3642"/>
      <c r="P124" s="3642"/>
    </row>
    <row r="125" spans="2:16">
      <c r="B125" s="622"/>
      <c r="C125" s="33"/>
      <c r="G125" s="3642"/>
      <c r="H125" s="3642"/>
      <c r="I125" s="3642"/>
      <c r="J125" s="3642"/>
      <c r="K125" s="3642"/>
      <c r="L125" s="3642"/>
      <c r="M125" s="3642"/>
      <c r="N125" s="3642"/>
      <c r="O125" s="3642"/>
      <c r="P125" s="3642"/>
    </row>
    <row r="126" spans="2:16">
      <c r="B126" s="622"/>
      <c r="C126" s="33"/>
      <c r="G126" s="3642"/>
      <c r="H126" s="3642"/>
      <c r="I126" s="3642"/>
      <c r="J126" s="3642"/>
      <c r="K126" s="3642"/>
      <c r="L126" s="3642"/>
      <c r="M126" s="3642"/>
      <c r="N126" s="3642"/>
      <c r="O126" s="3642"/>
      <c r="P126" s="3642"/>
    </row>
    <row r="127" spans="2:16">
      <c r="B127" s="622"/>
      <c r="C127" s="33"/>
      <c r="G127" s="3642"/>
      <c r="H127" s="3642"/>
      <c r="I127" s="3642"/>
      <c r="J127" s="3642"/>
      <c r="K127" s="3642"/>
      <c r="L127" s="3642"/>
      <c r="M127" s="3642"/>
      <c r="N127" s="3642"/>
      <c r="O127" s="3642"/>
      <c r="P127" s="3642"/>
    </row>
    <row r="128" spans="2:16">
      <c r="B128" s="622"/>
      <c r="C128" s="33"/>
      <c r="G128" s="3642"/>
      <c r="H128" s="3642"/>
      <c r="I128" s="3642"/>
      <c r="J128" s="3642"/>
      <c r="K128" s="3642"/>
      <c r="L128" s="3642"/>
      <c r="M128" s="3642"/>
      <c r="N128" s="3642"/>
      <c r="O128" s="3642"/>
      <c r="P128" s="3642"/>
    </row>
    <row r="129" spans="2:16">
      <c r="B129" s="622"/>
      <c r="C129" s="33"/>
      <c r="G129" s="3642"/>
      <c r="H129" s="3642"/>
      <c r="I129" s="3642"/>
      <c r="J129" s="3642"/>
      <c r="K129" s="3642"/>
      <c r="L129" s="3642"/>
      <c r="M129" s="3642"/>
      <c r="N129" s="3642"/>
      <c r="O129" s="3642"/>
      <c r="P129" s="3642"/>
    </row>
    <row r="130" spans="2:16">
      <c r="B130" s="622"/>
      <c r="C130" s="33"/>
      <c r="G130" s="3642"/>
      <c r="H130" s="3642"/>
      <c r="I130" s="3642"/>
      <c r="J130" s="3642"/>
      <c r="K130" s="3642"/>
      <c r="L130" s="3642"/>
      <c r="M130" s="3642"/>
      <c r="N130" s="3642"/>
      <c r="O130" s="3642"/>
      <c r="P130" s="3642"/>
    </row>
    <row r="131" spans="2:16">
      <c r="B131" s="622"/>
      <c r="C131" s="33"/>
      <c r="G131" s="3642"/>
      <c r="H131" s="3642"/>
      <c r="I131" s="3642"/>
      <c r="J131" s="3642"/>
      <c r="K131" s="3642"/>
      <c r="L131" s="3642"/>
      <c r="M131" s="3642"/>
      <c r="N131" s="3642"/>
      <c r="O131" s="3642"/>
      <c r="P131" s="3642"/>
    </row>
    <row r="132" spans="2:16">
      <c r="B132" s="622"/>
      <c r="C132" s="33"/>
      <c r="G132" s="3642"/>
      <c r="H132" s="3642"/>
      <c r="I132" s="3642"/>
      <c r="J132" s="3642"/>
      <c r="K132" s="3642"/>
      <c r="L132" s="3642"/>
      <c r="M132" s="3642"/>
      <c r="N132" s="3642"/>
      <c r="O132" s="3642"/>
      <c r="P132" s="3642"/>
    </row>
    <row r="133" spans="2:16">
      <c r="B133" s="622"/>
      <c r="C133" s="33"/>
      <c r="G133" s="3642"/>
      <c r="H133" s="3642"/>
      <c r="I133" s="3642"/>
      <c r="J133" s="3642"/>
      <c r="K133" s="3642"/>
      <c r="L133" s="3642"/>
      <c r="M133" s="3642"/>
      <c r="N133" s="3642"/>
      <c r="O133" s="3642"/>
      <c r="P133" s="3642"/>
    </row>
    <row r="134" spans="2:16">
      <c r="B134" s="622"/>
      <c r="C134" s="33"/>
      <c r="G134" s="3642"/>
      <c r="H134" s="3642"/>
      <c r="I134" s="3642"/>
      <c r="J134" s="3642"/>
      <c r="K134" s="3642"/>
      <c r="L134" s="3642"/>
      <c r="M134" s="3642"/>
      <c r="N134" s="3642"/>
      <c r="O134" s="3642"/>
      <c r="P134" s="3642"/>
    </row>
    <row r="135" spans="2:16">
      <c r="B135" s="622"/>
      <c r="C135" s="33"/>
      <c r="G135" s="3642"/>
      <c r="H135" s="3642"/>
      <c r="I135" s="3642"/>
      <c r="J135" s="3642"/>
      <c r="K135" s="3642"/>
      <c r="L135" s="3642"/>
      <c r="M135" s="3642"/>
      <c r="N135" s="3642"/>
      <c r="O135" s="3642"/>
      <c r="P135" s="3642"/>
    </row>
    <row r="136" spans="2:16">
      <c r="B136" s="622"/>
      <c r="C136" s="33"/>
      <c r="G136" s="3642"/>
      <c r="H136" s="3642"/>
      <c r="I136" s="3642"/>
      <c r="J136" s="3642"/>
      <c r="K136" s="3642"/>
      <c r="L136" s="3642"/>
      <c r="M136" s="3642"/>
      <c r="N136" s="3642"/>
      <c r="O136" s="3642"/>
      <c r="P136" s="3642"/>
    </row>
    <row r="137" spans="2:16">
      <c r="B137" s="622"/>
      <c r="C137" s="33"/>
      <c r="G137" s="3642"/>
      <c r="H137" s="3642"/>
      <c r="I137" s="3642"/>
      <c r="J137" s="3642"/>
      <c r="K137" s="3642"/>
      <c r="L137" s="3642"/>
      <c r="M137" s="3642"/>
      <c r="N137" s="3642"/>
      <c r="O137" s="3642"/>
      <c r="P137" s="3642"/>
    </row>
    <row r="138" spans="2:16">
      <c r="B138" s="622"/>
      <c r="C138" s="33"/>
      <c r="G138" s="3642"/>
      <c r="H138" s="3642"/>
      <c r="I138" s="3642"/>
      <c r="J138" s="3642"/>
      <c r="K138" s="3642"/>
      <c r="L138" s="3642"/>
      <c r="M138" s="3642"/>
      <c r="N138" s="3642"/>
      <c r="O138" s="3642"/>
      <c r="P138" s="3642"/>
    </row>
    <row r="139" spans="2:16">
      <c r="B139" s="622"/>
      <c r="C139" s="33"/>
      <c r="L139" s="33"/>
    </row>
    <row r="140" spans="2:16">
      <c r="B140" s="622"/>
      <c r="C140" s="33"/>
      <c r="L140" s="33"/>
    </row>
    <row r="141" spans="2:16">
      <c r="B141" s="622"/>
      <c r="C141" s="33"/>
      <c r="L141" s="33"/>
    </row>
    <row r="142" spans="2:16">
      <c r="B142" s="622"/>
      <c r="C142" s="33"/>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row>
    <row r="152" spans="2:12">
      <c r="B152" s="622"/>
      <c r="C152" s="33"/>
    </row>
    <row r="153" spans="2:12">
      <c r="B153" s="622"/>
      <c r="C153" s="33"/>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7">
    <mergeCell ref="C68:E68"/>
    <mergeCell ref="C73:E73"/>
    <mergeCell ref="C74:E74"/>
    <mergeCell ref="C46:D46"/>
    <mergeCell ref="C49:D49"/>
    <mergeCell ref="C50:D50"/>
    <mergeCell ref="C47:D47"/>
    <mergeCell ref="C48:D48"/>
    <mergeCell ref="C56:D56"/>
    <mergeCell ref="C51:D51"/>
    <mergeCell ref="C52:D52"/>
    <mergeCell ref="C55:D55"/>
    <mergeCell ref="C53:D53"/>
    <mergeCell ref="C54:D54"/>
    <mergeCell ref="C42:E42"/>
    <mergeCell ref="C57:D57"/>
    <mergeCell ref="C64:E64"/>
    <mergeCell ref="C39:E39"/>
    <mergeCell ref="C40:E40"/>
    <mergeCell ref="C62:E62"/>
    <mergeCell ref="C63:E63"/>
    <mergeCell ref="H6:I6"/>
    <mergeCell ref="K6:L6"/>
    <mergeCell ref="N6:O6"/>
    <mergeCell ref="E10:F10"/>
    <mergeCell ref="C14:F14"/>
    <mergeCell ref="K1:L1"/>
    <mergeCell ref="N1:O1"/>
    <mergeCell ref="K2:P2"/>
    <mergeCell ref="E4:I4"/>
    <mergeCell ref="G1:I1"/>
    <mergeCell ref="C78:F78"/>
    <mergeCell ref="C79:F79"/>
    <mergeCell ref="C15:F15"/>
    <mergeCell ref="C16:F16"/>
    <mergeCell ref="C17:F17"/>
    <mergeCell ref="C41:E41"/>
    <mergeCell ref="C36:E36"/>
    <mergeCell ref="C37:E37"/>
    <mergeCell ref="C19:F19"/>
    <mergeCell ref="F23:G23"/>
    <mergeCell ref="D25:E25"/>
    <mergeCell ref="D26:E26"/>
    <mergeCell ref="C38:E38"/>
    <mergeCell ref="E22:G22"/>
    <mergeCell ref="B75:C75"/>
    <mergeCell ref="F34:G34"/>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9</formula1>
      <formula2>30</formula2>
    </dataValidation>
    <dataValidation type="list" allowBlank="1" showInputMessage="1" showErrorMessage="1" sqref="C37:E42">
      <formula1>$C$120:$C$145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9,0 und 23,9 % Wassergehalt." sqref="K68">
      <formula1>9</formula1>
      <formula2>30</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x14:formula1>
            <xm:f>SDÖ5!$C$5:$C$33</xm:f>
          </x14:formula1>
          <xm:sqref>C36:E36</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0000"/>
    <pageSetUpPr fitToPage="1"/>
  </sheetPr>
  <dimension ref="A1:N85"/>
  <sheetViews>
    <sheetView showZeros="0" topLeftCell="A3" workbookViewId="0"/>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1" style="136" customWidth="1"/>
    <col min="6" max="6" width="11.375" style="136" customWidth="1"/>
    <col min="7" max="7" width="10.25" style="136" customWidth="1"/>
    <col min="8" max="8" width="11.25" style="136" customWidth="1"/>
    <col min="9" max="11" width="9.625" style="136" customWidth="1"/>
    <col min="12" max="12" width="10.75" style="136" customWidth="1"/>
    <col min="13" max="13" width="41.5" style="136" customWidth="1"/>
    <col min="14" max="14" width="0" style="136" hidden="1" customWidth="1"/>
    <col min="15" max="16384" width="10.5" style="136"/>
  </cols>
  <sheetData>
    <row r="1" spans="1:14" ht="1.9" hidden="1" customHeight="1">
      <c r="D1" s="2006"/>
      <c r="E1" s="2006"/>
      <c r="F1" s="2006"/>
      <c r="G1" s="2004">
        <f>COLUMNS($G$1:G1)</f>
        <v>1</v>
      </c>
      <c r="H1" s="2004">
        <f>COLUMNS($G$1:H1)</f>
        <v>2</v>
      </c>
      <c r="I1" s="2004">
        <f>COLUMNS($G$1:I1)</f>
        <v>3</v>
      </c>
      <c r="J1" s="2004">
        <f>COLUMNS($G$1:J1)</f>
        <v>4</v>
      </c>
      <c r="K1" s="2004">
        <f>COLUMNS($G$1:K1)</f>
        <v>5</v>
      </c>
      <c r="L1" s="2004">
        <f>COLUMNS($G$1:L1)</f>
        <v>6</v>
      </c>
      <c r="M1" s="1982">
        <f>COLUMNS($G$1:M1)</f>
        <v>7</v>
      </c>
      <c r="N1" s="1982">
        <f>COLUMNS($G$1:N1)</f>
        <v>8</v>
      </c>
    </row>
    <row r="2" spans="1:14" s="1981" customFormat="1" ht="13.9" hidden="1" customHeight="1">
      <c r="A2" s="4139" t="str">
        <f>IF(L8=100,0,   "Flächenanteile ergeben nicht 100% !")</f>
        <v>Flächenanteile ergeben nicht 100% !</v>
      </c>
      <c r="B2" s="4139"/>
      <c r="C2" s="2005"/>
      <c r="D2" s="2004">
        <f>VLOOKUP(D7,$D$52:$F$74,3,FALSE)</f>
        <v>34</v>
      </c>
      <c r="E2" s="2004">
        <f t="shared" ref="E2:K2" si="0">VLOOKUP(E7,$D$52:$F$74,3,FALSE)</f>
        <v>41</v>
      </c>
      <c r="F2" s="2004">
        <f t="shared" si="0"/>
        <v>46</v>
      </c>
      <c r="G2" s="2004">
        <f t="shared" si="0"/>
        <v>37</v>
      </c>
      <c r="H2" s="2004">
        <f t="shared" si="0"/>
        <v>52</v>
      </c>
      <c r="I2" s="2004">
        <f t="shared" si="0"/>
        <v>52</v>
      </c>
      <c r="J2" s="2004">
        <f t="shared" si="0"/>
        <v>52</v>
      </c>
      <c r="K2" s="2004">
        <f t="shared" si="0"/>
        <v>52</v>
      </c>
      <c r="L2" s="2003"/>
    </row>
    <row r="3" spans="1:14" ht="21.2" customHeight="1">
      <c r="B3" s="205" t="str">
        <f>"Deckungsbeitrag je ha Ackerfläche " &amp; 'SDK1'!O8</f>
        <v>Deckungsbeitrag je ha Ackerfläche ohne MwSt.</v>
      </c>
      <c r="D3" s="202"/>
      <c r="F3" s="2002"/>
      <c r="G3" s="202"/>
      <c r="H3" s="140"/>
      <c r="I3" s="140"/>
      <c r="J3" s="140"/>
      <c r="K3" s="140"/>
      <c r="L3" s="201" t="s">
        <v>1334</v>
      </c>
      <c r="M3" s="201"/>
    </row>
    <row r="4" spans="1:14" ht="18">
      <c r="B4" s="1972"/>
      <c r="D4" s="140"/>
      <c r="E4" s="140"/>
      <c r="F4" s="140"/>
      <c r="G4" s="140"/>
      <c r="H4" s="140"/>
      <c r="I4" s="140"/>
      <c r="J4" s="140"/>
      <c r="K4" s="140"/>
      <c r="L4" s="201">
        <f>SDÖ1!O3</f>
        <v>0</v>
      </c>
    </row>
    <row r="5" spans="1:14" ht="21.2" customHeight="1" thickBot="1">
      <c r="B5" s="4135" t="s">
        <v>212</v>
      </c>
      <c r="C5" s="4135"/>
      <c r="D5" s="2001">
        <f>VLOOKUP(B5,G51:L54,L1,FALSE)</f>
        <v>3</v>
      </c>
      <c r="E5" s="65"/>
      <c r="F5" s="2000"/>
      <c r="G5" s="2000"/>
      <c r="H5" s="1999"/>
      <c r="I5" s="1999"/>
      <c r="J5" s="1999"/>
      <c r="K5" s="1999"/>
      <c r="L5" s="226"/>
      <c r="M5" s="201"/>
    </row>
    <row r="6" spans="1:14" ht="19.899999999999999" hidden="1" customHeight="1" thickBot="1">
      <c r="D6" s="1998">
        <f t="shared" ref="D6:K6" si="1">$D$5*100+D2</f>
        <v>334</v>
      </c>
      <c r="E6" s="1998">
        <f t="shared" si="1"/>
        <v>341</v>
      </c>
      <c r="F6" s="1998">
        <f t="shared" si="1"/>
        <v>346</v>
      </c>
      <c r="G6" s="1998">
        <f t="shared" si="1"/>
        <v>337</v>
      </c>
      <c r="H6" s="1998">
        <f t="shared" si="1"/>
        <v>352</v>
      </c>
      <c r="I6" s="1998">
        <f t="shared" si="1"/>
        <v>352</v>
      </c>
      <c r="J6" s="1998">
        <f t="shared" si="1"/>
        <v>352</v>
      </c>
      <c r="K6" s="1998">
        <f t="shared" si="1"/>
        <v>352</v>
      </c>
    </row>
    <row r="7" spans="1:14" ht="36.75" customHeight="1">
      <c r="B7" s="1997"/>
      <c r="C7" s="1996" t="s">
        <v>232</v>
      </c>
      <c r="D7" s="3404" t="s">
        <v>1347</v>
      </c>
      <c r="E7" s="3404" t="s">
        <v>1951</v>
      </c>
      <c r="F7" s="3404" t="s">
        <v>1955</v>
      </c>
      <c r="G7" s="3404" t="s">
        <v>1947</v>
      </c>
      <c r="H7" s="3404"/>
      <c r="I7" s="3404"/>
      <c r="J7" s="3404"/>
      <c r="K7" s="3404"/>
      <c r="L7" s="196" t="s">
        <v>231</v>
      </c>
      <c r="M7" s="195"/>
      <c r="N7" s="1980" t="s">
        <v>1335</v>
      </c>
    </row>
    <row r="8" spans="1:14" ht="18.75" customHeight="1">
      <c r="B8" s="1995" t="s">
        <v>230</v>
      </c>
      <c r="C8" s="193" t="s">
        <v>113</v>
      </c>
      <c r="D8" s="3401">
        <v>20</v>
      </c>
      <c r="E8" s="3401"/>
      <c r="F8" s="3401"/>
      <c r="G8" s="3401"/>
      <c r="H8" s="3401"/>
      <c r="I8" s="3405"/>
      <c r="J8" s="3401"/>
      <c r="K8" s="3402"/>
      <c r="L8" s="1994">
        <f>SUM(D8:K8)</f>
        <v>20</v>
      </c>
      <c r="N8" s="1979">
        <v>100</v>
      </c>
    </row>
    <row r="9" spans="1:14" ht="17.45" customHeight="1">
      <c r="B9" s="1989" t="s">
        <v>229</v>
      </c>
      <c r="C9" s="165" t="s">
        <v>172</v>
      </c>
      <c r="D9" s="164">
        <f>IFERROR(IF(D$6&lt;200,0,HLOOKUP(D$6,Daten!$CX$1:$FM$6,6,FALSE)),"")</f>
        <v>500</v>
      </c>
      <c r="E9" s="164">
        <f>IFERROR(IF(E$6&lt;200,0,HLOOKUP(E$6,Daten!$CX$1:$FM$6,6,FALSE)),"")</f>
        <v>40</v>
      </c>
      <c r="F9" s="164">
        <f>IFERROR(IF(F$6&lt;200,0,HLOOKUP(F$6,Daten!$CX$1:$FM$6,6,FALSE)),"")</f>
        <v>35</v>
      </c>
      <c r="G9" s="164">
        <f>IFERROR(IF(G$6&lt;200,0,HLOOKUP(G$6,Daten!$CX$1:$FM$6,6,FALSE)),"")</f>
        <v>40</v>
      </c>
      <c r="H9" s="164" t="str">
        <f>IFERROR(IF(H$6&lt;200,0,HLOOKUP(H$6,Daten!$CX$1:$FM$6,6,FALSE)),"")</f>
        <v/>
      </c>
      <c r="I9" s="164" t="str">
        <f>IFERROR(IF(I$6&lt;200,0,HLOOKUP(I$6,Daten!$CX$1:$FM$6,6,FALSE)),"")</f>
        <v/>
      </c>
      <c r="J9" s="164" t="str">
        <f>IFERROR(IF(J$6&lt;200,0,HLOOKUP(J$6,Daten!$CX$1:$FM$6,6,FALSE)),"")</f>
        <v/>
      </c>
      <c r="K9" s="164" t="str">
        <f>IFERROR(IF(K$6&lt;200,0,HLOOKUP(K$6,Daten!$CX$1:$FM$6,6,FALSE)),"")</f>
        <v/>
      </c>
      <c r="L9" s="1988"/>
      <c r="M9" s="176"/>
    </row>
    <row r="10" spans="1:14" ht="17.45" customHeight="1">
      <c r="B10" s="1989" t="str">
        <f>"Preis "&amp;SDÖ1!O8</f>
        <v>Preis ohne MwSt.</v>
      </c>
      <c r="C10" s="165" t="s">
        <v>228</v>
      </c>
      <c r="D10" s="164">
        <f>IFERROR(IF(D$6&lt;200,0,HLOOKUP(D$6,Daten!$CX$1:$FM$7,7,FALSE)),"")</f>
        <v>0</v>
      </c>
      <c r="E10" s="164">
        <f>IFERROR(IF(E$6&lt;200,0,HLOOKUP(E$6,Daten!$CX$1:$FM$7,7,FALSE)),"")</f>
        <v>35.283333333333339</v>
      </c>
      <c r="F10" s="164">
        <f>IFERROR(IF(F$6&lt;200,0,HLOOKUP(F$6,Daten!$CX$1:$FM$7,7,FALSE)),"")</f>
        <v>52.70333333333334</v>
      </c>
      <c r="G10" s="164">
        <f>IFERROR(IF(G$6&lt;200,0,HLOOKUP(G$6,Daten!$CX$1:$FM$7,7,FALSE)),"")</f>
        <v>35.273333333333333</v>
      </c>
      <c r="H10" s="164" t="str">
        <f>IFERROR(IF(H$6&lt;200,0,HLOOKUP(H$6,Daten!$CX$1:$FM$7,7,FALSE)),"")</f>
        <v/>
      </c>
      <c r="I10" s="164" t="str">
        <f>IFERROR(IF(I$6&lt;200,0,HLOOKUP(I$6,Daten!$CX$1:$FM$7,7,FALSE)),"")</f>
        <v/>
      </c>
      <c r="J10" s="164" t="str">
        <f>IFERROR(IF(J$6&lt;200,0,HLOOKUP(J$6,Daten!$CX$1:$FM$7,7,FALSE)),"")</f>
        <v/>
      </c>
      <c r="K10" s="164" t="str">
        <f>IFERROR(IF(K$6&lt;200,0,HLOOKUP(K$6,Daten!$CX$1:$FM$7,7,FALSE)),"")</f>
        <v/>
      </c>
      <c r="L10" s="1991"/>
      <c r="M10" s="184"/>
      <c r="N10" s="1993"/>
    </row>
    <row r="11" spans="1:14" ht="17.45" customHeight="1">
      <c r="B11" s="1989" t="s">
        <v>1344</v>
      </c>
      <c r="C11" s="165" t="s">
        <v>171</v>
      </c>
      <c r="D11" s="164">
        <f>IFERROR(IF(D$6&lt;200,0,HLOOKUP(D$6,Daten!$CX$1:$FM$8,8,FALSE)),"")</f>
        <v>0</v>
      </c>
      <c r="E11" s="164">
        <f>IFERROR(IF(E$6&lt;200,0,HLOOKUP(E$6,Daten!$CX$1:$FM$8,8,FALSE)),"")</f>
        <v>1411.3333333333335</v>
      </c>
      <c r="F11" s="164">
        <f>IFERROR(IF(F$6&lt;200,0,HLOOKUP(F$6,Daten!$CX$1:$FM$8,8,FALSE)),"")</f>
        <v>1844.616666666667</v>
      </c>
      <c r="G11" s="164">
        <f>IFERROR(IF(G$6&lt;200,0,HLOOKUP(G$6,Daten!$CX$1:$FM$8,8,FALSE)),"")</f>
        <v>1410.9333333333334</v>
      </c>
      <c r="H11" s="164" t="str">
        <f>IFERROR(IF(H$6&lt;200,0,HLOOKUP(H$6,Daten!$CX$1:$FM$8,8,FALSE)),"")</f>
        <v/>
      </c>
      <c r="I11" s="164" t="str">
        <f>IFERROR(IF(I$6&lt;200,0,HLOOKUP(I$6,Daten!$CX$1:$FM$8,8,FALSE)),"")</f>
        <v/>
      </c>
      <c r="J11" s="164" t="str">
        <f>IFERROR(IF(J$6&lt;200,0,HLOOKUP(J$6,Daten!$CX$1:$FM$8,8,FALSE)),"")</f>
        <v/>
      </c>
      <c r="K11" s="164" t="str">
        <f>IFERROR(IF(K$6&lt;200,0,HLOOKUP(K$6,Daten!$CX$1:$FM$8,8,FALSE)),"")</f>
        <v/>
      </c>
      <c r="L11" s="1991"/>
      <c r="M11" s="1992"/>
    </row>
    <row r="12" spans="1:14" ht="17.45" customHeight="1">
      <c r="B12" s="1989" t="s">
        <v>1343</v>
      </c>
      <c r="C12" s="165" t="s">
        <v>171</v>
      </c>
      <c r="D12" s="164">
        <f>IFERROR(IF(D$6&lt;200,0,HLOOKUP(D$6,Daten!$CX$1:$FM$9,9,FALSE)),"")</f>
        <v>0</v>
      </c>
      <c r="E12" s="164">
        <f>IFERROR(IF(E$6&lt;200,0,HLOOKUP(E$6,Daten!$CX$1:$FM$9,9,FALSE)),"")</f>
        <v>408.00000000000011</v>
      </c>
      <c r="F12" s="164">
        <f>IFERROR(IF(F$6&lt;200,0,HLOOKUP(F$6,Daten!$CX$1:$FM$9,9,FALSE)),"")</f>
        <v>0</v>
      </c>
      <c r="G12" s="164">
        <f>IFERROR(IF(G$6&lt;200,0,HLOOKUP(G$6,Daten!$CX$1:$FM$9,9,FALSE)),"")</f>
        <v>362.66666666666674</v>
      </c>
      <c r="H12" s="164" t="str">
        <f>IFERROR(IF(H$6&lt;200,0,HLOOKUP(H$6,Daten!$CX$1:$FM$9,9,FALSE)),"")</f>
        <v/>
      </c>
      <c r="I12" s="164" t="str">
        <f>IFERROR(IF(I$6&lt;200,0,HLOOKUP(I$6,Daten!$CX$1:$FM$9,9,FALSE)),"")</f>
        <v/>
      </c>
      <c r="J12" s="164" t="str">
        <f>IFERROR(IF(J$6&lt;200,0,HLOOKUP(J$6,Daten!$CX$1:$FM$9,9,FALSE)),"")</f>
        <v/>
      </c>
      <c r="K12" s="164" t="str">
        <f>IFERROR(IF(K$6&lt;200,0,HLOOKUP(K$6,Daten!$CX$1:$FM$9,9,FALSE)),"")</f>
        <v/>
      </c>
      <c r="L12" s="1991"/>
      <c r="M12" s="33"/>
    </row>
    <row r="13" spans="1:14" ht="17.45" customHeight="1">
      <c r="B13" s="1989" t="s">
        <v>901</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t="str">
        <f>IFERROR(IF(H$6&lt;200,0,HLOOKUP(H$6,Daten!$CX$1:$FM$10,10,FALSE)),"")</f>
        <v/>
      </c>
      <c r="I13" s="164" t="str">
        <f>IFERROR(IF(I$6&lt;200,0,HLOOKUP(I$6,Daten!$CX$1:$FM$10,10,FALSE)),"")</f>
        <v/>
      </c>
      <c r="J13" s="164" t="str">
        <f>IFERROR(IF(J$6&lt;200,0,HLOOKUP(J$6,Daten!$CX$1:$FM$10,10,FALSE)),"")</f>
        <v/>
      </c>
      <c r="K13" s="164" t="str">
        <f>IFERROR(IF(K$6&lt;200,0,HLOOKUP(K$6,Daten!$CX$1:$FM$10,10,FALSE)),"")</f>
        <v/>
      </c>
      <c r="L13" s="1991"/>
      <c r="M13" s="184"/>
      <c r="N13" s="33"/>
    </row>
    <row r="14" spans="1:14" ht="17.45" customHeight="1">
      <c r="B14" s="1989" t="s">
        <v>1342</v>
      </c>
      <c r="C14" s="165" t="s">
        <v>171</v>
      </c>
      <c r="D14" s="164">
        <f>IFERROR(IF(D$6&lt;200,0,HLOOKUP(D$6,Daten!$CX$1:$FM$23,23,FALSE)),"")</f>
        <v>695.4</v>
      </c>
      <c r="E14" s="164">
        <f>IFERROR(IF(E$6&lt;200,0,HLOOKUP(E$6,Daten!$CX$1:$FM$23,23,FALSE)),"")</f>
        <v>595.4</v>
      </c>
      <c r="F14" s="164">
        <f>IFERROR(IF(F$6&lt;200,0,HLOOKUP(F$6,Daten!$CX$1:$FM$23,23,FALSE)),"")</f>
        <v>595.4</v>
      </c>
      <c r="G14" s="164">
        <f>IFERROR(IF(G$6&lt;200,0,HLOOKUP(G$6,Daten!$CX$1:$FM$23,23,FALSE)),"")</f>
        <v>595.4</v>
      </c>
      <c r="H14" s="164" t="str">
        <f>IFERROR(IF(H$6&lt;200,0,HLOOKUP(H$6,Daten!$CX$1:$FM$23,23,FALSE)),"")</f>
        <v/>
      </c>
      <c r="I14" s="164" t="str">
        <f>IFERROR(IF(I$6&lt;200,0,HLOOKUP(I$6,Daten!$CX$1:$FM$23,23,FALSE)),"")</f>
        <v/>
      </c>
      <c r="J14" s="164" t="str">
        <f>IFERROR(IF(J$6&lt;200,0,HLOOKUP(J$6,Daten!$CX$1:$FM$23,23,FALSE)),"")</f>
        <v/>
      </c>
      <c r="K14" s="164" t="str">
        <f>IFERROR(IF(K$6&lt;200,0,HLOOKUP(K$6,Daten!$CX$1:$FM$23,23,FALSE)),"")</f>
        <v/>
      </c>
      <c r="L14" s="1991"/>
      <c r="M14" s="184"/>
      <c r="N14" s="172"/>
    </row>
    <row r="15" spans="1:14" ht="19.899999999999999" customHeight="1">
      <c r="B15" s="1987"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2414.7333333333336</v>
      </c>
      <c r="F15" s="170">
        <f>IF(ISERROR(IF(F6&lt;200,0,(HLOOKUP(F6,Daten!$CX$1:$FM$63,11,FALSE))+(HLOOKUP(F6,Daten!$CX$1:$FM$63,23,FALSE)))),"",IF(F6&lt;200,0,(HLOOKUP(F6,Daten!$CX$1:$FM$63,11,FALSE))+(HLOOKUP(F6,Daten!$CX$1:$FM$63,23,FALSE))))</f>
        <v>2440.0166666666669</v>
      </c>
      <c r="G15" s="170">
        <f>IF(ISERROR(IF(G6&lt;200,0,(HLOOKUP(G6,Daten!$CX$1:$FM$63,11,FALSE))+(HLOOKUP(G6,Daten!$CX$1:$FM$63,23,FALSE)))),"",IF(G6&lt;200,0,(HLOOKUP(G6,Daten!$CX$1:$FM$63,11,FALSE))+(HLOOKUP(G6,Daten!$CX$1:$FM$63,23,FALSE))))</f>
        <v>2369</v>
      </c>
      <c r="H15" s="170" t="str">
        <f>IF(ISERROR(IF(H6&lt;200,0,(HLOOKUP(H6,Daten!$CX$1:$FM$63,11,FALSE))+(HLOOKUP(H6,Daten!$CX$1:$FM$63,23,FALSE)))),"",IF(H6&lt;200,0,(HLOOKUP(H6,Daten!$CX$1:$FM$63,11,FALSE))+(HLOOKUP(H6,Daten!$CX$1:$FM$63,23,FALSE))))</f>
        <v/>
      </c>
      <c r="I15" s="170" t="str">
        <f>IF(ISERROR(IF(I6&lt;200,0,(HLOOKUP(I6,Daten!$CX$1:$FM$63,11,FALSE))+(HLOOKUP(I6,Daten!$CX$1:$FM$63,23,FALSE)))),"",IF(I6&lt;200,0,(HLOOKUP(I6,Daten!$CX$1:$FM$63,11,FALSE))+(HLOOKUP(I6,Daten!$CX$1:$FM$63,23,FALSE))))</f>
        <v/>
      </c>
      <c r="J15" s="170" t="str">
        <f>IF(ISERROR(IF(J6&lt;200,0,(HLOOKUP(J6,Daten!$CX$1:$FM$63,11,FALSE))+(HLOOKUP(J6,Daten!$CX$1:$FM$63,23,FALSE)))),"",IF(J6&lt;200,0,(HLOOKUP(J6,Daten!$CX$1:$FM$63,11,FALSE))+(HLOOKUP(J6,Daten!$CX$1:$FM$63,23,FALSE))))</f>
        <v/>
      </c>
      <c r="K15" s="170" t="str">
        <f>IF(ISERROR(IF(K6&lt;200,0,(HLOOKUP(K6,Daten!$CX$1:$FM$63,11,FALSE))+(HLOOKUP(K6,Daten!$CX$1:$FM$63,23,FALSE)))),"",IF(K6&lt;200,0,(HLOOKUP(K6,Daten!$CX$1:$FM$63,11,FALSE))+(HLOOKUP(K6,Daten!$CX$1:$FM$63,23,FALSE))))</f>
        <v/>
      </c>
      <c r="L15" s="1990"/>
      <c r="M15" s="181"/>
      <c r="N15" s="172" t="str">
        <f t="shared" ref="N15:N23" si="2">IF(ISERROR((D15*$D$8+E15*$E$8+F15*$F$8+G15*$G$8+H15*$H$8+I15*$I$8)/$L$8),"",(D15*$D$8+E15*$E$8+F15*$F$8+G15*$G$8+H15*$H$8+I15*$I$8)/$L$8)</f>
        <v/>
      </c>
    </row>
    <row r="16" spans="1:14" ht="15" customHeight="1">
      <c r="B16" s="1989" t="s">
        <v>222</v>
      </c>
      <c r="C16" s="165" t="s">
        <v>171</v>
      </c>
      <c r="D16" s="164">
        <f>IFERROR(IF(D$6&lt;200,0,HLOOKUP(D$6,Daten!$CX$1:$FM$12,12,FALSE)),"")</f>
        <v>90</v>
      </c>
      <c r="E16" s="164">
        <f>IFERROR(IF(E$6&lt;200,0,HLOOKUP(E$6,Daten!$CX$1:$FM$12,12,FALSE)),"")</f>
        <v>122.99999999999999</v>
      </c>
      <c r="F16" s="164">
        <f>IFERROR(IF(F$6&lt;200,0,HLOOKUP(F$6,Daten!$CX$1:$FM$12,12,FALSE)),"")</f>
        <v>250</v>
      </c>
      <c r="G16" s="164">
        <f>IFERROR(IF(G$6&lt;200,0,HLOOKUP(G$6,Daten!$CX$1:$FM$12,12,FALSE)),"")</f>
        <v>147.6</v>
      </c>
      <c r="H16" s="164" t="str">
        <f>IFERROR(IF(H$6&lt;200,0,HLOOKUP(H$6,Daten!$CX$1:$FM$12,12,FALSE)),"")</f>
        <v/>
      </c>
      <c r="I16" s="164" t="str">
        <f>IFERROR(IF(I$6&lt;200,0,HLOOKUP(I$6,Daten!$CX$1:$FM$12,12,FALSE)),"")</f>
        <v/>
      </c>
      <c r="J16" s="164" t="str">
        <f>IFERROR(IF(J$6&lt;200,0,HLOOKUP(J$6,Daten!$CX$1:$FM$12,12,FALSE)),"")</f>
        <v/>
      </c>
      <c r="K16" s="164" t="str">
        <f>IFERROR(IF(K$6&lt;200,0,HLOOKUP(K$6,Daten!$CX$1:$FM$12,12,FALSE)),"")</f>
        <v/>
      </c>
      <c r="L16" s="1988"/>
      <c r="M16" s="176"/>
      <c r="N16" s="172" t="str">
        <f t="shared" si="2"/>
        <v/>
      </c>
    </row>
    <row r="17" spans="2:14" ht="15" customHeight="1">
      <c r="B17" s="1989" t="s">
        <v>1341</v>
      </c>
      <c r="C17" s="165" t="s">
        <v>171</v>
      </c>
      <c r="D17" s="164">
        <f>IFERROR(IF(D$6&lt;200,0,HLOOKUP(D$6,Daten!$CX$1:$FM$13,13,FALSE)),"")</f>
        <v>-532.66666666666663</v>
      </c>
      <c r="E17" s="164">
        <f>IFERROR(IF(E$6&lt;200,0,HLOOKUP(E$6,Daten!$CX$1:$FM$13,13,FALSE)),"")</f>
        <v>446.88</v>
      </c>
      <c r="F17" s="164">
        <f>IFERROR(IF(F$6&lt;200,0,HLOOKUP(F$6,Daten!$CX$1:$FM$13,13,FALSE)),"")</f>
        <v>-11.900000000000105</v>
      </c>
      <c r="G17" s="164">
        <f>IFERROR(IF(G$6&lt;200,0,HLOOKUP(G$6,Daten!$CX$1:$FM$13,13,FALSE)),"")</f>
        <v>472.26666666666665</v>
      </c>
      <c r="H17" s="164" t="str">
        <f>IFERROR(IF(H$6&lt;200,0,HLOOKUP(H$6,Daten!$CX$1:$FM$13,13,FALSE)),"")</f>
        <v/>
      </c>
      <c r="I17" s="164" t="str">
        <f>IFERROR(IF(I$6&lt;200,0,HLOOKUP(I$6,Daten!$CX$1:$FM$13,13,FALSE)),"")</f>
        <v/>
      </c>
      <c r="J17" s="164" t="str">
        <f>IFERROR(IF(J$6&lt;200,0,HLOOKUP(J$6,Daten!$CX$1:$FM$13,13,FALSE)),"")</f>
        <v/>
      </c>
      <c r="K17" s="164" t="str">
        <f>IFERROR(IF(K$6&lt;200,0,HLOOKUP(K$6,Daten!$CX$1:$FM$13,13,FALSE)),"")</f>
        <v/>
      </c>
      <c r="L17" s="1988"/>
      <c r="M17" s="176"/>
      <c r="N17" s="173" t="str">
        <f t="shared" si="2"/>
        <v/>
      </c>
    </row>
    <row r="18" spans="2:14" ht="15" customHeight="1">
      <c r="B18" s="1989"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t="str">
        <f>IFERROR(IF(H$6&lt;200,0,HLOOKUP(H$6,Daten!$CX$1:$FM$14,14,FALSE)),"")</f>
        <v/>
      </c>
      <c r="I18" s="164" t="str">
        <f>IFERROR(IF(I$6&lt;200,0,HLOOKUP(I$6,Daten!$CX$1:$FM$14,14,FALSE)),"")</f>
        <v/>
      </c>
      <c r="J18" s="164" t="str">
        <f>IFERROR(IF(J$6&lt;200,0,HLOOKUP(J$6,Daten!$CX$1:$FM$14,14,FALSE)),"")</f>
        <v/>
      </c>
      <c r="K18" s="164" t="str">
        <f>IFERROR(IF(K$6&lt;200,0,HLOOKUP(K$6,Daten!$CX$1:$FM$14,14,FALSE)),"")</f>
        <v/>
      </c>
      <c r="L18" s="1988"/>
      <c r="M18" s="176"/>
      <c r="N18" s="173" t="str">
        <f t="shared" si="2"/>
        <v/>
      </c>
    </row>
    <row r="19" spans="2:14" ht="15" customHeight="1">
      <c r="B19" s="1989" t="s">
        <v>219</v>
      </c>
      <c r="C19" s="165" t="s">
        <v>171</v>
      </c>
      <c r="D19" s="164">
        <f>IFERROR(IF(D$6&lt;200,0,HLOOKUP(D$6,Daten!$CX$1:$FM$60,60,FALSE)),"")</f>
        <v>114.91834163294118</v>
      </c>
      <c r="E19" s="164">
        <f>IFERROR(IF(E$6&lt;200,0,HLOOKUP(E$6,Daten!$CX$1:$FM$60,60,FALSE)),"")</f>
        <v>394.44442548806728</v>
      </c>
      <c r="F19" s="164">
        <f>IFERROR(IF(F$6&lt;200,0,HLOOKUP(F$6,Daten!$CX$1:$FM$60,60,FALSE)),"")</f>
        <v>331.07606966352944</v>
      </c>
      <c r="G19" s="164">
        <f>IFERROR(IF(G$6&lt;200,0,HLOOKUP(G$6,Daten!$CX$1:$FM$60,60,FALSE)),"")</f>
        <v>388.45210400268905</v>
      </c>
      <c r="H19" s="164" t="str">
        <f>IFERROR(IF(H$6&lt;200,0,HLOOKUP(H$6,Daten!$CX$1:$FM$60,60,FALSE)),"")</f>
        <v/>
      </c>
      <c r="I19" s="164" t="str">
        <f>IFERROR(IF(I$6&lt;200,0,HLOOKUP(I$6,Daten!$CX$1:$FM$60,60,FALSE)),"")</f>
        <v/>
      </c>
      <c r="J19" s="164" t="str">
        <f>IFERROR(IF(J$6&lt;200,0,HLOOKUP(J$6,Daten!$CX$1:$FM$60,60,FALSE)),"")</f>
        <v/>
      </c>
      <c r="K19" s="164" t="str">
        <f>IFERROR(IF(K$6&lt;200,0,HLOOKUP(K$6,Daten!$CX$1:$FM$60,60,FALSE)),"")</f>
        <v/>
      </c>
      <c r="L19" s="1988"/>
      <c r="M19" s="176"/>
      <c r="N19" s="173" t="str">
        <f t="shared" si="2"/>
        <v/>
      </c>
    </row>
    <row r="20" spans="2:14" ht="15" customHeight="1">
      <c r="B20" s="1989" t="s">
        <v>1340</v>
      </c>
      <c r="C20" s="165" t="s">
        <v>171</v>
      </c>
      <c r="D20" s="164">
        <f>IFERROR(IF(D$6&lt;200,0,HLOOKUP(D$6,Daten!$CX$1:$FM$59,59,FALSE)),"")</f>
        <v>-2.8677978440450977</v>
      </c>
      <c r="E20" s="164">
        <f>IFERROR(IF(E$6&lt;200,0,HLOOKUP(E$6,Daten!$CX$1:$FM$59,59,FALSE)),"")</f>
        <v>104.04850872302059</v>
      </c>
      <c r="F20" s="164">
        <f>IFERROR(IF(F$6&lt;200,0,HLOOKUP(F$6,Daten!$CX$1:$FM$59,59,FALSE)),"")</f>
        <v>189.39377860955588</v>
      </c>
      <c r="G20" s="164">
        <f>IFERROR(IF(G$6&lt;200,0,HLOOKUP(G$6,Daten!$CX$1:$FM$59,59,FALSE)),"")</f>
        <v>104.42700324335686</v>
      </c>
      <c r="H20" s="164" t="str">
        <f>IFERROR(IF(H$6&lt;200,0,HLOOKUP(H$6,Daten!$CX$1:$FM$59,59,FALSE)),"")</f>
        <v/>
      </c>
      <c r="I20" s="164" t="str">
        <f>IFERROR(IF(I$6&lt;200,0,HLOOKUP(I$6,Daten!$CX$1:$FM$59,59,FALSE)),"")</f>
        <v/>
      </c>
      <c r="J20" s="164" t="str">
        <f>IFERROR(IF(J$6&lt;200,0,HLOOKUP(J$6,Daten!$CX$1:$FM$59,59,FALSE)),"")</f>
        <v/>
      </c>
      <c r="K20" s="164" t="str">
        <f>IFERROR(IF(K$6&lt;200,0,HLOOKUP(K$6,Daten!$CX$1:$FM$59,59,FALSE)),"")</f>
        <v/>
      </c>
      <c r="L20" s="1988"/>
      <c r="M20" s="176"/>
      <c r="N20" s="173" t="str">
        <f t="shared" si="2"/>
        <v/>
      </c>
    </row>
    <row r="21" spans="2:14" ht="15" customHeight="1">
      <c r="B21" s="1987" t="s">
        <v>1339</v>
      </c>
      <c r="C21" s="171" t="s">
        <v>171</v>
      </c>
      <c r="D21" s="170">
        <f>IF(ISERROR(IF(D6&lt;200,0,HLOOKUP(D6,Daten!$CX$1:$FM$63,21,FALSE))),"",IF(D6&lt;200,0,HLOOKUP(D6,Daten!$CX$1:$FM$63,21,FALSE)))</f>
        <v>-327.74832503372545</v>
      </c>
      <c r="E21" s="170">
        <f>IF(ISERROR(IF(E6&lt;200,0,HLOOKUP(E6,Daten!$CX$1:$FM$63,21,FALSE))),"",IF(E6&lt;200,0,HLOOKUP(E6,Daten!$CX$1:$FM$63,21,FALSE)))</f>
        <v>1059.1057588214005</v>
      </c>
      <c r="F21" s="170">
        <f>IF(ISERROR(IF(F6&lt;200,0,HLOOKUP(F6,Daten!$CX$1:$FM$63,21,FALSE))),"",IF(F6&lt;200,0,HLOOKUP(F6,Daten!$CX$1:$FM$63,21,FALSE)))</f>
        <v>751.98993633019597</v>
      </c>
      <c r="G21" s="170">
        <f>IF(ISERROR(IF(G6&lt;200,0,HLOOKUP(G6,Daten!$CX$1:$FM$63,21,FALSE))),"",IF(G6&lt;200,0,HLOOKUP(G6,Daten!$CX$1:$FM$63,21,FALSE)))</f>
        <v>1103.093704002689</v>
      </c>
      <c r="H21" s="170" t="str">
        <f>IF(ISERROR(IF(H6&lt;200,0,HLOOKUP(H6,Daten!$CX$1:$FM$63,21,FALSE))),"",IF(H6&lt;200,0,HLOOKUP(H6,Daten!$CX$1:$FM$63,21,FALSE)))</f>
        <v/>
      </c>
      <c r="I21" s="170" t="str">
        <f>IF(ISERROR(IF(I6&lt;200,0,HLOOKUP(I6,Daten!$CX$1:$FM$63,21,FALSE))),"",IF(I6&lt;200,0,HLOOKUP(I6,Daten!$CX$1:$FM$63,21,FALSE)))</f>
        <v/>
      </c>
      <c r="J21" s="170" t="str">
        <f>IF(ISERROR(IF(J6&lt;200,0,HLOOKUP(J6,Daten!$CX$1:$FM$63,21,FALSE))),"",IF(J6&lt;200,0,HLOOKUP(J6,Daten!$CX$1:$FM$63,21,FALSE)))</f>
        <v/>
      </c>
      <c r="K21" s="170" t="str">
        <f>IF(ISERROR(IF(K6&lt;200,0,HLOOKUP(K6,Daten!$CX$1:$FM$63,21,FALSE))),"",IF(K6&lt;200,0,HLOOKUP(K6,Daten!$CX$1:$FM$63,21,FALSE)))</f>
        <v/>
      </c>
      <c r="L21" s="1986"/>
      <c r="M21" s="162"/>
      <c r="N21" s="173" t="str">
        <f t="shared" si="2"/>
        <v/>
      </c>
    </row>
    <row r="22" spans="2:14" ht="33" customHeight="1" thickBot="1">
      <c r="B22" s="3255" t="s">
        <v>1338</v>
      </c>
      <c r="C22" s="171" t="s">
        <v>171</v>
      </c>
      <c r="D22" s="170">
        <f>IFERROR(IF(D$6&lt;200,0,HLOOKUP(D$6,Daten!$CX$1:$FM$22,22,FALSE)),"")</f>
        <v>327.74832503372545</v>
      </c>
      <c r="E22" s="170">
        <f>IFERROR(IF(E$6&lt;200,0,HLOOKUP(E$6,Daten!$CX$1:$FM$22,22,FALSE)),"")</f>
        <v>760.22757451193297</v>
      </c>
      <c r="F22" s="170">
        <f>IFERROR(IF(F$6&lt;200,0,HLOOKUP(F$6,Daten!$CX$1:$FM$22,22,FALSE)),"")</f>
        <v>1092.6267303364712</v>
      </c>
      <c r="G22" s="170">
        <f>IFERROR(IF(G$6&lt;200,0,HLOOKUP(G$6,Daten!$CX$1:$FM$22,22,FALSE)),"")</f>
        <v>670.5062959973111</v>
      </c>
      <c r="H22" s="170" t="str">
        <f>IFERROR(IF(H$6&lt;200,0,HLOOKUP(H$6,Daten!$CX$1:$FM$22,22,FALSE)),"")</f>
        <v/>
      </c>
      <c r="I22" s="170" t="str">
        <f>IFERROR(IF(I$6&lt;200,0,HLOOKUP(I$6,Daten!$CX$1:$FM$22,22,FALSE)),"")</f>
        <v/>
      </c>
      <c r="J22" s="170" t="str">
        <f>IFERROR(IF(J$6&lt;200,0,HLOOKUP(J$6,Daten!$CX$1:$FM$22,22,FALSE)),"")</f>
        <v/>
      </c>
      <c r="K22" s="170" t="str">
        <f>IFERROR(IF(K$6&lt;200,0,HLOOKUP(K$6,Daten!$CX$1:$FM$22,22,FALSE)),"")</f>
        <v/>
      </c>
      <c r="L22" s="1986">
        <f>SUMPRODUCT(D8:K8,D22:K22)%</f>
        <v>65.549665006745087</v>
      </c>
      <c r="M22" s="162"/>
      <c r="N22" s="172" t="str">
        <f t="shared" si="2"/>
        <v/>
      </c>
    </row>
    <row r="23" spans="2:14" ht="46.5" customHeight="1" thickBot="1">
      <c r="B23" s="3256" t="s">
        <v>1337</v>
      </c>
      <c r="C23" s="1985" t="s">
        <v>171</v>
      </c>
      <c r="D23" s="170">
        <f>IFERROR(IF(D$6&lt;200,0,HLOOKUP(D$6,Daten!$CX$1:$FM$25,25,FALSE)),"")</f>
        <v>1026.0161228777706</v>
      </c>
      <c r="E23" s="170">
        <f>IFERROR(IF(E$6&lt;200,0,HLOOKUP(E$6,Daten!$CX$1:$FM$25,25,FALSE)),"")</f>
        <v>1346.3603991222456</v>
      </c>
      <c r="F23" s="170">
        <f>IFERROR(IF(F$6&lt;200,0,HLOOKUP(F$6,Daten!$CX$1:$FM$25,25,FALSE)),"")</f>
        <v>1681.4468183935821</v>
      </c>
      <c r="G23" s="170">
        <f>IFERROR(IF(G$6&lt;200,0,HLOOKUP(G$6,Daten!$CX$1:$FM$25,25,FALSE)),"")</f>
        <v>1256.2542260872876</v>
      </c>
      <c r="H23" s="170" t="str">
        <f>IFERROR(IF(H$6&lt;200,0,HLOOKUP(H$6,Daten!$CX$1:$FM$25,25,FALSE)),"")</f>
        <v/>
      </c>
      <c r="I23" s="170" t="str">
        <f>IFERROR(IF(I$6&lt;200,0,HLOOKUP(I$6,Daten!$CX$1:$FM$25,25,FALSE)),"")</f>
        <v/>
      </c>
      <c r="J23" s="170" t="str">
        <f>IFERROR(IF(J$6&lt;200,0,HLOOKUP(J$6,Daten!$CX$1:$FM$25,25,FALSE)),"")</f>
        <v/>
      </c>
      <c r="K23" s="170" t="str">
        <f>IFERROR(IF(K$6&lt;200,0,HLOOKUP(K$6,Daten!$CX$1:$FM$25,25,FALSE)),"")</f>
        <v/>
      </c>
      <c r="L23" s="1984">
        <f>SUMPRODUCT(D8:K8,D23:K23)%</f>
        <v>205.20322457555412</v>
      </c>
      <c r="M23" s="150"/>
      <c r="N23" s="1978" t="str">
        <f t="shared" si="2"/>
        <v/>
      </c>
    </row>
    <row r="24" spans="2:14" ht="36.75" customHeight="1">
      <c r="B24" s="4140" t="s">
        <v>1346</v>
      </c>
      <c r="C24" s="4140"/>
      <c r="D24" s="4140"/>
      <c r="E24" s="4140"/>
      <c r="F24" s="4140"/>
      <c r="G24" s="4140"/>
      <c r="H24" s="210"/>
      <c r="I24" s="210"/>
      <c r="J24" s="210"/>
      <c r="K24" s="162"/>
      <c r="L24" s="1983"/>
      <c r="M24" s="154"/>
    </row>
    <row r="25" spans="2:14" s="33" customFormat="1" ht="40.9" customHeight="1"/>
    <row r="26" spans="2:14" s="33" customFormat="1" ht="28.5" hidden="1" customHeight="1">
      <c r="M26" s="1982">
        <f>COLUMNS($G$26:M26)</f>
        <v>7</v>
      </c>
      <c r="N26" s="1982">
        <f>COLUMNS($G$26:N26)</f>
        <v>8</v>
      </c>
    </row>
    <row r="27" spans="2:14" s="33" customFormat="1" ht="19.149999999999999" customHeight="1">
      <c r="M27" s="1981"/>
      <c r="N27" s="1981"/>
    </row>
    <row r="28" spans="2:14" s="33" customFormat="1" ht="28.5" customHeight="1">
      <c r="M28" s="201"/>
      <c r="N28" s="136"/>
    </row>
    <row r="29" spans="2:14" s="33" customFormat="1" ht="28.5" customHeight="1">
      <c r="M29" s="136"/>
      <c r="N29" s="136"/>
    </row>
    <row r="30" spans="2:14" s="33" customFormat="1" ht="28.5" customHeight="1">
      <c r="M30" s="201"/>
      <c r="N30" s="136"/>
    </row>
    <row r="31" spans="2:14" s="33" customFormat="1" ht="23.85" customHeight="1" thickBot="1">
      <c r="M31" s="136"/>
      <c r="N31" s="136"/>
    </row>
    <row r="32" spans="2:14" s="33" customFormat="1" ht="28.5" customHeight="1">
      <c r="M32" s="195"/>
      <c r="N32" s="1980" t="s">
        <v>1335</v>
      </c>
    </row>
    <row r="33" spans="2:14" s="33" customFormat="1" ht="28.5" customHeight="1">
      <c r="M33" s="136"/>
      <c r="N33" s="1979">
        <v>100</v>
      </c>
    </row>
    <row r="34" spans="2:14" s="33" customFormat="1" ht="28.5" customHeight="1">
      <c r="M34" s="176"/>
      <c r="N34" s="136"/>
    </row>
    <row r="35" spans="2:14" s="33" customFormat="1" ht="28.5" customHeight="1">
      <c r="M35" s="184"/>
      <c r="N35" s="136"/>
    </row>
    <row r="36" spans="2:14" s="33" customFormat="1" ht="28.5" customHeight="1">
      <c r="M36" s="184"/>
      <c r="N36" s="136"/>
    </row>
    <row r="37" spans="2:14" s="33" customFormat="1" ht="28.5" customHeight="1">
      <c r="B37" s="136"/>
      <c r="C37" s="137"/>
      <c r="D37" s="136"/>
      <c r="E37" s="136"/>
      <c r="F37" s="136"/>
      <c r="G37" s="136"/>
      <c r="H37" s="136"/>
      <c r="I37" s="136"/>
      <c r="J37" s="136"/>
      <c r="K37" s="136"/>
      <c r="M37" s="184"/>
      <c r="N37" s="136"/>
    </row>
    <row r="38" spans="2:14" s="33" customFormat="1" ht="57.75" customHeight="1">
      <c r="B38" s="136"/>
      <c r="C38" s="137"/>
      <c r="D38" s="136"/>
      <c r="E38" s="136"/>
      <c r="F38" s="136"/>
      <c r="G38" s="136"/>
      <c r="H38" s="136"/>
      <c r="I38" s="136"/>
      <c r="J38" s="136"/>
      <c r="K38" s="136"/>
      <c r="M38" s="184"/>
    </row>
    <row r="39" spans="2:14" s="33" customFormat="1" ht="57.75" customHeight="1">
      <c r="B39" s="176"/>
      <c r="C39" s="176"/>
      <c r="D39" s="176"/>
      <c r="E39" s="176"/>
      <c r="F39" s="176"/>
      <c r="G39" s="176"/>
      <c r="H39" s="176"/>
      <c r="I39" s="176"/>
      <c r="J39" s="176"/>
      <c r="K39" s="176"/>
      <c r="L39" s="176"/>
      <c r="M39" s="184"/>
      <c r="N39" s="172" t="str">
        <f>IF(ISERROR((D46*$D$33+E46*$E$33+F46*$F$33+G46*$G$33+H46*$H$33+I46*$I$33)/$L$33),"",(D46*$D$33+E46*$E$33+F46*$F$33+G46*$G$33+H46*$H$33+I46*$I$33)/$L$33)</f>
        <v/>
      </c>
    </row>
    <row r="40" spans="2:14" s="33" customFormat="1" ht="57.2" customHeight="1">
      <c r="B40" s="176"/>
      <c r="C40" s="176"/>
      <c r="D40" s="176"/>
      <c r="E40" s="176"/>
      <c r="F40" s="176"/>
      <c r="G40" s="176"/>
      <c r="H40" s="176"/>
      <c r="I40" s="176"/>
      <c r="J40" s="176"/>
      <c r="K40" s="176"/>
      <c r="L40" s="176"/>
      <c r="M40" s="181"/>
      <c r="N40" s="172" t="str">
        <f>IF(ISERROR((D41*$D$33+E41*$E$33+F41*$F$33+G41*$G$33+H41*$H$33+I41*$I$33)/$L$33),"",(D41*$D$33+E41*$E$33+F41*$F$33+G41*$G$33+H41*$H$33+I41*$I$33)/$L$33)</f>
        <v/>
      </c>
    </row>
    <row r="41" spans="2:14" s="33" customFormat="1" ht="28.5" customHeight="1">
      <c r="B41" s="176"/>
      <c r="C41" s="176"/>
      <c r="D41" s="176"/>
      <c r="E41" s="176"/>
      <c r="F41" s="176"/>
      <c r="G41" s="176"/>
      <c r="H41" s="176"/>
      <c r="I41" s="176"/>
      <c r="J41" s="176"/>
      <c r="K41" s="176"/>
      <c r="L41" s="176"/>
      <c r="M41" s="176"/>
      <c r="N41" s="172" t="str">
        <f>IF(ISERROR((D42*$D$33+E42*$E$33+F42*$F$33+G42*$G$33+H42*$H$33+I42*$I$33)/$L$33),"",(D42*$D$33+E42*$E$33+F42*$F$33+G42*$G$33+H42*$H$33+I42*$I$33)/$L$33)</f>
        <v/>
      </c>
    </row>
    <row r="42" spans="2:14" s="33" customFormat="1" ht="28.5" customHeight="1">
      <c r="B42" s="176"/>
      <c r="C42" s="176"/>
      <c r="D42" s="176"/>
      <c r="E42" s="176"/>
      <c r="F42" s="176"/>
      <c r="G42" s="176"/>
      <c r="H42" s="176"/>
      <c r="I42" s="176"/>
      <c r="J42" s="176"/>
      <c r="K42" s="176"/>
      <c r="L42" s="176"/>
      <c r="M42" s="176"/>
      <c r="N42" s="173" t="str">
        <f>IF(ISERROR((D43*$D$33+E43*$E$33+F43*$F$33+G43*$G$33+H43*$H$33+I43*$I$33)/$L$33),"",(D43*$D$33+E43*$E$33+F43*$F$33+G43*$G$33+H43*$H$33+I43*$I$33)/$L$33)</f>
        <v/>
      </c>
    </row>
    <row r="43" spans="2:14" s="33" customFormat="1" ht="28.5" customHeight="1">
      <c r="B43" s="176"/>
      <c r="C43" s="176"/>
      <c r="D43" s="176"/>
      <c r="E43" s="176"/>
      <c r="F43" s="176"/>
      <c r="G43" s="176"/>
      <c r="H43" s="176"/>
      <c r="I43" s="176"/>
      <c r="J43" s="176"/>
      <c r="K43" s="176"/>
      <c r="L43" s="176"/>
      <c r="M43" s="176"/>
      <c r="N43" s="173" t="str">
        <f>IF(ISERROR((#REF!*$D$33+#REF!*$E$33+#REF!*$F$33+#REF!*$G$33+#REF!*$H$33+#REF!*$I$33)/$L$33),"",(#REF!*$D$33+#REF!*$E$33+#REF!*$F$33+#REF!*$G$33+#REF!*$H$33+#REF!*$I$33)/$L$33)</f>
        <v/>
      </c>
    </row>
    <row r="44" spans="2:14" s="33" customFormat="1" ht="21.75" customHeight="1">
      <c r="B44" s="176"/>
      <c r="C44" s="176"/>
      <c r="D44" s="176"/>
      <c r="E44" s="176"/>
      <c r="F44" s="176"/>
      <c r="G44" s="176"/>
      <c r="H44" s="176"/>
      <c r="I44" s="176"/>
      <c r="J44" s="176"/>
      <c r="K44" s="176"/>
      <c r="L44" s="176"/>
      <c r="M44" s="176"/>
      <c r="N44" s="173" t="str">
        <f>IF(ISERROR((#REF!*$D$33+#REF!*$E$33+#REF!*$F$33+#REF!*$G$33+#REF!*$H$33+#REF!*$I$33)/$L$33),"",(#REF!*$D$33+#REF!*$E$33+#REF!*$F$33+#REF!*$G$33+#REF!*$H$33+#REF!*$I$33)/$L$33)</f>
        <v/>
      </c>
    </row>
    <row r="45" spans="2:14" s="33" customFormat="1" ht="25.15" customHeight="1">
      <c r="B45" s="176"/>
      <c r="C45" s="176"/>
      <c r="D45" s="176"/>
      <c r="E45" s="176"/>
      <c r="F45" s="176"/>
      <c r="G45" s="176"/>
      <c r="H45" s="176"/>
      <c r="I45" s="176"/>
      <c r="J45" s="176"/>
      <c r="K45" s="176"/>
      <c r="L45" s="176"/>
      <c r="M45" s="162"/>
      <c r="N45" s="173" t="str">
        <f>IF(ISERROR((#REF!*$D$33+#REF!*$E$33+#REF!*$F$33+#REF!*$G$33+#REF!*$H$33+#REF!*$I$33)/$L$33),"",(#REF!*$D$33+#REF!*$E$33+#REF!*$F$33+#REF!*$G$33+#REF!*$H$33+#REF!*$I$33)/$L$33)</f>
        <v/>
      </c>
    </row>
    <row r="46" spans="2:14" s="33" customFormat="1" ht="19.7" customHeight="1">
      <c r="B46" s="176"/>
      <c r="C46" s="176"/>
      <c r="D46" s="176"/>
      <c r="E46" s="176"/>
      <c r="F46" s="176"/>
      <c r="G46" s="176"/>
      <c r="H46" s="176"/>
      <c r="I46" s="176"/>
      <c r="J46" s="176"/>
      <c r="K46" s="176"/>
      <c r="L46" s="176"/>
      <c r="M46" s="162"/>
      <c r="N46" s="172" t="str">
        <f>IF(ISERROR((#REF!*$D$33+#REF!*$E$33+#REF!*$F$33+#REF!*$G$33+#REF!*$H$33+#REF!*$I$33)/$L$33),"",(#REF!*$D$33+#REF!*$E$33+#REF!*$F$33+#REF!*$G$33+#REF!*$H$33+#REF!*$I$33)/$L$33)</f>
        <v/>
      </c>
    </row>
    <row r="47" spans="2:14" s="33" customFormat="1" ht="18.399999999999999" customHeight="1" thickBot="1">
      <c r="M47" s="150"/>
      <c r="N47" s="1978" t="str">
        <f>IF(ISERROR((D47*$D$33+E47*$E$33+F47*$F$33+G47*$G$33+H47*$H$33+I47*$I$33)/$L$33),"",(D47*$D$33+E47*$E$33+F47*$F$33+G47*$G$33+H47*$H$33+I47*$I$33)/$L$33)</f>
        <v/>
      </c>
    </row>
    <row r="48" spans="2:14" s="33" customFormat="1" ht="15" customHeight="1">
      <c r="M48" s="162"/>
      <c r="N48" s="136"/>
    </row>
    <row r="49" spans="3:14" s="33" customFormat="1" ht="16.899999999999999" customHeight="1">
      <c r="M49" s="154"/>
      <c r="N49" s="136"/>
    </row>
    <row r="50" spans="3:14" s="33" customFormat="1" ht="16.149999999999999" customHeight="1"/>
    <row r="51" spans="3:14">
      <c r="C51" s="136"/>
      <c r="F51" s="1974"/>
      <c r="G51" s="148"/>
      <c r="H51" s="141"/>
      <c r="I51" s="141"/>
      <c r="J51" s="141"/>
      <c r="K51" s="141"/>
      <c r="L51" s="1977">
        <v>1</v>
      </c>
    </row>
    <row r="52" spans="3:14">
      <c r="C52" s="1143">
        <v>33</v>
      </c>
      <c r="D52" s="149" t="str">
        <f>Kostenrechnung!F266</f>
        <v xml:space="preserve">Kleegras einjährig (70:30) </v>
      </c>
      <c r="E52" s="147"/>
      <c r="F52" s="1143">
        <v>33</v>
      </c>
      <c r="G52" s="146" t="s">
        <v>213</v>
      </c>
      <c r="H52" s="145"/>
      <c r="I52" s="145"/>
      <c r="J52" s="145"/>
      <c r="K52" s="145"/>
      <c r="L52" s="1976">
        <v>2</v>
      </c>
    </row>
    <row r="53" spans="3:14">
      <c r="C53" s="1143">
        <f>C52+1</f>
        <v>34</v>
      </c>
      <c r="D53" s="149" t="str">
        <f>Kostenrechnung!F267</f>
        <v>Kleegras zweijährig (50:50)</v>
      </c>
      <c r="E53" s="138"/>
      <c r="F53" s="1143">
        <f>F52+1</f>
        <v>34</v>
      </c>
      <c r="G53" s="146" t="s">
        <v>212</v>
      </c>
      <c r="H53" s="145"/>
      <c r="I53" s="145"/>
      <c r="J53" s="145"/>
      <c r="K53" s="145"/>
      <c r="L53" s="1976">
        <v>3</v>
      </c>
    </row>
    <row r="54" spans="3:14">
      <c r="C54" s="1143">
        <f>C53+1</f>
        <v>35</v>
      </c>
      <c r="D54" s="149" t="str">
        <f>Kostenrechnung!F268</f>
        <v>Luzernegras einjährig (70:30)</v>
      </c>
      <c r="E54" s="138"/>
      <c r="F54" s="1143">
        <f>F53+1</f>
        <v>35</v>
      </c>
      <c r="G54" s="144" t="s">
        <v>210</v>
      </c>
      <c r="H54" s="143"/>
      <c r="I54" s="143"/>
      <c r="J54" s="143"/>
      <c r="K54" s="143"/>
      <c r="L54" s="1975">
        <v>4</v>
      </c>
    </row>
    <row r="55" spans="3:14">
      <c r="C55" s="1143">
        <f>C54+1</f>
        <v>36</v>
      </c>
      <c r="D55" s="149" t="str">
        <f>Kostenrechnung!F269</f>
        <v>Luzernegras zweijährig (50:50)</v>
      </c>
      <c r="E55" s="138"/>
      <c r="F55" s="1143">
        <f>F54+1</f>
        <v>36</v>
      </c>
      <c r="G55" s="141"/>
      <c r="H55" s="141"/>
      <c r="I55" s="141"/>
      <c r="J55" s="141"/>
      <c r="K55" s="141"/>
      <c r="L55" s="141"/>
    </row>
    <row r="56" spans="3:14">
      <c r="C56" s="1143">
        <f>C55+1</f>
        <v>37</v>
      </c>
      <c r="D56" s="149" t="str">
        <f>Kostenrechnung!F270</f>
        <v>Öko-Winterweizen (Futter)</v>
      </c>
      <c r="E56" s="138"/>
      <c r="F56" s="1143">
        <f>F55+1</f>
        <v>37</v>
      </c>
    </row>
    <row r="57" spans="3:14">
      <c r="C57" s="1143">
        <f>C56+1</f>
        <v>38</v>
      </c>
      <c r="D57" s="149" t="str">
        <f>Kostenrechnung!F271</f>
        <v>Öko-Winterweizen (Brot)</v>
      </c>
      <c r="E57" s="138"/>
      <c r="F57" s="1143">
        <f>F56+1</f>
        <v>38</v>
      </c>
    </row>
    <row r="58" spans="3:14">
      <c r="C58" s="1143">
        <f t="shared" ref="C58:C73" si="3">C57+1</f>
        <v>39</v>
      </c>
      <c r="D58" s="149" t="str">
        <f>Kostenrechnung!F272</f>
        <v>Öko-Dinkel</v>
      </c>
      <c r="E58" s="138"/>
      <c r="F58" s="1143">
        <f t="shared" ref="F58:F73" si="4">F57+1</f>
        <v>39</v>
      </c>
    </row>
    <row r="59" spans="3:14">
      <c r="C59" s="1143">
        <f t="shared" si="3"/>
        <v>40</v>
      </c>
      <c r="D59" s="149" t="str">
        <f>Kostenrechnung!F273</f>
        <v>Öko-Dinkel, entspelzt</v>
      </c>
      <c r="E59" s="138"/>
      <c r="F59" s="1143">
        <f t="shared" si="4"/>
        <v>40</v>
      </c>
    </row>
    <row r="60" spans="3:14">
      <c r="C60" s="1143">
        <f t="shared" si="3"/>
        <v>41</v>
      </c>
      <c r="D60" s="149" t="str">
        <f>Kostenrechnung!F274</f>
        <v>Öko-Winterroggen (Brot)</v>
      </c>
      <c r="E60" s="138"/>
      <c r="F60" s="1143">
        <f t="shared" si="4"/>
        <v>41</v>
      </c>
    </row>
    <row r="61" spans="3:14">
      <c r="C61" s="1143">
        <f t="shared" si="3"/>
        <v>42</v>
      </c>
      <c r="D61" s="149" t="str">
        <f>Kostenrechnung!F275</f>
        <v>Öko-Hafer</v>
      </c>
      <c r="E61" s="138"/>
      <c r="F61" s="1143">
        <f t="shared" si="4"/>
        <v>42</v>
      </c>
    </row>
    <row r="62" spans="3:14">
      <c r="C62" s="1143">
        <f t="shared" si="3"/>
        <v>43</v>
      </c>
      <c r="D62" s="3652" t="s">
        <v>2043</v>
      </c>
      <c r="E62" s="138"/>
      <c r="F62" s="1143">
        <f t="shared" si="4"/>
        <v>43</v>
      </c>
    </row>
    <row r="63" spans="3:14">
      <c r="C63" s="1143">
        <f t="shared" si="3"/>
        <v>44</v>
      </c>
      <c r="D63" s="149" t="str">
        <f>Kostenrechnung!F277</f>
        <v>Öko-Braugerste</v>
      </c>
      <c r="E63" s="138"/>
      <c r="F63" s="1143">
        <f t="shared" si="4"/>
        <v>44</v>
      </c>
    </row>
    <row r="64" spans="3:14">
      <c r="C64" s="1143">
        <f t="shared" si="3"/>
        <v>45</v>
      </c>
      <c r="D64" s="149" t="str">
        <f>Kostenrechnung!F278</f>
        <v xml:space="preserve">Öko-Körnermais </v>
      </c>
      <c r="E64" s="138"/>
      <c r="F64" s="1143">
        <f t="shared" si="4"/>
        <v>45</v>
      </c>
    </row>
    <row r="65" spans="3:6">
      <c r="C65" s="1143">
        <f t="shared" si="3"/>
        <v>46</v>
      </c>
      <c r="D65" s="149" t="str">
        <f>Kostenrechnung!F279</f>
        <v xml:space="preserve">Öko-Ackerbohnen </v>
      </c>
      <c r="E65" s="138"/>
      <c r="F65" s="1143">
        <f t="shared" si="4"/>
        <v>46</v>
      </c>
    </row>
    <row r="66" spans="3:6">
      <c r="C66" s="1143">
        <f t="shared" si="3"/>
        <v>47</v>
      </c>
      <c r="D66" s="149" t="str">
        <f>Kostenrechnung!F280</f>
        <v>Öko-Futtererbsen</v>
      </c>
      <c r="E66" s="138"/>
      <c r="F66" s="1143">
        <f t="shared" si="4"/>
        <v>47</v>
      </c>
    </row>
    <row r="67" spans="3:6">
      <c r="C67" s="1143">
        <f t="shared" si="3"/>
        <v>48</v>
      </c>
      <c r="D67" s="149" t="str">
        <f>Kostenrechnung!F281</f>
        <v>Öko-Sojabohnen</v>
      </c>
      <c r="E67" s="138"/>
      <c r="F67" s="1143">
        <f t="shared" si="4"/>
        <v>48</v>
      </c>
    </row>
    <row r="68" spans="3:6">
      <c r="C68" s="1143">
        <f t="shared" si="3"/>
        <v>49</v>
      </c>
      <c r="D68" s="149" t="str">
        <f>Kostenrechnung!F282</f>
        <v>Öko-Sonnenblumen</v>
      </c>
      <c r="E68" s="138"/>
      <c r="F68" s="1143">
        <f t="shared" si="4"/>
        <v>49</v>
      </c>
    </row>
    <row r="69" spans="3:6">
      <c r="C69" s="1143">
        <f t="shared" si="3"/>
        <v>50</v>
      </c>
      <c r="D69" s="149" t="str">
        <f>Kostenrechnung!F283</f>
        <v>Öko-Winterraps (Ölproduktion)</v>
      </c>
      <c r="E69" s="138"/>
      <c r="F69" s="1143">
        <f t="shared" si="4"/>
        <v>50</v>
      </c>
    </row>
    <row r="70" spans="3:6">
      <c r="C70" s="1143">
        <f t="shared" si="3"/>
        <v>51</v>
      </c>
      <c r="D70" s="149" t="str">
        <f>Kostenrechnung!F284</f>
        <v>Öko-Speisekartoffeln spät</v>
      </c>
      <c r="E70" s="138"/>
      <c r="F70" s="1143">
        <f t="shared" si="4"/>
        <v>51</v>
      </c>
    </row>
    <row r="71" spans="3:6">
      <c r="C71" s="1143">
        <f t="shared" si="3"/>
        <v>52</v>
      </c>
      <c r="D71" s="149">
        <f>Kostenrechnung!F285</f>
        <v>0</v>
      </c>
      <c r="E71" s="138"/>
      <c r="F71" s="1143">
        <f t="shared" si="4"/>
        <v>52</v>
      </c>
    </row>
    <row r="72" spans="3:6">
      <c r="C72" s="1143">
        <f t="shared" si="3"/>
        <v>53</v>
      </c>
      <c r="D72" s="149" t="str">
        <f>Kostenrechnung!F286</f>
        <v>FAKT-Begrünung</v>
      </c>
      <c r="E72" s="138"/>
      <c r="F72" s="1143">
        <f t="shared" si="4"/>
        <v>53</v>
      </c>
    </row>
    <row r="73" spans="3:6">
      <c r="C73" s="1143">
        <f t="shared" si="3"/>
        <v>54</v>
      </c>
      <c r="D73" s="149" t="str">
        <f>Kostenrechnung!F287</f>
        <v xml:space="preserve">FAKT-Blühmischung </v>
      </c>
      <c r="E73" s="138"/>
      <c r="F73" s="1143">
        <f t="shared" si="4"/>
        <v>54</v>
      </c>
    </row>
    <row r="74" spans="3:6">
      <c r="C74" s="136"/>
    </row>
    <row r="75" spans="3:6">
      <c r="C75" s="136"/>
    </row>
    <row r="76" spans="3:6">
      <c r="C76" s="136"/>
    </row>
    <row r="77" spans="3:6">
      <c r="C77" s="136"/>
    </row>
    <row r="78" spans="3:6">
      <c r="C78" s="136"/>
    </row>
    <row r="79" spans="3:6">
      <c r="C79" s="136"/>
    </row>
    <row r="80" spans="3:6">
      <c r="C80" s="136"/>
    </row>
    <row r="81" spans="3:3">
      <c r="C81" s="136"/>
    </row>
    <row r="82" spans="3:3">
      <c r="C82" s="136"/>
    </row>
    <row r="83" spans="3:3">
      <c r="C83" s="136"/>
    </row>
    <row r="84" spans="3:3">
      <c r="C84" s="136"/>
    </row>
    <row r="85" spans="3:3">
      <c r="C85" s="136"/>
    </row>
  </sheetData>
  <sheetProtection sheet="1" selectLockedCells="1"/>
  <mergeCells count="3">
    <mergeCell ref="A2:B2"/>
    <mergeCell ref="B5:C5"/>
    <mergeCell ref="B24:G24"/>
  </mergeCells>
  <conditionalFormatting sqref="L8 N8">
    <cfRule type="expression" dxfId="13" priority="2" stopIfTrue="1">
      <formula>$L$8&lt;&gt;100</formula>
    </cfRule>
  </conditionalFormatting>
  <conditionalFormatting sqref="N33">
    <cfRule type="expression" dxfId="12" priority="1" stopIfTrue="1">
      <formula>$L$8&lt;&gt;100</formula>
    </cfRule>
  </conditionalFormatting>
  <dataValidations count="2">
    <dataValidation type="list" allowBlank="1" showInputMessage="1" showErrorMessage="1" errorTitle="Produktionsverfahren" error="Bitte Produktionsverfahren aus Dropdownliste auswählen." sqref="D7:K7">
      <formula1>$D$51:$D$85</formula1>
    </dataValidation>
    <dataValidation type="list" allowBlank="1" showInputMessage="1" showErrorMessage="1" errorTitle="Leistungsniveau" error="Bitte Leistungsniveau aus Dropdownliste auswählen." sqref="B5:C5">
      <formula1>$G$51:$G$54</formula1>
    </dataValidation>
  </dataValidations>
  <printOptions horizontalCentered="1"/>
  <pageMargins left="0.59055118110236227" right="0.57999999999999996" top="0.59055118110236227" bottom="0.59055118110236227" header="0.39370078740157483" footer="0.39370078740157483"/>
  <pageSetup paperSize="9" scale="69" firstPageNumber="87" fitToHeight="0" orientation="portrait" r:id="rId1"/>
  <headerFooter alignWithMargins="0">
    <oddFooter>&amp;L&amp;11LEL Schwäbisch Gmünd&amp;R&amp;11&amp;F</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9" tint="-0.499984740745262"/>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2" width="7.25" style="32" customWidth="1"/>
    <col min="13" max="13" width="7.75" style="32" customWidth="1"/>
    <col min="14" max="15" width="7.25" style="32" customWidth="1"/>
    <col min="16" max="16" width="7.75" style="32" customWidth="1"/>
    <col min="17" max="17" width="36.875" style="32" hidden="1" customWidth="1"/>
    <col min="18" max="27" width="0" style="31" hidden="1" customWidth="1"/>
    <col min="28" max="16384" width="10.5" style="31"/>
  </cols>
  <sheetData>
    <row r="1" spans="1:41" s="276" customFormat="1" ht="30.2" customHeight="1">
      <c r="A1" s="2507"/>
      <c r="B1" s="326"/>
      <c r="C1" s="1908"/>
      <c r="D1" s="136"/>
      <c r="E1" s="323"/>
      <c r="F1" s="323"/>
      <c r="G1" s="4908" t="s">
        <v>1694</v>
      </c>
      <c r="H1" s="4908"/>
      <c r="I1" s="4908"/>
      <c r="J1" s="1906">
        <f>(J7+J13+J18+J22+I11+I12)-(J23+J27+J34+J43+J60+J65+J67+J69+J71+J75)</f>
        <v>5558.3358510319376</v>
      </c>
      <c r="K1" s="4859">
        <f>M1-J1</f>
        <v>2033.5111928449169</v>
      </c>
      <c r="L1" s="4859"/>
      <c r="M1" s="1906">
        <f>(M7+M13+M18+M22+L11+L12)-(M23+M27+M34+M43+M60+M65+M67+M69+M71+M75)</f>
        <v>7591.8470438768545</v>
      </c>
      <c r="N1" s="4859">
        <f>P1-M1</f>
        <v>2033.5111928449169</v>
      </c>
      <c r="O1" s="4859"/>
      <c r="P1" s="1906">
        <f>(P7+P13+P18+P22+O11+O12)-(P23+P27+P34+P43+P60+P65+P67+P69+P71+P75)</f>
        <v>9625.3582367217714</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1960</v>
      </c>
      <c r="L2" s="4870"/>
      <c r="M2" s="4870"/>
      <c r="N2" s="4870"/>
      <c r="O2" s="4870"/>
      <c r="P2" s="4870"/>
      <c r="Q2" s="2507"/>
    </row>
    <row r="3" spans="1:41" s="276" customFormat="1" ht="21.75" customHeight="1">
      <c r="A3" s="2507"/>
      <c r="B3" s="1903" t="s">
        <v>1693</v>
      </c>
      <c r="G3" s="1891"/>
      <c r="H3" s="1902"/>
      <c r="N3" s="4909"/>
      <c r="O3" s="4872"/>
      <c r="P3" s="1900"/>
      <c r="Q3" s="2507"/>
      <c r="T3" s="1918" t="b">
        <v>0</v>
      </c>
      <c r="W3" s="4866" t="s">
        <v>1262</v>
      </c>
      <c r="X3" s="4916"/>
      <c r="Y3" s="4916"/>
      <c r="Z3" s="1901"/>
    </row>
    <row r="4" spans="1:41" s="276" customFormat="1" ht="20.25" customHeight="1">
      <c r="A4" s="2507"/>
      <c r="B4" s="377" t="s">
        <v>1154</v>
      </c>
      <c r="C4" s="31"/>
      <c r="D4" s="31"/>
      <c r="E4" s="2523" t="s">
        <v>1708</v>
      </c>
      <c r="F4" s="2523"/>
      <c r="G4" s="2523"/>
      <c r="H4" s="2523"/>
      <c r="I4" s="2523"/>
      <c r="J4" s="2523"/>
      <c r="K4" s="2523"/>
      <c r="N4" s="4872"/>
      <c r="O4" s="4872"/>
      <c r="P4" s="1896">
        <f>SDÖ1!O3</f>
        <v>0</v>
      </c>
      <c r="Q4" s="2507"/>
      <c r="T4" s="1918"/>
      <c r="W4" s="4866" t="s">
        <v>1250</v>
      </c>
      <c r="X4" s="4916"/>
      <c r="Y4" s="4916"/>
      <c r="Z4" s="2522"/>
    </row>
    <row r="5" spans="1:41" ht="6" customHeight="1"/>
    <row r="6" spans="1:41" s="1885" customFormat="1" ht="24" customHeight="1">
      <c r="A6" s="48"/>
      <c r="B6" s="1890" t="s">
        <v>1707</v>
      </c>
      <c r="C6" s="1889"/>
      <c r="D6" s="1889"/>
      <c r="E6" s="1889"/>
      <c r="F6" s="1889"/>
      <c r="G6" s="1888" t="s">
        <v>1700</v>
      </c>
      <c r="H6" s="4864" t="s">
        <v>179</v>
      </c>
      <c r="I6" s="4865"/>
      <c r="J6" s="1887">
        <v>200</v>
      </c>
      <c r="K6" s="4849" t="s">
        <v>152</v>
      </c>
      <c r="L6" s="4850"/>
      <c r="M6" s="1887">
        <v>250</v>
      </c>
      <c r="N6" s="4864" t="s">
        <v>178</v>
      </c>
      <c r="O6" s="4865"/>
      <c r="P6" s="1886">
        <v>300</v>
      </c>
      <c r="Q6" s="70"/>
    </row>
    <row r="7" spans="1:41" s="252" customFormat="1" ht="18.75" customHeight="1">
      <c r="A7" s="47"/>
      <c r="B7" s="311" t="s">
        <v>1691</v>
      </c>
      <c r="C7" s="47"/>
      <c r="D7" s="47"/>
      <c r="E7" s="47"/>
      <c r="F7" s="47"/>
      <c r="G7" s="1884" t="s">
        <v>171</v>
      </c>
      <c r="H7" s="1881"/>
      <c r="I7" s="1880"/>
      <c r="J7" s="1614">
        <f>SUM(I9:I10)</f>
        <v>8826.4999999999982</v>
      </c>
      <c r="K7" s="1883"/>
      <c r="L7" s="1882"/>
      <c r="M7" s="1617">
        <f>SUM(L9:L10)</f>
        <v>11033.124999999998</v>
      </c>
      <c r="N7" s="1881"/>
      <c r="O7" s="1880"/>
      <c r="P7" s="1614">
        <f>SUM(O9:O10)</f>
        <v>13239.749999999998</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SDÖ1!O25</f>
        <v>57.509999999999991</v>
      </c>
      <c r="H9" s="1877">
        <f>J6-H10</f>
        <v>150</v>
      </c>
      <c r="I9" s="1873">
        <f>H9*G9</f>
        <v>8626.4999999999982</v>
      </c>
      <c r="J9" s="43"/>
      <c r="K9" s="1876">
        <f>M6-K10</f>
        <v>187.5</v>
      </c>
      <c r="L9" s="1875">
        <f>K9*G9</f>
        <v>10783.124999999998</v>
      </c>
      <c r="M9" s="1854"/>
      <c r="N9" s="1874">
        <f>P6-N10</f>
        <v>225</v>
      </c>
      <c r="O9" s="1873">
        <f>N9*G9</f>
        <v>12939.749999999998</v>
      </c>
      <c r="P9" s="43"/>
      <c r="Q9" s="32"/>
      <c r="R9" s="935"/>
      <c r="S9" s="265" t="s">
        <v>1265</v>
      </c>
      <c r="T9" s="1872"/>
    </row>
    <row r="10" spans="1:41" s="1842" customFormat="1" ht="15" customHeight="1">
      <c r="A10" s="377"/>
      <c r="B10" s="239"/>
      <c r="C10" s="281" t="s">
        <v>1689</v>
      </c>
      <c r="D10" s="1851"/>
      <c r="E10" s="4873" t="s">
        <v>1396</v>
      </c>
      <c r="F10" s="4874"/>
      <c r="G10" s="1871">
        <f>SDÖ1!O41</f>
        <v>4</v>
      </c>
      <c r="H10" s="1866">
        <f>J6*0.25</f>
        <v>50</v>
      </c>
      <c r="I10" s="1865">
        <f>H10*G10</f>
        <v>200</v>
      </c>
      <c r="J10" s="1870"/>
      <c r="K10" s="1869">
        <f>M6*0.25</f>
        <v>62.5</v>
      </c>
      <c r="L10" s="1868">
        <f>K10*G10</f>
        <v>250</v>
      </c>
      <c r="M10" s="1867"/>
      <c r="N10" s="1866">
        <f>P6*0.25</f>
        <v>75</v>
      </c>
      <c r="O10" s="1865">
        <f>N10*G10</f>
        <v>300</v>
      </c>
      <c r="P10" s="1864"/>
      <c r="Q10" s="32"/>
      <c r="R10" s="1863">
        <f>I10+I11+I12</f>
        <v>200</v>
      </c>
      <c r="S10" s="1862">
        <f>L10+L11+L12</f>
        <v>250</v>
      </c>
      <c r="T10" s="1861">
        <f>O10+O11+O12</f>
        <v>300</v>
      </c>
      <c r="W10" s="252" t="s">
        <v>1254</v>
      </c>
    </row>
    <row r="11" spans="1:41" s="1842" customFormat="1" ht="15" hidden="1"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2"/>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2"/>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X13" s="1838" t="str">
        <f>IF(OR(T4=TRUE,T5=TRUE),J7*$E$11,"0")</f>
        <v>0</v>
      </c>
      <c r="Y13" s="1839" t="str">
        <f>IF(OR(T4=TRUE,T5=TRUE),M7*$E$11,"0")</f>
        <v>0</v>
      </c>
      <c r="Z13" s="1838" t="str">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IF(OR($C19=0,$M$6=0),0,VLOOKUP($C19,'SD2'!$C$59:$N$74,12,FALSE))</f>
        <v>158</v>
      </c>
      <c r="M19" s="1589">
        <f>SUM(L23:L24)</f>
        <v>0</v>
      </c>
      <c r="N19" s="1818"/>
      <c r="O19" s="1817">
        <f>IF(OR($C19=0,$P$6=0),0,VLOOKUP($C19,'SD2'!C59:N75,12,FALSE))</f>
        <v>158</v>
      </c>
      <c r="P19" s="1586">
        <f>SUM(O23:O24)</f>
        <v>0</v>
      </c>
      <c r="R19" s="1816">
        <f>J13+J18</f>
        <v>595.4</v>
      </c>
      <c r="S19" s="1816">
        <f>M13+M18</f>
        <v>595.4</v>
      </c>
      <c r="T19" s="1816">
        <f>P13+P18</f>
        <v>595.4</v>
      </c>
    </row>
    <row r="20" spans="1:26" s="4056" customFormat="1" ht="15.6" customHeight="1">
      <c r="A20" s="3913"/>
      <c r="B20" s="1821"/>
      <c r="C20" s="4099" t="s">
        <v>2182</v>
      </c>
      <c r="D20" s="4099"/>
      <c r="E20" s="4099"/>
      <c r="F20" s="4099"/>
      <c r="G20" s="4100"/>
      <c r="H20" s="1818"/>
      <c r="I20" s="3965">
        <f>IF(OR($C20=0,$J$6=0),0,VLOOKUP($C20,'SD2'!C60:N76,12,FALSE))</f>
        <v>63.4</v>
      </c>
      <c r="J20" s="3908"/>
      <c r="K20" s="1819"/>
      <c r="L20" s="3955">
        <f>IF(OR($C20=0,$M$6=0),0,VLOOKUP($C20,'SD2'!$C$59:$N$74,12,FALSE))</f>
        <v>63.4</v>
      </c>
      <c r="M20" s="3920"/>
      <c r="N20" s="1818"/>
      <c r="O20" s="3965">
        <f>IF(OR($C20=0,$P$6=0),0,VLOOKUP($C20,'SD2'!C60:N76,12,FALSE))</f>
        <v>63.4</v>
      </c>
      <c r="P20" s="1586"/>
      <c r="Q20" s="4057"/>
      <c r="R20" s="4043"/>
      <c r="S20" s="4043"/>
      <c r="T20" s="4043"/>
    </row>
    <row r="21" spans="1:26" s="4056" customFormat="1" ht="15.6" customHeight="1">
      <c r="A21" s="3913"/>
      <c r="B21" s="1821"/>
      <c r="C21" s="4099" t="s">
        <v>2183</v>
      </c>
      <c r="D21" s="4099"/>
      <c r="E21" s="4099"/>
      <c r="F21" s="4099"/>
      <c r="G21" s="1820"/>
      <c r="H21" s="1818"/>
      <c r="I21" s="3965">
        <f>IF(OR($C21=0,$J$6=0),0,VLOOKUP($C21,'SD2'!C61:N77,12,FALSE))</f>
        <v>134</v>
      </c>
      <c r="J21" s="3908"/>
      <c r="K21" s="1819"/>
      <c r="L21" s="3955">
        <f>IF(OR($C21=0,$M$6=0),0,VLOOKUP($C21,'SD2'!$C$59:$N$74,12,FALSE))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R22" s="35"/>
    </row>
    <row r="23" spans="1:26" s="42" customFormat="1" ht="18.75" customHeight="1">
      <c r="A23" s="1306"/>
      <c r="B23" s="266" t="s">
        <v>222</v>
      </c>
      <c r="C23" s="1801"/>
      <c r="D23" s="1801"/>
      <c r="E23" s="38"/>
      <c r="F23" s="4831"/>
      <c r="G23" s="4832" t="s">
        <v>171</v>
      </c>
      <c r="H23" s="1616"/>
      <c r="I23" s="1615"/>
      <c r="J23" s="1599">
        <f>SUM(I25:I26)</f>
        <v>2250</v>
      </c>
      <c r="K23" s="1619"/>
      <c r="L23" s="1618"/>
      <c r="M23" s="1800">
        <f>SUM(L25:L26)</f>
        <v>2250</v>
      </c>
      <c r="N23" s="1616"/>
      <c r="O23" s="1615"/>
      <c r="P23" s="1599">
        <f>SUM(O25:O26)</f>
        <v>2250</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90</v>
      </c>
      <c r="G25" s="1794">
        <f>F25*(100+$D$24)/100</f>
        <v>90</v>
      </c>
      <c r="H25" s="1793">
        <v>25</v>
      </c>
      <c r="I25" s="1754">
        <f>H25*$G25</f>
        <v>2250</v>
      </c>
      <c r="J25" s="45"/>
      <c r="K25" s="1793">
        <f>H25</f>
        <v>25</v>
      </c>
      <c r="L25" s="1596">
        <f>K25*$G25</f>
        <v>2250</v>
      </c>
      <c r="M25" s="1589"/>
      <c r="N25" s="1793">
        <f>H25</f>
        <v>25</v>
      </c>
      <c r="O25" s="1754">
        <f>N25*$G25</f>
        <v>2250</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619.19999999999993</v>
      </c>
      <c r="K27" s="1748"/>
      <c r="L27" s="1747"/>
      <c r="M27" s="1617">
        <f>SUM(L30:L33)</f>
        <v>751.33333333333326</v>
      </c>
      <c r="N27" s="1746"/>
      <c r="O27" s="1745"/>
      <c r="P27" s="1614">
        <f>SUM(O30:O33)</f>
        <v>883.46666666666647</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f>VLOOKUP('SD8'!B36,'SD8'!B9:K44,3,FALSE)</f>
        <v>0.35</v>
      </c>
      <c r="F30" s="1774"/>
      <c r="G30" s="1773">
        <v>20</v>
      </c>
      <c r="H30" s="1771">
        <f>IF(J$6=0,0,(J$6*$E30+$G30+X13))</f>
        <v>90</v>
      </c>
      <c r="I30" s="1754">
        <f>H30*$D30</f>
        <v>408</v>
      </c>
      <c r="J30" s="45"/>
      <c r="K30" s="1772">
        <f>IF(M$6=0,0,(M$6*$E30+$G30+AA14))</f>
        <v>107.5</v>
      </c>
      <c r="L30" s="1596">
        <f>K30*$D30</f>
        <v>487.33333333333331</v>
      </c>
      <c r="M30" s="1589"/>
      <c r="N30" s="1771">
        <f>IF(P$6=0,0,(P$6*$E30+$G30+AD14))</f>
        <v>125</v>
      </c>
      <c r="O30" s="1754">
        <f>N30*$D30</f>
        <v>566.66666666666663</v>
      </c>
      <c r="P30" s="1718"/>
      <c r="Q30" s="32"/>
    </row>
    <row r="31" spans="1:26" s="42" customFormat="1" ht="15" customHeight="1">
      <c r="A31" s="1306"/>
      <c r="B31" s="274"/>
      <c r="C31" s="1306" t="s">
        <v>244</v>
      </c>
      <c r="D31" s="1723">
        <f>IF(SDÖ1!$U$17=TRUE,SDÖ1!O56,0)</f>
        <v>1.3999999999999997</v>
      </c>
      <c r="E31" s="1774">
        <f>VLOOKUP('SD8'!B36,'SD8'!B9:K44,4,FALSE)</f>
        <v>0.14000000000000001</v>
      </c>
      <c r="F31" s="1774"/>
      <c r="G31" s="1773"/>
      <c r="H31" s="1771">
        <f>IF(J$6=0,0,(J$6*$E31+$G31+X14))</f>
        <v>28.000000000000004</v>
      </c>
      <c r="I31" s="1754">
        <f>H31*$D31</f>
        <v>39.199999999999996</v>
      </c>
      <c r="J31" s="45"/>
      <c r="K31" s="1772">
        <f>IF(M$6=0,0,(M$6*$E31+$G31+Y14))</f>
        <v>35</v>
      </c>
      <c r="L31" s="1596">
        <f>K31*$D31</f>
        <v>48.999999999999986</v>
      </c>
      <c r="M31" s="1589"/>
      <c r="N31" s="1771">
        <f>IF(P$6=0,0,(P$6*$E31+$G31+Z14))</f>
        <v>42.000000000000007</v>
      </c>
      <c r="O31" s="1754">
        <f>N31*$D31</f>
        <v>58.8</v>
      </c>
      <c r="P31" s="1718"/>
      <c r="Q31" s="32"/>
    </row>
    <row r="32" spans="1:26" s="708" customFormat="1" ht="18.75" customHeight="1">
      <c r="A32" s="1270"/>
      <c r="B32" s="274"/>
      <c r="C32" s="1306" t="s">
        <v>242</v>
      </c>
      <c r="D32" s="1723">
        <f>IF(SDÖ1!$U$17=TRUE,SDÖ1!O57,0)</f>
        <v>1.3999999999999997</v>
      </c>
      <c r="E32" s="1774">
        <f>VLOOKUP('SD8'!B36,'SD8'!B9:K44,5,FALSE)</f>
        <v>0.6</v>
      </c>
      <c r="F32" s="1774"/>
      <c r="G32" s="1773"/>
      <c r="H32" s="1771">
        <f>IF(J$6=0,0,(J$6*$E32+$G32+X15))</f>
        <v>120</v>
      </c>
      <c r="I32" s="1754">
        <f>H32*$D32</f>
        <v>167.99999999999997</v>
      </c>
      <c r="J32" s="45"/>
      <c r="K32" s="1772">
        <f>IF(M$6=0,0,(M$6*$E32+$G32+Y15))</f>
        <v>150</v>
      </c>
      <c r="L32" s="1596">
        <f>K32*$D32</f>
        <v>209.99999999999994</v>
      </c>
      <c r="M32" s="1589"/>
      <c r="N32" s="1771">
        <f>IF(P$6=0,0,(P$6*$E32+$G32+Z15))</f>
        <v>180</v>
      </c>
      <c r="O32" s="1754">
        <f>N32*$D32</f>
        <v>251.99999999999994</v>
      </c>
      <c r="P32" s="1718"/>
      <c r="Q32" s="32"/>
    </row>
    <row r="33" spans="1:17" s="708" customFormat="1" ht="13.15" customHeight="1">
      <c r="A33" s="1270"/>
      <c r="B33" s="239"/>
      <c r="C33" s="1331" t="s">
        <v>240</v>
      </c>
      <c r="D33" s="1706">
        <f>IF(SDÖ1!$U$17=TRUE,SDÖ1!O58,0)</f>
        <v>0.5</v>
      </c>
      <c r="E33" s="1770">
        <f>VLOOKUP('SD8'!B36,'SD8'!B9:K44,6,FALSE)</f>
        <v>0.04</v>
      </c>
      <c r="F33" s="1770"/>
      <c r="G33" s="1769"/>
      <c r="H33" s="1767">
        <f>IF(J$6=0,0,(J$6*$E33+$G33+X16))</f>
        <v>8</v>
      </c>
      <c r="I33" s="1750">
        <f>H33*$D33</f>
        <v>4</v>
      </c>
      <c r="J33" s="45"/>
      <c r="K33" s="1768">
        <f>IF(M$6=0,0,(M$6*$E33+$G33+Y16))</f>
        <v>10</v>
      </c>
      <c r="L33" s="1590">
        <f>K33*$D33</f>
        <v>5</v>
      </c>
      <c r="M33" s="1589"/>
      <c r="N33" s="1767">
        <f>IF(P$6=0,0,(P$6*$E33+$G33+Z16))</f>
        <v>12</v>
      </c>
      <c r="O33" s="1750">
        <f>N33*$D33</f>
        <v>6</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219.62720095966384</v>
      </c>
      <c r="K43" s="1748"/>
      <c r="L43" s="1747"/>
      <c r="M43" s="1617">
        <f>SUM(M46:M57)</f>
        <v>223.80006802789913</v>
      </c>
      <c r="N43" s="1746"/>
      <c r="O43" s="1745"/>
      <c r="P43" s="1614">
        <f>SUM(P46:P57)</f>
        <v>227.97293509613442</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462</v>
      </c>
      <c r="D46" s="4836"/>
      <c r="E46" s="1725">
        <f>IF($C46=0,0,VLOOKUP($C46,SDÖ3!$C$24:$O$99,4,FALSE))</f>
        <v>102</v>
      </c>
      <c r="F46" s="1724">
        <f>IF($C46=0,0,VLOOKUP($C46,SDÖ3!$C$24:$O$99,12,FALSE))</f>
        <v>1.52</v>
      </c>
      <c r="G46" s="1723">
        <f>IF($C46=0,0,VLOOKUP($C46,SDÖ3!$C$24:$O$99,13,FALSE))</f>
        <v>33.053088320000001</v>
      </c>
      <c r="H46" s="1720"/>
      <c r="I46" s="1719">
        <f t="shared" ref="I46:I56" si="4">$F46*H46</f>
        <v>0</v>
      </c>
      <c r="J46" s="1718">
        <f t="shared" ref="J46:J56" si="5">H46*$G46</f>
        <v>0</v>
      </c>
      <c r="K46" s="1720"/>
      <c r="L46" s="1722">
        <f t="shared" ref="L46:L56" si="6">$F46*K46</f>
        <v>0</v>
      </c>
      <c r="M46" s="1721">
        <f t="shared" ref="M46:M56" si="7">K46*$G46</f>
        <v>0</v>
      </c>
      <c r="N46" s="1720"/>
      <c r="O46" s="1719">
        <f t="shared" ref="O46:O56" si="8">$F46*N46</f>
        <v>0</v>
      </c>
      <c r="P46" s="1718">
        <f t="shared" ref="P46:P56"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504</v>
      </c>
      <c r="D48" s="4836"/>
      <c r="E48" s="1725">
        <f>IF($C48=0,0,VLOOKUP($C48,SDÖ3!$C$24:$O$99,4,FALSE))</f>
        <v>83</v>
      </c>
      <c r="F48" s="1724">
        <f>IF($C48=0,0,VLOOKUP($C48,SDÖ3!$C$24:$O$99,12,FALSE))</f>
        <v>0.56999999999999995</v>
      </c>
      <c r="G48" s="1723">
        <f>IF($C48=0,0,VLOOKUP($C48,SDÖ3!$C$24:$O$99,13,FALSE))</f>
        <v>13.864622900840335</v>
      </c>
      <c r="H48" s="1720">
        <v>1</v>
      </c>
      <c r="I48" s="1719">
        <f t="shared" si="4"/>
        <v>0.56999999999999995</v>
      </c>
      <c r="J48" s="1718">
        <f t="shared" si="5"/>
        <v>13.864622900840335</v>
      </c>
      <c r="K48" s="1720">
        <v>1</v>
      </c>
      <c r="L48" s="1722">
        <f t="shared" si="6"/>
        <v>0.56999999999999995</v>
      </c>
      <c r="M48" s="1721">
        <f t="shared" si="7"/>
        <v>13.864622900840335</v>
      </c>
      <c r="N48" s="1720">
        <v>1</v>
      </c>
      <c r="O48" s="1719">
        <f t="shared" si="8"/>
        <v>0.56999999999999995</v>
      </c>
      <c r="P48" s="1718">
        <f t="shared" si="9"/>
        <v>13.864622900840335</v>
      </c>
      <c r="Q48" s="32"/>
    </row>
    <row r="49" spans="1:17" s="42" customFormat="1" ht="15" customHeight="1">
      <c r="A49" s="1306"/>
      <c r="B49" s="1726"/>
      <c r="C49" s="4835" t="s">
        <v>395</v>
      </c>
      <c r="D49" s="4836"/>
      <c r="E49" s="1725">
        <f>IF($C49=0,0,VLOOKUP($C49,SDÖ3!$C$24:$O$99,4,FALSE))</f>
        <v>83</v>
      </c>
      <c r="F49" s="1724">
        <f>IF($C49=0,0,VLOOKUP($C49,SDÖ3!$C$24:$O$99,12,FALSE))</f>
        <v>1.1299999999999999</v>
      </c>
      <c r="G49" s="1723">
        <f>IF($C49=0,0,VLOOKUP($C49,SDÖ3!$C$24:$O$99,13,FALSE))</f>
        <v>30.192327569411763</v>
      </c>
      <c r="H49" s="1720">
        <v>1</v>
      </c>
      <c r="I49" s="1719">
        <f t="shared" si="4"/>
        <v>1.1299999999999999</v>
      </c>
      <c r="J49" s="1718">
        <f t="shared" si="5"/>
        <v>30.192327569411763</v>
      </c>
      <c r="K49" s="1720">
        <v>1</v>
      </c>
      <c r="L49" s="1722">
        <f t="shared" si="6"/>
        <v>1.1299999999999999</v>
      </c>
      <c r="M49" s="1721">
        <f t="shared" si="7"/>
        <v>30.192327569411763</v>
      </c>
      <c r="N49" s="1720">
        <v>1</v>
      </c>
      <c r="O49" s="1719">
        <f t="shared" si="8"/>
        <v>1.1299999999999999</v>
      </c>
      <c r="P49" s="1718">
        <f t="shared" si="9"/>
        <v>30.192327569411763</v>
      </c>
      <c r="Q49" s="32"/>
    </row>
    <row r="50" spans="1:17" s="42" customFormat="1" ht="15" customHeight="1">
      <c r="A50" s="1306"/>
      <c r="B50" s="1726"/>
      <c r="C50" s="4835" t="s">
        <v>391</v>
      </c>
      <c r="D50" s="4836"/>
      <c r="E50" s="1725">
        <f>IF($C50=0,0,VLOOKUP($C50,SDÖ3!$C$24:$O$99,4,FALSE))</f>
        <v>54</v>
      </c>
      <c r="F50" s="1724">
        <f>IF($C50=0,0,VLOOKUP($C50,SDÖ3!$C$24:$O$99,12,FALSE))</f>
        <v>0.69</v>
      </c>
      <c r="G50" s="1723">
        <f>IF($C50=0,0,VLOOKUP($C50,SDÖ3!$C$24:$O$99,13,FALSE))</f>
        <v>11.827734988235294</v>
      </c>
      <c r="H50" s="1720">
        <v>1</v>
      </c>
      <c r="I50" s="1719">
        <f t="shared" si="4"/>
        <v>0.69</v>
      </c>
      <c r="J50" s="1718">
        <f t="shared" si="5"/>
        <v>11.827734988235294</v>
      </c>
      <c r="K50" s="1720">
        <v>1</v>
      </c>
      <c r="L50" s="1722">
        <f t="shared" si="6"/>
        <v>0.69</v>
      </c>
      <c r="M50" s="1721">
        <f t="shared" si="7"/>
        <v>11.827734988235294</v>
      </c>
      <c r="N50" s="1720">
        <v>1</v>
      </c>
      <c r="O50" s="1719">
        <f t="shared" si="8"/>
        <v>0.69</v>
      </c>
      <c r="P50" s="1718">
        <f t="shared" si="9"/>
        <v>11.827734988235294</v>
      </c>
      <c r="Q50" s="32"/>
    </row>
    <row r="51" spans="1:17" s="42" customFormat="1" ht="15" customHeight="1">
      <c r="A51" s="1306"/>
      <c r="B51" s="1726"/>
      <c r="C51" s="4835" t="s">
        <v>389</v>
      </c>
      <c r="D51" s="4836"/>
      <c r="E51" s="1725">
        <f>IF($C51=0,0,VLOOKUP($C51,SDÖ3!$C$24:$O$99,4,FALSE))</f>
        <v>54</v>
      </c>
      <c r="F51" s="1724">
        <f>IF($C51=0,0,VLOOKUP($C51,SDÖ3!$C$24:$O$99,12,FALSE))</f>
        <v>0.95</v>
      </c>
      <c r="G51" s="1723">
        <f>IF($C51=0,0,VLOOKUP($C51,SDÖ3!$C$24:$O$99,13,FALSE))</f>
        <v>13.246389517647058</v>
      </c>
      <c r="H51" s="1720">
        <v>2</v>
      </c>
      <c r="I51" s="1719">
        <f t="shared" si="4"/>
        <v>1.9</v>
      </c>
      <c r="J51" s="1718">
        <f t="shared" si="5"/>
        <v>26.492779035294117</v>
      </c>
      <c r="K51" s="1720">
        <v>2</v>
      </c>
      <c r="L51" s="1722">
        <f t="shared" si="6"/>
        <v>1.9</v>
      </c>
      <c r="M51" s="1721">
        <f t="shared" si="7"/>
        <v>26.492779035294117</v>
      </c>
      <c r="N51" s="1720">
        <v>2</v>
      </c>
      <c r="O51" s="1719">
        <f t="shared" si="8"/>
        <v>1.9</v>
      </c>
      <c r="P51" s="1718">
        <f t="shared" si="9"/>
        <v>26.492779035294117</v>
      </c>
      <c r="Q51" s="32"/>
    </row>
    <row r="52" spans="1:17" s="42" customFormat="1" ht="15" customHeight="1">
      <c r="A52" s="1306"/>
      <c r="B52" s="1726"/>
      <c r="C52" s="4835" t="s">
        <v>456</v>
      </c>
      <c r="D52" s="4836"/>
      <c r="E52" s="1725">
        <f>IF($C52=0,0,VLOOKUP($C52,SDÖ3!$C$24:$O$99,4,FALSE))</f>
        <v>83</v>
      </c>
      <c r="F52" s="1724">
        <f>IF($C52=0,0,VLOOKUP($C52,SDÖ3!$C$24:$O$99,12,FALSE))</f>
        <v>0.36</v>
      </c>
      <c r="G52" s="1723">
        <f>IF($C52=0,0,VLOOKUP($C52,SDÖ3!$C$24:$O$99,13,FALSE))</f>
        <v>5.7672017035294116</v>
      </c>
      <c r="H52" s="1720">
        <v>4</v>
      </c>
      <c r="I52" s="1719">
        <f t="shared" si="4"/>
        <v>1.44</v>
      </c>
      <c r="J52" s="1718">
        <f t="shared" si="5"/>
        <v>23.068806814117647</v>
      </c>
      <c r="K52" s="1720">
        <v>4</v>
      </c>
      <c r="L52" s="1722">
        <f t="shared" si="6"/>
        <v>1.44</v>
      </c>
      <c r="M52" s="1721">
        <f t="shared" si="7"/>
        <v>23.068806814117647</v>
      </c>
      <c r="N52" s="1720">
        <v>4</v>
      </c>
      <c r="O52" s="1719">
        <f t="shared" si="8"/>
        <v>1.44</v>
      </c>
      <c r="P52" s="1718">
        <f t="shared" si="9"/>
        <v>23.068806814117647</v>
      </c>
      <c r="Q52" s="32"/>
    </row>
    <row r="53" spans="1:17" s="42" customFormat="1" ht="15" customHeight="1">
      <c r="A53" s="1306"/>
      <c r="B53" s="1726"/>
      <c r="C53" s="4835" t="s">
        <v>382</v>
      </c>
      <c r="D53" s="4836"/>
      <c r="E53" s="1725">
        <f>IF($C53=0,0,VLOOKUP($C53,SDÖ3!$C$24:$O$99,4,FALSE))</f>
        <v>54</v>
      </c>
      <c r="F53" s="1724">
        <f>IF($C53=0,0,VLOOKUP($C53,SDÖ3!$C$24:$O$99,12,FALSE))</f>
        <v>0.99</v>
      </c>
      <c r="G53" s="1723">
        <f>IF($C53=0,0,VLOOKUP($C53,SDÖ3!$C$24:$O$99,13,FALSE))</f>
        <v>17.865880635294118</v>
      </c>
      <c r="H53" s="1720">
        <v>1</v>
      </c>
      <c r="I53" s="1719">
        <f t="shared" si="4"/>
        <v>0.99</v>
      </c>
      <c r="J53" s="1718">
        <f t="shared" si="5"/>
        <v>17.865880635294118</v>
      </c>
      <c r="K53" s="1720">
        <v>1</v>
      </c>
      <c r="L53" s="1722">
        <f t="shared" si="6"/>
        <v>0.99</v>
      </c>
      <c r="M53" s="1721">
        <f t="shared" si="7"/>
        <v>17.865880635294118</v>
      </c>
      <c r="N53" s="1720">
        <v>1</v>
      </c>
      <c r="O53" s="1719">
        <f t="shared" si="8"/>
        <v>0.99</v>
      </c>
      <c r="P53" s="1718">
        <f t="shared" si="9"/>
        <v>17.865880635294118</v>
      </c>
      <c r="Q53" s="38"/>
    </row>
    <row r="54" spans="1:17" s="42" customFormat="1" ht="15" customHeight="1">
      <c r="A54" s="1306"/>
      <c r="B54" s="1726"/>
      <c r="C54" s="4835" t="s">
        <v>1495</v>
      </c>
      <c r="D54" s="4836"/>
      <c r="E54" s="1725">
        <f>IF($C54=0,0,VLOOKUP($C54,SDÖ3!$C$24:$O$99,4,FALSE))</f>
        <v>0</v>
      </c>
      <c r="F54" s="1724">
        <f>IF($C54=0,0,VLOOKUP($C54,SDÖ3!$C$24:$O$99,12,FALSE))</f>
        <v>1.1000000000000001</v>
      </c>
      <c r="G54" s="1723">
        <f>IF($C54=0,0,VLOOKUP($C54,SDÖ3!$C$24:$O$99,13,FALSE))</f>
        <v>0</v>
      </c>
      <c r="H54" s="1720">
        <v>1</v>
      </c>
      <c r="I54" s="1719">
        <f t="shared" si="4"/>
        <v>1.1000000000000001</v>
      </c>
      <c r="J54" s="1718">
        <f t="shared" si="5"/>
        <v>0</v>
      </c>
      <c r="K54" s="1720">
        <v>1</v>
      </c>
      <c r="L54" s="1722">
        <f t="shared" si="6"/>
        <v>1.1000000000000001</v>
      </c>
      <c r="M54" s="1721">
        <f t="shared" si="7"/>
        <v>0</v>
      </c>
      <c r="N54" s="1720">
        <v>1.2</v>
      </c>
      <c r="O54" s="1719">
        <f t="shared" si="8"/>
        <v>1.32</v>
      </c>
      <c r="P54" s="1718">
        <f t="shared" si="9"/>
        <v>0</v>
      </c>
      <c r="Q54" s="38"/>
    </row>
    <row r="55" spans="1:17" s="42" customFormat="1" ht="15" customHeight="1">
      <c r="A55" s="1306"/>
      <c r="B55" s="1726"/>
      <c r="C55" s="4835" t="s">
        <v>370</v>
      </c>
      <c r="D55" s="4836"/>
      <c r="E55" s="1725">
        <f>IF($C55=0,0,VLOOKUP($C55,SDÖ3!$C$24:$O$99,4,FALSE))</f>
        <v>54</v>
      </c>
      <c r="F55" s="1724">
        <f>IF($C55=0,0,VLOOKUP($C55,SDÖ3!$C$24:$O$99,12,FALSE))</f>
        <v>1.24</v>
      </c>
      <c r="G55" s="1723">
        <f>IF($C55=0,0,VLOOKUP($C55,SDÖ3!$C$24:$O$99,13,FALSE))</f>
        <v>20.864335341176471</v>
      </c>
      <c r="H55" s="1720">
        <v>1.1000000000000001</v>
      </c>
      <c r="I55" s="1719">
        <f t="shared" si="4"/>
        <v>1.3640000000000001</v>
      </c>
      <c r="J55" s="1718">
        <f t="shared" si="5"/>
        <v>22.95076887529412</v>
      </c>
      <c r="K55" s="1720">
        <v>1.3</v>
      </c>
      <c r="L55" s="1722">
        <f t="shared" si="6"/>
        <v>1.6120000000000001</v>
      </c>
      <c r="M55" s="1721">
        <f t="shared" si="7"/>
        <v>27.123635943529411</v>
      </c>
      <c r="N55" s="1720">
        <v>1.5</v>
      </c>
      <c r="O55" s="1719">
        <f t="shared" si="8"/>
        <v>1.8599999999999999</v>
      </c>
      <c r="P55" s="1718">
        <f t="shared" si="9"/>
        <v>31.296503011764706</v>
      </c>
      <c r="Q55" s="32"/>
    </row>
    <row r="56" spans="1:17" s="42" customFormat="1" ht="14.25" customHeight="1">
      <c r="A56" s="1306"/>
      <c r="B56" s="1917"/>
      <c r="C56" s="4840" t="s">
        <v>508</v>
      </c>
      <c r="D56" s="4841"/>
      <c r="E56" s="1725">
        <f>IF($C56=0,0,VLOOKUP($C56,SDÖ3!$C$24:$O$99,4,FALSE))</f>
        <v>102</v>
      </c>
      <c r="F56" s="1724">
        <f>IF($C56=0,0,VLOOKUP($C56,SDÖ3!$C$24:$O$99,12,FALSE))</f>
        <v>0.54</v>
      </c>
      <c r="G56" s="1723">
        <f>IF($C56=0,0,VLOOKUP($C56,SDÖ3!$C$24:$O$99,13,FALSE))</f>
        <v>16.377695200000002</v>
      </c>
      <c r="H56" s="1911">
        <v>1</v>
      </c>
      <c r="I56" s="1910">
        <f t="shared" si="4"/>
        <v>0.54</v>
      </c>
      <c r="J56" s="1909">
        <f t="shared" si="5"/>
        <v>16.377695200000002</v>
      </c>
      <c r="K56" s="1911">
        <v>1</v>
      </c>
      <c r="L56" s="1913">
        <f t="shared" si="6"/>
        <v>0.54</v>
      </c>
      <c r="M56" s="1912">
        <f t="shared" si="7"/>
        <v>16.377695200000002</v>
      </c>
      <c r="N56" s="1911">
        <v>1</v>
      </c>
      <c r="O56" s="1910">
        <f t="shared" si="8"/>
        <v>0.54</v>
      </c>
      <c r="P56" s="1909">
        <f t="shared" si="9"/>
        <v>16.377695200000002</v>
      </c>
      <c r="Q56" s="32"/>
    </row>
    <row r="57" spans="1:17" s="42" customFormat="1" ht="24.75" customHeight="1">
      <c r="A57" s="1306"/>
      <c r="B57" s="1657"/>
      <c r="C57" s="4847"/>
      <c r="D57" s="4848"/>
      <c r="E57" s="3617">
        <f>IF($C57=0,0,VLOOKUP($C57,SDÖ3!$C$24:$O$99,4,FALSE))</f>
        <v>0</v>
      </c>
      <c r="F57" s="3618">
        <f>IF($C57=0,0,VLOOKUP($C57,SDÖ3!$C$24:$O$99,12,FALSE))</f>
        <v>0</v>
      </c>
      <c r="G57" s="3619">
        <f>IF($C57=0,0,VLOOKUP($C57,SDÖ3!$C$24:$O$99,13,FALSE))</f>
        <v>0</v>
      </c>
      <c r="H57" s="1704"/>
      <c r="I57" s="1703">
        <f>SUM(I44:I56)</f>
        <v>11.184000000000001</v>
      </c>
      <c r="J57" s="1702"/>
      <c r="K57" s="1704"/>
      <c r="L57" s="1705">
        <f>SUM(L44:L56)</f>
        <v>11.431999999999999</v>
      </c>
      <c r="M57" s="1652"/>
      <c r="N57" s="1704"/>
      <c r="O57" s="1703">
        <f>SUM(O44:O56)</f>
        <v>11.899999999999999</v>
      </c>
      <c r="P57" s="1702"/>
      <c r="Q57" s="32"/>
    </row>
    <row r="58" spans="1:17" s="708" customFormat="1" ht="18.75" customHeight="1">
      <c r="A58" s="1270"/>
      <c r="B58" s="1276" t="s">
        <v>1223</v>
      </c>
      <c r="C58" s="1373"/>
      <c r="D58" s="1373"/>
      <c r="E58" s="1373"/>
      <c r="F58" s="38"/>
      <c r="G58" s="1620"/>
      <c r="H58" s="1697"/>
      <c r="I58" s="1696">
        <f>SUM($I$46:$I$57)</f>
        <v>22.368000000000002</v>
      </c>
      <c r="J58" s="1701"/>
      <c r="K58" s="1700"/>
      <c r="L58" s="1699">
        <f>SUM($L$46:$L$57)</f>
        <v>22.863999999999997</v>
      </c>
      <c r="M58" s="1698"/>
      <c r="N58" s="1697"/>
      <c r="O58" s="1696">
        <f>SUM($O$46:$O$57)</f>
        <v>23.799999999999997</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32.368000000000002</v>
      </c>
      <c r="J59" s="1686"/>
      <c r="K59" s="1691"/>
      <c r="L59" s="1690">
        <f>IF(L58+SUM($L$46:$L$57)*$E$59%&gt;L58+10,L58+10,L58+SUM($L$46:$L$57)*$E$59%)</f>
        <v>32.863999999999997</v>
      </c>
      <c r="M59" s="1689"/>
      <c r="N59" s="1688"/>
      <c r="O59" s="1687">
        <f>IF(O58+SUM($O$46:$O$57)*$E$59%&gt;O58+10,O58+10,O58+SUM($O$46:$O$57)*$E$59%)</f>
        <v>33.799999999999997</v>
      </c>
      <c r="P59" s="1686"/>
      <c r="Q59" s="32"/>
    </row>
    <row r="60" spans="1:17" s="65" customFormat="1" ht="18.75" customHeight="1">
      <c r="A60" s="1373"/>
      <c r="B60" s="1276" t="s">
        <v>1220</v>
      </c>
      <c r="C60" s="1373"/>
      <c r="D60" s="1373"/>
      <c r="E60" s="45"/>
      <c r="F60" s="45"/>
      <c r="G60" s="1685"/>
      <c r="H60" s="1677"/>
      <c r="I60" s="1676"/>
      <c r="J60" s="1684">
        <f>IF(J6=0,0,SUM(I62:I64))</f>
        <v>600</v>
      </c>
      <c r="K60" s="1680"/>
      <c r="L60" s="1679"/>
      <c r="M60" s="1617">
        <f>IF(M6=0,0,SUM(L62:L64))</f>
        <v>600</v>
      </c>
      <c r="N60" s="1677"/>
      <c r="O60" s="1676"/>
      <c r="P60" s="1684">
        <f>IF(P6=0,0,SUM(O62:O64))</f>
        <v>600</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336</v>
      </c>
      <c r="D62" s="4833"/>
      <c r="E62" s="4833"/>
      <c r="F62" s="1674">
        <f>IF($C62=0,0,VLOOKUP($C62,'SDK3'!$C$98:$D$119,2,FALSE))</f>
        <v>600</v>
      </c>
      <c r="G62" s="1673">
        <f>(100+$D$61)/100*F62</f>
        <v>600</v>
      </c>
      <c r="H62" s="227"/>
      <c r="I62" s="1669">
        <f>$G$62</f>
        <v>600</v>
      </c>
      <c r="J62" s="227"/>
      <c r="K62" s="1672"/>
      <c r="L62" s="1671">
        <f>$G$62</f>
        <v>600</v>
      </c>
      <c r="M62" s="1589"/>
      <c r="N62" s="1670"/>
      <c r="O62" s="1669">
        <f>$G$62</f>
        <v>600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 customHeight="1">
      <c r="A68" s="1270"/>
      <c r="B68" s="1637"/>
      <c r="C68" s="4839" t="s">
        <v>1215</v>
      </c>
      <c r="D68" s="4839"/>
      <c r="E68" s="4839"/>
      <c r="F68" s="1636"/>
      <c r="G68" s="1627" t="s">
        <v>171</v>
      </c>
      <c r="H68" s="1634">
        <v>16</v>
      </c>
      <c r="I68" s="1633">
        <v>50</v>
      </c>
      <c r="J68" s="1632"/>
      <c r="K68" s="1634">
        <v>20</v>
      </c>
      <c r="L68" s="1633">
        <v>50</v>
      </c>
      <c r="M68" s="1635"/>
      <c r="N68" s="1634">
        <v>18</v>
      </c>
      <c r="O68" s="1633">
        <v>50</v>
      </c>
      <c r="P68" s="1632"/>
      <c r="Q68" s="32"/>
      <c r="R68" s="1944">
        <f>IF($H$64=0,0,VLOOKUP($H$64,#REF!,2,FALSE))</f>
        <v>0</v>
      </c>
      <c r="S68" s="1631">
        <f>IF($K$64=0,0,VLOOKUP($K$64,#REF!,2,FALSE))</f>
        <v>0</v>
      </c>
      <c r="T68" s="1944">
        <f>IF($N$64=0,0,VLOOKUP($N$64,#REF!,2,FALSE))</f>
        <v>0</v>
      </c>
    </row>
    <row r="69" spans="1:20" s="708" customFormat="1" ht="18.75" customHeight="1">
      <c r="A69" s="1270"/>
      <c r="B69" s="1276" t="s">
        <v>1214</v>
      </c>
      <c r="C69" s="1270"/>
      <c r="D69" s="1270"/>
      <c r="E69" s="38"/>
      <c r="F69" s="38"/>
      <c r="G69" s="1620"/>
      <c r="H69" s="44"/>
      <c r="I69" s="73"/>
      <c r="J69" s="1614">
        <f>H70*$F70/1000</f>
        <v>141.22399999999996</v>
      </c>
      <c r="K69" s="1630"/>
      <c r="L69" s="1629"/>
      <c r="M69" s="1617">
        <f>K70*$F70/1000</f>
        <v>176.52999999999997</v>
      </c>
      <c r="N69" s="44"/>
      <c r="O69" s="73"/>
      <c r="P69" s="1614">
        <f>N70*$F70/1000</f>
        <v>211.83599999999998</v>
      </c>
      <c r="Q69" s="32"/>
    </row>
    <row r="70" spans="1:20" s="708" customFormat="1" ht="15" customHeight="1">
      <c r="A70" s="1270"/>
      <c r="B70" s="1332"/>
      <c r="C70" s="1331" t="s">
        <v>896</v>
      </c>
      <c r="D70" s="353"/>
      <c r="E70" s="280"/>
      <c r="F70" s="1628">
        <f>'SDK7'!G102</f>
        <v>16</v>
      </c>
      <c r="G70" s="1627" t="s">
        <v>171</v>
      </c>
      <c r="H70" s="1623">
        <f>I9+I10</f>
        <v>8826.4999999999982</v>
      </c>
      <c r="I70" s="1622"/>
      <c r="J70" s="1621"/>
      <c r="K70" s="1626">
        <f>L9+L10</f>
        <v>11033.124999999998</v>
      </c>
      <c r="L70" s="1625"/>
      <c r="M70" s="1624"/>
      <c r="N70" s="1623">
        <f>O9+O10</f>
        <v>13239.749999999998</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3"/>
      <c r="R73" s="2529"/>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2530"/>
      <c r="R74" s="2529"/>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33.512948008397053</v>
      </c>
      <c r="K75" s="3063"/>
      <c r="L75" s="1056"/>
      <c r="M75" s="1578">
        <f>(M23+M27+M34+M43+M60+M65+M67+M69+M71)*('SDK1'!$O$59%*$G$75/12)</f>
        <v>35.014554761910773</v>
      </c>
      <c r="N75" s="1580"/>
      <c r="O75" s="1579"/>
      <c r="P75" s="1578">
        <f>(P23+P27+P34+P43+P60+P65+P67+P69+P71)*('SDK1'!$O$59%*$G$75/12)</f>
        <v>36.5161615154245</v>
      </c>
      <c r="Q75" s="32"/>
    </row>
    <row r="76" spans="1:20">
      <c r="L76" s="33"/>
    </row>
    <row r="77" spans="1:20">
      <c r="G77" s="3642"/>
      <c r="H77" s="3642"/>
      <c r="I77" s="3642"/>
      <c r="J77" s="3642"/>
      <c r="K77" s="3642"/>
      <c r="L77" s="3642"/>
      <c r="M77" s="3642"/>
      <c r="N77" s="3642"/>
      <c r="O77" s="3642"/>
      <c r="P77" s="3642"/>
      <c r="Q77" s="3642"/>
    </row>
    <row r="78" spans="1:20" ht="14.25">
      <c r="C78" s="4921" t="s">
        <v>1946</v>
      </c>
      <c r="D78" s="4922"/>
      <c r="E78" s="4922"/>
      <c r="F78" s="4923"/>
      <c r="G78" s="3642"/>
      <c r="H78" s="3642"/>
      <c r="I78" s="3642"/>
      <c r="J78" s="3642"/>
      <c r="K78" s="3642"/>
      <c r="L78" s="3642"/>
      <c r="M78" s="3642"/>
      <c r="N78" s="3642"/>
      <c r="O78" s="3642"/>
      <c r="P78" s="3642"/>
      <c r="Q78" s="3642"/>
    </row>
    <row r="79" spans="1:20">
      <c r="C79" s="4913" t="s">
        <v>295</v>
      </c>
      <c r="D79" s="4914"/>
      <c r="E79" s="4914"/>
      <c r="F79" s="4915"/>
      <c r="G79" s="3642"/>
      <c r="H79" s="3642"/>
      <c r="I79" s="3642"/>
      <c r="J79" s="3642"/>
      <c r="K79" s="3642"/>
      <c r="L79" s="3642"/>
      <c r="M79" s="3642"/>
      <c r="N79" s="3642"/>
      <c r="O79" s="3642"/>
      <c r="P79" s="3642"/>
      <c r="Q79" s="3642"/>
    </row>
    <row r="80" spans="1:20" ht="14.25">
      <c r="B80" s="3078"/>
      <c r="C80" s="3074" t="s">
        <v>1942</v>
      </c>
      <c r="D80" s="3075"/>
      <c r="E80" s="3075"/>
      <c r="F80" s="3076"/>
      <c r="G80" s="3642"/>
      <c r="H80" s="3642"/>
      <c r="I80" s="3642"/>
      <c r="J80" s="3642"/>
      <c r="K80" s="3642"/>
      <c r="L80" s="3642"/>
      <c r="M80" s="3642"/>
      <c r="N80" s="3642"/>
      <c r="O80" s="3642"/>
      <c r="P80" s="3642"/>
      <c r="Q80" s="3642"/>
    </row>
    <row r="81" spans="2:17" ht="14.25">
      <c r="B81" s="3078"/>
      <c r="C81" s="3074" t="s">
        <v>1943</v>
      </c>
      <c r="D81" s="3075"/>
      <c r="E81" s="3075"/>
      <c r="F81" s="3076"/>
      <c r="G81" s="3642"/>
      <c r="H81" s="3642"/>
      <c r="I81" s="3642"/>
      <c r="J81" s="3642"/>
      <c r="K81" s="3642"/>
      <c r="L81" s="3642"/>
      <c r="M81" s="3642"/>
      <c r="N81" s="3642"/>
      <c r="O81" s="3642"/>
      <c r="P81" s="3642"/>
      <c r="Q81" s="3642"/>
    </row>
    <row r="82" spans="2:17">
      <c r="B82" s="3078"/>
      <c r="C82" s="3066" t="s">
        <v>294</v>
      </c>
      <c r="D82" s="3067"/>
      <c r="E82" s="3067"/>
      <c r="F82" s="3068"/>
      <c r="G82" s="3642"/>
      <c r="H82" s="3642"/>
      <c r="I82" s="3642"/>
      <c r="J82" s="3642"/>
      <c r="K82" s="3642"/>
      <c r="L82" s="3642"/>
      <c r="M82" s="3642"/>
      <c r="N82" s="3642"/>
      <c r="O82" s="3642"/>
      <c r="P82" s="3642"/>
      <c r="Q82" s="3642"/>
    </row>
    <row r="83" spans="2:17" ht="14.25">
      <c r="B83" s="3078"/>
      <c r="C83" s="3074" t="s">
        <v>1944</v>
      </c>
      <c r="D83" s="3075"/>
      <c r="E83" s="3075"/>
      <c r="F83" s="3076"/>
      <c r="G83" s="3642"/>
      <c r="H83" s="3642"/>
      <c r="I83" s="3642"/>
      <c r="J83" s="3642"/>
      <c r="K83" s="3642"/>
      <c r="L83" s="3642"/>
      <c r="M83" s="3642"/>
      <c r="N83" s="3642"/>
      <c r="O83" s="3642"/>
      <c r="P83" s="3642"/>
      <c r="Q83" s="3642"/>
    </row>
    <row r="84" spans="2:17" ht="14.25">
      <c r="B84" s="3078"/>
      <c r="C84" s="3074" t="s">
        <v>1945</v>
      </c>
      <c r="D84" s="3075"/>
      <c r="E84" s="3075"/>
      <c r="F84" s="3076"/>
      <c r="G84" s="3642"/>
      <c r="H84" s="3642"/>
      <c r="I84" s="3642"/>
      <c r="J84" s="3642"/>
      <c r="K84" s="3642"/>
      <c r="L84" s="3642"/>
      <c r="M84" s="3642"/>
      <c r="N84" s="3642"/>
      <c r="O84" s="3642"/>
      <c r="P84" s="3642"/>
      <c r="Q84" s="3642"/>
    </row>
    <row r="85" spans="2:17">
      <c r="B85" s="3078"/>
      <c r="C85" s="3066" t="s">
        <v>293</v>
      </c>
      <c r="D85" s="3067"/>
      <c r="E85" s="3067"/>
      <c r="F85" s="3068"/>
      <c r="G85" s="3642"/>
      <c r="H85" s="3642"/>
      <c r="I85" s="3642"/>
      <c r="J85" s="3642"/>
      <c r="K85" s="3642"/>
      <c r="L85" s="3642"/>
      <c r="M85" s="3642"/>
      <c r="N85" s="3642"/>
      <c r="O85" s="3642"/>
      <c r="P85" s="3642"/>
      <c r="Q85" s="3642"/>
    </row>
    <row r="86" spans="2:17">
      <c r="B86" s="3078"/>
      <c r="C86" s="3066" t="s">
        <v>292</v>
      </c>
      <c r="D86" s="3067"/>
      <c r="E86" s="3067"/>
      <c r="F86" s="3068"/>
      <c r="G86" s="3642"/>
      <c r="H86" s="3642"/>
      <c r="I86" s="3642"/>
      <c r="J86" s="3642"/>
      <c r="K86" s="3642"/>
      <c r="L86" s="3642"/>
      <c r="M86" s="3642"/>
      <c r="N86" s="3642"/>
      <c r="O86" s="3642"/>
      <c r="P86" s="3642"/>
      <c r="Q86" s="3642"/>
    </row>
    <row r="87" spans="2:17" ht="14.25">
      <c r="B87" s="3078"/>
      <c r="C87" s="3066" t="s">
        <v>291</v>
      </c>
      <c r="D87" s="3067"/>
      <c r="E87" s="3067"/>
      <c r="F87" s="3068"/>
      <c r="G87" s="3642"/>
      <c r="H87" s="3642"/>
      <c r="I87" s="3642"/>
      <c r="J87" s="3642"/>
      <c r="K87" s="3642"/>
      <c r="L87" s="3642"/>
      <c r="M87" s="3642"/>
      <c r="N87" s="3642"/>
      <c r="O87" s="3642"/>
      <c r="P87" s="3642"/>
      <c r="Q87" s="3642"/>
    </row>
    <row r="88" spans="2:17" ht="13.15" customHeight="1">
      <c r="B88" s="3078"/>
      <c r="C88" s="3066" t="s">
        <v>290</v>
      </c>
      <c r="D88" s="3069"/>
      <c r="E88" s="3069"/>
      <c r="F88" s="3070"/>
      <c r="G88" s="3642"/>
      <c r="H88" s="3642"/>
      <c r="I88" s="3642"/>
      <c r="J88" s="3642"/>
      <c r="K88" s="3642"/>
      <c r="L88" s="3642"/>
      <c r="M88" s="3642"/>
      <c r="N88" s="3642"/>
      <c r="O88" s="3642"/>
      <c r="P88" s="3642"/>
      <c r="Q88" s="3642"/>
    </row>
    <row r="89" spans="2:17">
      <c r="B89" s="3078"/>
      <c r="C89" s="3066" t="s">
        <v>289</v>
      </c>
      <c r="D89" s="3069"/>
      <c r="E89" s="3069"/>
      <c r="F89" s="3070"/>
      <c r="G89" s="3642"/>
      <c r="H89" s="3642"/>
      <c r="I89" s="3642"/>
      <c r="J89" s="3642"/>
      <c r="K89" s="3642"/>
      <c r="L89" s="3642"/>
      <c r="M89" s="3642"/>
      <c r="N89" s="3642"/>
      <c r="O89" s="3642"/>
      <c r="P89" s="3642"/>
      <c r="Q89" s="3642"/>
    </row>
    <row r="90" spans="2:17" ht="25.5">
      <c r="B90" s="3078"/>
      <c r="C90" s="3071" t="s">
        <v>288</v>
      </c>
      <c r="D90" s="3072"/>
      <c r="E90" s="3072"/>
      <c r="F90" s="3073"/>
      <c r="G90" s="3642"/>
      <c r="H90" s="3642"/>
      <c r="I90" s="3642"/>
      <c r="J90" s="3642"/>
      <c r="K90" s="3642"/>
      <c r="L90" s="3642"/>
      <c r="M90" s="3642"/>
      <c r="N90" s="3642"/>
      <c r="O90" s="3642"/>
      <c r="P90" s="3642"/>
      <c r="Q90" s="3642"/>
    </row>
    <row r="91" spans="2:17">
      <c r="C91" s="33"/>
      <c r="D91" s="33"/>
      <c r="E91" s="33"/>
      <c r="F91" s="2538"/>
      <c r="G91" s="3642"/>
      <c r="H91" s="3642"/>
      <c r="I91" s="3642"/>
      <c r="J91" s="3642"/>
      <c r="K91" s="3642"/>
      <c r="L91" s="3642"/>
      <c r="M91" s="3642"/>
      <c r="N91" s="3642"/>
      <c r="O91" s="3642"/>
      <c r="P91" s="3642"/>
      <c r="Q91" s="3642"/>
    </row>
    <row r="92" spans="2:17">
      <c r="C92" s="33"/>
      <c r="D92" s="33"/>
      <c r="E92" s="33"/>
      <c r="F92" s="2538"/>
      <c r="G92" s="3642"/>
      <c r="H92" s="3642"/>
      <c r="I92" s="3642"/>
      <c r="J92" s="3642"/>
      <c r="K92" s="3642"/>
      <c r="L92" s="3642"/>
      <c r="M92" s="3642"/>
      <c r="N92" s="3642"/>
      <c r="O92" s="3642"/>
      <c r="P92" s="3642"/>
      <c r="Q92" s="3642"/>
    </row>
    <row r="93" spans="2:17">
      <c r="C93" s="33"/>
      <c r="D93" s="33"/>
      <c r="E93" s="33"/>
      <c r="F93" s="2538"/>
      <c r="G93" s="3642"/>
      <c r="H93" s="3642"/>
      <c r="I93" s="3642"/>
      <c r="J93" s="3642"/>
      <c r="K93" s="3642"/>
      <c r="L93" s="3642"/>
      <c r="M93" s="3642"/>
      <c r="N93" s="3642"/>
      <c r="O93" s="3642"/>
      <c r="P93" s="3642"/>
      <c r="Q93" s="3642"/>
    </row>
    <row r="94" spans="2:17">
      <c r="C94" s="33"/>
      <c r="D94" s="33"/>
      <c r="E94" s="33"/>
      <c r="F94" s="2538"/>
      <c r="G94" s="3642"/>
      <c r="H94" s="3642"/>
      <c r="I94" s="3642"/>
      <c r="J94" s="3642"/>
      <c r="K94" s="3642"/>
      <c r="L94" s="3642"/>
      <c r="M94" s="3642"/>
      <c r="N94" s="3642"/>
      <c r="O94" s="3642"/>
      <c r="P94" s="3642"/>
      <c r="Q94" s="3642"/>
    </row>
    <row r="95" spans="2:17">
      <c r="C95" s="33"/>
      <c r="D95" s="33"/>
      <c r="E95" s="33"/>
      <c r="F95" s="2538"/>
      <c r="G95" s="3642"/>
      <c r="H95" s="3642"/>
      <c r="I95" s="3642"/>
      <c r="J95" s="3642"/>
      <c r="K95" s="3642"/>
      <c r="L95" s="3642"/>
      <c r="M95" s="3642"/>
      <c r="N95" s="3642"/>
      <c r="O95" s="3642"/>
      <c r="P95" s="3642"/>
      <c r="Q95" s="3642"/>
    </row>
    <row r="96" spans="2:17">
      <c r="C96" s="33"/>
      <c r="D96" s="33"/>
      <c r="E96" s="33"/>
      <c r="F96" s="2538"/>
      <c r="G96" s="3642"/>
      <c r="H96" s="3642"/>
      <c r="I96" s="3642"/>
      <c r="J96" s="3642"/>
      <c r="K96" s="3642"/>
      <c r="L96" s="3642"/>
      <c r="M96" s="3642"/>
      <c r="N96" s="3642"/>
      <c r="O96" s="3642"/>
      <c r="P96" s="3642"/>
      <c r="Q96" s="3642"/>
    </row>
    <row r="97" spans="2:17">
      <c r="C97" s="33"/>
      <c r="D97" s="33"/>
      <c r="E97" s="33"/>
      <c r="G97" s="3642"/>
      <c r="H97" s="3642"/>
      <c r="I97" s="3642"/>
      <c r="J97" s="3642"/>
      <c r="K97" s="3642"/>
      <c r="L97" s="3642"/>
      <c r="M97" s="3642"/>
      <c r="N97" s="3642"/>
      <c r="O97" s="3642"/>
      <c r="P97" s="3642"/>
      <c r="Q97" s="3642"/>
    </row>
    <row r="98" spans="2:17">
      <c r="C98" s="33"/>
      <c r="D98" s="33"/>
      <c r="E98" s="33"/>
      <c r="G98" s="3642"/>
      <c r="H98" s="3642"/>
      <c r="I98" s="3642"/>
      <c r="J98" s="3642"/>
      <c r="K98" s="3642"/>
      <c r="L98" s="3642"/>
      <c r="M98" s="3642"/>
      <c r="N98" s="3642"/>
      <c r="O98" s="3642"/>
      <c r="P98" s="3642"/>
      <c r="Q98" s="3642"/>
    </row>
    <row r="99" spans="2:17">
      <c r="B99" s="33"/>
      <c r="C99" s="33"/>
      <c r="D99" s="33"/>
      <c r="G99" s="3642"/>
      <c r="H99" s="3642"/>
      <c r="I99" s="3642"/>
      <c r="J99" s="3642"/>
      <c r="K99" s="3642"/>
      <c r="L99" s="3642"/>
      <c r="M99" s="3642"/>
      <c r="N99" s="3642"/>
      <c r="O99" s="3642"/>
      <c r="P99" s="3642"/>
      <c r="Q99" s="3642"/>
    </row>
    <row r="100" spans="2:17">
      <c r="B100" s="33"/>
      <c r="C100" s="33"/>
      <c r="D100" s="33"/>
      <c r="G100" s="3642"/>
      <c r="H100" s="3642"/>
      <c r="I100" s="3642"/>
      <c r="J100" s="3642"/>
      <c r="K100" s="3642"/>
      <c r="L100" s="3642"/>
      <c r="M100" s="3642"/>
      <c r="N100" s="3642"/>
      <c r="O100" s="3642"/>
      <c r="P100" s="3642"/>
      <c r="Q100" s="3642"/>
    </row>
    <row r="101" spans="2:17">
      <c r="B101" s="33"/>
      <c r="C101" s="33"/>
      <c r="D101" s="33"/>
      <c r="G101" s="3642"/>
      <c r="H101" s="3642"/>
      <c r="I101" s="3642"/>
      <c r="J101" s="3642"/>
      <c r="K101" s="3642"/>
      <c r="L101" s="3642"/>
      <c r="M101" s="3642"/>
      <c r="N101" s="3642"/>
      <c r="O101" s="3642"/>
      <c r="P101" s="3642"/>
      <c r="Q101" s="3642"/>
    </row>
    <row r="102" spans="2:17">
      <c r="B102" s="33"/>
      <c r="C102" s="33"/>
      <c r="D102" s="33"/>
      <c r="G102" s="3642"/>
      <c r="H102" s="3642"/>
      <c r="I102" s="3642"/>
      <c r="J102" s="3642"/>
      <c r="K102" s="3642"/>
      <c r="L102" s="3642"/>
      <c r="M102" s="3642"/>
      <c r="N102" s="3642"/>
      <c r="O102" s="3642"/>
      <c r="P102" s="3642"/>
      <c r="Q102" s="3642"/>
    </row>
    <row r="103" spans="2:17">
      <c r="B103" s="33"/>
      <c r="C103" s="33"/>
      <c r="D103" s="33"/>
      <c r="G103" s="3642"/>
      <c r="I103" s="3642"/>
      <c r="J103" s="3642"/>
      <c r="K103" s="3642"/>
      <c r="L103" s="3642"/>
      <c r="M103" s="3642"/>
      <c r="N103" s="3642"/>
      <c r="O103" s="3642"/>
      <c r="P103" s="3642"/>
      <c r="Q103" s="3642"/>
    </row>
    <row r="104" spans="2:17">
      <c r="B104" s="33"/>
      <c r="C104" s="33"/>
      <c r="D104" s="33"/>
      <c r="G104" s="3642"/>
      <c r="H104" s="3642"/>
      <c r="I104" s="3642"/>
      <c r="J104" s="3642"/>
      <c r="K104" s="3642"/>
      <c r="L104" s="3642"/>
      <c r="M104" s="3642"/>
      <c r="N104" s="3642"/>
      <c r="O104" s="3642"/>
      <c r="P104" s="3642"/>
      <c r="Q104" s="3642"/>
    </row>
    <row r="105" spans="2:17">
      <c r="B105" s="33"/>
      <c r="C105" s="33"/>
      <c r="D105" s="33"/>
      <c r="G105" s="3642"/>
      <c r="H105" s="3642"/>
      <c r="I105" s="3642"/>
      <c r="J105" s="3642"/>
      <c r="K105" s="3642"/>
      <c r="L105" s="3642"/>
      <c r="M105" s="3642"/>
      <c r="N105" s="3642"/>
      <c r="O105" s="3642"/>
      <c r="P105" s="3642"/>
      <c r="Q105" s="3642"/>
    </row>
    <row r="106" spans="2:17">
      <c r="B106" s="33"/>
      <c r="C106" s="33"/>
      <c r="D106" s="33"/>
      <c r="G106" s="3642"/>
      <c r="H106" s="3642"/>
      <c r="I106" s="3642"/>
      <c r="J106" s="3642"/>
      <c r="K106" s="3642"/>
      <c r="L106" s="3642"/>
      <c r="M106" s="3642"/>
      <c r="N106" s="3642"/>
      <c r="O106" s="3642"/>
      <c r="P106" s="3642"/>
      <c r="Q106" s="3642"/>
    </row>
    <row r="107" spans="2:17">
      <c r="G107" s="3642"/>
      <c r="H107" s="3642"/>
      <c r="I107" s="3642"/>
      <c r="J107" s="3642"/>
      <c r="K107" s="3642"/>
      <c r="L107" s="3642"/>
      <c r="M107" s="3642"/>
      <c r="N107" s="3642"/>
      <c r="O107" s="3642"/>
      <c r="P107" s="3642"/>
      <c r="Q107" s="3642"/>
    </row>
    <row r="108" spans="2:17">
      <c r="G108" s="3642"/>
      <c r="H108" s="3642"/>
      <c r="I108" s="3642"/>
      <c r="J108" s="3642"/>
      <c r="K108" s="3642"/>
      <c r="L108" s="3642"/>
      <c r="M108" s="3642"/>
      <c r="N108" s="3642"/>
      <c r="O108" s="3642"/>
      <c r="P108" s="3642"/>
      <c r="Q108" s="3642"/>
    </row>
    <row r="109" spans="2:17">
      <c r="G109" s="3642"/>
      <c r="H109" s="3642"/>
      <c r="I109" s="3642"/>
      <c r="J109" s="3642"/>
      <c r="K109" s="3642"/>
      <c r="L109" s="3642"/>
      <c r="M109" s="3642"/>
      <c r="N109" s="3642"/>
      <c r="O109" s="3642"/>
      <c r="P109" s="3642"/>
      <c r="Q109" s="3642"/>
    </row>
    <row r="110" spans="2:17">
      <c r="G110" s="3642"/>
      <c r="H110" s="3642"/>
      <c r="I110" s="3642"/>
      <c r="J110" s="3642"/>
      <c r="K110" s="3642"/>
      <c r="L110" s="3642"/>
      <c r="M110" s="3642"/>
      <c r="N110" s="3642"/>
      <c r="O110" s="3642"/>
      <c r="P110" s="3642"/>
      <c r="Q110" s="3642"/>
    </row>
    <row r="111" spans="2:17">
      <c r="G111" s="3642"/>
      <c r="H111" s="3642"/>
      <c r="I111" s="3642"/>
      <c r="J111" s="3642"/>
      <c r="K111" s="3642"/>
      <c r="L111" s="3642"/>
      <c r="M111" s="3642"/>
      <c r="N111" s="3642"/>
      <c r="O111" s="3642"/>
      <c r="P111" s="3642"/>
      <c r="Q111" s="3642"/>
    </row>
    <row r="112" spans="2:17">
      <c r="G112" s="3642"/>
      <c r="H112" s="3642"/>
      <c r="I112" s="3642"/>
      <c r="J112" s="3642"/>
      <c r="K112" s="3642"/>
      <c r="L112" s="3642"/>
      <c r="M112" s="3642"/>
      <c r="N112" s="3642"/>
      <c r="O112" s="3642"/>
      <c r="P112" s="3642"/>
      <c r="Q112" s="3642"/>
    </row>
    <row r="113" spans="2:17">
      <c r="G113" s="3642"/>
      <c r="H113" s="3642"/>
      <c r="I113" s="3642"/>
      <c r="J113" s="3642"/>
      <c r="K113" s="3642"/>
      <c r="L113" s="3642"/>
      <c r="M113" s="3642"/>
      <c r="N113" s="3642"/>
      <c r="O113" s="3642"/>
      <c r="P113" s="3642"/>
      <c r="Q113" s="3642"/>
    </row>
    <row r="114" spans="2:17">
      <c r="G114" s="3642"/>
      <c r="H114" s="3642"/>
      <c r="I114" s="3642"/>
      <c r="J114" s="3642"/>
      <c r="K114" s="3642"/>
      <c r="L114" s="3642"/>
      <c r="M114" s="3642"/>
      <c r="N114" s="3642"/>
      <c r="O114" s="3642"/>
      <c r="P114" s="3642"/>
      <c r="Q114" s="3642"/>
    </row>
    <row r="115" spans="2:17">
      <c r="G115" s="3642"/>
      <c r="H115" s="3642"/>
      <c r="I115" s="3642"/>
      <c r="J115" s="3642"/>
      <c r="K115" s="3642"/>
      <c r="L115" s="3642"/>
      <c r="M115" s="3642"/>
      <c r="N115" s="3642"/>
      <c r="O115" s="3642"/>
      <c r="P115" s="3642"/>
      <c r="Q115" s="3642"/>
    </row>
    <row r="116" spans="2:17">
      <c r="G116" s="3642"/>
      <c r="H116" s="3642"/>
      <c r="I116" s="3642"/>
      <c r="J116" s="3642"/>
      <c r="K116" s="3642"/>
      <c r="L116" s="3642"/>
      <c r="M116" s="3642"/>
      <c r="N116" s="3642"/>
      <c r="O116" s="3642"/>
      <c r="P116" s="3642"/>
      <c r="Q116" s="3642"/>
    </row>
    <row r="117" spans="2:17">
      <c r="G117" s="3642"/>
      <c r="H117" s="3642"/>
      <c r="I117" s="3642"/>
      <c r="J117" s="3642"/>
      <c r="K117" s="3642"/>
      <c r="L117" s="3642"/>
      <c r="M117" s="3642"/>
      <c r="N117" s="3642"/>
      <c r="O117" s="3642"/>
      <c r="P117" s="3642"/>
      <c r="Q117" s="3642"/>
    </row>
    <row r="118" spans="2:17">
      <c r="B118" s="622"/>
      <c r="C118" s="33"/>
      <c r="G118" s="3642"/>
      <c r="H118" s="3642"/>
      <c r="I118" s="3642"/>
      <c r="J118" s="3642"/>
      <c r="K118" s="3642"/>
      <c r="L118" s="3642"/>
      <c r="M118" s="3642"/>
      <c r="N118" s="3642"/>
      <c r="O118" s="3642"/>
      <c r="P118" s="3642"/>
      <c r="Q118" s="3642"/>
    </row>
    <row r="119" spans="2:17">
      <c r="B119" s="622"/>
      <c r="C119" s="33"/>
      <c r="G119" s="3642"/>
      <c r="H119" s="3642"/>
      <c r="I119" s="3642"/>
      <c r="J119" s="3642"/>
      <c r="K119" s="3642"/>
      <c r="L119" s="3642"/>
      <c r="M119" s="3642"/>
      <c r="N119" s="3642"/>
      <c r="O119" s="3642"/>
      <c r="P119" s="3642"/>
      <c r="Q119" s="3642"/>
    </row>
    <row r="120" spans="2:17">
      <c r="B120" s="622"/>
      <c r="C120" s="33"/>
      <c r="G120" s="3642"/>
      <c r="H120" s="3642"/>
      <c r="I120" s="3642"/>
      <c r="J120" s="3642"/>
      <c r="K120" s="3642"/>
      <c r="L120" s="3642"/>
      <c r="M120" s="3642"/>
      <c r="N120" s="3642"/>
      <c r="O120" s="3642"/>
      <c r="P120" s="3642"/>
      <c r="Q120" s="3642"/>
    </row>
    <row r="121" spans="2:17">
      <c r="B121" s="622"/>
      <c r="C121" s="33"/>
      <c r="G121" s="3642"/>
      <c r="H121" s="3642"/>
      <c r="I121" s="3642"/>
      <c r="J121" s="3642"/>
      <c r="K121" s="3642"/>
      <c r="L121" s="3642"/>
      <c r="M121" s="3642"/>
      <c r="N121" s="3642"/>
      <c r="O121" s="3642"/>
      <c r="P121" s="3642"/>
      <c r="Q121" s="3642"/>
    </row>
    <row r="122" spans="2:17">
      <c r="B122" s="622"/>
      <c r="C122" s="33"/>
      <c r="G122" s="3642"/>
      <c r="H122" s="3642"/>
      <c r="I122" s="3642"/>
      <c r="J122" s="3642"/>
      <c r="K122" s="3642"/>
      <c r="L122" s="3642"/>
      <c r="M122" s="3642"/>
      <c r="N122" s="3642"/>
      <c r="O122" s="3642"/>
      <c r="P122" s="3642"/>
      <c r="Q122" s="3642"/>
    </row>
    <row r="123" spans="2:17">
      <c r="B123" s="622"/>
      <c r="C123" s="33"/>
      <c r="L123" s="3642"/>
      <c r="M123" s="3642"/>
      <c r="N123" s="3642"/>
      <c r="O123" s="3642"/>
      <c r="P123" s="3642"/>
      <c r="Q123" s="3642"/>
    </row>
    <row r="124" spans="2:17">
      <c r="B124" s="622"/>
      <c r="C124" s="33"/>
      <c r="L124" s="3642"/>
      <c r="M124" s="3642"/>
      <c r="N124" s="3642"/>
      <c r="O124" s="3642"/>
      <c r="P124" s="3642"/>
      <c r="Q124" s="3642"/>
    </row>
    <row r="125" spans="2:17">
      <c r="B125" s="622"/>
      <c r="C125" s="33"/>
      <c r="L125" s="3642"/>
      <c r="M125" s="3642"/>
      <c r="N125" s="3642"/>
      <c r="O125" s="3642"/>
      <c r="P125" s="3642"/>
      <c r="Q125" s="3642"/>
    </row>
    <row r="126" spans="2:17">
      <c r="B126" s="622"/>
      <c r="C126" s="33"/>
      <c r="L126" s="3642"/>
      <c r="M126" s="3642"/>
      <c r="N126" s="3642"/>
      <c r="O126" s="3642"/>
      <c r="P126" s="3642"/>
      <c r="Q126" s="3642"/>
    </row>
    <row r="127" spans="2:17">
      <c r="B127" s="622"/>
      <c r="C127" s="33"/>
      <c r="L127" s="3642"/>
      <c r="M127" s="3642"/>
      <c r="N127" s="3642"/>
      <c r="O127" s="3642"/>
      <c r="P127" s="3642"/>
      <c r="Q127" s="3642"/>
    </row>
    <row r="128" spans="2:17">
      <c r="B128" s="622"/>
      <c r="C128" s="33"/>
      <c r="L128" s="3642"/>
      <c r="M128" s="3642"/>
      <c r="N128" s="3642"/>
      <c r="O128" s="3642"/>
      <c r="P128" s="3642"/>
      <c r="Q128" s="3642"/>
    </row>
    <row r="129" spans="2:17">
      <c r="B129" s="622"/>
      <c r="C129" s="33"/>
      <c r="L129" s="3642"/>
      <c r="M129" s="3642"/>
      <c r="N129" s="3642"/>
      <c r="O129" s="3642"/>
      <c r="P129" s="3642"/>
      <c r="Q129" s="3642"/>
    </row>
    <row r="130" spans="2:17">
      <c r="B130" s="622"/>
      <c r="C130" s="33"/>
      <c r="L130" s="3642"/>
      <c r="M130" s="3642"/>
      <c r="N130" s="3642"/>
      <c r="O130" s="3642"/>
      <c r="P130" s="3642"/>
      <c r="Q130" s="3642"/>
    </row>
    <row r="131" spans="2:17">
      <c r="B131" s="622"/>
      <c r="C131" s="33"/>
      <c r="L131" s="3642"/>
      <c r="M131" s="3642"/>
      <c r="N131" s="3642"/>
      <c r="O131" s="3642"/>
      <c r="P131" s="3642"/>
      <c r="Q131" s="3642"/>
    </row>
    <row r="132" spans="2:17">
      <c r="B132" s="622"/>
      <c r="C132" s="33"/>
      <c r="L132" s="3642"/>
      <c r="M132" s="3642"/>
      <c r="N132" s="3642"/>
      <c r="O132" s="3642"/>
      <c r="P132" s="3642"/>
      <c r="Q132" s="3642"/>
    </row>
    <row r="133" spans="2:17">
      <c r="B133" s="622"/>
      <c r="C133" s="33"/>
      <c r="L133" s="3642"/>
      <c r="M133" s="3642"/>
      <c r="N133" s="3642"/>
      <c r="O133" s="3642"/>
      <c r="P133" s="3642"/>
      <c r="Q133" s="3642"/>
    </row>
    <row r="134" spans="2:17">
      <c r="B134" s="622"/>
      <c r="C134" s="33"/>
      <c r="L134" s="3642"/>
      <c r="M134" s="3642"/>
      <c r="N134" s="3642"/>
      <c r="O134" s="3642"/>
      <c r="P134" s="3642"/>
      <c r="Q134" s="3642"/>
    </row>
    <row r="135" spans="2:17">
      <c r="B135" s="622"/>
      <c r="C135" s="33"/>
      <c r="L135" s="3642"/>
      <c r="M135" s="3642"/>
      <c r="N135" s="3642"/>
      <c r="O135" s="3642"/>
      <c r="P135" s="3642"/>
      <c r="Q135" s="3642"/>
    </row>
    <row r="136" spans="2:17">
      <c r="B136" s="622"/>
      <c r="C136" s="33"/>
      <c r="L136" s="3642"/>
      <c r="M136" s="3642"/>
      <c r="N136" s="3642"/>
      <c r="O136" s="3642"/>
      <c r="P136" s="3642"/>
      <c r="Q136" s="3642"/>
    </row>
    <row r="137" spans="2:17">
      <c r="B137" s="622"/>
      <c r="C137" s="33"/>
      <c r="L137" s="3642"/>
      <c r="M137" s="3642"/>
      <c r="N137" s="3642"/>
      <c r="O137" s="3642"/>
      <c r="P137" s="3642"/>
      <c r="Q137" s="3642"/>
    </row>
    <row r="138" spans="2:17">
      <c r="B138" s="622"/>
      <c r="C138" s="33"/>
      <c r="L138" s="3642"/>
      <c r="M138" s="3642"/>
      <c r="N138" s="3642"/>
      <c r="O138" s="3642"/>
      <c r="P138" s="3642"/>
      <c r="Q138" s="3642"/>
    </row>
    <row r="139" spans="2:17">
      <c r="B139" s="622"/>
      <c r="C139" s="33"/>
      <c r="L139" s="3642"/>
      <c r="M139" s="3642"/>
      <c r="N139" s="3642"/>
      <c r="O139" s="3642"/>
      <c r="P139" s="3642"/>
      <c r="Q139" s="3642"/>
    </row>
    <row r="140" spans="2:17">
      <c r="B140" s="622"/>
      <c r="C140" s="33"/>
      <c r="L140" s="3642"/>
      <c r="M140" s="3642"/>
      <c r="N140" s="3642"/>
      <c r="O140" s="3642"/>
      <c r="P140" s="3642"/>
      <c r="Q140" s="3642"/>
    </row>
    <row r="141" spans="2:17">
      <c r="B141" s="622"/>
      <c r="C141" s="33"/>
      <c r="L141" s="3642"/>
      <c r="M141" s="3642"/>
      <c r="N141" s="3642"/>
      <c r="O141" s="3642"/>
      <c r="P141" s="3642"/>
      <c r="Q141" s="3642"/>
    </row>
    <row r="142" spans="2:17">
      <c r="B142" s="622"/>
      <c r="C142" s="33"/>
      <c r="L142" s="3642"/>
      <c r="M142" s="3642"/>
      <c r="N142" s="3642"/>
      <c r="O142" s="3642"/>
      <c r="P142" s="3642"/>
      <c r="Q142" s="3642"/>
    </row>
    <row r="143" spans="2:17">
      <c r="B143" s="622"/>
      <c r="C143" s="33"/>
      <c r="L143" s="3642"/>
      <c r="M143" s="3642"/>
      <c r="N143" s="3642"/>
      <c r="O143" s="3642"/>
      <c r="P143" s="3642"/>
      <c r="Q143" s="3642"/>
    </row>
    <row r="144" spans="2:17">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c r="H151" s="1929"/>
      <c r="J151" s="2389"/>
    </row>
    <row r="152" spans="2:12">
      <c r="B152" s="622"/>
      <c r="C152" s="33"/>
      <c r="H152" s="1929"/>
      <c r="J152" s="2389"/>
    </row>
    <row r="153" spans="2:12">
      <c r="B153" s="622"/>
      <c r="C153" s="33"/>
      <c r="H153" s="1929"/>
      <c r="J153" s="2389"/>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c r="H157" s="1929"/>
      <c r="J157" s="2389"/>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9">
    <mergeCell ref="C74:E74"/>
    <mergeCell ref="B75:C75"/>
    <mergeCell ref="C40:E40"/>
    <mergeCell ref="C37:E37"/>
    <mergeCell ref="C52:D52"/>
    <mergeCell ref="C53:D53"/>
    <mergeCell ref="C46:D46"/>
    <mergeCell ref="C42:E42"/>
    <mergeCell ref="C57:D57"/>
    <mergeCell ref="C62:E62"/>
    <mergeCell ref="C55:D55"/>
    <mergeCell ref="C63:E63"/>
    <mergeCell ref="C68:E68"/>
    <mergeCell ref="C73:E73"/>
    <mergeCell ref="C54:D54"/>
    <mergeCell ref="C56:D56"/>
    <mergeCell ref="K2:P2"/>
    <mergeCell ref="C14:F14"/>
    <mergeCell ref="C15:F15"/>
    <mergeCell ref="N6:O6"/>
    <mergeCell ref="E10:F10"/>
    <mergeCell ref="K6:L6"/>
    <mergeCell ref="C17:F17"/>
    <mergeCell ref="C19:F19"/>
    <mergeCell ref="W3:Y3"/>
    <mergeCell ref="W4:Y4"/>
    <mergeCell ref="H6:I6"/>
    <mergeCell ref="N3:O4"/>
    <mergeCell ref="C36:E36"/>
    <mergeCell ref="F23:G23"/>
    <mergeCell ref="D25:E25"/>
    <mergeCell ref="D26:E26"/>
    <mergeCell ref="F34:G34"/>
    <mergeCell ref="C78:F78"/>
    <mergeCell ref="C79:F79"/>
    <mergeCell ref="K1:L1"/>
    <mergeCell ref="N1:O1"/>
    <mergeCell ref="C16:F16"/>
    <mergeCell ref="C39:E39"/>
    <mergeCell ref="C64:E64"/>
    <mergeCell ref="C50:D50"/>
    <mergeCell ref="C51:D51"/>
    <mergeCell ref="G1:I1"/>
    <mergeCell ref="C38:E38"/>
    <mergeCell ref="C49:D49"/>
    <mergeCell ref="C41:E41"/>
    <mergeCell ref="C47:D47"/>
    <mergeCell ref="C48:D48"/>
    <mergeCell ref="E22:G22"/>
  </mergeCells>
  <dataValidations count="5">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sqref="D20:F21">
      <formula1>$G$78:$G$79</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6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0">
    <tabColor rgb="FF00B050"/>
    <pageSetUpPr fitToPage="1"/>
  </sheetPr>
  <dimension ref="A1:AO210"/>
  <sheetViews>
    <sheetView topLeftCell="A42" workbookViewId="0">
      <selection activeCell="J67" sqref="J67"/>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9" width="7.25" style="2533" customWidth="1"/>
    <col min="10" max="10" width="8.5" style="2533" customWidth="1"/>
    <col min="11" max="16" width="7.25" style="2533" customWidth="1"/>
    <col min="17" max="17" width="30.875" style="2533" hidden="1" customWidth="1"/>
    <col min="18" max="28" width="0" style="2537" hidden="1" customWidth="1"/>
    <col min="29"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#N/A</v>
      </c>
      <c r="K1" s="4859" t="e">
        <f>M1-J1</f>
        <v>#N/A</v>
      </c>
      <c r="L1" s="4859"/>
      <c r="M1" s="1906" t="e">
        <f>(M7+M13+M19+M22+L11+L12)-(M23+M27+M34+M43+M63+M59+M68+M70+M72+M76)</f>
        <v>#N/A</v>
      </c>
      <c r="N1" s="4859" t="e">
        <f>P1-M1</f>
        <v>#N/A</v>
      </c>
      <c r="O1" s="4859"/>
      <c r="P1" s="1906" t="e">
        <f>(P7+P13+P19+P22+O11+O12)-(P23+P27+P34+P43+P63+P59+P68+P70+P72+P76)</f>
        <v>#N/A</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1926</v>
      </c>
      <c r="L2" s="4870"/>
      <c r="M2" s="4870"/>
      <c r="N2" s="4870"/>
      <c r="O2" s="4870"/>
      <c r="P2" s="4870"/>
      <c r="Q2" s="2507"/>
    </row>
    <row r="3" spans="1:41" s="276" customFormat="1" ht="21.75" customHeight="1">
      <c r="A3" s="2507"/>
      <c r="B3" s="1903" t="s">
        <v>1693</v>
      </c>
      <c r="G3" s="1891"/>
      <c r="H3" s="1902"/>
      <c r="N3" s="4909"/>
      <c r="O3" s="4872"/>
      <c r="P3" s="1900"/>
      <c r="Q3" s="2507"/>
      <c r="T3" s="1918" t="b">
        <v>0</v>
      </c>
      <c r="W3" s="4866" t="s">
        <v>1262</v>
      </c>
      <c r="X3" s="4916"/>
      <c r="Y3" s="4916"/>
      <c r="Z3" s="1901"/>
      <c r="AA3" s="1901"/>
    </row>
    <row r="4" spans="1:41" s="276" customFormat="1" ht="20.25" customHeight="1">
      <c r="A4" s="2507"/>
      <c r="B4" s="377" t="s">
        <v>1154</v>
      </c>
      <c r="C4" s="2537"/>
      <c r="D4" s="2537"/>
      <c r="E4" s="4830" t="s">
        <v>1268</v>
      </c>
      <c r="F4" s="4830"/>
      <c r="G4" s="4830"/>
      <c r="H4" s="4830"/>
      <c r="I4" s="4830"/>
      <c r="N4" s="4872"/>
      <c r="O4" s="4872"/>
      <c r="P4" s="1896">
        <f>SDÖ1!O3</f>
        <v>0</v>
      </c>
      <c r="Q4" s="2507"/>
      <c r="T4" s="1918"/>
      <c r="W4" s="4866" t="s">
        <v>1250</v>
      </c>
      <c r="X4" s="4916"/>
      <c r="Y4" s="4916"/>
      <c r="Z4" s="2522"/>
      <c r="AA4" s="2522"/>
    </row>
    <row r="5" spans="1:41" ht="6" customHeight="1" thickBot="1"/>
    <row r="6" spans="1:41" s="1885" customFormat="1" ht="24" customHeight="1">
      <c r="A6" s="48"/>
      <c r="B6" s="2506" t="s">
        <v>1207</v>
      </c>
      <c r="C6" s="2505"/>
      <c r="D6" s="2505"/>
      <c r="E6" s="2505"/>
      <c r="F6" s="2505"/>
      <c r="G6" s="2513" t="s">
        <v>1700</v>
      </c>
      <c r="H6" s="4948" t="s">
        <v>179</v>
      </c>
      <c r="I6" s="4949"/>
      <c r="J6" s="2504">
        <v>2</v>
      </c>
      <c r="K6" s="4950" t="s">
        <v>152</v>
      </c>
      <c r="L6" s="4951"/>
      <c r="M6" s="2504">
        <v>4</v>
      </c>
      <c r="N6" s="4948" t="s">
        <v>178</v>
      </c>
      <c r="O6" s="4949"/>
      <c r="P6" s="2503">
        <v>6</v>
      </c>
      <c r="Q6" s="70"/>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f>SDÖ1!O32</f>
        <v>0</v>
      </c>
      <c r="H9" s="1877">
        <f>J6-H10</f>
        <v>2</v>
      </c>
      <c r="I9" s="1873">
        <f>H9*G9</f>
        <v>0</v>
      </c>
      <c r="J9" s="43"/>
      <c r="K9" s="1876">
        <f>M6-K10</f>
        <v>4</v>
      </c>
      <c r="L9" s="1875">
        <f>K9*G9</f>
        <v>0</v>
      </c>
      <c r="M9" s="1854"/>
      <c r="N9" s="1874">
        <f>P6-N10</f>
        <v>6</v>
      </c>
      <c r="O9" s="1873">
        <f>N9*G9</f>
        <v>0</v>
      </c>
      <c r="P9" s="273"/>
      <c r="Q9" s="2533"/>
      <c r="R9" s="935"/>
      <c r="S9" s="265" t="s">
        <v>1265</v>
      </c>
      <c r="T9" s="1872"/>
    </row>
    <row r="10" spans="1:41" s="1842" customFormat="1" ht="15" customHeight="1">
      <c r="A10" s="377"/>
      <c r="B10" s="2120"/>
      <c r="C10" s="281" t="s">
        <v>1689</v>
      </c>
      <c r="D10" s="1851"/>
      <c r="E10" s="4952" t="s">
        <v>1925</v>
      </c>
      <c r="F10" s="4953"/>
      <c r="G10" s="1871"/>
      <c r="H10" s="1952"/>
      <c r="I10" s="1865">
        <f>H10*G10</f>
        <v>0</v>
      </c>
      <c r="K10" s="1952"/>
      <c r="L10" s="1868">
        <f>K10*G10</f>
        <v>0</v>
      </c>
      <c r="M10" s="1867"/>
      <c r="N10" s="1952"/>
      <c r="O10" s="1865">
        <f>N10*G10</f>
        <v>0</v>
      </c>
      <c r="P10" s="2500"/>
      <c r="Q10" s="38"/>
      <c r="R10" s="1863">
        <f>I10+I11+I12</f>
        <v>0</v>
      </c>
      <c r="S10" s="1862">
        <f>L10+L11+L12</f>
        <v>0</v>
      </c>
      <c r="T10" s="1861">
        <f>O10+O11+O12</f>
        <v>0</v>
      </c>
      <c r="W10" s="252" t="s">
        <v>1254</v>
      </c>
    </row>
    <row r="11" spans="1:41" s="1842" customFormat="1" ht="15" customHeight="1">
      <c r="A11" s="377"/>
      <c r="B11" s="275"/>
      <c r="C11" s="45" t="s">
        <v>1253</v>
      </c>
      <c r="D11" s="377"/>
      <c r="E11" s="2499"/>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38"/>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417" t="s">
        <v>1688</v>
      </c>
      <c r="C13" s="47"/>
      <c r="D13" s="2498"/>
      <c r="E13" s="2498"/>
      <c r="F13" s="2498"/>
      <c r="G13" s="2497" t="s">
        <v>171</v>
      </c>
      <c r="H13" s="1926"/>
      <c r="I13" s="1823"/>
      <c r="J13" s="1614" t="e">
        <f>SUM(I14:I18)</f>
        <v>#N/A</v>
      </c>
      <c r="K13" s="1927"/>
      <c r="L13" s="1825"/>
      <c r="M13" s="1617" t="e">
        <f>SUM(L14:L16)</f>
        <v>#N/A</v>
      </c>
      <c r="N13" s="1926"/>
      <c r="O13" s="1823"/>
      <c r="P13" s="2415" t="e">
        <f>SUM(O14:O16)</f>
        <v>#N/A</v>
      </c>
      <c r="Q13" s="2533"/>
      <c r="R13" s="136"/>
      <c r="U13" s="42"/>
      <c r="V13" s="42"/>
      <c r="W13" s="42" t="s">
        <v>246</v>
      </c>
      <c r="X13" s="1834">
        <f>$X$12*F28</f>
        <v>0</v>
      </c>
      <c r="Y13" s="1834">
        <f>$Y$12*F28</f>
        <v>0</v>
      </c>
      <c r="Z13" s="1834">
        <f>$Z$12*F28</f>
        <v>0</v>
      </c>
    </row>
    <row r="14" spans="1:41" s="42" customFormat="1" ht="15" customHeight="1">
      <c r="A14" s="45"/>
      <c r="B14" s="2495"/>
      <c r="C14" s="4833" t="s">
        <v>294</v>
      </c>
      <c r="D14" s="4833"/>
      <c r="E14" s="4833"/>
      <c r="F14" s="4833"/>
      <c r="G14" s="1837"/>
      <c r="H14" s="2531"/>
      <c r="I14" s="1817" t="e">
        <f>IF(R14=TRUE,Q14,0)</f>
        <v>#N/A</v>
      </c>
      <c r="K14" s="2531"/>
      <c r="L14" s="1671" t="e">
        <f>IF(S14=TRUE,Q14,0)</f>
        <v>#N/A</v>
      </c>
      <c r="M14" s="2404"/>
      <c r="N14" s="2531"/>
      <c r="O14" s="1817" t="e">
        <f>IF(T14=TRUE,Q14,0)</f>
        <v>#N/A</v>
      </c>
      <c r="P14" s="2403"/>
      <c r="Q14" s="1835" t="e">
        <f>IF(C14=0,0,VLOOKUP(C14,'SD2'!$C$11:$N$49,'SD2'!$N$1,FALSE))</f>
        <v>#N/A</v>
      </c>
      <c r="R14" s="1925" t="b">
        <v>1</v>
      </c>
      <c r="S14" s="1924" t="b">
        <v>1</v>
      </c>
      <c r="T14" s="1923" t="b">
        <v>1</v>
      </c>
      <c r="W14" s="42" t="s">
        <v>1054</v>
      </c>
      <c r="X14" s="1834">
        <f>$X$12*F29</f>
        <v>0</v>
      </c>
      <c r="Y14" s="1834">
        <f>$Y$12*F29</f>
        <v>0</v>
      </c>
      <c r="Z14" s="1834">
        <f>$Z$12*F29</f>
        <v>0</v>
      </c>
    </row>
    <row r="15" spans="1:41" s="42" customFormat="1" ht="15" customHeight="1">
      <c r="A15" s="45"/>
      <c r="B15" s="2495"/>
      <c r="C15" s="4833"/>
      <c r="D15" s="4833"/>
      <c r="E15" s="4833"/>
      <c r="F15" s="4833"/>
      <c r="G15" s="1837"/>
      <c r="H15" s="2531"/>
      <c r="I15" s="1817">
        <f>IF(R15=TRUE,Q15,0)</f>
        <v>0</v>
      </c>
      <c r="J15" s="64"/>
      <c r="K15" s="2531"/>
      <c r="L15" s="1671">
        <f>IF(S15=TRUE,Q15,0)</f>
        <v>0</v>
      </c>
      <c r="M15" s="2404"/>
      <c r="N15" s="2531"/>
      <c r="O15" s="1817">
        <f>IF(T15=TRUE,Q15,0)</f>
        <v>0</v>
      </c>
      <c r="P15" s="2403"/>
      <c r="Q15" s="1835" t="e">
        <f>IF(C14=0,0,VLOOKUP(C14,'SD2'!$C$11:$N$49,'SD2'!$N$1,FALSE))</f>
        <v>#N/A</v>
      </c>
      <c r="R15" s="1922" t="b">
        <v>0</v>
      </c>
      <c r="S15" s="1918" t="b">
        <v>0</v>
      </c>
      <c r="T15" s="1921" t="b">
        <v>0</v>
      </c>
      <c r="W15" s="42" t="s">
        <v>1053</v>
      </c>
      <c r="X15" s="1834">
        <f>$X$12*F30</f>
        <v>0</v>
      </c>
      <c r="Y15" s="1834">
        <f>$Y$12*F30</f>
        <v>0</v>
      </c>
      <c r="Z15" s="1834">
        <f>$Z$12*F30</f>
        <v>0</v>
      </c>
    </row>
    <row r="16" spans="1:41" s="42" customFormat="1" ht="15" customHeight="1">
      <c r="A16" s="45"/>
      <c r="B16" s="2494">
        <v>0</v>
      </c>
      <c r="C16" s="4833"/>
      <c r="D16" s="4833"/>
      <c r="E16" s="4833"/>
      <c r="F16" s="4833"/>
      <c r="G16" s="2496"/>
      <c r="H16" s="1829"/>
      <c r="I16" s="1809">
        <f>IF(R16=TRUE,Q16,0)</f>
        <v>0</v>
      </c>
      <c r="J16" s="281"/>
      <c r="K16" s="1829"/>
      <c r="L16" s="1653">
        <f>IF(S16=TRUE,Q16,0)</f>
        <v>0</v>
      </c>
      <c r="M16" s="1830"/>
      <c r="N16" s="1829"/>
      <c r="O16" s="1809">
        <f>IF(T16=TRUE,Q16,0)</f>
        <v>0</v>
      </c>
      <c r="P16" s="2427"/>
      <c r="Q16" s="1835" t="e">
        <f>IF(C14=0,0,VLOOKUP(C14,'SD2'!$C$11:$N$49,'SD2'!$N$1,FALSE))</f>
        <v>#N/A</v>
      </c>
      <c r="R16" s="1922" t="b">
        <v>0</v>
      </c>
      <c r="S16" s="1918" t="b">
        <v>0</v>
      </c>
      <c r="T16" s="1921" t="b">
        <v>0</v>
      </c>
      <c r="W16" s="42" t="s">
        <v>240</v>
      </c>
      <c r="X16" s="1834">
        <f>$X$12*F31</f>
        <v>0</v>
      </c>
      <c r="Y16" s="1834">
        <f>$Y$12*F31</f>
        <v>0</v>
      </c>
      <c r="Z16" s="1834">
        <f>$Z$12*F31</f>
        <v>0</v>
      </c>
    </row>
    <row r="17" spans="1:36" s="42" customFormat="1" ht="15" customHeight="1">
      <c r="A17" s="45"/>
      <c r="B17" s="2417" t="s">
        <v>1687</v>
      </c>
      <c r="C17" s="47"/>
      <c r="D17" s="47"/>
      <c r="E17" s="47"/>
      <c r="F17" s="47"/>
      <c r="G17" s="229" t="s">
        <v>171</v>
      </c>
      <c r="H17" s="1824"/>
      <c r="I17" s="1823"/>
      <c r="J17" s="1599" t="e">
        <f>SUM(I18:I19)</f>
        <v>#N/A</v>
      </c>
      <c r="K17" s="1826"/>
      <c r="L17" s="1825"/>
      <c r="M17" s="1800" t="e">
        <f>SUM(L18:L19)</f>
        <v>#N/A</v>
      </c>
      <c r="N17" s="1824"/>
      <c r="O17" s="1823"/>
      <c r="P17" s="2406" t="e">
        <f>SUM(O18:O19)</f>
        <v>#N/A</v>
      </c>
      <c r="Q17" s="2533"/>
      <c r="R17" s="715" t="s">
        <v>1245</v>
      </c>
      <c r="S17" s="376"/>
      <c r="T17" s="1822"/>
      <c r="U17" s="2532"/>
      <c r="V17" s="2532"/>
      <c r="W17" s="2532"/>
      <c r="X17" s="2532"/>
      <c r="Y17" s="2532"/>
      <c r="Z17" s="2532"/>
      <c r="AA17" s="2532"/>
      <c r="AB17" s="2532"/>
      <c r="AC17" s="2532"/>
      <c r="AD17" s="2532"/>
      <c r="AE17" s="2532"/>
      <c r="AF17" s="2532"/>
      <c r="AG17" s="2532"/>
      <c r="AH17" s="2532"/>
      <c r="AI17" s="2532"/>
      <c r="AJ17" s="2532"/>
    </row>
    <row r="18" spans="1:36" s="42" customFormat="1" ht="15" customHeight="1">
      <c r="A18" s="45"/>
      <c r="B18" s="2495"/>
      <c r="C18" s="4944" t="s">
        <v>286</v>
      </c>
      <c r="D18" s="4944"/>
      <c r="E18" s="4944"/>
      <c r="F18" s="4944"/>
      <c r="G18" s="1820"/>
      <c r="H18" s="1818"/>
      <c r="I18" s="1809" t="e">
        <f>IF(OR($C18=0,$J$6=0),0,VLOOKUP($C18,'SD2'!C57:N59,12,FALSE))</f>
        <v>#N/A</v>
      </c>
      <c r="J18" s="45">
        <f>SUM(I21:I22)</f>
        <v>0</v>
      </c>
      <c r="K18" s="1811"/>
      <c r="L18" s="1671" t="e">
        <f>IF(OR($C18=0,$M$6=0),0,VLOOKUP($C18,'SD2'!C57:N59,12,FALSE))</f>
        <v>#N/A</v>
      </c>
      <c r="M18" s="1589">
        <f>SUM(L21:L22)</f>
        <v>0</v>
      </c>
      <c r="N18" s="1810"/>
      <c r="O18" s="1817" t="e">
        <f>IF(OR($C18=0,$P$6=0),0,VLOOKUP($C18,'SD2'!C57:N59,12,FALSE))</f>
        <v>#N/A</v>
      </c>
      <c r="P18" s="2403"/>
      <c r="Q18" s="2533"/>
      <c r="R18" s="1816" t="e">
        <f>J13+J17</f>
        <v>#N/A</v>
      </c>
      <c r="S18" s="1815" t="e">
        <f>M13+M17</f>
        <v>#N/A</v>
      </c>
      <c r="T18" s="1814" t="e">
        <f>P13+P17</f>
        <v>#N/A</v>
      </c>
    </row>
    <row r="19" spans="1:36" s="2532" customFormat="1" ht="18.75" hidden="1" customHeight="1">
      <c r="A19" s="47"/>
      <c r="B19" s="2494"/>
      <c r="C19" s="4945"/>
      <c r="D19" s="4945"/>
      <c r="E19" s="4945"/>
      <c r="F19" s="4945"/>
      <c r="G19" s="1812"/>
      <c r="H19" s="1810"/>
      <c r="I19" s="1809">
        <f>IF(OR($C19=0,$J$6=0),0,VLOOKUP($C19,#REF!,10,FALSE))</f>
        <v>0</v>
      </c>
      <c r="J19" s="42"/>
      <c r="K19" s="1811"/>
      <c r="L19" s="1653">
        <f>IF(OR($C19=0,$M$6=0),0,VLOOKUP($C19,#REF!,10,FALSE))</f>
        <v>0</v>
      </c>
      <c r="M19" s="2404"/>
      <c r="N19" s="1810"/>
      <c r="O19" s="1809">
        <f>IF(OR($C19=0,$P$6=0),0,VLOOKUP($C19,#REF!,10,FALSE))</f>
        <v>0</v>
      </c>
      <c r="P19" s="2427"/>
      <c r="Q19" s="2533"/>
      <c r="R19" s="42"/>
      <c r="S19" s="42"/>
      <c r="T19" s="42"/>
      <c r="U19" s="42"/>
      <c r="V19" s="42"/>
      <c r="W19" s="42"/>
      <c r="X19" s="42"/>
      <c r="Y19" s="42"/>
      <c r="Z19" s="42"/>
      <c r="AA19" s="42"/>
      <c r="AB19" s="42"/>
      <c r="AC19" s="42"/>
      <c r="AD19" s="42"/>
      <c r="AE19" s="42"/>
      <c r="AF19" s="42"/>
      <c r="AG19" s="42"/>
      <c r="AH19" s="42"/>
      <c r="AI19" s="42"/>
      <c r="AJ19" s="42"/>
    </row>
    <row r="20" spans="1:36" s="42" customFormat="1" ht="15.75">
      <c r="A20" s="45"/>
      <c r="B20" s="2509" t="s">
        <v>901</v>
      </c>
      <c r="C20" s="1579"/>
      <c r="D20" s="4946"/>
      <c r="E20" s="4946"/>
      <c r="F20" s="4946"/>
      <c r="G20" s="4947"/>
      <c r="H20" s="1804"/>
      <c r="I20" s="1803"/>
      <c r="J20" s="1802"/>
      <c r="K20" s="1806"/>
      <c r="L20" s="1805"/>
      <c r="M20" s="1802"/>
      <c r="N20" s="1804"/>
      <c r="O20" s="1803"/>
      <c r="P20" s="2493"/>
      <c r="Q20" s="2533"/>
      <c r="R20" s="2533"/>
      <c r="S20" s="2533"/>
      <c r="T20" s="2533"/>
      <c r="U20" s="2537"/>
      <c r="V20" s="2537"/>
      <c r="W20" s="2537"/>
      <c r="X20" s="2537"/>
      <c r="Y20" s="2537"/>
      <c r="Z20" s="2537"/>
      <c r="AA20" s="2537"/>
      <c r="AB20" s="2537"/>
      <c r="AC20" s="2537"/>
      <c r="AD20" s="2537"/>
      <c r="AE20" s="2537"/>
      <c r="AF20" s="2537"/>
      <c r="AG20" s="2537"/>
      <c r="AH20" s="2537"/>
      <c r="AI20" s="2537"/>
      <c r="AJ20" s="2537"/>
    </row>
    <row r="21" spans="1:36" s="42" customFormat="1" ht="19.149999999999999" customHeight="1">
      <c r="A21" s="45"/>
      <c r="B21" s="2492" t="s">
        <v>222</v>
      </c>
      <c r="C21" s="1801"/>
      <c r="D21" s="1801"/>
      <c r="E21" s="2533"/>
      <c r="F21" s="2533"/>
      <c r="G21" s="2525" t="s">
        <v>171</v>
      </c>
      <c r="H21" s="1616"/>
      <c r="I21" s="1615"/>
      <c r="J21" s="1599">
        <f>SUM(I23:I24)</f>
        <v>40</v>
      </c>
      <c r="K21" s="1619"/>
      <c r="L21" s="1618"/>
      <c r="M21" s="1800">
        <f>SUM(L23:L24)</f>
        <v>40</v>
      </c>
      <c r="N21" s="1616"/>
      <c r="O21" s="1615"/>
      <c r="P21" s="2406">
        <f>SUM(O23:O24)</f>
        <v>40</v>
      </c>
      <c r="Q21" s="38"/>
      <c r="R21" s="2537"/>
      <c r="S21" s="2537"/>
      <c r="T21" s="2537"/>
      <c r="U21" s="2537"/>
      <c r="V21" s="2537"/>
      <c r="W21" s="2537"/>
      <c r="X21" s="2537"/>
      <c r="Y21" s="2537"/>
      <c r="Z21" s="2537"/>
      <c r="AA21" s="2537"/>
      <c r="AB21" s="2537"/>
      <c r="AC21" s="2537"/>
      <c r="AD21" s="2537"/>
      <c r="AE21" s="2537"/>
      <c r="AF21" s="2537"/>
      <c r="AG21" s="2537"/>
      <c r="AH21" s="2537"/>
      <c r="AI21" s="2537"/>
      <c r="AJ21" s="2537"/>
    </row>
    <row r="22" spans="1:36" ht="22.5" customHeight="1">
      <c r="A22" s="377"/>
      <c r="B22" s="2491"/>
      <c r="C22" s="1612" t="s">
        <v>1212</v>
      </c>
      <c r="D22" s="1683">
        <f>SDÖ1!$O$10</f>
        <v>0</v>
      </c>
      <c r="E22" s="2490"/>
      <c r="F22" s="2411" t="s">
        <v>249</v>
      </c>
      <c r="G22" s="2434" t="s">
        <v>1211</v>
      </c>
      <c r="H22" s="2481" t="s">
        <v>1232</v>
      </c>
      <c r="I22" s="2407" t="s">
        <v>171</v>
      </c>
      <c r="J22" s="2489"/>
      <c r="K22" s="2483" t="s">
        <v>1232</v>
      </c>
      <c r="L22" s="2409" t="s">
        <v>171</v>
      </c>
      <c r="M22" s="2488"/>
      <c r="N22" s="2481" t="s">
        <v>1232</v>
      </c>
      <c r="O22" s="2407" t="s">
        <v>171</v>
      </c>
      <c r="P22" s="2471"/>
    </row>
    <row r="23" spans="1:36" ht="18.75" customHeight="1">
      <c r="A23" s="377"/>
      <c r="B23" s="2487"/>
      <c r="C23" s="1306" t="s">
        <v>1241</v>
      </c>
      <c r="D23" s="4851" t="s">
        <v>1924</v>
      </c>
      <c r="E23" s="4852"/>
      <c r="F23" s="1795"/>
      <c r="G23" s="1794">
        <f>F23*(100+$D$22)/100</f>
        <v>0</v>
      </c>
      <c r="H23" s="1793">
        <v>50</v>
      </c>
      <c r="I23" s="1754">
        <f>H23*$G23</f>
        <v>0</v>
      </c>
      <c r="J23" s="42"/>
      <c r="K23" s="1793">
        <v>50</v>
      </c>
      <c r="L23" s="1596">
        <f>K23*$G23</f>
        <v>0</v>
      </c>
      <c r="M23" s="2404"/>
      <c r="N23" s="1793">
        <v>50</v>
      </c>
      <c r="O23" s="1754">
        <f>N23*$G23</f>
        <v>0</v>
      </c>
      <c r="P23" s="2449"/>
      <c r="R23" s="42"/>
      <c r="S23" s="42"/>
      <c r="T23" s="42"/>
      <c r="U23" s="42"/>
      <c r="V23" s="42"/>
      <c r="W23" s="42"/>
      <c r="X23" s="42"/>
      <c r="Y23" s="42"/>
      <c r="Z23" s="42"/>
      <c r="AA23" s="42"/>
      <c r="AB23" s="42"/>
      <c r="AC23" s="42"/>
      <c r="AD23" s="42"/>
      <c r="AE23" s="42"/>
      <c r="AF23" s="42"/>
      <c r="AG23" s="42"/>
      <c r="AH23" s="42"/>
      <c r="AI23" s="42"/>
      <c r="AJ23" s="42"/>
    </row>
    <row r="24" spans="1:36" ht="13.15" customHeight="1">
      <c r="A24" s="377"/>
      <c r="B24" s="2419"/>
      <c r="C24" s="2508" t="s">
        <v>191</v>
      </c>
      <c r="D24" s="4853" t="s">
        <v>1923</v>
      </c>
      <c r="E24" s="4854"/>
      <c r="F24" s="1791">
        <v>0.8</v>
      </c>
      <c r="G24" s="1790">
        <f>F24*(100+$D$22)/100</f>
        <v>0.8</v>
      </c>
      <c r="H24" s="1789">
        <v>50</v>
      </c>
      <c r="I24" s="1750">
        <f>H24*$G24</f>
        <v>40</v>
      </c>
      <c r="J24" s="42"/>
      <c r="K24" s="1789">
        <v>50</v>
      </c>
      <c r="L24" s="1590">
        <f>K24*$G24</f>
        <v>40</v>
      </c>
      <c r="M24" s="2404"/>
      <c r="N24" s="1789">
        <v>50</v>
      </c>
      <c r="O24" s="1750">
        <f>N24*$G24</f>
        <v>40</v>
      </c>
      <c r="P24" s="2466"/>
      <c r="R24" s="42"/>
      <c r="S24" s="42"/>
      <c r="T24" s="42"/>
      <c r="U24" s="42"/>
      <c r="V24" s="42"/>
      <c r="W24" s="42"/>
      <c r="X24" s="42"/>
      <c r="Y24" s="42"/>
      <c r="Z24" s="42"/>
      <c r="AA24" s="42"/>
      <c r="AB24" s="42"/>
      <c r="AC24" s="42"/>
      <c r="AD24" s="42"/>
      <c r="AE24" s="42"/>
      <c r="AF24" s="42"/>
      <c r="AG24" s="42"/>
      <c r="AH24" s="42"/>
      <c r="AI24" s="42"/>
      <c r="AJ24" s="42"/>
    </row>
    <row r="25" spans="1:36" s="42" customFormat="1" ht="15" customHeight="1">
      <c r="A25" s="1306"/>
      <c r="B25" s="2465" t="s">
        <v>221</v>
      </c>
      <c r="C25" s="1270"/>
      <c r="D25" s="2486" t="str">
        <f>IF(SDÖ1!U17=FALSE,"(Nährstoffabfuhr nicht bewertet)","(Nährstoffabfuhr bewertet)")</f>
        <v>(Nährstoffabfuhr bewertet)</v>
      </c>
      <c r="E25" s="2533"/>
      <c r="F25" s="2533"/>
      <c r="G25" s="2476" t="s">
        <v>171</v>
      </c>
      <c r="H25" s="1746"/>
      <c r="I25" s="1745"/>
      <c r="J25" s="1614">
        <f>SUM(I28:I31)</f>
        <v>0</v>
      </c>
      <c r="K25" s="1748"/>
      <c r="L25" s="1747"/>
      <c r="M25" s="1617">
        <f>SUM(L28:L31)</f>
        <v>0</v>
      </c>
      <c r="N25" s="1746"/>
      <c r="O25" s="1745"/>
      <c r="P25" s="2415">
        <f>SUM(O28:O31)</f>
        <v>0</v>
      </c>
      <c r="Q25" s="2533"/>
      <c r="R25" s="2532"/>
      <c r="S25" s="2532"/>
      <c r="T25" s="2532"/>
      <c r="U25" s="2532"/>
      <c r="V25" s="2532"/>
      <c r="W25" s="2532"/>
      <c r="X25" s="2532"/>
      <c r="Y25" s="2532"/>
      <c r="Z25" s="2532"/>
      <c r="AA25" s="2532"/>
      <c r="AB25" s="2532"/>
      <c r="AC25" s="2532"/>
      <c r="AD25" s="2532"/>
      <c r="AE25" s="2532"/>
      <c r="AF25" s="2532"/>
      <c r="AG25" s="2532"/>
      <c r="AH25" s="2532"/>
      <c r="AI25" s="2532"/>
      <c r="AJ25" s="2532"/>
    </row>
    <row r="26" spans="1:36" s="42" customFormat="1" ht="15" customHeight="1">
      <c r="A26" s="1306"/>
      <c r="B26" s="2459"/>
      <c r="C26" s="2535"/>
      <c r="D26" s="1786" t="s">
        <v>1075</v>
      </c>
      <c r="E26" s="1786" t="s">
        <v>1698</v>
      </c>
      <c r="F26" s="2520"/>
      <c r="G26" s="1785" t="s">
        <v>1238</v>
      </c>
      <c r="H26" s="1745"/>
      <c r="I26" s="1782"/>
      <c r="J26" s="2536"/>
      <c r="K26" s="1748"/>
      <c r="L26" s="1678"/>
      <c r="M26" s="1783"/>
      <c r="N26" s="1746"/>
      <c r="O26" s="1782"/>
      <c r="P26" s="2406"/>
      <c r="Q26" s="2533"/>
      <c r="R26" s="2532"/>
      <c r="S26" s="2532"/>
      <c r="T26" s="2532"/>
      <c r="U26" s="2532"/>
      <c r="V26" s="2532"/>
      <c r="W26" s="2532"/>
      <c r="X26" s="2532"/>
      <c r="Y26" s="2532"/>
      <c r="Z26" s="2532"/>
      <c r="AA26" s="2532"/>
      <c r="AB26" s="2532"/>
      <c r="AC26" s="2532"/>
      <c r="AD26" s="2532"/>
      <c r="AE26" s="2532"/>
      <c r="AF26" s="2532"/>
      <c r="AG26" s="2532"/>
      <c r="AH26" s="2532"/>
      <c r="AI26" s="2532"/>
      <c r="AJ26" s="2532"/>
    </row>
    <row r="27" spans="1:36" s="2532" customFormat="1" ht="18.75" customHeight="1">
      <c r="A27" s="1270"/>
      <c r="B27" s="2485"/>
      <c r="C27" s="1307" t="s">
        <v>1237</v>
      </c>
      <c r="D27" s="2412" t="s">
        <v>908</v>
      </c>
      <c r="E27" s="2412" t="s">
        <v>1697</v>
      </c>
      <c r="F27" s="2519"/>
      <c r="G27" s="2412" t="s">
        <v>909</v>
      </c>
      <c r="H27" s="2481" t="s">
        <v>909</v>
      </c>
      <c r="I27" s="2407" t="s">
        <v>171</v>
      </c>
      <c r="J27" s="2484"/>
      <c r="K27" s="2483" t="s">
        <v>909</v>
      </c>
      <c r="L27" s="2409" t="s">
        <v>171</v>
      </c>
      <c r="M27" s="2482"/>
      <c r="N27" s="2481" t="s">
        <v>909</v>
      </c>
      <c r="O27" s="2407" t="s">
        <v>171</v>
      </c>
      <c r="P27" s="2480"/>
      <c r="Q27" s="2533"/>
    </row>
    <row r="28" spans="1:36" s="2532" customFormat="1" ht="13.7" customHeight="1">
      <c r="A28" s="1270"/>
      <c r="B28" s="2479"/>
      <c r="C28" s="1775" t="s">
        <v>246</v>
      </c>
      <c r="D28" s="1723">
        <f>IF(SDÖ1!$U$17=TRUE,SDÖ1!O55,0)</f>
        <v>4.5333333333333332</v>
      </c>
      <c r="E28" s="2478"/>
      <c r="F28" s="2518"/>
      <c r="G28" s="1773"/>
      <c r="H28" s="1771">
        <f>IF(J$6=0,0,(J$6*$E28+$G28+X13))</f>
        <v>0</v>
      </c>
      <c r="I28" s="1754">
        <f>H28*$D28</f>
        <v>0</v>
      </c>
      <c r="J28" s="42"/>
      <c r="K28" s="1772">
        <f>IF(M$6=0,0,(M$6*$E28+$G28+Y13))</f>
        <v>0</v>
      </c>
      <c r="L28" s="1596">
        <f>K28*$D28</f>
        <v>0</v>
      </c>
      <c r="M28" s="2404"/>
      <c r="N28" s="1771">
        <f>IF(P$6=0,0,(P$6*$E28+$G28+Z13))</f>
        <v>0</v>
      </c>
      <c r="O28" s="1754">
        <f>N28*$D28</f>
        <v>0</v>
      </c>
      <c r="P28" s="2449"/>
      <c r="Q28" s="2533"/>
      <c r="R28" s="42"/>
      <c r="S28" s="42"/>
      <c r="T28" s="42"/>
      <c r="U28" s="42"/>
      <c r="V28" s="42"/>
      <c r="W28" s="42"/>
      <c r="X28" s="42"/>
      <c r="Y28" s="42"/>
      <c r="Z28" s="42"/>
      <c r="AA28" s="42"/>
      <c r="AB28" s="42"/>
      <c r="AC28" s="42"/>
      <c r="AD28" s="42"/>
      <c r="AE28" s="42"/>
      <c r="AF28" s="42"/>
      <c r="AG28" s="42"/>
      <c r="AH28" s="42"/>
      <c r="AI28" s="42"/>
      <c r="AJ28" s="42"/>
    </row>
    <row r="29" spans="1:36" s="2532" customFormat="1" ht="15" customHeight="1">
      <c r="A29" s="1270"/>
      <c r="B29" s="275"/>
      <c r="C29" s="1306" t="s">
        <v>244</v>
      </c>
      <c r="D29" s="1723">
        <f>IF(SDÖ1!$U$17=TRUE,SDÖ1!O56,0)</f>
        <v>1.3999999999999997</v>
      </c>
      <c r="E29" s="2478"/>
      <c r="F29" s="2518"/>
      <c r="G29" s="1773"/>
      <c r="H29" s="1771">
        <f>IF(J$6=0,0,(J$6*$E29+$G29+X14))</f>
        <v>0</v>
      </c>
      <c r="I29" s="1754">
        <f>H29*$D29</f>
        <v>0</v>
      </c>
      <c r="J29" s="42"/>
      <c r="K29" s="1772">
        <f>IF(M$6=0,0,(M$6*$E29+$G29+Y14))</f>
        <v>0</v>
      </c>
      <c r="L29" s="1596">
        <f>K29*$D29</f>
        <v>0</v>
      </c>
      <c r="M29" s="2404"/>
      <c r="N29" s="1771">
        <f>IF(P$6=0,0,(P$6*$E29+$G29+Z14))</f>
        <v>0</v>
      </c>
      <c r="O29" s="1754">
        <f>N29*$D29</f>
        <v>0</v>
      </c>
      <c r="P29" s="2449"/>
      <c r="Q29" s="2533"/>
      <c r="R29" s="42"/>
      <c r="S29" s="42"/>
      <c r="T29" s="42"/>
      <c r="U29" s="42"/>
      <c r="V29" s="42"/>
      <c r="W29" s="42"/>
      <c r="X29" s="42"/>
      <c r="Y29" s="42"/>
      <c r="Z29" s="42"/>
      <c r="AA29" s="42"/>
      <c r="AB29" s="42"/>
      <c r="AC29" s="42"/>
      <c r="AD29" s="42"/>
      <c r="AE29" s="42"/>
      <c r="AF29" s="42"/>
      <c r="AG29" s="42"/>
      <c r="AH29" s="42"/>
      <c r="AI29" s="42"/>
      <c r="AJ29" s="42"/>
    </row>
    <row r="30" spans="1:36" s="42" customFormat="1" ht="15" customHeight="1">
      <c r="A30" s="1306"/>
      <c r="B30" s="275"/>
      <c r="C30" s="1306" t="s">
        <v>242</v>
      </c>
      <c r="D30" s="1723">
        <f>IF(SDÖ1!$U$17=TRUE,SDÖ1!O57,0)</f>
        <v>1.3999999999999997</v>
      </c>
      <c r="E30" s="2478"/>
      <c r="F30" s="2518"/>
      <c r="G30" s="1773"/>
      <c r="H30" s="1771">
        <f>IF(J$6=0,0,(J$6*$E30+$G30+X15))</f>
        <v>0</v>
      </c>
      <c r="I30" s="1754">
        <f>H30*$D30</f>
        <v>0</v>
      </c>
      <c r="K30" s="1772">
        <f>IF(M$6=0,0,(M$6*$E30+$G30+Y15))</f>
        <v>0</v>
      </c>
      <c r="L30" s="1596">
        <f>K30*$D30</f>
        <v>0</v>
      </c>
      <c r="M30" s="2404"/>
      <c r="N30" s="1771">
        <f>IF(P$6=0,0,(P$6*$E30+$G30+Z15))</f>
        <v>0</v>
      </c>
      <c r="O30" s="1754">
        <f>N30*$D30</f>
        <v>0</v>
      </c>
      <c r="P30" s="2449"/>
      <c r="Q30" s="2533"/>
    </row>
    <row r="31" spans="1:36" s="42" customFormat="1" ht="15" customHeight="1">
      <c r="A31" s="1306"/>
      <c r="B31" s="2120"/>
      <c r="C31" s="1331" t="s">
        <v>240</v>
      </c>
      <c r="D31" s="1706">
        <f>IF(SDÖ1!$U$17=TRUE,SDÖ1!O58,0)</f>
        <v>0.5</v>
      </c>
      <c r="E31" s="2477"/>
      <c r="F31" s="2517"/>
      <c r="G31" s="1769"/>
      <c r="H31" s="1767">
        <f>IF(J$6=0,0,(J$6*$E31+$G31+X16))</f>
        <v>0</v>
      </c>
      <c r="I31" s="1750">
        <f>H31*$D31</f>
        <v>0</v>
      </c>
      <c r="K31" s="1768">
        <f>IF(M$6=0,0,(M$6*$E31+$G31+Y16))</f>
        <v>0</v>
      </c>
      <c r="L31" s="1590">
        <f>K31*$D31</f>
        <v>0</v>
      </c>
      <c r="M31" s="2404"/>
      <c r="N31" s="1767">
        <f>IF(P$6=0,0,(P$6*$E31+$G31+Z16))</f>
        <v>0</v>
      </c>
      <c r="O31" s="1750">
        <f>N31*$D31</f>
        <v>0</v>
      </c>
      <c r="P31" s="2466"/>
      <c r="Q31" s="2533"/>
    </row>
    <row r="32" spans="1:36" s="42" customFormat="1" ht="15" customHeight="1">
      <c r="A32" s="1306"/>
      <c r="B32" s="2420" t="s">
        <v>1685</v>
      </c>
      <c r="C32" s="1270"/>
      <c r="D32" s="2532"/>
      <c r="E32" s="2532"/>
      <c r="F32" s="2532"/>
      <c r="G32" s="2476" t="s">
        <v>171</v>
      </c>
      <c r="H32" s="1764"/>
      <c r="I32" s="1763"/>
      <c r="J32" s="1614">
        <f>SUM(I34:I41)</f>
        <v>0</v>
      </c>
      <c r="K32" s="1766"/>
      <c r="L32" s="1765"/>
      <c r="M32" s="1617">
        <f>SUM(L34:L41)</f>
        <v>0</v>
      </c>
      <c r="N32" s="1764"/>
      <c r="O32" s="1763"/>
      <c r="P32" s="2415">
        <f>SUM(O34:O41)</f>
        <v>0</v>
      </c>
      <c r="Q32" s="2533"/>
      <c r="R32" s="2532"/>
      <c r="S32" s="2532"/>
      <c r="T32" s="2532"/>
      <c r="U32" s="2532"/>
      <c r="V32" s="2532"/>
      <c r="W32" s="2532"/>
      <c r="X32" s="2532"/>
      <c r="Y32" s="2532"/>
      <c r="Z32" s="2532"/>
      <c r="AA32" s="2532"/>
      <c r="AB32" s="2532"/>
      <c r="AC32" s="2532"/>
      <c r="AD32" s="2532"/>
      <c r="AE32" s="2532"/>
      <c r="AF32" s="2532"/>
      <c r="AG32" s="2532"/>
      <c r="AH32" s="2532"/>
      <c r="AI32" s="2532"/>
      <c r="AJ32" s="2532"/>
    </row>
    <row r="33" spans="1:36" s="42" customFormat="1" ht="15" customHeight="1">
      <c r="A33" s="1306"/>
      <c r="B33" s="2414"/>
      <c r="C33" s="1612" t="s">
        <v>1212</v>
      </c>
      <c r="D33" s="1683">
        <f>SDÖ1!$O$11</f>
        <v>0</v>
      </c>
      <c r="E33" s="2413"/>
      <c r="F33" s="2411" t="s">
        <v>249</v>
      </c>
      <c r="G33" s="2434" t="s">
        <v>1211</v>
      </c>
      <c r="H33" s="2472" t="s">
        <v>1232</v>
      </c>
      <c r="I33" s="2407" t="s">
        <v>171</v>
      </c>
      <c r="J33" s="2475"/>
      <c r="K33" s="2474" t="s">
        <v>1232</v>
      </c>
      <c r="L33" s="2409" t="s">
        <v>171</v>
      </c>
      <c r="M33" s="2473"/>
      <c r="N33" s="2472" t="s">
        <v>1232</v>
      </c>
      <c r="O33" s="2407" t="s">
        <v>171</v>
      </c>
      <c r="P33" s="2406"/>
      <c r="Q33" s="2533"/>
      <c r="R33" s="2532"/>
      <c r="S33" s="2532"/>
      <c r="T33" s="2532"/>
      <c r="U33" s="2532"/>
      <c r="V33" s="2532"/>
      <c r="W33" s="2532"/>
      <c r="X33" s="2532"/>
      <c r="Y33" s="2532"/>
      <c r="Z33" s="2532"/>
      <c r="AA33" s="2532"/>
      <c r="AB33" s="2532"/>
      <c r="AC33" s="2532"/>
      <c r="AD33" s="2532"/>
      <c r="AE33" s="2532"/>
      <c r="AF33" s="2532"/>
      <c r="AG33" s="2532"/>
      <c r="AH33" s="2532"/>
      <c r="AI33" s="2532"/>
      <c r="AJ33" s="2532"/>
    </row>
    <row r="34" spans="1:36" s="2532" customFormat="1" ht="18.75" customHeight="1">
      <c r="A34" s="1270"/>
      <c r="B34" s="2405"/>
      <c r="C34" s="4958"/>
      <c r="D34" s="4958"/>
      <c r="E34" s="4959"/>
      <c r="F34" s="1756">
        <f>IF(C34=0,0,VLOOKUP(C34,SDÖ5!$C$6:$D$33,2,FALSE))</f>
        <v>0</v>
      </c>
      <c r="G34" s="1756">
        <f t="shared" ref="G34:G41" si="0">F34*(100+$D$33)/100</f>
        <v>0</v>
      </c>
      <c r="H34" s="1949"/>
      <c r="I34" s="1754">
        <f t="shared" ref="I34:I41" si="1">$G34*H34</f>
        <v>0</v>
      </c>
      <c r="J34" s="42"/>
      <c r="K34" s="1949"/>
      <c r="L34" s="1596">
        <f t="shared" ref="L34:L41" si="2">$G34*K34</f>
        <v>0</v>
      </c>
      <c r="M34" s="2404"/>
      <c r="N34" s="1949"/>
      <c r="O34" s="1754">
        <f t="shared" ref="O34:O41" si="3">$G34*N34</f>
        <v>0</v>
      </c>
      <c r="P34" s="2449"/>
      <c r="Q34" s="2533"/>
      <c r="R34" s="42"/>
      <c r="S34" s="42"/>
      <c r="T34" s="42"/>
      <c r="U34" s="42"/>
      <c r="V34" s="42"/>
      <c r="W34" s="42"/>
      <c r="X34" s="42"/>
      <c r="Y34" s="42"/>
      <c r="Z34" s="42"/>
      <c r="AA34" s="42"/>
      <c r="AB34" s="42"/>
      <c r="AC34" s="42"/>
      <c r="AD34" s="42"/>
      <c r="AE34" s="42"/>
      <c r="AF34" s="42"/>
      <c r="AG34" s="42"/>
      <c r="AH34" s="42"/>
      <c r="AI34" s="42"/>
      <c r="AJ34" s="42"/>
    </row>
    <row r="35" spans="1:36" s="2532" customFormat="1" ht="13.15" customHeight="1">
      <c r="A35" s="1270"/>
      <c r="B35" s="2405"/>
      <c r="C35" s="4956"/>
      <c r="D35" s="4956"/>
      <c r="E35" s="4957"/>
      <c r="F35" s="1756">
        <f>IF(C35=0,0,VLOOKUP(C35,SDÖ5!$C$6:$D$33,2,FALSE))</f>
        <v>0</v>
      </c>
      <c r="G35" s="1756">
        <f t="shared" si="0"/>
        <v>0</v>
      </c>
      <c r="H35" s="1949"/>
      <c r="I35" s="1754">
        <f t="shared" si="1"/>
        <v>0</v>
      </c>
      <c r="J35" s="42"/>
      <c r="K35" s="1949"/>
      <c r="L35" s="1596">
        <f t="shared" si="2"/>
        <v>0</v>
      </c>
      <c r="M35" s="2404"/>
      <c r="N35" s="1949"/>
      <c r="O35" s="1754">
        <f t="shared" si="3"/>
        <v>0</v>
      </c>
      <c r="P35" s="2449"/>
      <c r="Q35" s="2533"/>
      <c r="R35" s="42"/>
      <c r="S35" s="42"/>
      <c r="T35" s="42"/>
      <c r="U35" s="42"/>
      <c r="V35" s="42"/>
      <c r="W35" s="42"/>
      <c r="X35" s="42"/>
      <c r="Y35" s="42"/>
      <c r="Z35" s="42"/>
      <c r="AA35" s="42"/>
      <c r="AB35" s="42"/>
      <c r="AC35" s="42"/>
      <c r="AD35" s="42"/>
      <c r="AE35" s="42"/>
      <c r="AF35" s="42"/>
      <c r="AG35" s="42"/>
      <c r="AH35" s="42"/>
      <c r="AI35" s="42"/>
      <c r="AJ35" s="42"/>
    </row>
    <row r="36" spans="1:36" s="42" customFormat="1" ht="15" customHeight="1">
      <c r="A36" s="1306"/>
      <c r="B36" s="2405"/>
      <c r="C36" s="4956"/>
      <c r="D36" s="4956"/>
      <c r="E36" s="4957"/>
      <c r="F36" s="1756">
        <f>IF(C36=0,0,VLOOKUP(C36,SDÖ5!$C$6:$D$33,2,FALSE))</f>
        <v>0</v>
      </c>
      <c r="G36" s="1756">
        <f t="shared" si="0"/>
        <v>0</v>
      </c>
      <c r="H36" s="1949"/>
      <c r="I36" s="1754">
        <f t="shared" si="1"/>
        <v>0</v>
      </c>
      <c r="K36" s="1949"/>
      <c r="L36" s="1596">
        <f t="shared" si="2"/>
        <v>0</v>
      </c>
      <c r="M36" s="2404"/>
      <c r="N36" s="1949"/>
      <c r="O36" s="1754">
        <f t="shared" si="3"/>
        <v>0</v>
      </c>
      <c r="P36" s="2449"/>
      <c r="Q36" s="2533"/>
    </row>
    <row r="37" spans="1:36" s="42" customFormat="1" ht="15" customHeight="1">
      <c r="A37" s="1306"/>
      <c r="B37" s="2470"/>
      <c r="C37" s="4956"/>
      <c r="D37" s="4956"/>
      <c r="E37" s="4957"/>
      <c r="F37" s="1756">
        <f>IF(C37=0,0,VLOOKUP(C37,SDÖ5!$C$6:$D$33,2,FALSE))</f>
        <v>0</v>
      </c>
      <c r="G37" s="1756">
        <f t="shared" si="0"/>
        <v>0</v>
      </c>
      <c r="H37" s="1949"/>
      <c r="I37" s="1754">
        <f t="shared" si="1"/>
        <v>0</v>
      </c>
      <c r="K37" s="1949"/>
      <c r="L37" s="1596">
        <f t="shared" si="2"/>
        <v>0</v>
      </c>
      <c r="M37" s="2404"/>
      <c r="N37" s="1949"/>
      <c r="O37" s="1754">
        <f t="shared" si="3"/>
        <v>0</v>
      </c>
      <c r="P37" s="2449"/>
      <c r="Q37" s="2533"/>
    </row>
    <row r="38" spans="1:36" s="42" customFormat="1" ht="22.5" hidden="1" customHeight="1">
      <c r="A38" s="1306"/>
      <c r="B38" s="2405"/>
      <c r="C38" s="4956"/>
      <c r="D38" s="4956"/>
      <c r="E38" s="4957"/>
      <c r="F38" s="1756">
        <f>IF(C38=0,0,VLOOKUP(C38,SDÖ5!$C$6:$D$16,2,FALSE))</f>
        <v>0</v>
      </c>
      <c r="G38" s="1756">
        <f t="shared" si="0"/>
        <v>0</v>
      </c>
      <c r="H38" s="1949"/>
      <c r="I38" s="1754">
        <f t="shared" si="1"/>
        <v>0</v>
      </c>
      <c r="K38" s="1949"/>
      <c r="L38" s="1596">
        <f t="shared" si="2"/>
        <v>0</v>
      </c>
      <c r="M38" s="2404"/>
      <c r="N38" s="1949"/>
      <c r="O38" s="1754">
        <f t="shared" si="3"/>
        <v>0</v>
      </c>
      <c r="P38" s="2449"/>
      <c r="Q38" s="2533"/>
    </row>
    <row r="39" spans="1:36" s="42" customFormat="1" ht="15" hidden="1" customHeight="1">
      <c r="A39" s="1306"/>
      <c r="B39" s="2405"/>
      <c r="C39" s="4956"/>
      <c r="D39" s="4956"/>
      <c r="E39" s="4957"/>
      <c r="F39" s="1756">
        <f>IF(C39=0,0,VLOOKUP(C39,SDÖ5!$C$6:$D$16,2,FALSE))</f>
        <v>0</v>
      </c>
      <c r="G39" s="1756">
        <f t="shared" si="0"/>
        <v>0</v>
      </c>
      <c r="H39" s="1949"/>
      <c r="I39" s="1754">
        <f t="shared" si="1"/>
        <v>0</v>
      </c>
      <c r="K39" s="1949"/>
      <c r="L39" s="1596">
        <f t="shared" si="2"/>
        <v>0</v>
      </c>
      <c r="M39" s="2404"/>
      <c r="N39" s="1949"/>
      <c r="O39" s="1754">
        <f t="shared" si="3"/>
        <v>0</v>
      </c>
      <c r="P39" s="2449"/>
      <c r="Q39" s="2533"/>
    </row>
    <row r="40" spans="1:36" s="42" customFormat="1" ht="15" hidden="1" customHeight="1">
      <c r="A40" s="1306"/>
      <c r="B40" s="2405"/>
      <c r="C40" s="4956"/>
      <c r="D40" s="4956"/>
      <c r="E40" s="4957"/>
      <c r="F40" s="1756">
        <f>IF(C40=0,0,VLOOKUP(C40,SDÖ5!$C$6:$D$16,2,FALSE))</f>
        <v>0</v>
      </c>
      <c r="G40" s="1756">
        <f t="shared" si="0"/>
        <v>0</v>
      </c>
      <c r="H40" s="1949"/>
      <c r="I40" s="1754">
        <f t="shared" si="1"/>
        <v>0</v>
      </c>
      <c r="K40" s="1949"/>
      <c r="L40" s="1596">
        <f t="shared" si="2"/>
        <v>0</v>
      </c>
      <c r="M40" s="2404"/>
      <c r="N40" s="1949"/>
      <c r="O40" s="1754">
        <f t="shared" si="3"/>
        <v>0</v>
      </c>
      <c r="P40" s="2449"/>
      <c r="Q40" s="2533"/>
    </row>
    <row r="41" spans="1:36" s="42" customFormat="1" ht="15" hidden="1" customHeight="1">
      <c r="A41" s="1306"/>
      <c r="B41" s="2468"/>
      <c r="C41" s="4960"/>
      <c r="D41" s="4960"/>
      <c r="E41" s="4961"/>
      <c r="F41" s="1752">
        <f>IF(C41=0,0,VLOOKUP(C41,SDÖ5!$C$6:$D$16,2,FALSE))</f>
        <v>0</v>
      </c>
      <c r="G41" s="1752">
        <f t="shared" si="0"/>
        <v>0</v>
      </c>
      <c r="H41" s="1950"/>
      <c r="I41" s="1750">
        <f t="shared" si="1"/>
        <v>0</v>
      </c>
      <c r="K41" s="1950"/>
      <c r="L41" s="1590">
        <f t="shared" si="2"/>
        <v>0</v>
      </c>
      <c r="M41" s="2404"/>
      <c r="N41" s="1950"/>
      <c r="O41" s="1750">
        <f t="shared" si="3"/>
        <v>0</v>
      </c>
      <c r="P41" s="2466"/>
      <c r="Q41" s="2533"/>
    </row>
    <row r="42" spans="1:36" s="42" customFormat="1" ht="15" customHeight="1">
      <c r="A42" s="1306"/>
      <c r="B42" s="2465" t="s">
        <v>1684</v>
      </c>
      <c r="C42" s="1376"/>
      <c r="D42" s="1376"/>
      <c r="E42" s="1376"/>
      <c r="F42" s="1376"/>
      <c r="G42" s="2464" t="s">
        <v>171</v>
      </c>
      <c r="H42" s="2461"/>
      <c r="I42" s="2460"/>
      <c r="J42" s="1614" t="e">
        <f>SUM(J45:J56)</f>
        <v>#N/A</v>
      </c>
      <c r="K42" s="2463"/>
      <c r="L42" s="2462"/>
      <c r="M42" s="1617" t="e">
        <f>SUM(M45:M56)</f>
        <v>#N/A</v>
      </c>
      <c r="N42" s="2461"/>
      <c r="O42" s="2460"/>
      <c r="P42" s="2415" t="e">
        <f>SUM(P45:P56)</f>
        <v>#N/A</v>
      </c>
      <c r="Q42" s="2533"/>
      <c r="R42" s="2532"/>
      <c r="S42" s="2532"/>
      <c r="T42" s="2532"/>
      <c r="U42" s="2532"/>
      <c r="V42" s="2532"/>
      <c r="W42" s="2532"/>
      <c r="X42" s="2532"/>
      <c r="Y42" s="2532"/>
      <c r="Z42" s="2532"/>
      <c r="AA42" s="2532"/>
      <c r="AB42" s="2532"/>
      <c r="AC42" s="2532"/>
      <c r="AD42" s="2532"/>
      <c r="AE42" s="2532"/>
      <c r="AF42" s="2532"/>
      <c r="AG42" s="2532"/>
      <c r="AH42" s="2532"/>
      <c r="AI42" s="2532"/>
      <c r="AJ42" s="2532"/>
    </row>
    <row r="43" spans="1:36" s="2532" customFormat="1" ht="18.75" customHeight="1">
      <c r="A43" s="1270"/>
      <c r="B43" s="2459"/>
      <c r="C43" s="1306" t="s">
        <v>1230</v>
      </c>
      <c r="D43" s="1306"/>
      <c r="E43" s="1744" t="s">
        <v>519</v>
      </c>
      <c r="F43" s="1743" t="s">
        <v>1229</v>
      </c>
      <c r="G43" s="1742"/>
      <c r="H43" s="374" t="s">
        <v>1228</v>
      </c>
      <c r="I43" s="1738" t="s">
        <v>1227</v>
      </c>
      <c r="J43" s="1737"/>
      <c r="K43" s="1741" t="s">
        <v>1228</v>
      </c>
      <c r="L43" s="1740" t="s">
        <v>1227</v>
      </c>
      <c r="M43" s="1739"/>
      <c r="N43" s="374" t="s">
        <v>1228</v>
      </c>
      <c r="O43" s="1738" t="s">
        <v>1227</v>
      </c>
      <c r="P43" s="2458"/>
      <c r="Q43" s="2533"/>
      <c r="R43" s="42"/>
      <c r="S43" s="42"/>
      <c r="T43" s="42"/>
      <c r="U43" s="42"/>
      <c r="V43" s="42"/>
      <c r="W43" s="42"/>
      <c r="X43" s="42"/>
      <c r="Y43" s="42"/>
      <c r="Z43" s="42"/>
      <c r="AA43" s="42"/>
      <c r="AB43" s="42"/>
      <c r="AC43" s="42"/>
      <c r="AD43" s="42"/>
      <c r="AE43" s="42"/>
      <c r="AF43" s="42"/>
      <c r="AG43" s="42"/>
      <c r="AH43" s="42"/>
      <c r="AI43" s="42"/>
      <c r="AJ43" s="42"/>
    </row>
    <row r="44" spans="1:36" s="42" customFormat="1" ht="15" customHeight="1">
      <c r="A44" s="1306"/>
      <c r="B44" s="2457"/>
      <c r="C44" s="2456"/>
      <c r="D44" s="1736"/>
      <c r="E44" s="1607" t="s">
        <v>1683</v>
      </c>
      <c r="F44" s="2412" t="s">
        <v>1225</v>
      </c>
      <c r="G44" s="2412" t="s">
        <v>612</v>
      </c>
      <c r="H44" s="1732" t="s">
        <v>1224</v>
      </c>
      <c r="I44" s="2411" t="s">
        <v>114</v>
      </c>
      <c r="J44" s="2455" t="s">
        <v>171</v>
      </c>
      <c r="K44" s="1735" t="s">
        <v>1224</v>
      </c>
      <c r="L44" s="2454" t="s">
        <v>114</v>
      </c>
      <c r="M44" s="2453" t="s">
        <v>171</v>
      </c>
      <c r="N44" s="1732" t="s">
        <v>1224</v>
      </c>
      <c r="O44" s="2411" t="s">
        <v>114</v>
      </c>
      <c r="P44" s="2452" t="s">
        <v>171</v>
      </c>
      <c r="Q44" s="2533"/>
    </row>
    <row r="45" spans="1:36" s="42" customFormat="1" ht="15" customHeight="1">
      <c r="A45" s="1306"/>
      <c r="B45" s="2451"/>
      <c r="C45" s="4962"/>
      <c r="D45" s="4963"/>
      <c r="E45" s="1725">
        <f>IF($C45=0,0,VLOOKUP($C45,SDÖ3!$C$24:$N$101,4,FALSE))</f>
        <v>0</v>
      </c>
      <c r="F45" s="1724">
        <f>IF($C45=0,0,VLOOKUP($C45,SDÖ3!$C$24:$N$101,12,FALSE))</f>
        <v>0</v>
      </c>
      <c r="G45" s="1723">
        <f>IF($C45=0,0,VLOOKUP($C45,SDÖ3!$C$24:$N$101,13,FALSE))</f>
        <v>0</v>
      </c>
      <c r="H45" s="1728"/>
      <c r="I45" s="1727">
        <f t="shared" ref="I45:I56" si="4">$F45*H45</f>
        <v>0</v>
      </c>
      <c r="J45" s="1718">
        <f t="shared" ref="J45:J55" si="5">H45*$G45</f>
        <v>0</v>
      </c>
      <c r="K45" s="1728"/>
      <c r="L45" s="1729">
        <f t="shared" ref="L45:L56" si="6">$F45*K45</f>
        <v>0</v>
      </c>
      <c r="M45" s="1721">
        <f t="shared" ref="M45:M56" si="7">K45*$G45</f>
        <v>0</v>
      </c>
      <c r="N45" s="1728"/>
      <c r="O45" s="1727">
        <f t="shared" ref="O45:O56" si="8">$F45*N45</f>
        <v>0</v>
      </c>
      <c r="P45" s="2449">
        <f t="shared" ref="P45:P56" si="9">N45*$G45</f>
        <v>0</v>
      </c>
      <c r="Q45" s="2533"/>
    </row>
    <row r="46" spans="1:36" s="42" customFormat="1" ht="15" customHeight="1">
      <c r="A46" s="1306"/>
      <c r="B46" s="2450"/>
      <c r="C46" s="4954" t="s">
        <v>1922</v>
      </c>
      <c r="D46" s="4955"/>
      <c r="E46" s="1725" t="e">
        <f>IF($C46=0,0,VLOOKUP($C46,SDÖ3!$C$24:$N$101,4,FALSE))</f>
        <v>#N/A</v>
      </c>
      <c r="F46" s="1724" t="e">
        <f>IF($C46=0,0,VLOOKUP($C46,SDÖ3!$C$24:$N$101,12,FALSE))</f>
        <v>#N/A</v>
      </c>
      <c r="G46" s="1723" t="e">
        <f>IF($C46=0,0,VLOOKUP($C46,SDÖ3!$C$24:$N$101,13,FALSE))</f>
        <v>#N/A</v>
      </c>
      <c r="H46" s="1720">
        <v>1</v>
      </c>
      <c r="I46" s="1719" t="e">
        <f t="shared" si="4"/>
        <v>#N/A</v>
      </c>
      <c r="J46" s="1718" t="e">
        <f t="shared" si="5"/>
        <v>#N/A</v>
      </c>
      <c r="K46" s="1720">
        <v>1</v>
      </c>
      <c r="L46" s="1722" t="e">
        <f t="shared" si="6"/>
        <v>#N/A</v>
      </c>
      <c r="M46" s="1721" t="e">
        <f t="shared" si="7"/>
        <v>#N/A</v>
      </c>
      <c r="N46" s="1720">
        <v>1</v>
      </c>
      <c r="O46" s="1719" t="e">
        <f t="shared" si="8"/>
        <v>#N/A</v>
      </c>
      <c r="P46" s="2449" t="e">
        <f t="shared" si="9"/>
        <v>#N/A</v>
      </c>
      <c r="Q46" s="2533"/>
    </row>
    <row r="47" spans="1:36" s="42" customFormat="1" ht="15" customHeight="1">
      <c r="A47" s="1306"/>
      <c r="B47" s="2450"/>
      <c r="C47" s="4954" t="s">
        <v>504</v>
      </c>
      <c r="D47" s="4955"/>
      <c r="E47" s="1725">
        <f>IF($C47=0,0,VLOOKUP($C47,SDÖ3!$C$24:$N$101,4,FALSE))</f>
        <v>83</v>
      </c>
      <c r="F47" s="1724">
        <f>IF($C47=0,0,VLOOKUP($C47,SDÖ3!$C$24:$N$101,12,FALSE))</f>
        <v>0.56999999999999995</v>
      </c>
      <c r="G47" s="1723" t="e">
        <f>IF($C47=0,0,VLOOKUP($C47,SDÖ3!$C$24:$N$101,13,FALSE))</f>
        <v>#REF!</v>
      </c>
      <c r="H47" s="1720">
        <v>1</v>
      </c>
      <c r="I47" s="1719">
        <f t="shared" si="4"/>
        <v>0.56999999999999995</v>
      </c>
      <c r="J47" s="1718" t="e">
        <f t="shared" si="5"/>
        <v>#REF!</v>
      </c>
      <c r="K47" s="1720">
        <v>1</v>
      </c>
      <c r="L47" s="1722">
        <f t="shared" si="6"/>
        <v>0.56999999999999995</v>
      </c>
      <c r="M47" s="1721" t="e">
        <f t="shared" si="7"/>
        <v>#REF!</v>
      </c>
      <c r="N47" s="1720">
        <v>1</v>
      </c>
      <c r="O47" s="1719">
        <f t="shared" si="8"/>
        <v>0.56999999999999995</v>
      </c>
      <c r="P47" s="2449" t="e">
        <f t="shared" si="9"/>
        <v>#REF!</v>
      </c>
      <c r="Q47" s="2533"/>
    </row>
    <row r="48" spans="1:36" s="42" customFormat="1" ht="15" customHeight="1">
      <c r="A48" s="1306"/>
      <c r="B48" s="2450"/>
      <c r="C48" s="4954" t="s">
        <v>1921</v>
      </c>
      <c r="D48" s="4955"/>
      <c r="E48" s="1725" t="e">
        <f>IF($C48=0,0,VLOOKUP($C48,SDÖ3!$C$24:$N$101,4,FALSE))</f>
        <v>#N/A</v>
      </c>
      <c r="F48" s="1724" t="e">
        <f>IF($C48=0,0,VLOOKUP($C48,SDÖ3!$C$24:$N$101,12,FALSE))</f>
        <v>#N/A</v>
      </c>
      <c r="G48" s="1723" t="e">
        <f>IF($C48=0,0,VLOOKUP($C48,SDÖ3!$C$24:$N$101,13,FALSE))</f>
        <v>#N/A</v>
      </c>
      <c r="H48" s="1720">
        <v>1</v>
      </c>
      <c r="I48" s="1719" t="e">
        <f t="shared" si="4"/>
        <v>#N/A</v>
      </c>
      <c r="J48" s="1718" t="e">
        <f t="shared" si="5"/>
        <v>#N/A</v>
      </c>
      <c r="K48" s="1720">
        <v>1</v>
      </c>
      <c r="L48" s="1722" t="e">
        <f t="shared" si="6"/>
        <v>#N/A</v>
      </c>
      <c r="M48" s="1721" t="e">
        <f t="shared" si="7"/>
        <v>#N/A</v>
      </c>
      <c r="N48" s="1720">
        <v>1</v>
      </c>
      <c r="O48" s="1719" t="e">
        <f t="shared" si="8"/>
        <v>#N/A</v>
      </c>
      <c r="P48" s="2449" t="e">
        <f t="shared" si="9"/>
        <v>#N/A</v>
      </c>
      <c r="Q48" s="2533"/>
    </row>
    <row r="49" spans="1:36" s="42" customFormat="1" ht="15" customHeight="1">
      <c r="A49" s="1306"/>
      <c r="B49" s="2450"/>
      <c r="C49" s="4954" t="s">
        <v>1920</v>
      </c>
      <c r="D49" s="4955"/>
      <c r="E49" s="1725" t="e">
        <f>IF($C49=0,0,VLOOKUP($C49,SDÖ3!$C$24:$N$101,4,FALSE))</f>
        <v>#N/A</v>
      </c>
      <c r="F49" s="1724" t="e">
        <f>IF($C49=0,0,VLOOKUP($C49,SDÖ3!$C$24:$N$101,12,FALSE))</f>
        <v>#N/A</v>
      </c>
      <c r="G49" s="1723" t="e">
        <f>IF($C49=0,0,VLOOKUP($C49,SDÖ3!$C$24:$N$101,13,FALSE))</f>
        <v>#N/A</v>
      </c>
      <c r="H49" s="1720">
        <v>2</v>
      </c>
      <c r="I49" s="1719" t="e">
        <f t="shared" si="4"/>
        <v>#N/A</v>
      </c>
      <c r="J49" s="1718" t="e">
        <f t="shared" si="5"/>
        <v>#N/A</v>
      </c>
      <c r="K49" s="1720">
        <v>2</v>
      </c>
      <c r="L49" s="1722" t="e">
        <f t="shared" si="6"/>
        <v>#N/A</v>
      </c>
      <c r="M49" s="1721" t="e">
        <f t="shared" si="7"/>
        <v>#N/A</v>
      </c>
      <c r="N49" s="1720">
        <v>2</v>
      </c>
      <c r="O49" s="1719" t="e">
        <f t="shared" si="8"/>
        <v>#N/A</v>
      </c>
      <c r="P49" s="2449" t="e">
        <f t="shared" si="9"/>
        <v>#N/A</v>
      </c>
      <c r="Q49" s="2533"/>
    </row>
    <row r="50" spans="1:36" s="42" customFormat="1" ht="15" customHeight="1">
      <c r="A50" s="1306"/>
      <c r="B50" s="2450"/>
      <c r="C50" s="4954" t="s">
        <v>446</v>
      </c>
      <c r="D50" s="4955"/>
      <c r="E50" s="1725">
        <f>IF($C50=0,0,VLOOKUP($C50,SDÖ3!$C$24:$N$101,4,FALSE))</f>
        <v>54</v>
      </c>
      <c r="F50" s="1724">
        <f>IF($C50=0,0,VLOOKUP($C50,SDÖ3!$C$24:$N$101,12,FALSE))</f>
        <v>0.15</v>
      </c>
      <c r="G50" s="1723" t="e">
        <f>IF($C50=0,0,VLOOKUP($C50,SDÖ3!$C$24:$N$101,13,FALSE))</f>
        <v>#REF!</v>
      </c>
      <c r="H50" s="1720"/>
      <c r="I50" s="1719">
        <f t="shared" si="4"/>
        <v>0</v>
      </c>
      <c r="J50" s="1718" t="e">
        <f t="shared" si="5"/>
        <v>#REF!</v>
      </c>
      <c r="K50" s="1720"/>
      <c r="L50" s="1722">
        <f t="shared" si="6"/>
        <v>0</v>
      </c>
      <c r="M50" s="1721" t="e">
        <f t="shared" si="7"/>
        <v>#REF!</v>
      </c>
      <c r="N50" s="1720"/>
      <c r="O50" s="1719">
        <f t="shared" si="8"/>
        <v>0</v>
      </c>
      <c r="P50" s="2449" t="e">
        <f t="shared" si="9"/>
        <v>#REF!</v>
      </c>
      <c r="Q50" s="2533"/>
    </row>
    <row r="51" spans="1:36"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36"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36" s="42" customFormat="1" ht="15" customHeight="1">
      <c r="A53" s="1306"/>
      <c r="B53" s="2450"/>
      <c r="C53" s="4954" t="s">
        <v>1919</v>
      </c>
      <c r="D53" s="4955"/>
      <c r="E53" s="1725" t="e">
        <f>IF($C53=0,0,VLOOKUP($C53,SDÖ3!$C$24:$N$101,4,FALSE))</f>
        <v>#N/A</v>
      </c>
      <c r="F53" s="1724" t="e">
        <f>IF($C53=0,0,VLOOKUP($C53,SDÖ3!$C$24:$N$101,12,FALSE))</f>
        <v>#N/A</v>
      </c>
      <c r="G53" s="1723" t="e">
        <f>IF($C53=0,0,VLOOKUP($C53,SDÖ3!$C$24:$N$101,13,FALSE))</f>
        <v>#N/A</v>
      </c>
      <c r="H53" s="1720">
        <f>$J$6/40+0.3</f>
        <v>0.35</v>
      </c>
      <c r="I53" s="1719" t="e">
        <f t="shared" si="4"/>
        <v>#N/A</v>
      </c>
      <c r="J53" s="1718" t="e">
        <f t="shared" si="5"/>
        <v>#N/A</v>
      </c>
      <c r="K53" s="1720">
        <f>$M$6/40+0.3</f>
        <v>0.4</v>
      </c>
      <c r="L53" s="1722" t="e">
        <f t="shared" si="6"/>
        <v>#N/A</v>
      </c>
      <c r="M53" s="1721" t="e">
        <f t="shared" si="7"/>
        <v>#N/A</v>
      </c>
      <c r="N53" s="1720">
        <f>$P$6/40+0.3</f>
        <v>0.44999999999999996</v>
      </c>
      <c r="O53" s="1719" t="e">
        <f t="shared" si="8"/>
        <v>#N/A</v>
      </c>
      <c r="P53" s="2449" t="e">
        <f t="shared" si="9"/>
        <v>#N/A</v>
      </c>
      <c r="Q53" s="38"/>
    </row>
    <row r="54" spans="1:36" s="42" customFormat="1" ht="15" customHeight="1">
      <c r="A54" s="1306"/>
      <c r="B54" s="2450"/>
      <c r="C54" s="4954" t="s">
        <v>1709</v>
      </c>
      <c r="D54" s="4955"/>
      <c r="E54" s="1725" t="e">
        <f>IF($C54=0,0,VLOOKUP($C54,SDÖ3!$C$24:$N$101,4,FALSE))</f>
        <v>#N/A</v>
      </c>
      <c r="F54" s="1724" t="e">
        <f>IF($C54=0,0,VLOOKUP($C54,SDÖ3!$C$24:$N$101,12,FALSE))</f>
        <v>#N/A</v>
      </c>
      <c r="G54" s="1723" t="e">
        <f>IF($C54=0,0,VLOOKUP($C54,SDÖ3!$C$24:$N$101,13,FALSE))</f>
        <v>#N/A</v>
      </c>
      <c r="H54" s="1720">
        <v>2</v>
      </c>
      <c r="I54" s="1719" t="e">
        <f t="shared" si="4"/>
        <v>#N/A</v>
      </c>
      <c r="J54" s="1718" t="e">
        <f t="shared" si="5"/>
        <v>#N/A</v>
      </c>
      <c r="K54" s="1720">
        <v>2</v>
      </c>
      <c r="L54" s="1722" t="e">
        <f t="shared" si="6"/>
        <v>#N/A</v>
      </c>
      <c r="M54" s="1721" t="e">
        <f t="shared" si="7"/>
        <v>#N/A</v>
      </c>
      <c r="N54" s="1720">
        <v>2</v>
      </c>
      <c r="O54" s="1719" t="e">
        <f t="shared" si="8"/>
        <v>#N/A</v>
      </c>
      <c r="P54" s="2449" t="e">
        <f t="shared" si="9"/>
        <v>#N/A</v>
      </c>
      <c r="Q54" s="2533"/>
    </row>
    <row r="55" spans="1:36"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2533"/>
    </row>
    <row r="56" spans="1:36" s="42" customFormat="1" ht="15" customHeight="1">
      <c r="A56" s="1306"/>
      <c r="B56" s="2429"/>
      <c r="C56" s="4954">
        <v>0</v>
      </c>
      <c r="D56" s="4955"/>
      <c r="E56" s="1708">
        <f>IF($C56=0,0,VLOOKUP($C56,SDÖ3!$C$24:$N$101,4,FALSE))</f>
        <v>0</v>
      </c>
      <c r="F56" s="1707">
        <f>IF($C56=0,0,VLOOKUP($C56,SDÖ3!$C$24:$N$101,12,FALSE))</f>
        <v>0</v>
      </c>
      <c r="G56" s="1706">
        <f>IF($C56=0,0,VLOOKUP($C56,SDÖ3!$C$24:$N$101,13,FALSE))</f>
        <v>0</v>
      </c>
      <c r="H56" s="1704"/>
      <c r="I56" s="1703">
        <f t="shared" si="4"/>
        <v>0</v>
      </c>
      <c r="J56" s="1702"/>
      <c r="K56" s="1704"/>
      <c r="L56" s="1705">
        <f t="shared" si="6"/>
        <v>0</v>
      </c>
      <c r="M56" s="1652">
        <f t="shared" si="7"/>
        <v>0</v>
      </c>
      <c r="N56" s="1704"/>
      <c r="O56" s="1703">
        <f t="shared" si="8"/>
        <v>0</v>
      </c>
      <c r="P56" s="2448">
        <f t="shared" si="9"/>
        <v>0</v>
      </c>
      <c r="Q56" s="2533"/>
    </row>
    <row r="57" spans="1:36" s="42" customFormat="1" ht="24.75" customHeight="1">
      <c r="A57" s="1306"/>
      <c r="B57" s="2447" t="s">
        <v>1682</v>
      </c>
      <c r="C57" s="2446"/>
      <c r="D57" s="2446"/>
      <c r="E57" s="2446"/>
      <c r="F57" s="2446"/>
      <c r="G57" s="2446"/>
      <c r="H57" s="2443"/>
      <c r="I57" s="2442" t="e">
        <f>SUM(I45:I56)</f>
        <v>#N/A</v>
      </c>
      <c r="J57" s="2445"/>
      <c r="K57" s="2443"/>
      <c r="L57" s="2442" t="e">
        <f>SUM(L45:L56)</f>
        <v>#N/A</v>
      </c>
      <c r="M57" s="2444"/>
      <c r="N57" s="2443"/>
      <c r="O57" s="2442" t="e">
        <f>SUM(O45:O56)</f>
        <v>#N/A</v>
      </c>
      <c r="P57" s="2441"/>
      <c r="Q57" s="2533"/>
    </row>
    <row r="58" spans="1:36" s="42" customFormat="1" ht="24.75" customHeight="1">
      <c r="A58" s="1306"/>
      <c r="B58" s="2420" t="s">
        <v>1681</v>
      </c>
      <c r="C58" s="1270"/>
      <c r="D58" s="1270"/>
      <c r="E58" s="1270"/>
      <c r="F58" s="2533"/>
      <c r="G58" s="2416" t="s">
        <v>171</v>
      </c>
      <c r="H58" s="73"/>
      <c r="I58" s="73"/>
      <c r="J58" s="1614">
        <f>H59*$E59</f>
        <v>0</v>
      </c>
      <c r="K58" s="1629"/>
      <c r="L58" s="1629"/>
      <c r="M58" s="1617">
        <f>K59*$E59</f>
        <v>0</v>
      </c>
      <c r="N58" s="73"/>
      <c r="O58" s="73"/>
      <c r="P58" s="2415">
        <f>N59*$E59</f>
        <v>0</v>
      </c>
      <c r="Q58" s="2533"/>
      <c r="R58" s="2532"/>
      <c r="S58" s="2532"/>
      <c r="T58" s="2532"/>
      <c r="U58" s="2532"/>
      <c r="V58" s="2532"/>
      <c r="W58" s="2532"/>
      <c r="X58" s="2532"/>
      <c r="Y58" s="2532"/>
      <c r="Z58" s="2532"/>
      <c r="AA58" s="2532"/>
      <c r="AB58" s="2532"/>
      <c r="AC58" s="2532"/>
      <c r="AD58" s="2532"/>
      <c r="AE58" s="2532"/>
      <c r="AF58" s="2532"/>
      <c r="AG58" s="2532"/>
      <c r="AH58" s="2532"/>
      <c r="AI58" s="2532"/>
      <c r="AJ58" s="2532"/>
    </row>
    <row r="59" spans="1:36" s="2532" customFormat="1" ht="18.75" customHeight="1">
      <c r="A59" s="1270"/>
      <c r="B59" s="2440"/>
      <c r="C59" s="1377"/>
      <c r="D59" s="280" t="s">
        <v>1060</v>
      </c>
      <c r="E59" s="1647">
        <v>10</v>
      </c>
      <c r="F59" s="1622"/>
      <c r="G59" s="2439" t="s">
        <v>516</v>
      </c>
      <c r="H59" s="1588"/>
      <c r="I59" s="1643"/>
      <c r="J59" s="1632"/>
      <c r="K59" s="1588"/>
      <c r="L59" s="1645"/>
      <c r="M59" s="1635"/>
      <c r="N59" s="1588"/>
      <c r="O59" s="1643"/>
      <c r="P59" s="2421"/>
      <c r="Q59" s="2533"/>
    </row>
    <row r="60" spans="1:36" s="2532" customFormat="1" ht="15" customHeight="1">
      <c r="A60" s="1270"/>
      <c r="B60" s="2420" t="s">
        <v>1680</v>
      </c>
      <c r="C60" s="1373"/>
      <c r="D60" s="1373"/>
      <c r="E60" s="1373"/>
      <c r="F60" s="2533"/>
      <c r="G60" s="2416" t="s">
        <v>516</v>
      </c>
      <c r="H60" s="1697"/>
      <c r="I60" s="1696" t="e">
        <f>I57-H59</f>
        <v>#N/A</v>
      </c>
      <c r="J60" s="1701"/>
      <c r="K60" s="1700"/>
      <c r="L60" s="1699" t="e">
        <f>L57-K59</f>
        <v>#N/A</v>
      </c>
      <c r="M60" s="1698"/>
      <c r="N60" s="1697"/>
      <c r="O60" s="1696" t="e">
        <f>O57-N59</f>
        <v>#N/A</v>
      </c>
      <c r="P60" s="2438"/>
      <c r="Q60" s="2533"/>
      <c r="R60" s="65"/>
      <c r="S60" s="65"/>
      <c r="T60" s="65"/>
      <c r="U60" s="65"/>
      <c r="V60" s="65"/>
      <c r="W60" s="65"/>
      <c r="X60" s="65"/>
      <c r="Y60" s="65"/>
      <c r="Z60" s="65"/>
      <c r="AA60" s="65"/>
      <c r="AB60" s="65"/>
      <c r="AC60" s="65"/>
      <c r="AD60" s="65"/>
      <c r="AE60" s="65"/>
      <c r="AF60" s="65"/>
      <c r="AG60" s="65"/>
      <c r="AH60" s="65"/>
      <c r="AI60" s="65"/>
      <c r="AJ60" s="65"/>
    </row>
    <row r="61" spans="1:36" s="65" customFormat="1" ht="18.75" customHeight="1">
      <c r="A61" s="1373"/>
      <c r="B61" s="2437"/>
      <c r="C61" s="319"/>
      <c r="D61" s="280" t="s">
        <v>1222</v>
      </c>
      <c r="E61" s="1693">
        <v>90</v>
      </c>
      <c r="F61" s="319" t="s">
        <v>1221</v>
      </c>
      <c r="G61" s="142"/>
      <c r="H61" s="1688"/>
      <c r="I61" s="1687" t="e">
        <f>IF(I60+SUM($I$45:$I$56)*$E$61%&gt;I60+10,I60+10,I60+SUM($I$45:$I$56)*$E$61%)</f>
        <v>#N/A</v>
      </c>
      <c r="J61" s="1686"/>
      <c r="K61" s="1691"/>
      <c r="L61" s="1690" t="e">
        <f>IF(L60+SUM($L$45:$L$56)*$E$61%&gt;L60+10,L60+10,L60+SUM($L$45:$L$56)*$E$61%)</f>
        <v>#N/A</v>
      </c>
      <c r="M61" s="1689"/>
      <c r="N61" s="1688"/>
      <c r="O61" s="1687" t="e">
        <f>IF(O60+SUM($O$45:$O$56)*$E$61%&gt;O60+10,O60+10,O60+SUM($O$45:$O$56)*$E$61%)</f>
        <v>#N/A</v>
      </c>
      <c r="P61" s="2436"/>
      <c r="Q61" s="2533"/>
    </row>
    <row r="62" spans="1:36" s="65" customFormat="1" ht="15" customHeight="1">
      <c r="A62" s="1373"/>
      <c r="B62" s="2420" t="s">
        <v>355</v>
      </c>
      <c r="C62" s="1373"/>
      <c r="D62" s="1373"/>
      <c r="E62" s="42"/>
      <c r="F62" s="42"/>
      <c r="G62" s="2435" t="s">
        <v>171</v>
      </c>
      <c r="H62" s="2433"/>
      <c r="I62" s="2432"/>
      <c r="J62" s="1614">
        <f>IF(J6=0,0,SUM(I64:I66))</f>
        <v>176.8</v>
      </c>
      <c r="K62" s="1680"/>
      <c r="L62" s="1679"/>
      <c r="M62" s="1617">
        <f>IF(M6=0,0,SUM(L64:L66))</f>
        <v>176.8</v>
      </c>
      <c r="N62" s="2433"/>
      <c r="O62" s="2432"/>
      <c r="P62" s="2415">
        <f>IF(P6=0,0,SUM(O64:O66))</f>
        <v>176.8</v>
      </c>
      <c r="Q62" s="2533"/>
      <c r="R62" s="42"/>
      <c r="S62" s="42"/>
      <c r="T62" s="42"/>
      <c r="U62" s="42"/>
      <c r="V62" s="42"/>
      <c r="W62" s="42"/>
      <c r="X62" s="42"/>
      <c r="Y62" s="42"/>
      <c r="Z62" s="42"/>
      <c r="AA62" s="42"/>
      <c r="AB62" s="42"/>
      <c r="AC62" s="42"/>
      <c r="AD62" s="42"/>
      <c r="AE62" s="42"/>
      <c r="AF62" s="42"/>
      <c r="AG62" s="42"/>
      <c r="AH62" s="42"/>
      <c r="AI62" s="42"/>
      <c r="AJ62" s="42"/>
    </row>
    <row r="63" spans="1:36" s="42" customFormat="1" ht="18.75" customHeight="1">
      <c r="A63" s="1306"/>
      <c r="B63" s="2414"/>
      <c r="C63" s="1612" t="s">
        <v>1212</v>
      </c>
      <c r="D63" s="1683">
        <f>SDÖ1!$O$11</f>
        <v>0</v>
      </c>
      <c r="E63" s="2413"/>
      <c r="F63" s="2411" t="s">
        <v>249</v>
      </c>
      <c r="G63" s="2434" t="s">
        <v>1211</v>
      </c>
      <c r="H63" s="2433"/>
      <c r="I63" s="2432"/>
      <c r="J63" s="1782"/>
      <c r="K63" s="1680"/>
      <c r="L63" s="1679"/>
      <c r="M63" s="1678"/>
      <c r="N63" s="2433"/>
      <c r="O63" s="2432"/>
      <c r="P63" s="2406"/>
      <c r="Q63" s="2533"/>
    </row>
    <row r="64" spans="1:36" s="42" customFormat="1" ht="13.15" customHeight="1">
      <c r="A64" s="1306"/>
      <c r="B64" s="2405"/>
      <c r="C64" s="4944" t="s">
        <v>344</v>
      </c>
      <c r="D64" s="4944"/>
      <c r="E64" s="4944"/>
      <c r="F64" s="1674">
        <f>IF($C64=0,0,VLOOKUP($C64,SDÖ3!$C$140:$D$162,2,FALSE))</f>
        <v>176.8</v>
      </c>
      <c r="G64" s="1673">
        <f>(100+$D$63)/100*F64</f>
        <v>176.8</v>
      </c>
      <c r="I64" s="1817">
        <f>$G$64</f>
        <v>176.8</v>
      </c>
      <c r="K64" s="1672"/>
      <c r="L64" s="1671">
        <f>$G$64</f>
        <v>176.8</v>
      </c>
      <c r="M64" s="2404"/>
      <c r="N64" s="2430"/>
      <c r="O64" s="1817">
        <f>$G$64</f>
        <v>176.8</v>
      </c>
      <c r="P64" s="2403"/>
      <c r="Q64" s="2533"/>
    </row>
    <row r="65" spans="1:36" s="42" customFormat="1" ht="15" customHeight="1">
      <c r="A65" s="1306"/>
      <c r="B65" s="2405"/>
      <c r="C65" s="4944"/>
      <c r="D65" s="4944"/>
      <c r="E65" s="4965"/>
      <c r="F65" s="2431">
        <f>IF($C65=0,0,VLOOKUP($C65,SDÖ3!$C$140:$D$162,2,FALSE))</f>
        <v>0</v>
      </c>
      <c r="G65" s="1586">
        <f>(100+$D$63)/100*F65</f>
        <v>0</v>
      </c>
      <c r="K65" s="1672"/>
      <c r="L65" s="1671"/>
      <c r="M65" s="2404"/>
      <c r="N65" s="2430"/>
      <c r="O65" s="1817"/>
      <c r="P65" s="2403"/>
      <c r="Q65" s="2533"/>
    </row>
    <row r="66" spans="1:36" s="42" customFormat="1" ht="15" customHeight="1">
      <c r="A66" s="1306"/>
      <c r="B66" s="2429"/>
      <c r="C66" s="4966"/>
      <c r="D66" s="4966"/>
      <c r="E66" s="4966"/>
      <c r="F66" s="1656">
        <f>IF($C66=0,0,VLOOKUP($C66,SDÖ3!$C$140:$D$162,2,FALSE))</f>
        <v>0</v>
      </c>
      <c r="G66" s="1655">
        <f>(100+$D$63)/100*F66</f>
        <v>0</v>
      </c>
      <c r="H66" s="2428"/>
      <c r="I66" s="1809">
        <f>H11*$G$66</f>
        <v>0</v>
      </c>
      <c r="K66" s="1654"/>
      <c r="L66" s="1653">
        <f>K11*$G$66</f>
        <v>0</v>
      </c>
      <c r="M66" s="1652"/>
      <c r="N66" s="2428"/>
      <c r="O66" s="1809">
        <f>N11*$G$66</f>
        <v>0</v>
      </c>
      <c r="P66" s="2427"/>
      <c r="Q66" s="4939"/>
    </row>
    <row r="67" spans="1:36" s="42" customFormat="1" ht="25.5">
      <c r="A67" s="1306"/>
      <c r="B67" s="2420" t="s">
        <v>1679</v>
      </c>
      <c r="C67" s="1270"/>
      <c r="D67" s="1270"/>
      <c r="E67" s="229"/>
      <c r="F67" s="1642"/>
      <c r="G67" s="2416" t="s">
        <v>171</v>
      </c>
      <c r="H67" s="2424" t="s">
        <v>1217</v>
      </c>
      <c r="I67" s="2423" t="s">
        <v>1216</v>
      </c>
      <c r="J67" s="1614" t="e">
        <f>IF($F$68=0,$R$68*(H$9+H$10)*I$68%,$F$68*(H$9+H$10)*I$68%)</f>
        <v>#REF!</v>
      </c>
      <c r="K67" s="2426" t="s">
        <v>1217</v>
      </c>
      <c r="L67" s="2425" t="s">
        <v>1216</v>
      </c>
      <c r="M67" s="1617" t="e">
        <f>IF($F$68=0,$R$68*(K$9+K$10)*L$68%,$F$68*(K$9+K$10)*L$68%)</f>
        <v>#REF!</v>
      </c>
      <c r="N67" s="2424" t="s">
        <v>1217</v>
      </c>
      <c r="O67" s="2423" t="s">
        <v>1216</v>
      </c>
      <c r="P67" s="2415" t="e">
        <f>IF($F$68=0,$R$68*(N$9+N$10)*O$68%,$F$68*(N$9+N$10)*O$68%)</f>
        <v>#REF!</v>
      </c>
      <c r="Q67" s="4940"/>
      <c r="R67" s="2532"/>
      <c r="S67" s="2532"/>
      <c r="T67" s="2532"/>
      <c r="U67" s="2532"/>
      <c r="V67" s="2532"/>
      <c r="W67" s="2532"/>
      <c r="X67" s="2532"/>
      <c r="Y67" s="2532"/>
      <c r="Z67" s="2532"/>
      <c r="AA67" s="2532"/>
      <c r="AB67" s="2532"/>
      <c r="AC67" s="2532"/>
      <c r="AD67" s="2532"/>
      <c r="AE67" s="2532"/>
      <c r="AF67" s="2532"/>
      <c r="AG67" s="2532"/>
      <c r="AH67" s="2532"/>
      <c r="AI67" s="2532"/>
      <c r="AJ67" s="2532"/>
    </row>
    <row r="68" spans="1:36" s="2532" customFormat="1" ht="15.75">
      <c r="A68" s="1270"/>
      <c r="B68" s="2422"/>
      <c r="C68" s="4967" t="s">
        <v>1918</v>
      </c>
      <c r="D68" s="4967"/>
      <c r="E68" s="4967"/>
      <c r="F68" s="1636"/>
      <c r="G68" s="1627" t="s">
        <v>228</v>
      </c>
      <c r="H68" s="1634">
        <v>25</v>
      </c>
      <c r="I68" s="1633">
        <v>100</v>
      </c>
      <c r="J68" s="1632"/>
      <c r="K68" s="1634">
        <v>25</v>
      </c>
      <c r="L68" s="1633">
        <v>100</v>
      </c>
      <c r="M68" s="1635"/>
      <c r="N68" s="1634">
        <v>25</v>
      </c>
      <c r="O68" s="1633">
        <v>100</v>
      </c>
      <c r="P68" s="2421"/>
      <c r="Q68" s="4940"/>
      <c r="R68" s="1944" t="e">
        <f>IF(Linsen!$H$68=0,0,VLOOKUP($H$68,#REF!,2,TRUE))*(1+SDÖ1!$O$11/100)</f>
        <v>#REF!</v>
      </c>
      <c r="S68" s="1944" t="e">
        <f>IF($K$68=0,0,VLOOKUP($K$68,#REF!,2,TRUE))*(1+SDÖ1!$O$11/100)</f>
        <v>#REF!</v>
      </c>
      <c r="T68" s="1944" t="e">
        <f>IF($N$68=0,0,VLOOKUP($N$68,#REF!,2,TRUE))*(1+SDÖ1!$O$11/100)</f>
        <v>#REF!</v>
      </c>
    </row>
    <row r="69" spans="1:36" s="2532" customFormat="1" ht="15" customHeight="1">
      <c r="A69" s="1270"/>
      <c r="B69" s="2420" t="s">
        <v>1677</v>
      </c>
      <c r="C69" s="1270"/>
      <c r="D69" s="1270"/>
      <c r="E69" s="229"/>
      <c r="F69" s="229"/>
      <c r="G69" s="2416" t="s">
        <v>171</v>
      </c>
      <c r="H69" s="44"/>
      <c r="I69" s="73"/>
      <c r="J69" s="1614">
        <f>H70*$F70/1000</f>
        <v>0</v>
      </c>
      <c r="K69" s="1630"/>
      <c r="L69" s="1629"/>
      <c r="M69" s="1617">
        <f>K70*$F70/1000</f>
        <v>0</v>
      </c>
      <c r="N69" s="44"/>
      <c r="O69" s="73"/>
      <c r="P69" s="2415">
        <f>N70*$F70/1000</f>
        <v>0</v>
      </c>
      <c r="Q69" s="2533"/>
    </row>
    <row r="70" spans="1:36" s="2532" customFormat="1" ht="18.75" customHeight="1">
      <c r="A70" s="1270"/>
      <c r="B70" s="2419"/>
      <c r="C70" s="1331" t="s">
        <v>896</v>
      </c>
      <c r="D70" s="319"/>
      <c r="E70" s="280"/>
      <c r="F70" s="1628">
        <f>SDÖ7!F71</f>
        <v>31</v>
      </c>
      <c r="G70" s="1627" t="s">
        <v>612</v>
      </c>
      <c r="H70" s="1623">
        <f>I9+I10</f>
        <v>0</v>
      </c>
      <c r="I70" s="1622"/>
      <c r="J70" s="1621"/>
      <c r="K70" s="1626">
        <f>L9+L10</f>
        <v>0</v>
      </c>
      <c r="L70" s="1625"/>
      <c r="M70" s="1624"/>
      <c r="N70" s="1623">
        <f>O9+O10</f>
        <v>0</v>
      </c>
      <c r="O70" s="1622"/>
      <c r="P70" s="2418"/>
      <c r="Q70" s="2533"/>
    </row>
    <row r="71" spans="1:36" s="2532" customFormat="1" ht="15" customHeight="1">
      <c r="A71" s="1270"/>
      <c r="B71" s="2417" t="s">
        <v>218</v>
      </c>
      <c r="C71" s="377"/>
      <c r="D71" s="377"/>
      <c r="E71" s="229"/>
      <c r="F71" s="2537"/>
      <c r="G71" s="2416" t="s">
        <v>171</v>
      </c>
      <c r="H71" s="1616"/>
      <c r="I71" s="1615"/>
      <c r="J71" s="1614">
        <f>SUM(I73:I74)</f>
        <v>0</v>
      </c>
      <c r="K71" s="1619"/>
      <c r="L71" s="1618"/>
      <c r="M71" s="1617">
        <f>SUM(L73:L74)</f>
        <v>0</v>
      </c>
      <c r="N71" s="1616"/>
      <c r="O71" s="1615"/>
      <c r="P71" s="2415">
        <f>SUM(O73:O74)</f>
        <v>0</v>
      </c>
      <c r="Q71" s="2533"/>
      <c r="R71" s="2537"/>
      <c r="S71" s="2537"/>
      <c r="T71" s="2537"/>
      <c r="U71" s="2537"/>
      <c r="V71" s="2537"/>
      <c r="W71" s="2537"/>
      <c r="X71" s="2537"/>
      <c r="Y71" s="2537"/>
      <c r="Z71" s="2537"/>
      <c r="AA71" s="2537"/>
      <c r="AB71" s="2537"/>
      <c r="AC71" s="2537"/>
      <c r="AD71" s="2537"/>
      <c r="AE71" s="2537"/>
      <c r="AF71" s="2537"/>
      <c r="AG71" s="2537"/>
      <c r="AH71" s="2537"/>
      <c r="AI71" s="2537"/>
      <c r="AJ71" s="2537"/>
    </row>
    <row r="72" spans="1:36" ht="18.75" customHeight="1">
      <c r="A72" s="377"/>
      <c r="B72" s="2414"/>
      <c r="C72" s="1612" t="s">
        <v>1212</v>
      </c>
      <c r="D72" s="2524">
        <f>SDÖ1!$O$12</f>
        <v>0</v>
      </c>
      <c r="E72" s="2413"/>
      <c r="F72" s="1609" t="s">
        <v>228</v>
      </c>
      <c r="G72" s="1608"/>
      <c r="H72" s="2412" t="s">
        <v>249</v>
      </c>
      <c r="I72" s="2411" t="s">
        <v>1211</v>
      </c>
      <c r="J72" s="1605"/>
      <c r="K72" s="2410" t="s">
        <v>249</v>
      </c>
      <c r="L72" s="2409" t="s">
        <v>1211</v>
      </c>
      <c r="M72" s="1602"/>
      <c r="N72" s="2408" t="s">
        <v>249</v>
      </c>
      <c r="O72" s="2407" t="s">
        <v>1211</v>
      </c>
      <c r="P72" s="2406"/>
    </row>
    <row r="73" spans="1:36" ht="13.15" customHeight="1">
      <c r="A73" s="377"/>
      <c r="B73" s="2405"/>
      <c r="C73" s="4941" t="s">
        <v>1917</v>
      </c>
      <c r="D73" s="4941"/>
      <c r="E73" s="4941"/>
      <c r="F73" s="1598"/>
      <c r="G73" s="1597"/>
      <c r="H73" s="1591"/>
      <c r="I73" s="1595">
        <f>H73*(100+$D$72)/100</f>
        <v>0</v>
      </c>
      <c r="J73" s="42"/>
      <c r="K73" s="1591"/>
      <c r="L73" s="1596">
        <f>K73*(100+$D$72)/100</f>
        <v>0</v>
      </c>
      <c r="M73" s="2404"/>
      <c r="N73" s="1591"/>
      <c r="O73" s="1595">
        <f>N73*(100+$D$72)/100</f>
        <v>0</v>
      </c>
      <c r="P73" s="2403"/>
      <c r="R73" s="42"/>
      <c r="S73" s="42"/>
      <c r="T73" s="42"/>
      <c r="U73" s="42"/>
      <c r="V73" s="42"/>
      <c r="W73" s="42"/>
      <c r="X73" s="42"/>
      <c r="Y73" s="42"/>
      <c r="Z73" s="42"/>
      <c r="AA73" s="42"/>
      <c r="AB73" s="42"/>
      <c r="AC73" s="42"/>
      <c r="AD73" s="42"/>
      <c r="AE73" s="42"/>
      <c r="AF73" s="42"/>
      <c r="AG73" s="42"/>
      <c r="AH73" s="42"/>
      <c r="AI73" s="42"/>
      <c r="AJ73" s="42"/>
    </row>
    <row r="74" spans="1:36" s="42" customFormat="1" ht="15" customHeight="1">
      <c r="A74" s="1306"/>
      <c r="B74" s="2405"/>
      <c r="C74" s="4964"/>
      <c r="D74" s="4964"/>
      <c r="E74" s="4964"/>
      <c r="F74" s="1593"/>
      <c r="G74" s="1592"/>
      <c r="H74" s="1588">
        <f>F74*$J$6</f>
        <v>0</v>
      </c>
      <c r="I74" s="1595">
        <f>H74*(100+$D$72)/100</f>
        <v>0</v>
      </c>
      <c r="K74" s="1591">
        <f>F74*$M$6</f>
        <v>0</v>
      </c>
      <c r="L74" s="1596">
        <f>K74*(100+$D$72)/100</f>
        <v>0</v>
      </c>
      <c r="M74" s="2404"/>
      <c r="N74" s="1588">
        <f>F74*$P$6</f>
        <v>0</v>
      </c>
      <c r="O74" s="1587">
        <f>N74*(100+$D$72)/100</f>
        <v>0</v>
      </c>
      <c r="P74" s="2403"/>
      <c r="Q74" s="2533"/>
    </row>
    <row r="75" spans="1:36" s="42" customFormat="1" ht="15" customHeight="1" thickBot="1">
      <c r="A75" s="1306"/>
      <c r="B75" s="4942" t="s">
        <v>1210</v>
      </c>
      <c r="C75" s="4943"/>
      <c r="D75" s="2402" t="s">
        <v>1209</v>
      </c>
      <c r="E75" s="2401">
        <f>SDÖ1!$O$71/100</f>
        <v>1.4999999999999999E-2</v>
      </c>
      <c r="F75" s="2400" t="s">
        <v>1676</v>
      </c>
      <c r="G75" s="2399">
        <v>5</v>
      </c>
      <c r="H75" s="2395"/>
      <c r="I75" s="2398"/>
      <c r="J75" s="2393" t="e">
        <f>(J21+J25+J32+J42+J62+J58+J67+J69+J71)*(SDÖ1!$O$71%*$G$75/12)</f>
        <v>#N/A</v>
      </c>
      <c r="K75" s="2397"/>
      <c r="L75" s="2396"/>
      <c r="M75" s="2393" t="e">
        <f>(M21+M25+M32+M42+M62+M58+M67+M69+M71)*(SDÖ1!$O$71%*$G$75/12)</f>
        <v>#N/A</v>
      </c>
      <c r="N75" s="2395"/>
      <c r="O75" s="2394"/>
      <c r="P75" s="2393" t="e">
        <f>(P21+P25+P32+P42+P62+P58+P67+P69+P71)*(SDÖ1!$O$71%*$G$75/12)</f>
        <v>#N/A</v>
      </c>
      <c r="Q75" s="2533"/>
      <c r="R75" s="2532"/>
      <c r="S75" s="2532"/>
      <c r="T75" s="2532"/>
      <c r="U75" s="2532"/>
      <c r="V75" s="2532"/>
      <c r="W75" s="2532"/>
      <c r="X75" s="2532"/>
      <c r="Y75" s="2532"/>
      <c r="Z75" s="2532"/>
      <c r="AA75" s="2532"/>
      <c r="AB75" s="2532"/>
      <c r="AC75" s="2532"/>
      <c r="AD75" s="2532"/>
      <c r="AE75" s="2532"/>
      <c r="AF75" s="2532"/>
      <c r="AG75" s="2532"/>
      <c r="AH75" s="2532"/>
      <c r="AI75" s="2532"/>
      <c r="AJ75" s="2532"/>
    </row>
    <row r="76" spans="1:36" s="2532" customFormat="1" ht="30.2" customHeight="1">
      <c r="A76" s="1270"/>
      <c r="B76" s="2533"/>
      <c r="C76" s="2533"/>
      <c r="D76" s="2533"/>
      <c r="E76" s="2533"/>
      <c r="F76" s="2533"/>
      <c r="G76" s="39"/>
      <c r="H76" s="2533"/>
      <c r="I76" s="2533"/>
      <c r="J76" s="2533"/>
      <c r="K76" s="2533"/>
      <c r="L76" s="2533"/>
      <c r="M76" s="2533"/>
      <c r="N76" s="2533"/>
      <c r="O76" s="2533"/>
      <c r="P76" s="2533"/>
      <c r="Q76" s="2533"/>
      <c r="R76" s="2537"/>
      <c r="S76" s="2537"/>
      <c r="T76" s="2537"/>
      <c r="U76" s="2537"/>
      <c r="V76" s="2537"/>
      <c r="W76" s="2537"/>
      <c r="X76" s="2537"/>
      <c r="Y76" s="2537"/>
      <c r="Z76" s="2537"/>
      <c r="AA76" s="2537"/>
      <c r="AB76" s="2537"/>
      <c r="AC76" s="2537"/>
      <c r="AD76" s="2537"/>
      <c r="AE76" s="2537"/>
      <c r="AF76" s="2537"/>
      <c r="AG76" s="2537"/>
      <c r="AH76" s="2537"/>
      <c r="AI76" s="2537"/>
      <c r="AJ76" s="2537"/>
    </row>
    <row r="77" spans="1:36">
      <c r="C77" s="33" t="str">
        <f ca="1">MID(CELL("Dateiname",$A$1),FIND("]",CELL("Dateiname",$A$1))+1,31)</f>
        <v>Linsen</v>
      </c>
    </row>
    <row r="80" spans="1:36">
      <c r="C80" s="2390" t="e">
        <f>#REF!</f>
        <v>#REF!</v>
      </c>
      <c r="D80" s="272"/>
      <c r="E80" s="721"/>
      <c r="G80" s="2390" t="e">
        <f>#REF!</f>
        <v>#REF!</v>
      </c>
      <c r="H80" s="272"/>
      <c r="I80" s="721"/>
      <c r="L80" s="33"/>
    </row>
    <row r="81" spans="3:16">
      <c r="C81" s="765" t="e">
        <f>#REF!</f>
        <v>#REF!</v>
      </c>
      <c r="E81" s="2534"/>
      <c r="G81" s="2391" t="e">
        <f>#REF!</f>
        <v>#REF!</v>
      </c>
      <c r="I81" s="2534"/>
      <c r="L81" s="33"/>
      <c r="N81" s="2390" t="str">
        <f>SDÖ3!C24</f>
        <v>Drehpflug 2,10 m</v>
      </c>
      <c r="O81" s="272"/>
      <c r="P81" s="721"/>
    </row>
    <row r="82" spans="3:16">
      <c r="C82" s="765" t="e">
        <f>#REF!</f>
        <v>#REF!</v>
      </c>
      <c r="E82" s="2534"/>
      <c r="G82" s="2392"/>
      <c r="H82" s="319"/>
      <c r="I82" s="709"/>
      <c r="L82" s="33"/>
      <c r="N82" s="2391" t="str">
        <f>SDÖ3!C25</f>
        <v>Schwergrubber 3 m</v>
      </c>
      <c r="P82" s="2534"/>
    </row>
    <row r="83" spans="3:16">
      <c r="C83" s="765" t="e">
        <f>#REF!</f>
        <v>#REF!</v>
      </c>
      <c r="E83" s="2534"/>
      <c r="G83" s="33"/>
      <c r="H83" s="33"/>
      <c r="I83" s="33"/>
      <c r="L83" s="33"/>
      <c r="N83" s="2391" t="str">
        <f>SDÖ3!C26</f>
        <v>Scheibenegge 5 m</v>
      </c>
      <c r="P83" s="2534"/>
    </row>
    <row r="84" spans="3:16">
      <c r="C84" s="765" t="e">
        <f>#REF!</f>
        <v>#REF!</v>
      </c>
      <c r="E84" s="2534"/>
      <c r="G84" s="33"/>
      <c r="H84" s="33"/>
      <c r="I84" s="33"/>
      <c r="L84" s="33"/>
      <c r="N84" s="2391" t="str">
        <f>SDÖ3!C28</f>
        <v>Kreiselegge 3 m</v>
      </c>
      <c r="P84" s="2534"/>
    </row>
    <row r="85" spans="3:16">
      <c r="C85" s="765" t="e">
        <f>#REF!</f>
        <v>#REF!</v>
      </c>
      <c r="E85" s="2534"/>
      <c r="G85" s="33" t="e">
        <f>#REF!</f>
        <v>#REF!</v>
      </c>
      <c r="H85" s="33"/>
      <c r="I85" s="33"/>
      <c r="L85" s="33"/>
      <c r="N85" s="2391" t="str">
        <f>SDÖ3!C29</f>
        <v>Cambridgewalze 4,5 m</v>
      </c>
      <c r="P85" s="2534"/>
    </row>
    <row r="86" spans="3:16">
      <c r="C86" s="765" t="e">
        <f>#REF!</f>
        <v>#REF!</v>
      </c>
      <c r="E86" s="2534"/>
      <c r="G86" s="33"/>
      <c r="H86" s="33"/>
      <c r="I86" s="33"/>
      <c r="L86" s="33"/>
      <c r="N86" s="2391">
        <f>SDÖ3!C30</f>
        <v>0</v>
      </c>
      <c r="P86" s="2534"/>
    </row>
    <row r="87" spans="3:16">
      <c r="C87" s="765" t="e">
        <f>#REF!</f>
        <v>#REF!</v>
      </c>
      <c r="E87" s="2534"/>
      <c r="G87" s="33" t="e">
        <f>#REF!</f>
        <v>#REF!</v>
      </c>
      <c r="H87" s="33"/>
      <c r="I87" s="33"/>
      <c r="L87" s="33"/>
      <c r="N87" s="2391" t="str">
        <f>SDÖ3!C31</f>
        <v>Kreiselegge-Säkomb. 3 m</v>
      </c>
      <c r="P87" s="2534"/>
    </row>
    <row r="88" spans="3:16">
      <c r="C88" s="765" t="e">
        <f>#REF!</f>
        <v>#REF!</v>
      </c>
      <c r="E88" s="2534"/>
      <c r="G88" s="33" t="e">
        <f>#REF!</f>
        <v>#REF!</v>
      </c>
      <c r="H88" s="33"/>
      <c r="I88" s="33"/>
      <c r="L88" s="33"/>
      <c r="N88" s="2391" t="str">
        <f>SDÖ3!C32</f>
        <v>Grubber-Kreiselegge-Säkomb. 3 m</v>
      </c>
      <c r="P88" s="2534"/>
    </row>
    <row r="89" spans="3:16">
      <c r="C89" s="765" t="e">
        <f>#REF!</f>
        <v>#REF!</v>
      </c>
      <c r="E89" s="2534"/>
      <c r="G89" s="33" t="e">
        <f>#REF!</f>
        <v>#REF!</v>
      </c>
      <c r="H89" s="33"/>
      <c r="I89" s="33"/>
      <c r="L89" s="33"/>
      <c r="N89" s="2391" t="str">
        <f>SDÖ3!C33</f>
        <v>Sämaschine 3m</v>
      </c>
      <c r="P89" s="2534"/>
    </row>
    <row r="90" spans="3:16">
      <c r="C90" s="765" t="e">
        <f>#REF!</f>
        <v>#REF!</v>
      </c>
      <c r="E90" s="2534"/>
      <c r="G90" s="33"/>
      <c r="H90" s="33"/>
      <c r="I90" s="33"/>
      <c r="L90" s="33"/>
      <c r="N90" s="2391" t="str">
        <f>SDÖ3!C34</f>
        <v>Einzelkornsaat 4 r (Mais, Sonnenblume)</v>
      </c>
      <c r="P90" s="2534"/>
    </row>
    <row r="91" spans="3:16">
      <c r="C91" s="765" t="e">
        <f>#REF!</f>
        <v>#REF!</v>
      </c>
      <c r="E91" s="2534"/>
      <c r="G91" s="33"/>
      <c r="H91" s="33"/>
      <c r="I91" s="33"/>
      <c r="L91" s="33"/>
      <c r="N91" s="2391" t="str">
        <f>SDÖ3!C35</f>
        <v>Einzelkornsaat 6 r (Rüben)</v>
      </c>
      <c r="P91" s="2534"/>
    </row>
    <row r="92" spans="3:16">
      <c r="C92" s="765" t="e">
        <f>#REF!</f>
        <v>#REF!</v>
      </c>
      <c r="E92" s="2534"/>
      <c r="L92" s="33"/>
      <c r="N92" s="2391" t="str">
        <f>SDÖ3!C37</f>
        <v>Direktsämaschine 3 m</v>
      </c>
      <c r="P92" s="2534"/>
    </row>
    <row r="93" spans="3:16">
      <c r="C93" s="765" t="e">
        <f>#REF!</f>
        <v>#REF!</v>
      </c>
      <c r="E93" s="2534"/>
      <c r="G93" s="2390" t="str">
        <f>SDÖ3!C140</f>
        <v>Mähdrescher - Erbsen/Ackerbohnen</v>
      </c>
      <c r="H93" s="272"/>
      <c r="I93" s="721"/>
      <c r="L93" s="33"/>
      <c r="N93" s="2391" t="str">
        <f>SDÖ3!C38</f>
        <v>Dammkulturgerät mit Säeinheit(3m)</v>
      </c>
      <c r="P93" s="2534"/>
    </row>
    <row r="94" spans="3:16">
      <c r="C94" s="765" t="e">
        <f>#REF!</f>
        <v>#REF!</v>
      </c>
      <c r="E94" s="2534"/>
      <c r="G94" s="2391" t="str">
        <f>SDÖ3!C141</f>
        <v>Mähdrescher - Körnermais</v>
      </c>
      <c r="I94" s="2534"/>
      <c r="L94" s="33"/>
      <c r="N94" s="2391">
        <f>SDÖ3!C39</f>
        <v>0</v>
      </c>
      <c r="P94" s="2534"/>
    </row>
    <row r="95" spans="3:16">
      <c r="C95" s="765" t="e">
        <f>#REF!</f>
        <v>#REF!</v>
      </c>
      <c r="E95" s="2534"/>
      <c r="G95" s="2391" t="str">
        <f>SDÖ3!C142</f>
        <v>Mähdrescher - Getr. m. Strohhäcksler</v>
      </c>
      <c r="I95" s="2534"/>
      <c r="L95" s="33"/>
      <c r="N95" s="2391" t="str">
        <f>SDÖ3!C40</f>
        <v xml:space="preserve">Düngerstreuer ab Hof 12 m, 400 kg/ha </v>
      </c>
      <c r="P95" s="2534"/>
    </row>
    <row r="96" spans="3:16">
      <c r="C96" s="765" t="e">
        <f>#REF!</f>
        <v>#REF!</v>
      </c>
      <c r="E96" s="2534"/>
      <c r="G96" s="2391" t="str">
        <f>SDÖ3!C143</f>
        <v>ZR - Roden, 6-reihig</v>
      </c>
      <c r="I96" s="2534"/>
      <c r="L96" s="33"/>
      <c r="N96" s="2391" t="str">
        <f>SDÖ3!C41</f>
        <v>Mist/Kompost streuen 20 t/ha  (6 m, 10 t) inkl. Beladen</v>
      </c>
      <c r="P96" s="2534"/>
    </row>
    <row r="97" spans="2:16">
      <c r="C97" s="765" t="e">
        <f>#REF!</f>
        <v>#REF!</v>
      </c>
      <c r="E97" s="2534"/>
      <c r="G97" s="2391" t="str">
        <f>SDÖ3!C144</f>
        <v>KA - Vollernter mit Bunker, 2-reihig</v>
      </c>
      <c r="I97" s="2534"/>
      <c r="L97" s="33"/>
      <c r="N97" s="2391" t="e">
        <f>SDÖ3!#REF!</f>
        <v>#REF!</v>
      </c>
      <c r="P97" s="2534"/>
    </row>
    <row r="98" spans="2:16">
      <c r="C98" s="290" t="e">
        <f>#REF!</f>
        <v>#REF!</v>
      </c>
      <c r="D98" s="319"/>
      <c r="E98" s="709"/>
      <c r="G98" s="2391" t="str">
        <f>SDÖ3!C145</f>
        <v>KA - Schlägeln (m. Schl. + Fahrer)</v>
      </c>
      <c r="I98" s="2534"/>
      <c r="L98" s="33"/>
      <c r="N98" s="2391" t="e">
        <f>SDÖ3!#REF!</f>
        <v>#REF!</v>
      </c>
      <c r="P98" s="2534"/>
    </row>
    <row r="99" spans="2:16">
      <c r="C99" s="765"/>
      <c r="E99" s="2534"/>
      <c r="G99" s="2391" t="str">
        <f>SDÖ3!C146</f>
        <v>ZR - Laden, Abfuhr</v>
      </c>
      <c r="I99" s="2534"/>
      <c r="L99" s="33"/>
      <c r="N99" s="2391" t="str">
        <f>SDÖ3!C42</f>
        <v>Gülle ausbringen 20 m³/ha, (15 m³ Fass, Schleppschl. 7,5 m</v>
      </c>
      <c r="P99" s="2534"/>
    </row>
    <row r="100" spans="2:16">
      <c r="C100" s="290"/>
      <c r="D100" s="319"/>
      <c r="E100" s="709"/>
      <c r="G100" s="2391" t="str">
        <f>SDÖ3!C147</f>
        <v>Mulchen (Lohnunternehmer)</v>
      </c>
      <c r="I100" s="2534"/>
      <c r="L100" s="33"/>
      <c r="N100" s="2391" t="str">
        <f>SDÖ3!C44</f>
        <v>Kalkstreuer 6 m³,15 m, 2t/ha (ab Feld, mit Beladen)</v>
      </c>
      <c r="P100" s="2534"/>
    </row>
    <row r="101" spans="2:16">
      <c r="G101" s="2391" t="str">
        <f>SDÖ3!C148</f>
        <v>Stroh-Rundballen pressen je ha</v>
      </c>
      <c r="I101" s="2534"/>
      <c r="L101" s="33"/>
      <c r="N101" s="2391">
        <f>SDÖ3!C45</f>
        <v>0</v>
      </c>
      <c r="P101" s="2534"/>
    </row>
    <row r="102" spans="2:16">
      <c r="G102" s="2391" t="str">
        <f>SDÖ3!C149</f>
        <v>Stroh-Quaderballen pressen je ha</v>
      </c>
      <c r="I102" s="2534"/>
      <c r="L102" s="33"/>
      <c r="N102" s="2391" t="str">
        <f>SDÖ3!C46</f>
        <v>Pflanzenschutzspritze 12 m, 300 l/ha</v>
      </c>
      <c r="P102" s="2534"/>
    </row>
    <row r="103" spans="2:16">
      <c r="B103" s="33"/>
      <c r="C103" s="33"/>
      <c r="D103" s="33"/>
      <c r="G103" s="2391" t="str">
        <f>SDÖ3!C150</f>
        <v>Silomais Häckseln/Festfahren im Lohn</v>
      </c>
      <c r="I103" s="2534"/>
      <c r="L103" s="33"/>
      <c r="N103" s="2391" t="str">
        <f>SDÖ3!C47</f>
        <v>Mulchgerät 3 m</v>
      </c>
      <c r="P103" s="2534"/>
    </row>
    <row r="104" spans="2:16">
      <c r="B104" s="33"/>
      <c r="C104" s="33"/>
      <c r="D104" s="33"/>
      <c r="G104" s="2391" t="str">
        <f>SDÖ3!C151</f>
        <v>Silomais Aussaat (im Lohn)</v>
      </c>
      <c r="I104" s="2534"/>
      <c r="L104" s="33"/>
      <c r="N104" s="2391" t="str">
        <f>SDÖ3!C48</f>
        <v>Präparatespritze 6 m</v>
      </c>
      <c r="P104" s="2534"/>
    </row>
    <row r="105" spans="2:16">
      <c r="B105" s="33"/>
      <c r="C105" s="33"/>
      <c r="D105" s="33"/>
      <c r="G105" s="2391" t="str">
        <f>SDÖ3!C152</f>
        <v>Silomais Häckseln (im Lohn)</v>
      </c>
      <c r="I105" s="2534"/>
      <c r="L105" s="33"/>
      <c r="N105" s="2391" t="str">
        <f>SDÖ3!C49</f>
        <v>Hackstriegel 9 m</v>
      </c>
      <c r="P105" s="2534"/>
    </row>
    <row r="106" spans="2:16">
      <c r="B106" s="33"/>
      <c r="C106" s="33"/>
      <c r="D106" s="33"/>
      <c r="G106" s="2391" t="str">
        <f>SDÖ3!C153</f>
        <v>GPS Häckseln im Lohn</v>
      </c>
      <c r="I106" s="2534"/>
      <c r="L106" s="33"/>
      <c r="N106" s="2391" t="str">
        <f>SDÖ3!C51</f>
        <v>Reihenhackgerät 3 m</v>
      </c>
      <c r="P106" s="2534"/>
    </row>
    <row r="107" spans="2:16">
      <c r="B107" s="33"/>
      <c r="C107" s="33"/>
      <c r="D107" s="33"/>
      <c r="G107" s="2391" t="str">
        <f>SDÖ3!C154</f>
        <v>GPS Häckseln/Festfahren im Lohn</v>
      </c>
      <c r="I107" s="2534"/>
      <c r="L107" s="33"/>
      <c r="N107" s="2391">
        <f>SDÖ3!C52</f>
        <v>0</v>
      </c>
      <c r="P107" s="2534"/>
    </row>
    <row r="108" spans="2:16">
      <c r="B108" s="33"/>
      <c r="C108" s="33"/>
      <c r="D108" s="33"/>
      <c r="G108" s="2391" t="str">
        <f>SDÖ3!C155</f>
        <v>Nachsaatmaschine (¼ Betrag)</v>
      </c>
      <c r="I108" s="2534"/>
      <c r="L108" s="33"/>
      <c r="N108" s="2391" t="str">
        <f>SDÖ3!C53</f>
        <v>Mais/GPS Silage festwalzen, 50 t FM</v>
      </c>
      <c r="P108" s="2534"/>
    </row>
    <row r="109" spans="2:16">
      <c r="B109" s="33"/>
      <c r="C109" s="33"/>
      <c r="D109" s="33"/>
      <c r="G109" s="2391">
        <f>SDÖ3!C156</f>
        <v>0</v>
      </c>
      <c r="I109" s="2534"/>
      <c r="L109" s="33"/>
      <c r="N109" s="2391" t="str">
        <f>SDÖ3!C54</f>
        <v>Bunkerroder Möhren 0,5 m Arbeitsbreite</v>
      </c>
      <c r="P109" s="2534"/>
    </row>
    <row r="110" spans="2:16">
      <c r="B110" s="33"/>
      <c r="C110" s="33"/>
      <c r="D110" s="33"/>
      <c r="G110" s="2391" t="str">
        <f>SDÖ3!C157</f>
        <v>Stroh-Rundballen pressen je dt</v>
      </c>
      <c r="I110" s="2534"/>
      <c r="L110" s="33"/>
      <c r="N110" s="2391">
        <f>SDÖ3!C55</f>
        <v>0</v>
      </c>
      <c r="P110" s="2534"/>
    </row>
    <row r="111" spans="2:16">
      <c r="G111" s="2391" t="str">
        <f>SDÖ3!C158</f>
        <v>Stroh-Quaderballen pressen je dt</v>
      </c>
      <c r="I111" s="2534"/>
      <c r="L111" s="33"/>
      <c r="N111" s="2391" t="str">
        <f>SDÖ3!C56</f>
        <v>Transp. u. Abkip. Getr. 6 t/ha (5,7 t Ki.)</v>
      </c>
      <c r="P111" s="2534"/>
    </row>
    <row r="112" spans="2:16">
      <c r="G112" s="2391" t="str">
        <f>SDÖ3!C159</f>
        <v>Festmistausbringung (im Lohn) €/t</v>
      </c>
      <c r="I112" s="2534"/>
      <c r="L112" s="33"/>
      <c r="N112" s="2391" t="str">
        <f>SDÖ3!C57</f>
        <v>Transp. u. Abkip. Getr. 6 t/ha (13,5 t Ki.)</v>
      </c>
      <c r="P112" s="2534"/>
    </row>
    <row r="113" spans="2:16">
      <c r="G113" s="2391" t="str">
        <f>SDÖ3!C160</f>
        <v>Gülleausbringung (im Lohn); €/m³</v>
      </c>
      <c r="I113" s="2534"/>
      <c r="L113" s="33"/>
      <c r="N113" s="2391" t="str">
        <f>SDÖ3!C58</f>
        <v>Silagetransport Mais/GPS, 3S.Kip. (10t Nutzl.), 50 t FM</v>
      </c>
      <c r="P113" s="2534"/>
    </row>
    <row r="114" spans="2:16">
      <c r="G114" s="2391" t="str">
        <f>SDÖ3!C161</f>
        <v>Traktor75-92 kW inkl. Diesel + Fahrer je h</v>
      </c>
      <c r="I114" s="2534"/>
      <c r="L114" s="33"/>
      <c r="N114" s="2391" t="str">
        <f>SDÖ3!C59</f>
        <v>Stroh-Rundballen 4 t/ha laden, abfahren, stapeln, 3-S-Kipp.</v>
      </c>
      <c r="P114" s="2534"/>
    </row>
    <row r="115" spans="2:16">
      <c r="G115" s="2391" t="str">
        <f>SDÖ3!C162</f>
        <v>Kipper je t zul Gesamtgewicht je h</v>
      </c>
      <c r="I115" s="2534"/>
      <c r="L115" s="33"/>
      <c r="N115" s="2391">
        <f>SDÖ3!C60</f>
        <v>0</v>
      </c>
      <c r="P115" s="2534"/>
    </row>
    <row r="116" spans="2:16">
      <c r="G116" s="2391">
        <f>SDÖ3!C163</f>
        <v>0</v>
      </c>
      <c r="L116" s="33"/>
      <c r="N116" s="2391" t="str">
        <f>SDÖ3!C61</f>
        <v>Wiesenwalze 3 m</v>
      </c>
      <c r="P116" s="2534"/>
    </row>
    <row r="117" spans="2:16">
      <c r="G117" s="2391">
        <f>SDÖ3!C164</f>
        <v>0</v>
      </c>
      <c r="L117" s="33"/>
      <c r="N117" s="2391" t="str">
        <f>SDÖ3!C62</f>
        <v>Wiesenegge 6 m</v>
      </c>
      <c r="P117" s="2534"/>
    </row>
    <row r="118" spans="2:16">
      <c r="G118" s="2391">
        <f>SDÖ3!C165</f>
        <v>0</v>
      </c>
      <c r="L118" s="33"/>
      <c r="N118" s="2391" t="str">
        <f>SDÖ3!C63</f>
        <v>Mähkomb. Heck/Front (4,5m insges., ohne Aufb.)</v>
      </c>
      <c r="P118" s="2534"/>
    </row>
    <row r="119" spans="2:16">
      <c r="L119" s="33"/>
      <c r="N119" s="2391" t="str">
        <f>SDÖ3!C65</f>
        <v>Rotationsmähwerk (Heck) m. Aufb. 2,8 m</v>
      </c>
      <c r="P119" s="2534"/>
    </row>
    <row r="120" spans="2:16">
      <c r="L120" s="33"/>
      <c r="N120" s="2391" t="str">
        <f>SDÖ3!C66</f>
        <v>Kreiselwender 5,5m</v>
      </c>
      <c r="P120" s="2534"/>
    </row>
    <row r="121" spans="2:16">
      <c r="L121" s="33"/>
      <c r="N121" s="2391" t="str">
        <f>SDÖ3!C67</f>
        <v>Kreiselschwader 7,5m Seitenablage</v>
      </c>
      <c r="O121" s="2534"/>
    </row>
    <row r="122" spans="2:16">
      <c r="B122" s="622">
        <v>1</v>
      </c>
      <c r="C122" s="33" t="str">
        <f>SDÖ5!C6</f>
        <v>Bio-dyn-Präparate (je Anw.)</v>
      </c>
      <c r="L122" s="33"/>
      <c r="N122" s="2391" t="str">
        <f>SDÖ3!C68</f>
        <v>LW Silage, o. Dosierwalzen; 12 t FM (28 m³, 4 t Nutzl.)</v>
      </c>
      <c r="P122" s="2534"/>
    </row>
    <row r="123" spans="2:16">
      <c r="B123" s="622">
        <v>2</v>
      </c>
      <c r="C123" s="33" t="str">
        <f>SDÖ5!C7</f>
        <v>Propangas (je Anw.)</v>
      </c>
      <c r="L123" s="33"/>
      <c r="N123" s="2391" t="str">
        <f>SDÖ3!C69</f>
        <v>Grassilo festwalzen, 12 t FM</v>
      </c>
      <c r="P123" s="2534"/>
    </row>
    <row r="124" spans="2:16">
      <c r="B124" s="622">
        <v>3</v>
      </c>
      <c r="C124" s="33" t="str">
        <f>SDÖ5!C8</f>
        <v xml:space="preserve">Schutznetz (je Anw.) </v>
      </c>
      <c r="L124" s="33"/>
      <c r="N124" s="2391">
        <f>SDÖ3!C70</f>
        <v>0</v>
      </c>
      <c r="P124" s="2534"/>
    </row>
    <row r="125" spans="2:16">
      <c r="B125" s="622">
        <v>4</v>
      </c>
      <c r="C125" s="33" t="str">
        <f>SDÖ5!C9</f>
        <v>Neempräparat (je Anw.)</v>
      </c>
      <c r="L125" s="33"/>
      <c r="N125" s="2391" t="str">
        <f>SDÖ3!C71</f>
        <v>Kartoffeln vorkeimen</v>
      </c>
      <c r="P125" s="2534"/>
    </row>
    <row r="126" spans="2:16">
      <c r="B126" s="622">
        <v>5</v>
      </c>
      <c r="C126" s="33" t="str">
        <f>SDÖ5!C10</f>
        <v>Kupfer (je Anw.)</v>
      </c>
      <c r="L126" s="33"/>
      <c r="N126" s="2391" t="str">
        <f>SDÖ3!C72</f>
        <v>Pflanzkartoffeltransport,-laden 2,5 t/ha</v>
      </c>
      <c r="P126" s="2534"/>
    </row>
    <row r="127" spans="2:16">
      <c r="B127" s="622">
        <v>6</v>
      </c>
      <c r="C127" s="33" t="str">
        <f>SDÖ5!C11</f>
        <v>Bac.thureng. kurstaki (je Anw.)</v>
      </c>
      <c r="L127" s="33"/>
      <c r="N127" s="2391" t="str">
        <f>SDÖ3!C73</f>
        <v>Legemaschine mit starrem Bunker 4 r (Kartoffel)</v>
      </c>
      <c r="P127" s="2534"/>
    </row>
    <row r="128" spans="2:16">
      <c r="B128" s="622">
        <v>7</v>
      </c>
      <c r="C128" s="33" t="str">
        <f>SDÖ5!C12</f>
        <v>Bac.thureng. tenebrionis (je Anw.)</v>
      </c>
      <c r="L128" s="33"/>
      <c r="N128" s="2391" t="str">
        <f>SDÖ3!C74</f>
        <v>Legemaschine mit Kippbunker 4 r (Kartoffel)</v>
      </c>
      <c r="P128" s="2534"/>
    </row>
    <row r="129" spans="2:16">
      <c r="B129" s="622">
        <v>8</v>
      </c>
      <c r="C129" s="33" t="str">
        <f>SDÖ5!C12</f>
        <v>Bac.thureng. tenebrionis (je Anw.)</v>
      </c>
      <c r="L129" s="33"/>
      <c r="N129" s="2391" t="str">
        <f>SDÖ3!C75</f>
        <v>Häufeln 4 r, Vorauflauf (Kartoffel)</v>
      </c>
      <c r="P129" s="2534"/>
    </row>
    <row r="130" spans="2:16">
      <c r="B130" s="622">
        <v>9</v>
      </c>
      <c r="C130" s="33" t="str">
        <f>SDÖ5!C13</f>
        <v>Eisen-III-Phosphat</v>
      </c>
      <c r="L130" s="33"/>
      <c r="N130" s="2391" t="str">
        <f>SDÖ3!C76</f>
        <v>Hacken Nachauflauf 4 r</v>
      </c>
      <c r="P130" s="2534"/>
    </row>
    <row r="131" spans="2:16">
      <c r="B131" s="622">
        <v>10</v>
      </c>
      <c r="C131" s="33">
        <f>SDÖ5!C14</f>
        <v>0</v>
      </c>
      <c r="L131" s="33"/>
      <c r="N131" s="2391" t="e">
        <f>SDÖ3!#REF!</f>
        <v>#REF!</v>
      </c>
      <c r="P131" s="2534"/>
    </row>
    <row r="132" spans="2:16">
      <c r="B132" s="622">
        <f t="shared" ref="B132:B151" si="10">B131+1</f>
        <v>11</v>
      </c>
      <c r="C132" s="33">
        <f>SDÖ5!C15</f>
        <v>0</v>
      </c>
      <c r="L132" s="33"/>
      <c r="N132" s="2391" t="str">
        <f>SDÖ3!C77</f>
        <v>Häufeln 4 r, Nachauflauf (Kartoffel)</v>
      </c>
      <c r="P132" s="2534"/>
    </row>
    <row r="133" spans="2:16">
      <c r="B133" s="622">
        <f t="shared" si="10"/>
        <v>12</v>
      </c>
      <c r="C133" s="33" t="str">
        <f>SDÖ5!C16</f>
        <v>Düngemittel</v>
      </c>
      <c r="L133" s="33"/>
      <c r="N133" s="2391" t="str">
        <f>SDÖ3!C91</f>
        <v>Hanfstroh Transport 15 km</v>
      </c>
    </row>
    <row r="134" spans="2:16">
      <c r="B134" s="622">
        <f t="shared" si="10"/>
        <v>13</v>
      </c>
      <c r="C134" s="33" t="str">
        <f>SDÖ5!C17</f>
        <v>Phosphatdünger 26 % (kg)</v>
      </c>
      <c r="L134" s="33"/>
      <c r="N134" s="2391" t="str">
        <f>SDÖ3!C92</f>
        <v>Hanfstroh Transport/ein-/auslag.</v>
      </c>
    </row>
    <row r="135" spans="2:16">
      <c r="B135" s="622">
        <f t="shared" si="10"/>
        <v>14</v>
      </c>
      <c r="C135" s="33">
        <f>SDÖ5!C18</f>
        <v>0</v>
      </c>
      <c r="L135" s="33"/>
      <c r="N135" s="2391">
        <f>SDÖ3!C93</f>
        <v>0</v>
      </c>
    </row>
    <row r="136" spans="2:16">
      <c r="B136" s="622">
        <f t="shared" si="10"/>
        <v>15</v>
      </c>
      <c r="C136" s="33" t="str">
        <f>SDÖ5!C19</f>
        <v>Kalidünger 11% (kg)</v>
      </c>
      <c r="L136" s="33"/>
      <c r="N136" s="2391" t="str">
        <f>SDÖ3!C94</f>
        <v>Handakh Feld Möhren</v>
      </c>
    </row>
    <row r="137" spans="2:16">
      <c r="B137" s="622">
        <f t="shared" si="10"/>
        <v>16</v>
      </c>
      <c r="C137" s="33">
        <f>SDÖ5!C20</f>
        <v>0</v>
      </c>
      <c r="L137" s="33"/>
      <c r="N137" s="2391" t="str">
        <f>SDÖ3!C96</f>
        <v>Handakh Feld sonstige Kultur</v>
      </c>
    </row>
    <row r="138" spans="2:16">
      <c r="B138" s="622">
        <f t="shared" si="10"/>
        <v>17</v>
      </c>
      <c r="C138" s="33" t="str">
        <f>SDÖ5!C21</f>
        <v>Magnesiumdünger 25% (kg)</v>
      </c>
      <c r="L138" s="33"/>
      <c r="N138" s="2391" t="str">
        <f>SDÖ3!C99</f>
        <v>Handakh Aufbereitung sonstige Kultur</v>
      </c>
    </row>
    <row r="139" spans="2:16">
      <c r="B139" s="622">
        <f t="shared" si="10"/>
        <v>18</v>
      </c>
      <c r="C139" s="33">
        <f>SDÖ5!C22</f>
        <v>0</v>
      </c>
      <c r="L139" s="33"/>
      <c r="N139" s="2391">
        <f>SDÖ3!C100</f>
        <v>0</v>
      </c>
    </row>
    <row r="140" spans="2:16">
      <c r="B140" s="622">
        <f t="shared" si="10"/>
        <v>19</v>
      </c>
      <c r="C140" s="33" t="str">
        <f>SDÖ5!C23</f>
        <v>Schwefeldünger (kg)</v>
      </c>
      <c r="L140" s="33"/>
      <c r="N140" s="2391">
        <f>SDÖ3!C101</f>
        <v>0</v>
      </c>
    </row>
    <row r="141" spans="2:16">
      <c r="B141" s="622">
        <f t="shared" si="10"/>
        <v>20</v>
      </c>
      <c r="C141" s="33">
        <f>SDÖ5!C24</f>
        <v>0</v>
      </c>
      <c r="L141" s="33"/>
    </row>
    <row r="142" spans="2:16">
      <c r="B142" s="622">
        <f t="shared" si="10"/>
        <v>21</v>
      </c>
      <c r="C142" s="33" t="str">
        <f>SDÖ5!C25</f>
        <v>Kalk (kg)</v>
      </c>
      <c r="L142" s="33"/>
    </row>
    <row r="143" spans="2:16">
      <c r="B143" s="622">
        <f t="shared" si="10"/>
        <v>22</v>
      </c>
      <c r="C143" s="33">
        <f>SDÖ5!C26</f>
        <v>0</v>
      </c>
      <c r="L143" s="33"/>
    </row>
    <row r="144" spans="2:16">
      <c r="B144" s="622">
        <f t="shared" si="10"/>
        <v>23</v>
      </c>
      <c r="C144" s="33" t="str">
        <f>SDÖ5!C27</f>
        <v>Festmist Rind (t)*</v>
      </c>
      <c r="L144" s="33"/>
    </row>
    <row r="145" spans="2:12">
      <c r="B145" s="622">
        <f t="shared" si="10"/>
        <v>24</v>
      </c>
      <c r="C145" s="33" t="str">
        <f>SDÖ5!C28</f>
        <v>Festmist Schwein (t)*</v>
      </c>
      <c r="L145" s="33"/>
    </row>
    <row r="146" spans="2:12">
      <c r="B146" s="622">
        <f t="shared" si="10"/>
        <v>25</v>
      </c>
      <c r="C146" s="33">
        <f>SDÖ5!C29</f>
        <v>0</v>
      </c>
      <c r="L146" s="33"/>
    </row>
    <row r="147" spans="2:12">
      <c r="B147" s="622">
        <f t="shared" si="10"/>
        <v>26</v>
      </c>
      <c r="C147" s="33" t="str">
        <f>SDÖ5!C30</f>
        <v>Gülle Rind (m³)*</v>
      </c>
      <c r="L147" s="33"/>
    </row>
    <row r="148" spans="2:12">
      <c r="B148" s="622">
        <f t="shared" si="10"/>
        <v>27</v>
      </c>
      <c r="C148" s="33" t="str">
        <f>SDÖ5!C31</f>
        <v>Gülle Schwein (m³)*</v>
      </c>
      <c r="L148" s="33"/>
    </row>
    <row r="149" spans="2:12">
      <c r="B149" s="622">
        <f t="shared" si="10"/>
        <v>28</v>
      </c>
      <c r="C149" s="33">
        <f>SDÖ5!C32</f>
        <v>0</v>
      </c>
      <c r="L149" s="33"/>
    </row>
    <row r="150" spans="2:12">
      <c r="B150" s="622">
        <f t="shared" si="10"/>
        <v>29</v>
      </c>
      <c r="C150" s="33">
        <f>SDÖ5!C33</f>
        <v>0</v>
      </c>
      <c r="L150" s="33"/>
    </row>
    <row r="151" spans="2:12">
      <c r="B151" s="622">
        <f t="shared" si="10"/>
        <v>30</v>
      </c>
      <c r="C151" s="33">
        <f>SDÖ5!C34</f>
        <v>0</v>
      </c>
    </row>
    <row r="152" spans="2:12">
      <c r="B152" s="622"/>
      <c r="C152" s="33"/>
    </row>
    <row r="153" spans="2:12">
      <c r="B153" s="622"/>
      <c r="C153" s="33"/>
    </row>
    <row r="154" spans="2:12">
      <c r="B154" s="622"/>
      <c r="C154" s="33"/>
    </row>
    <row r="155" spans="2:12">
      <c r="B155" s="622"/>
      <c r="C155" s="33"/>
      <c r="H155" s="1929"/>
      <c r="J155" s="2389"/>
    </row>
    <row r="156" spans="2:12">
      <c r="B156" s="622"/>
      <c r="C156" s="33"/>
      <c r="H156" s="1929"/>
      <c r="J156" s="2389"/>
    </row>
    <row r="157" spans="2:12">
      <c r="B157" s="622"/>
      <c r="C157" s="33"/>
      <c r="H157" s="1929"/>
      <c r="J157" s="2389"/>
    </row>
    <row r="158" spans="2:12">
      <c r="B158" s="622"/>
      <c r="C158" s="33"/>
      <c r="D158" s="33"/>
      <c r="F158" s="33"/>
      <c r="G158" s="33"/>
      <c r="H158" s="33"/>
      <c r="I158" s="33"/>
      <c r="J158" s="33"/>
      <c r="K158" s="33"/>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c r="D162" s="33"/>
      <c r="F162" s="33"/>
      <c r="G162" s="33"/>
      <c r="H162" s="33"/>
      <c r="I162" s="33"/>
      <c r="J162" s="33"/>
      <c r="K162" s="33"/>
    </row>
    <row r="163" spans="2:11">
      <c r="B163" s="622"/>
      <c r="C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sheetData>
  <mergeCells count="48">
    <mergeCell ref="C52:D52"/>
    <mergeCell ref="C53:D53"/>
    <mergeCell ref="C55:D55"/>
    <mergeCell ref="C74:E74"/>
    <mergeCell ref="C65:E65"/>
    <mergeCell ref="C66:E66"/>
    <mergeCell ref="C64:E64"/>
    <mergeCell ref="C68:E68"/>
    <mergeCell ref="C56:D56"/>
    <mergeCell ref="C54:D54"/>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K1:L1"/>
    <mergeCell ref="N1:O1"/>
    <mergeCell ref="K2:P2"/>
    <mergeCell ref="N3:O4"/>
    <mergeCell ref="E4:I4"/>
    <mergeCell ref="G1:I1"/>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s>
  <dataValidations count="10">
    <dataValidation type="decimal" allowBlank="1" showInputMessage="1" showErrorMessage="1" errorTitle="Wassergehalt Getreide" error="Zulässig sind nur Werte zwischen 14,1 und 22,0 % Wassergehalt." sqref="K68 N68">
      <formula1>14</formula1>
      <formula2>30</formula2>
    </dataValidation>
    <dataValidation type="custom" allowBlank="1" showInputMessage="1" showErrorMessage="1" errorTitle="Wassergehalt Getreide" error="Zulässig sind nur Werte zwischen 14,1 und 22,0 % Wassergehalt." sqref="H68">
      <formula1>14</formula1>
    </dataValidation>
    <dataValidation type="list" allowBlank="1" showInputMessage="1" showErrorMessage="1" errorTitle="Organisationsabh. Ausgleichsl." error="Bitte aus Dropdownliste auswählen." sqref="C18:F19">
      <formula1>$G$80:$G$90</formula1>
    </dataValidation>
    <dataValidation type="list" allowBlank="1" showInputMessage="1" showErrorMessage="1" errorTitle="Lohnmaschinen" error="Bitte aus Dropdownliste auswählen." sqref="C64:C65 C66:E66">
      <formula1>$G$93:$G$115</formula1>
    </dataValidation>
    <dataValidation type="list" allowBlank="1" showInputMessage="1" showErrorMessage="1" errorTitle="Arbeitsgänge" error="Bitte aus Dropdownliste auswählen." sqref="C45:D56">
      <formula1>$N$80:$N$141</formula1>
    </dataValidation>
    <dataValidation type="list" allowBlank="1" showInputMessage="1" showErrorMessage="1" errorTitle="Pflanzenschutzmittel" error="Bitte aus Dropdownliste auswählen." sqref="C36:E37">
      <formula1>$C$121:$C$151</formula1>
    </dataValidation>
    <dataValidation type="list" allowBlank="1" showInputMessage="1" showErrorMessage="1" errorTitle="Pflanzenschutzmittel" error="Bitte aus Dropdownliste auswählen." sqref="C34:C35 D34:E34">
      <formula1>$C$121:$C$137</formula1>
    </dataValidation>
    <dataValidation type="list" allowBlank="1" showInputMessage="1" showErrorMessage="1" errorTitle="Pflanzenschutzmittel" error="Bitte aus Dropdownliste auswählen." sqref="C38:E41">
      <formula1>$E$121:$E$203</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1"/>
  <headerFooter alignWithMargins="0">
    <oddFooter>&amp;L&amp;11LEL Schwäbisch Gmünd&amp;C42&amp;R&amp;11&amp;F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40" r:id="rId4" name="Check Box 16">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41" r:id="rId5" name="Check Box 17">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42" r:id="rId6" name="Check Box 18">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43" r:id="rId7" name="Check Box 19">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44" r:id="rId8" name="Check Box 20">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45" r:id="rId9" name="Check Box 21">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46" r:id="rId10" name="Check Box 22">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47" r:id="rId11" name="Check Box 23">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48" r:id="rId12" name="Check Box 24">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49" r:id="rId13" name="Check Box 25">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0" r:id="rId14" name="Check Box 26">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51" r:id="rId15" name="Check Box 27">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52" r:id="rId16" name="Check Box 28">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53" r:id="rId17" name="Check Box 29">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54" r:id="rId18" name="Check Box 30">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55" r:id="rId19" name="Check Box 31">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56" r:id="rId20" name="Check Box 32">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57" r:id="rId21" name="Check Box 33">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58" r:id="rId22" name="Check Box 34">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9" r:id="rId23" name="Check Box 35">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60" r:id="rId24" name="Check Box 36">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61" r:id="rId25" name="Check Box 37">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62" r:id="rId26" name="Check Box 38">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63" r:id="rId27" name="Check Box 39">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64" r:id="rId28" name="Check Box 40">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65" r:id="rId29" name="Check Box 41">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66" r:id="rId30" name="Check Box 42">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1" width="7.25" style="32" customWidth="1"/>
    <col min="12" max="12" width="7.75" style="32" customWidth="1"/>
    <col min="13" max="14" width="7.25" style="32" customWidth="1"/>
    <col min="15" max="15" width="8" style="32" customWidth="1"/>
    <col min="16" max="16" width="7.25" style="32" customWidth="1"/>
    <col min="17" max="17" width="25.625" style="32" customWidth="1"/>
    <col min="18" max="26" width="10.5" style="31" hidden="1" customWidth="1"/>
    <col min="27" max="32" width="10.5" style="31" customWidth="1"/>
    <col min="33" max="16384" width="10.5" style="31"/>
  </cols>
  <sheetData>
    <row r="1" spans="1:41" s="276" customFormat="1" ht="30.2" customHeight="1">
      <c r="A1" s="2507"/>
      <c r="B1" s="326"/>
      <c r="C1" s="1908"/>
      <c r="D1" s="136"/>
      <c r="E1" s="323"/>
      <c r="F1" s="323"/>
      <c r="G1" s="4908" t="s">
        <v>1694</v>
      </c>
      <c r="H1" s="4908"/>
      <c r="I1" s="4908"/>
      <c r="J1" s="1906">
        <f>(J7+J13+J18+J22+I11+I12)-(J23+J27+J34+J43+J60+J65+J67+J69+J71+J75)</f>
        <v>802.17379080424689</v>
      </c>
      <c r="K1" s="4859">
        <f>M1-J1</f>
        <v>623.5477803953911</v>
      </c>
      <c r="L1" s="4859"/>
      <c r="M1" s="1906">
        <f>(M7+M13+M18+M22+L11+L12)-(M23+M27+M34+M43+M60+M65+M67+M69+M71+M75)</f>
        <v>1425.721571199638</v>
      </c>
      <c r="N1" s="4859">
        <f>P1-M1</f>
        <v>466.59994030752705</v>
      </c>
      <c r="O1" s="4859"/>
      <c r="P1" s="1906">
        <f>(P7+P13+P18+P22+O11+O12)-(P23+P27+P34+P43+P60+P65+P67+P69+P71+P75)</f>
        <v>1892.321511507165</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1958</v>
      </c>
      <c r="L2" s="4870"/>
      <c r="M2" s="4870"/>
      <c r="N2" s="4870"/>
      <c r="O2" s="4870"/>
      <c r="P2" s="4870"/>
      <c r="Q2" s="2507"/>
    </row>
    <row r="3" spans="1:41" s="276" customFormat="1" ht="21.75" customHeight="1">
      <c r="A3" s="2507"/>
      <c r="B3" s="1903" t="s">
        <v>1693</v>
      </c>
      <c r="G3" s="1891"/>
      <c r="H3" s="1902"/>
      <c r="J3" s="33"/>
      <c r="K3" s="33"/>
      <c r="L3" s="33"/>
      <c r="M3" s="33"/>
      <c r="N3" s="33"/>
      <c r="O3" s="33"/>
      <c r="P3" s="1900"/>
      <c r="Q3" s="2507"/>
      <c r="T3" s="1918" t="b">
        <v>1</v>
      </c>
      <c r="W3" s="4866" t="s">
        <v>1262</v>
      </c>
      <c r="X3" s="4916"/>
      <c r="Y3" s="4916"/>
      <c r="Z3" s="1901"/>
    </row>
    <row r="4" spans="1:41" s="276" customFormat="1" ht="20.25" customHeight="1">
      <c r="A4" s="2507"/>
      <c r="B4" s="377" t="s">
        <v>1154</v>
      </c>
      <c r="C4" s="31"/>
      <c r="D4" s="31"/>
      <c r="E4" s="4830" t="s">
        <v>1706</v>
      </c>
      <c r="F4" s="4830"/>
      <c r="G4" s="4830"/>
      <c r="H4" s="4830"/>
      <c r="I4" s="4830"/>
      <c r="J4" s="33"/>
      <c r="K4" s="33"/>
      <c r="L4" s="33"/>
      <c r="M4" s="33"/>
      <c r="N4" s="33"/>
      <c r="O4" s="33"/>
      <c r="P4" s="1896">
        <f>SDÖ1!O3</f>
        <v>0</v>
      </c>
      <c r="Q4" s="2507"/>
      <c r="T4" s="1918" t="b">
        <v>1</v>
      </c>
      <c r="W4" s="4866" t="s">
        <v>1250</v>
      </c>
      <c r="X4" s="4916"/>
      <c r="Y4" s="4916"/>
      <c r="Z4" s="2522"/>
    </row>
    <row r="5" spans="1:41" ht="6" customHeight="1"/>
    <row r="6" spans="1:41" s="1885" customFormat="1" ht="24" customHeight="1">
      <c r="A6" s="48"/>
      <c r="B6" s="1890" t="s">
        <v>1207</v>
      </c>
      <c r="C6" s="1889"/>
      <c r="D6" s="1889"/>
      <c r="E6" s="1889"/>
      <c r="F6" s="1889"/>
      <c r="G6" s="1888" t="s">
        <v>1700</v>
      </c>
      <c r="H6" s="4864"/>
      <c r="I6" s="4865"/>
      <c r="J6" s="1887">
        <v>10</v>
      </c>
      <c r="K6" s="4849"/>
      <c r="L6" s="4850"/>
      <c r="M6" s="1887">
        <v>19</v>
      </c>
      <c r="N6" s="4864"/>
      <c r="O6" s="4865"/>
      <c r="P6" s="1886">
        <v>26</v>
      </c>
      <c r="Q6" s="70"/>
    </row>
    <row r="7" spans="1:41" s="252" customFormat="1" ht="18.75" customHeight="1">
      <c r="A7" s="47"/>
      <c r="B7" s="311" t="s">
        <v>1691</v>
      </c>
      <c r="C7" s="47"/>
      <c r="D7" s="47"/>
      <c r="E7" s="47"/>
      <c r="F7" s="47"/>
      <c r="G7" s="1884" t="s">
        <v>171</v>
      </c>
      <c r="H7" s="1881"/>
      <c r="I7" s="1880"/>
      <c r="J7" s="1614">
        <f>SUM(I9:I10)</f>
        <v>967.8</v>
      </c>
      <c r="K7" s="1883"/>
      <c r="L7" s="1882"/>
      <c r="M7" s="1617">
        <f>SUM(L9:L10)</f>
        <v>1838.82</v>
      </c>
      <c r="N7" s="1881"/>
      <c r="O7" s="1880"/>
      <c r="P7" s="1614">
        <f>SUM(O9:O10)</f>
        <v>2516.2800000000002</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f>SDÖ1!O43</f>
        <v>96.78</v>
      </c>
      <c r="H9" s="1877">
        <f>J6-H10</f>
        <v>10</v>
      </c>
      <c r="I9" s="1873">
        <f>H9*G9</f>
        <v>967.8</v>
      </c>
      <c r="J9" s="43"/>
      <c r="K9" s="1876">
        <f>M6-K10</f>
        <v>19</v>
      </c>
      <c r="L9" s="1875">
        <f>K9*G9</f>
        <v>1838.82</v>
      </c>
      <c r="M9" s="1854"/>
      <c r="N9" s="1874">
        <f>P6-N10</f>
        <v>26</v>
      </c>
      <c r="O9" s="1873">
        <f>N9*G9</f>
        <v>2516.2800000000002</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hidden="1"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hidden="1"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f>IF(OR(T3=TRUE,T4=TRUE),J6*$E$11,"0")</f>
        <v>0</v>
      </c>
      <c r="Y12" s="1839">
        <f>IF(OR(T3=TRUE,T4=TRUE),M6*$E$11,"0")</f>
        <v>0</v>
      </c>
      <c r="Z12" s="1838">
        <f>IF(OR(T3=TRUE,T4=TRUE),P6*$E$11,"0")</f>
        <v>0</v>
      </c>
    </row>
    <row r="13" spans="1:41" s="252" customFormat="1" ht="18.75" customHeight="1">
      <c r="A13" s="47"/>
      <c r="B13" s="266" t="s">
        <v>1688</v>
      </c>
      <c r="C13" s="47"/>
      <c r="D13" s="47"/>
      <c r="E13" s="47"/>
      <c r="F13" s="47"/>
      <c r="G13" s="1841" t="s">
        <v>171</v>
      </c>
      <c r="H13" s="1824"/>
      <c r="I13" s="1823"/>
      <c r="J13" s="1614">
        <f>SUM(I14:I17)</f>
        <v>240</v>
      </c>
      <c r="K13" s="1826"/>
      <c r="L13" s="1825"/>
      <c r="M13" s="1617">
        <f>SUM(L14:L16)</f>
        <v>240</v>
      </c>
      <c r="N13" s="1824"/>
      <c r="O13" s="1823"/>
      <c r="P13" s="1614">
        <f>SUM(O14:O16)</f>
        <v>240</v>
      </c>
      <c r="Q13" s="32"/>
      <c r="R13" s="136"/>
      <c r="U13" s="42"/>
      <c r="V13" s="42"/>
      <c r="X13" s="1838">
        <f>IF(OR(T4=TRUE,T5=TRUE),J7*$E$11,"0")</f>
        <v>0</v>
      </c>
      <c r="Y13" s="1839">
        <f>IF(OR(T4=TRUE,T5=TRUE),M7*$E$11,"0")</f>
        <v>0</v>
      </c>
      <c r="Z13" s="1838">
        <f>IF(OR(T4=TRUE,T5=TRUE),P7*$E$11,"0")</f>
        <v>0</v>
      </c>
    </row>
    <row r="14" spans="1:41" s="42" customFormat="1" ht="15" customHeight="1">
      <c r="A14" s="45"/>
      <c r="B14" s="1821"/>
      <c r="C14" s="4833" t="s">
        <v>2105</v>
      </c>
      <c r="D14" s="4833"/>
      <c r="E14" s="4833"/>
      <c r="F14" s="4833"/>
      <c r="G14" s="1837"/>
      <c r="H14" s="1967" t="s">
        <v>1299</v>
      </c>
      <c r="I14" s="3965">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158</v>
      </c>
      <c r="J19" s="3908">
        <f>SUM(I23:I24)</f>
        <v>0</v>
      </c>
      <c r="K19" s="1819"/>
      <c r="L19" s="3955">
        <f>IF(OR($C19=0,$M$6=0),0,VLOOKUP($C19,'SD2'!$C$59:$N$74,12,FALSE))</f>
        <v>158</v>
      </c>
      <c r="M19" s="3920">
        <f>SUM(L23:L24)</f>
        <v>0</v>
      </c>
      <c r="N19" s="1818"/>
      <c r="O19" s="3965">
        <f>IF(OR($C19=0,$P$6=0),0,VLOOKUP($C19,'SD2'!C59:N75,12,FALSE))</f>
        <v>158</v>
      </c>
      <c r="P19" s="1586">
        <f>SUM(O23:O24)</f>
        <v>0</v>
      </c>
      <c r="R19" s="1816">
        <f>J13+J18</f>
        <v>595.4</v>
      </c>
      <c r="S19" s="1816">
        <f>M13+M18</f>
        <v>595.4</v>
      </c>
      <c r="T19" s="1816">
        <f>P13+P18</f>
        <v>595.4</v>
      </c>
    </row>
    <row r="20" spans="1:26" s="4056" customFormat="1" ht="15.6" customHeight="1">
      <c r="A20" s="3913"/>
      <c r="B20" s="1821"/>
      <c r="C20" s="4058" t="s">
        <v>2182</v>
      </c>
      <c r="D20" s="4099"/>
      <c r="E20" s="4099"/>
      <c r="F20" s="4099"/>
      <c r="G20" s="4100"/>
      <c r="H20" s="1818"/>
      <c r="I20" s="3965">
        <f>IF(OR($C20=0,$J$6=0),0,VLOOKUP($C20,'SD2'!C60:N76,12,FALSE))</f>
        <v>63.4</v>
      </c>
      <c r="J20" s="43"/>
      <c r="K20" s="1819"/>
      <c r="L20" s="3955">
        <f>IF(OR($C20=0,$M$6=0),0,VLOOKUP($C20,'SD2'!$C$59:$N$74,12,FALSE))</f>
        <v>63.4</v>
      </c>
      <c r="M20" s="1854"/>
      <c r="N20" s="1818"/>
      <c r="O20" s="3965">
        <f>IF(OR($C20=0,$P$6=0),0,VLOOKUP($C20,'SD2'!C60:N76,12,FALSE))</f>
        <v>63.4</v>
      </c>
      <c r="P20" s="1586"/>
      <c r="Q20" s="4057"/>
      <c r="R20" s="4043"/>
      <c r="S20" s="4043"/>
      <c r="T20" s="4043"/>
    </row>
    <row r="21" spans="1:26" s="4056" customFormat="1" ht="15.6" customHeight="1">
      <c r="A21" s="3913"/>
      <c r="B21" s="1821"/>
      <c r="C21" s="4058" t="s">
        <v>2183</v>
      </c>
      <c r="D21" s="4099"/>
      <c r="E21" s="4099"/>
      <c r="F21" s="4099"/>
      <c r="G21" s="4100"/>
      <c r="H21" s="1818"/>
      <c r="I21" s="3965">
        <f>IF(OR($C21=0,$J$6=0),0,VLOOKUP($C21,'SD2'!C61:N77,12,FALSE))</f>
        <v>134</v>
      </c>
      <c r="J21" s="3908"/>
      <c r="K21" s="1819"/>
      <c r="L21" s="3955">
        <f>IF(OR($C21=0,$M$6=0),0,VLOOKUP($C21,'SD2'!$C$59:$N$74,12,FALSE))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c r="Q22" s="33"/>
      <c r="R22" s="33"/>
      <c r="S22" s="33"/>
      <c r="T22" s="33"/>
      <c r="U22" s="33"/>
      <c r="V22" s="33"/>
      <c r="W22" s="33"/>
      <c r="X22" s="33"/>
      <c r="Y22" s="33"/>
    </row>
    <row r="23" spans="1:26" s="42" customFormat="1" ht="18.75" customHeight="1">
      <c r="A23" s="1306"/>
      <c r="B23" s="266" t="s">
        <v>222</v>
      </c>
      <c r="C23" s="1801"/>
      <c r="D23" s="1801"/>
      <c r="E23" s="38"/>
      <c r="F23" s="4831"/>
      <c r="G23" s="4832" t="s">
        <v>171</v>
      </c>
      <c r="H23" s="1616"/>
      <c r="I23" s="1615"/>
      <c r="J23" s="1599">
        <f>SUM(I25:I26)</f>
        <v>57.749999999999993</v>
      </c>
      <c r="K23" s="1619"/>
      <c r="L23" s="1618"/>
      <c r="M23" s="1800">
        <f>SUM(L25:L26)</f>
        <v>57.749999999999993</v>
      </c>
      <c r="N23" s="1616"/>
      <c r="O23" s="1615"/>
      <c r="P23" s="1599">
        <f>SUM(O25:O26)</f>
        <v>57.749999999999993</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165</v>
      </c>
      <c r="G25" s="1794">
        <f>F25*(100+$D$24)/100</f>
        <v>165</v>
      </c>
      <c r="H25" s="1793">
        <v>0.35</v>
      </c>
      <c r="I25" s="1754">
        <f>H25*$G25</f>
        <v>57.749999999999993</v>
      </c>
      <c r="J25" s="45"/>
      <c r="K25" s="1793">
        <f>H25</f>
        <v>0.35</v>
      </c>
      <c r="L25" s="1596">
        <f>K25*$G25</f>
        <v>57.749999999999993</v>
      </c>
      <c r="M25" s="1589"/>
      <c r="N25" s="1793">
        <f>H25</f>
        <v>0.35</v>
      </c>
      <c r="O25" s="1754">
        <f>N25*$G25</f>
        <v>57.749999999999993</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284.23333333333335</v>
      </c>
      <c r="K27" s="1748"/>
      <c r="L27" s="1747"/>
      <c r="M27" s="1617">
        <f>SUM(L30:L33)</f>
        <v>458.44333333333338</v>
      </c>
      <c r="N27" s="1746"/>
      <c r="O27" s="1745"/>
      <c r="P27" s="1614">
        <f>SUM(O30:O33)</f>
        <v>593.94000000000005</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f>VLOOKUP('SD8'!B25,'SD8'!B9:K44,3,FALSE)</f>
        <v>3.35</v>
      </c>
      <c r="F30" s="1774"/>
      <c r="G30" s="1773">
        <v>20</v>
      </c>
      <c r="H30" s="1771">
        <f>IF(J$6=0,0,(J$6*$E30+$G30+X13))</f>
        <v>53.5</v>
      </c>
      <c r="I30" s="1754">
        <f>H30*$D30</f>
        <v>242.53333333333333</v>
      </c>
      <c r="J30" s="45"/>
      <c r="K30" s="1772">
        <f>IF(M$6=0,0,(M$6*$E30+$G30+AA14))</f>
        <v>83.65</v>
      </c>
      <c r="L30" s="1596">
        <f>K30*$D30</f>
        <v>379.21333333333337</v>
      </c>
      <c r="M30" s="1589"/>
      <c r="N30" s="1771">
        <f>IF(P$6=0,0,(P$6*$E30+$G30+AD14))</f>
        <v>107.10000000000001</v>
      </c>
      <c r="O30" s="1754">
        <f>N30*$D30</f>
        <v>485.52000000000004</v>
      </c>
      <c r="P30" s="1718"/>
      <c r="Q30" s="32"/>
    </row>
    <row r="31" spans="1:26" s="42" customFormat="1" ht="15" customHeight="1">
      <c r="A31" s="1306"/>
      <c r="B31" s="274"/>
      <c r="C31" s="1306" t="s">
        <v>244</v>
      </c>
      <c r="D31" s="1723">
        <f>IF(SDÖ1!$U$17=TRUE,SDÖ1!O56,0)</f>
        <v>1.3999999999999997</v>
      </c>
      <c r="E31" s="1774">
        <f>VLOOKUP('SD8'!B25,'SD8'!B9:K44,4,FALSE)</f>
        <v>1.8</v>
      </c>
      <c r="F31" s="1774"/>
      <c r="G31" s="1773"/>
      <c r="H31" s="1771">
        <f>IF(J$6=0,0,(J$6*$E31+$G31+X14))</f>
        <v>18</v>
      </c>
      <c r="I31" s="1754">
        <f>H31*$D31</f>
        <v>25.199999999999996</v>
      </c>
      <c r="J31" s="45"/>
      <c r="K31" s="1772">
        <f>IF(M$6=0,0,(M$6*$E31+$G31+Y14))</f>
        <v>34.200000000000003</v>
      </c>
      <c r="L31" s="1596">
        <f>K31*$D31</f>
        <v>47.879999999999995</v>
      </c>
      <c r="M31" s="1589"/>
      <c r="N31" s="1771">
        <f>IF(P$6=0,0,(P$6*$E31+$G31+Z14))</f>
        <v>46.800000000000004</v>
      </c>
      <c r="O31" s="1754">
        <f>N31*$D31</f>
        <v>65.52</v>
      </c>
      <c r="P31" s="1718"/>
      <c r="Q31" s="32"/>
    </row>
    <row r="32" spans="1:26" s="708" customFormat="1" ht="18.75" customHeight="1">
      <c r="A32" s="1270"/>
      <c r="B32" s="274"/>
      <c r="C32" s="1306" t="s">
        <v>242</v>
      </c>
      <c r="D32" s="1723">
        <f>IF(SDÖ1!$U$17=TRUE,SDÖ1!O57,0)</f>
        <v>1.3999999999999997</v>
      </c>
      <c r="E32" s="1774">
        <f>VLOOKUP('SD8'!B25,'SD8'!B9:K44,5,FALSE)</f>
        <v>1</v>
      </c>
      <c r="F32" s="1774"/>
      <c r="G32" s="1773"/>
      <c r="H32" s="1771">
        <f>IF(J$6=0,0,(J$6*$E32+$G32+X15))</f>
        <v>10</v>
      </c>
      <c r="I32" s="1754">
        <f>H32*$D32</f>
        <v>13.999999999999996</v>
      </c>
      <c r="J32" s="45"/>
      <c r="K32" s="1772">
        <f>IF(M$6=0,0,(M$6*$E32+$G32+Y15))</f>
        <v>19</v>
      </c>
      <c r="L32" s="1596">
        <f>K32*$D32</f>
        <v>26.599999999999994</v>
      </c>
      <c r="M32" s="1589"/>
      <c r="N32" s="1771">
        <f>IF(P$6=0,0,(P$6*$E32+$G32+Z15))</f>
        <v>26</v>
      </c>
      <c r="O32" s="1754">
        <f>N32*$D32</f>
        <v>36.399999999999991</v>
      </c>
      <c r="P32" s="1718"/>
      <c r="Q32" s="32"/>
    </row>
    <row r="33" spans="1:17" s="708" customFormat="1" ht="13.15" customHeight="1">
      <c r="A33" s="1270"/>
      <c r="B33" s="239"/>
      <c r="C33" s="1331" t="s">
        <v>240</v>
      </c>
      <c r="D33" s="1706">
        <f>IF(SDÖ1!$U$17=TRUE,SDÖ1!O58,0)</f>
        <v>0.5</v>
      </c>
      <c r="E33" s="1770">
        <f>VLOOKUP('SD8'!B25,'SD8'!B9:K44,6,FALSE)</f>
        <v>0.5</v>
      </c>
      <c r="F33" s="1770"/>
      <c r="G33" s="1769"/>
      <c r="H33" s="1767">
        <f>IF(J$6=0,0,(J$6*$E33+$G33+X16))</f>
        <v>5</v>
      </c>
      <c r="I33" s="1750">
        <f>H33*$D33</f>
        <v>2.5</v>
      </c>
      <c r="J33" s="45"/>
      <c r="K33" s="1768">
        <f>IF(M$6=0,0,(M$6*$E33+$G33+Y16))</f>
        <v>9.5</v>
      </c>
      <c r="L33" s="1590">
        <f>K33*$D33</f>
        <v>4.75</v>
      </c>
      <c r="M33" s="1589"/>
      <c r="N33" s="1767">
        <f>IF(P$6=0,0,(P$6*$E33+$G33+Z16))</f>
        <v>13</v>
      </c>
      <c r="O33" s="1750">
        <f>N33*$D33</f>
        <v>6.5</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175.49585719529412</v>
      </c>
      <c r="K43" s="1748"/>
      <c r="L43" s="1747"/>
      <c r="M43" s="1617">
        <f>SUM(M46:M57)</f>
        <v>177.04515762117649</v>
      </c>
      <c r="N43" s="1746"/>
      <c r="O43" s="1745"/>
      <c r="P43" s="1614">
        <f>SUM(P46:P57)</f>
        <v>178.25016906352943</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462</v>
      </c>
      <c r="D46" s="4836"/>
      <c r="E46" s="1725">
        <f>IF($C46=0,0,VLOOKUP($C46,SDÖ3!$C$24:$O$99,4,FALSE))</f>
        <v>102</v>
      </c>
      <c r="F46" s="1724">
        <f>IF($C46=0,0,VLOOKUP($C46,SDÖ3!$C$24:$O$99,12,FALSE))</f>
        <v>1.52</v>
      </c>
      <c r="G46" s="1723">
        <f>IF($C46=0,0,VLOOKUP($C46,SDÖ3!$C$24:$O$99,13,FALSE))</f>
        <v>33.053088320000001</v>
      </c>
      <c r="H46" s="1720"/>
      <c r="I46" s="1719">
        <f t="shared" ref="I46:I56" si="4">$F46*H46</f>
        <v>0</v>
      </c>
      <c r="J46" s="1718">
        <f t="shared" ref="J46:J56" si="5">H46*$G46</f>
        <v>0</v>
      </c>
      <c r="K46" s="1720"/>
      <c r="L46" s="1722">
        <f t="shared" ref="L46:L56" si="6">$F46*K46</f>
        <v>0</v>
      </c>
      <c r="M46" s="1721">
        <f t="shared" ref="M46:M56" si="7">K46*$G46</f>
        <v>0</v>
      </c>
      <c r="N46" s="1720"/>
      <c r="O46" s="1719">
        <f t="shared" ref="O46:O56" si="8">$F46*N46</f>
        <v>0</v>
      </c>
      <c r="P46" s="1718">
        <f t="shared" ref="P46:P56" si="9">N46*$G46</f>
        <v>0</v>
      </c>
      <c r="Q46" s="32"/>
    </row>
    <row r="47" spans="1:17" s="42" customFormat="1" ht="15" customHeight="1">
      <c r="A47" s="1306"/>
      <c r="B47" s="1726"/>
      <c r="C47" s="4835" t="s">
        <v>515</v>
      </c>
      <c r="D47" s="4836"/>
      <c r="E47" s="1725">
        <f>IF($C47=0,0,VLOOKUP($C47,SDÖ3!$C$24:$O$99,4,FALSE))</f>
        <v>120</v>
      </c>
      <c r="F47" s="1724">
        <f>IF($C47=0,0,VLOOKUP($C47,SDÖ3!$C$24:$O$99,12,FALSE))</f>
        <v>1.46</v>
      </c>
      <c r="G47" s="1723">
        <f>IF($C47=0,0,VLOOKUP($C47,SDÖ3!$C$24:$O$99,13,FALSE))</f>
        <v>56.986584941176474</v>
      </c>
      <c r="H47" s="1720">
        <v>1</v>
      </c>
      <c r="I47" s="1719">
        <f t="shared" si="4"/>
        <v>1.46</v>
      </c>
      <c r="J47" s="1718">
        <f t="shared" si="5"/>
        <v>56.986584941176474</v>
      </c>
      <c r="K47" s="1720">
        <v>1</v>
      </c>
      <c r="L47" s="1722">
        <f t="shared" si="6"/>
        <v>1.46</v>
      </c>
      <c r="M47" s="1721">
        <f t="shared" si="7"/>
        <v>56.986584941176474</v>
      </c>
      <c r="N47" s="1720">
        <v>1</v>
      </c>
      <c r="O47" s="1719">
        <f t="shared" si="8"/>
        <v>1.46</v>
      </c>
      <c r="P47" s="1718">
        <f t="shared" si="9"/>
        <v>56.986584941176474</v>
      </c>
      <c r="Q47" s="32"/>
    </row>
    <row r="48" spans="1:17" s="42" customFormat="1" ht="15" customHeight="1">
      <c r="A48" s="1306"/>
      <c r="B48" s="1726"/>
      <c r="C48" s="4835" t="s">
        <v>500</v>
      </c>
      <c r="D48" s="4836"/>
      <c r="E48" s="1725">
        <f>IF($C48=0,0,VLOOKUP($C48,SDÖ3!$C$24:$O$99,4,FALSE))</f>
        <v>102</v>
      </c>
      <c r="F48" s="1724">
        <f>IF($C48=0,0,VLOOKUP($C48,SDÖ3!$C$24:$O$99,12,FALSE))</f>
        <v>1.01</v>
      </c>
      <c r="G48" s="1723">
        <f>IF($C48=0,0,VLOOKUP($C48,SDÖ3!$C$24:$O$99,13,FALSE))</f>
        <v>27.345318800000005</v>
      </c>
      <c r="H48" s="1720">
        <v>1</v>
      </c>
      <c r="I48" s="1719">
        <f t="shared" si="4"/>
        <v>1.01</v>
      </c>
      <c r="J48" s="1718">
        <f t="shared" si="5"/>
        <v>27.345318800000005</v>
      </c>
      <c r="K48" s="1720">
        <v>1</v>
      </c>
      <c r="L48" s="1722">
        <f t="shared" si="6"/>
        <v>1.01</v>
      </c>
      <c r="M48" s="1721">
        <f t="shared" si="7"/>
        <v>27.345318800000005</v>
      </c>
      <c r="N48" s="1720">
        <v>1</v>
      </c>
      <c r="O48" s="1719">
        <f t="shared" si="8"/>
        <v>1.01</v>
      </c>
      <c r="P48" s="1718">
        <f t="shared" si="9"/>
        <v>27.345318800000005</v>
      </c>
      <c r="Q48" s="32"/>
    </row>
    <row r="49" spans="1:17" s="42" customFormat="1" ht="15" customHeight="1">
      <c r="A49" s="1306"/>
      <c r="B49" s="1726"/>
      <c r="C49" s="4835" t="s">
        <v>485</v>
      </c>
      <c r="D49" s="4836"/>
      <c r="E49" s="1725">
        <f>IF($C49=0,0,VLOOKUP($C49,SDÖ3!$C$24:$O$99,4,FALSE))</f>
        <v>54</v>
      </c>
      <c r="F49" s="1724">
        <f>IF($C49=0,0,VLOOKUP($C49,SDÖ3!$C$24:$O$99,12,FALSE))</f>
        <v>0.81</v>
      </c>
      <c r="G49" s="1723">
        <f>IF($C49=0,0,VLOOKUP($C49,SDÖ3!$C$24:$O$99,13,FALSE))</f>
        <v>12.862993247058824</v>
      </c>
      <c r="H49" s="1720">
        <v>1</v>
      </c>
      <c r="I49" s="1719">
        <f t="shared" si="4"/>
        <v>0.81</v>
      </c>
      <c r="J49" s="1718">
        <f t="shared" si="5"/>
        <v>12.862993247058824</v>
      </c>
      <c r="K49" s="1720">
        <v>1</v>
      </c>
      <c r="L49" s="1722">
        <f t="shared" si="6"/>
        <v>0.81</v>
      </c>
      <c r="M49" s="1721">
        <f t="shared" si="7"/>
        <v>12.862993247058824</v>
      </c>
      <c r="N49" s="1720">
        <v>1</v>
      </c>
      <c r="O49" s="1719">
        <f t="shared" si="8"/>
        <v>0.81</v>
      </c>
      <c r="P49" s="1718">
        <f t="shared" si="9"/>
        <v>12.862993247058824</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t="s">
        <v>441</v>
      </c>
      <c r="D51" s="4836"/>
      <c r="E51" s="1725">
        <f>IF($C51=0,0,VLOOKUP($C51,SDÖ3!$C$24:$O$99,4,FALSE))</f>
        <v>54</v>
      </c>
      <c r="F51" s="1724">
        <f>IF($C51=0,0,VLOOKUP($C51,SDÖ3!$C$24:$O$99,12,FALSE))</f>
        <v>1.1100000000000001</v>
      </c>
      <c r="G51" s="1723">
        <f>IF($C51=0,0,VLOOKUP($C51,SDÖ3!$C$24:$O$99,13,FALSE))</f>
        <v>17.201138894117648</v>
      </c>
      <c r="H51" s="1720">
        <v>2</v>
      </c>
      <c r="I51" s="1719">
        <f t="shared" si="4"/>
        <v>2.2200000000000002</v>
      </c>
      <c r="J51" s="1718">
        <f t="shared" si="5"/>
        <v>34.402277788235295</v>
      </c>
      <c r="K51" s="1720">
        <v>2</v>
      </c>
      <c r="L51" s="1722">
        <f t="shared" si="6"/>
        <v>2.2200000000000002</v>
      </c>
      <c r="M51" s="1721">
        <f t="shared" si="7"/>
        <v>34.402277788235295</v>
      </c>
      <c r="N51" s="1720">
        <v>2</v>
      </c>
      <c r="O51" s="1719">
        <f t="shared" si="8"/>
        <v>2.2200000000000002</v>
      </c>
      <c r="P51" s="1718">
        <f t="shared" si="9"/>
        <v>34.402277788235295</v>
      </c>
      <c r="Q51" s="32"/>
    </row>
    <row r="52" spans="1:17" s="42" customFormat="1" ht="15" customHeight="1">
      <c r="A52" s="1306"/>
      <c r="B52" s="1726"/>
      <c r="C52" s="4835" t="s">
        <v>512</v>
      </c>
      <c r="D52" s="4836"/>
      <c r="E52" s="1725">
        <f>IF($C52=0,0,VLOOKUP($C52,SDÖ3!$C$24:$O$99,4,FALSE))</f>
        <v>102</v>
      </c>
      <c r="F52" s="1724">
        <f>IF($C52=0,0,VLOOKUP($C52,SDÖ3!$C$24:$O$99,12,FALSE))</f>
        <v>0.93</v>
      </c>
      <c r="G52" s="1723">
        <f>IF($C52=0,0,VLOOKUP($C52,SDÖ3!$C$24:$O$99,13,FALSE))</f>
        <v>23.733808400000004</v>
      </c>
      <c r="H52" s="1720">
        <v>1</v>
      </c>
      <c r="I52" s="1719">
        <f t="shared" si="4"/>
        <v>0.93</v>
      </c>
      <c r="J52" s="1718">
        <f t="shared" si="5"/>
        <v>23.733808400000004</v>
      </c>
      <c r="K52" s="1720">
        <v>1</v>
      </c>
      <c r="L52" s="1722">
        <f t="shared" si="6"/>
        <v>0.93</v>
      </c>
      <c r="M52" s="1721">
        <f t="shared" si="7"/>
        <v>23.733808400000004</v>
      </c>
      <c r="N52" s="1720">
        <v>1</v>
      </c>
      <c r="O52" s="1719">
        <f t="shared" si="8"/>
        <v>0.93</v>
      </c>
      <c r="P52" s="1718">
        <f t="shared" si="9"/>
        <v>23.733808400000004</v>
      </c>
      <c r="Q52" s="32"/>
    </row>
    <row r="53" spans="1:17" s="42" customFormat="1" ht="15" customHeight="1">
      <c r="A53" s="1306"/>
      <c r="B53" s="1726"/>
      <c r="C53" s="4835" t="s">
        <v>508</v>
      </c>
      <c r="D53" s="4836"/>
      <c r="E53" s="1725">
        <f>IF($C53=0,0,VLOOKUP($C53,SDÖ3!$C$24:$O$99,4,FALSE))</f>
        <v>102</v>
      </c>
      <c r="F53" s="1724">
        <f>IF($C53=0,0,VLOOKUP($C53,SDÖ3!$C$24:$O$99,12,FALSE))</f>
        <v>0.54</v>
      </c>
      <c r="G53" s="1723">
        <f>IF($C53=0,0,VLOOKUP($C53,SDÖ3!$C$24:$O$99,13,FALSE))</f>
        <v>16.377695200000002</v>
      </c>
      <c r="H53" s="1720">
        <v>1</v>
      </c>
      <c r="I53" s="1719">
        <f t="shared" si="4"/>
        <v>0.54</v>
      </c>
      <c r="J53" s="1718">
        <f t="shared" si="5"/>
        <v>16.377695200000002</v>
      </c>
      <c r="K53" s="1720">
        <v>1</v>
      </c>
      <c r="L53" s="1722">
        <f t="shared" si="6"/>
        <v>0.54</v>
      </c>
      <c r="M53" s="1721">
        <f t="shared" si="7"/>
        <v>16.377695200000002</v>
      </c>
      <c r="N53" s="1720">
        <v>1</v>
      </c>
      <c r="O53" s="1719">
        <f t="shared" si="8"/>
        <v>0.54</v>
      </c>
      <c r="P53" s="1718">
        <f t="shared" si="9"/>
        <v>16.377695200000002</v>
      </c>
      <c r="Q53" s="32"/>
    </row>
    <row r="54" spans="1:17" s="42" customFormat="1" ht="15" customHeight="1">
      <c r="A54" s="1306"/>
      <c r="B54" s="1726"/>
      <c r="C54" s="4835" t="s">
        <v>446</v>
      </c>
      <c r="D54" s="4836"/>
      <c r="E54" s="1725">
        <f>IF($C54=0,0,VLOOKUP($C54,SDÖ3!$C$24:$O$99,4,FALSE))</f>
        <v>54</v>
      </c>
      <c r="F54" s="1724">
        <f>IF($C54=0,0,VLOOKUP($C54,SDÖ3!$C$24:$O$99,12,FALSE))</f>
        <v>0.15</v>
      </c>
      <c r="G54" s="1723">
        <f>IF($C54=0,0,VLOOKUP($C54,SDÖ3!$C$24:$O$99,13,FALSE))</f>
        <v>1.7678509764705881</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919" t="s">
        <v>435</v>
      </c>
      <c r="D55" s="4920"/>
      <c r="E55" s="1725">
        <f>IF($C55=0,0,VLOOKUP($C55,SDÖ3!$C$24:$O$99,4,FALSE))</f>
        <v>83</v>
      </c>
      <c r="F55" s="1724">
        <f>IF($C55=0,0,VLOOKUP($C55,SDÖ3!$C$24:$O$99,12,FALSE))</f>
        <v>0.4</v>
      </c>
      <c r="G55" s="1723">
        <f>IF($C55=0,0,VLOOKUP($C55,SDÖ3!$C$24:$O$99,13,FALSE))</f>
        <v>6.8857796705882359</v>
      </c>
      <c r="H55" s="1720">
        <v>0.55000000000000004</v>
      </c>
      <c r="I55" s="1719">
        <f t="shared" si="4"/>
        <v>0.22000000000000003</v>
      </c>
      <c r="J55" s="1718">
        <f t="shared" si="5"/>
        <v>3.7871788188235302</v>
      </c>
      <c r="K55" s="1720">
        <v>0.77499999999999991</v>
      </c>
      <c r="L55" s="1722">
        <f t="shared" si="6"/>
        <v>0.31</v>
      </c>
      <c r="M55" s="1721">
        <f t="shared" si="7"/>
        <v>5.336479244705882</v>
      </c>
      <c r="N55" s="1720">
        <v>0.95</v>
      </c>
      <c r="O55" s="1719">
        <f t="shared" si="8"/>
        <v>0.38</v>
      </c>
      <c r="P55" s="1718">
        <f t="shared" si="9"/>
        <v>6.5414906870588236</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847"/>
      <c r="D57" s="4848"/>
      <c r="E57" s="3617">
        <f>IF($C57=0,0,VLOOKUP($C57,SDÖ3!$C$24:$O$99,4,FALSE))</f>
        <v>0</v>
      </c>
      <c r="F57" s="3618">
        <f>IF($C57=0,0,VLOOKUP($C57,SDÖ3!$C$24:$O$99,12,FALSE))</f>
        <v>0</v>
      </c>
      <c r="G57" s="3619">
        <f>IF($C57=0,0,VLOOKUP($C57,SDÖ3!$C$24:$O$99,13,FALSE))</f>
        <v>0</v>
      </c>
      <c r="H57" s="1704"/>
      <c r="I57" s="1703">
        <f>SUM(I44:I56)</f>
        <v>7.1899999999999995</v>
      </c>
      <c r="J57" s="1702"/>
      <c r="K57" s="1704"/>
      <c r="L57" s="1705">
        <f>SUM(L44:L56)</f>
        <v>7.2799999999999994</v>
      </c>
      <c r="M57" s="1652"/>
      <c r="N57" s="1704"/>
      <c r="O57" s="1703">
        <f>SUM(O44:O56)</f>
        <v>7.35</v>
      </c>
      <c r="P57" s="1702"/>
      <c r="Q57" s="32"/>
    </row>
    <row r="58" spans="1:17" s="708" customFormat="1" ht="18.75" customHeight="1">
      <c r="A58" s="1270"/>
      <c r="B58" s="1276" t="s">
        <v>1223</v>
      </c>
      <c r="C58" s="1373"/>
      <c r="D58" s="1373"/>
      <c r="E58" s="1373"/>
      <c r="F58" s="38"/>
      <c r="G58" s="1620"/>
      <c r="H58" s="1697"/>
      <c r="I58" s="1696">
        <f>SUM($I$46:$I$57)</f>
        <v>14.379999999999999</v>
      </c>
      <c r="J58" s="1701"/>
      <c r="K58" s="1700"/>
      <c r="L58" s="1699">
        <f>SUM($L$46:$L$57)</f>
        <v>14.559999999999999</v>
      </c>
      <c r="M58" s="1698"/>
      <c r="N58" s="1697"/>
      <c r="O58" s="1696">
        <f>SUM($O$46:$O$57)</f>
        <v>14.7</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24.38</v>
      </c>
      <c r="J59" s="1686"/>
      <c r="K59" s="1691"/>
      <c r="L59" s="1690">
        <f>IF(L58+SUM($L$46:$L$57)*$E$59%&gt;L58+10,L58+10,L58+SUM($L$46:$L$57)*$E$59%)</f>
        <v>24.56</v>
      </c>
      <c r="M59" s="1689"/>
      <c r="N59" s="1688"/>
      <c r="O59" s="1687">
        <f>IF(O58+SUM($O$46:$O$57)*$E$59%&gt;O58+10,O58+10,O58+SUM($O$46:$O$57)*$E$59%)</f>
        <v>24.7</v>
      </c>
      <c r="P59" s="1686"/>
      <c r="Q59" s="32"/>
    </row>
    <row r="60" spans="1:17" s="65" customFormat="1" ht="18.75" customHeight="1">
      <c r="A60" s="1373"/>
      <c r="B60" s="1276" t="s">
        <v>1220</v>
      </c>
      <c r="C60" s="1373"/>
      <c r="D60" s="1373"/>
      <c r="E60" s="45"/>
      <c r="F60" s="45"/>
      <c r="G60" s="1685"/>
      <c r="H60" s="1677"/>
      <c r="I60" s="1676"/>
      <c r="J60" s="1684">
        <f>IF(J6=0,0,SUM(I62:I64))</f>
        <v>180.761</v>
      </c>
      <c r="K60" s="1680"/>
      <c r="L60" s="1679"/>
      <c r="M60" s="1617">
        <f>IF(M6=0,0,SUM(L62:L64))</f>
        <v>180.761</v>
      </c>
      <c r="N60" s="1677"/>
      <c r="O60" s="1676"/>
      <c r="P60" s="1684">
        <f>IF(P6=0,0,SUM(O62:O64))</f>
        <v>180.761</v>
      </c>
      <c r="Q60" s="32"/>
    </row>
    <row r="61" spans="1:17" s="65" customFormat="1" ht="15" customHeight="1">
      <c r="A61" s="1373"/>
      <c r="B61" s="1613"/>
      <c r="C61" s="1612" t="s">
        <v>1212</v>
      </c>
      <c r="D61" s="1683">
        <f>SDÖ1!$N$11</f>
        <v>19</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340</v>
      </c>
      <c r="D62" s="4833"/>
      <c r="E62" s="4833"/>
      <c r="F62" s="1674">
        <f>IF($C62=0,0,VLOOKUP($C62,'SDK3'!$C$98:$D$119,2,FALSE))</f>
        <v>151.9</v>
      </c>
      <c r="G62" s="1673">
        <f>(100+$D$61)/100*F62</f>
        <v>180.761</v>
      </c>
      <c r="H62" s="227"/>
      <c r="I62" s="1669">
        <f>$G$62</f>
        <v>180.761</v>
      </c>
      <c r="J62" s="227"/>
      <c r="K62" s="1672"/>
      <c r="L62" s="1671">
        <f>$G$62</f>
        <v>180.761</v>
      </c>
      <c r="M62" s="1589"/>
      <c r="N62" s="1670"/>
      <c r="O62" s="1669">
        <f>$G$62</f>
        <v>180.761</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2.5</v>
      </c>
      <c r="G64" s="1655">
        <f>(100+$D$61)/100*F64</f>
        <v>2.9749999999999996</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40.700000000000003</v>
      </c>
      <c r="K67" s="1641" t="s">
        <v>1217</v>
      </c>
      <c r="L67" s="1640" t="s">
        <v>1216</v>
      </c>
      <c r="M67" s="1617">
        <f>S68*(K9+K10)*L68%+F68</f>
        <v>96.330000000000013</v>
      </c>
      <c r="N67" s="1639" t="s">
        <v>1217</v>
      </c>
      <c r="O67" s="1638" t="s">
        <v>1216</v>
      </c>
      <c r="P67" s="1614">
        <f>T68*(N9+N10)*O68%+F68</f>
        <v>157.82</v>
      </c>
      <c r="Q67" s="32"/>
    </row>
    <row r="68" spans="1:20" s="708" customFormat="1" ht="15" customHeight="1">
      <c r="A68" s="1270"/>
      <c r="B68" s="1637"/>
      <c r="C68" s="4839" t="s">
        <v>1215</v>
      </c>
      <c r="D68" s="4839"/>
      <c r="E68" s="4839"/>
      <c r="F68" s="1636"/>
      <c r="G68" s="1627" t="s">
        <v>171</v>
      </c>
      <c r="H68" s="1634">
        <v>16</v>
      </c>
      <c r="I68" s="1633">
        <v>50</v>
      </c>
      <c r="J68" s="1632"/>
      <c r="K68" s="1634">
        <v>18</v>
      </c>
      <c r="L68" s="1633">
        <v>50</v>
      </c>
      <c r="M68" s="1635"/>
      <c r="N68" s="1634">
        <v>20</v>
      </c>
      <c r="O68" s="1633">
        <v>50</v>
      </c>
      <c r="P68" s="1632"/>
      <c r="Q68" s="32"/>
      <c r="R68" s="1948">
        <f>IF(H68=0,0,VLOOKUP(H68,'SD6'!J8:K156,'SD6'!K1))*(1+'SDK1'!O11/100)</f>
        <v>8.14</v>
      </c>
      <c r="S68" s="1948">
        <f>IF(K68=0,0,VLOOKUP(K68,'SD6'!J8:K156,'SD6'!K1))*(1+'SDK1'!O11/100)</f>
        <v>10.14</v>
      </c>
      <c r="T68" s="1947">
        <f>IF(N68=0,0,VLOOKUP(N68,'SD6'!J8:K156,'SD6'!K1))*(1+'SDK1'!O11/100)</f>
        <v>12.14</v>
      </c>
    </row>
    <row r="69" spans="1:20" s="708" customFormat="1" ht="18.75" customHeight="1">
      <c r="A69" s="1270"/>
      <c r="B69" s="1276" t="s">
        <v>1214</v>
      </c>
      <c r="C69" s="1270"/>
      <c r="D69" s="1270"/>
      <c r="E69" s="38"/>
      <c r="F69" s="38"/>
      <c r="G69" s="1620"/>
      <c r="H69" s="44"/>
      <c r="I69" s="73"/>
      <c r="J69" s="1614">
        <f>H70*$F70/1000</f>
        <v>15.4848</v>
      </c>
      <c r="K69" s="1630"/>
      <c r="L69" s="1629"/>
      <c r="M69" s="1617">
        <f>K70*$F70/1000</f>
        <v>29.421119999999998</v>
      </c>
      <c r="N69" s="44"/>
      <c r="O69" s="73"/>
      <c r="P69" s="1614">
        <f>N70*$F70/1000</f>
        <v>40.260480000000001</v>
      </c>
      <c r="Q69" s="32"/>
    </row>
    <row r="70" spans="1:20" s="708" customFormat="1" ht="15" customHeight="1">
      <c r="A70" s="1270"/>
      <c r="B70" s="1332"/>
      <c r="C70" s="1331" t="s">
        <v>896</v>
      </c>
      <c r="D70" s="353"/>
      <c r="E70" s="280"/>
      <c r="F70" s="1628">
        <f>'SDK7'!G102</f>
        <v>16</v>
      </c>
      <c r="G70" s="1627" t="s">
        <v>171</v>
      </c>
      <c r="H70" s="1623">
        <f>I9+I10</f>
        <v>967.8</v>
      </c>
      <c r="I70" s="1622"/>
      <c r="J70" s="1621"/>
      <c r="K70" s="1626">
        <f>L9+L10</f>
        <v>1838.82</v>
      </c>
      <c r="L70" s="1625"/>
      <c r="M70" s="1624"/>
      <c r="N70" s="1623">
        <f>O9+O10</f>
        <v>2516.2800000000002</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6.6012186671254893</v>
      </c>
      <c r="K75" s="3063"/>
      <c r="L75" s="1056"/>
      <c r="M75" s="1578">
        <f>(M23+M27+M34+M43+M60+M65+M67+M69+M71)*('SDK1'!$O$59%*$G$75/12)</f>
        <v>8.7478178458519604</v>
      </c>
      <c r="N75" s="1580"/>
      <c r="O75" s="1579"/>
      <c r="P75" s="1578">
        <f>(P23+P27+P34+P43+P60+P65+P67+P69+P71)*('SDK1'!$O$59%*$G$75/12)</f>
        <v>10.576839429305881</v>
      </c>
      <c r="Q75" s="32"/>
    </row>
    <row r="76" spans="1:20">
      <c r="L76" s="33"/>
    </row>
    <row r="77" spans="1:20">
      <c r="L77" s="33"/>
      <c r="N77" s="3642"/>
      <c r="O77" s="3642"/>
      <c r="P77" s="3642"/>
      <c r="Q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c r="Q79" s="3642"/>
    </row>
    <row r="80" spans="1:20" ht="14.25">
      <c r="B80" s="3078"/>
      <c r="C80" s="3074" t="s">
        <v>1942</v>
      </c>
      <c r="D80" s="3075"/>
      <c r="E80" s="3075"/>
      <c r="F80" s="3076"/>
      <c r="G80" s="3642"/>
      <c r="H80" s="3642"/>
      <c r="I80" s="3642"/>
      <c r="J80" s="3642"/>
      <c r="K80" s="3642"/>
      <c r="L80" s="3642"/>
      <c r="M80" s="3642"/>
      <c r="N80" s="3642"/>
      <c r="O80" s="3642"/>
      <c r="P80" s="3642"/>
      <c r="Q80" s="3642"/>
    </row>
    <row r="81" spans="2:17" ht="14.25">
      <c r="B81" s="3078"/>
      <c r="C81" s="3074" t="s">
        <v>1943</v>
      </c>
      <c r="D81" s="3075"/>
      <c r="E81" s="3075"/>
      <c r="F81" s="3076"/>
      <c r="G81" s="3642"/>
      <c r="H81" s="3642"/>
      <c r="I81" s="3642"/>
      <c r="J81" s="3642"/>
      <c r="K81" s="3642"/>
      <c r="L81" s="3642"/>
      <c r="M81" s="3642"/>
      <c r="N81" s="3642"/>
      <c r="O81" s="3642"/>
      <c r="P81" s="3642"/>
      <c r="Q81" s="3642"/>
    </row>
    <row r="82" spans="2:17">
      <c r="B82" s="3078"/>
      <c r="C82" s="3066" t="s">
        <v>294</v>
      </c>
      <c r="D82" s="3067"/>
      <c r="E82" s="3067"/>
      <c r="F82" s="3068"/>
      <c r="G82" s="33"/>
      <c r="H82" s="33"/>
      <c r="I82" s="33"/>
      <c r="L82" s="3642"/>
      <c r="M82" s="3642"/>
      <c r="N82" s="3642"/>
      <c r="O82" s="3642"/>
      <c r="P82" s="3642"/>
      <c r="Q82" s="3642"/>
    </row>
    <row r="83" spans="2:17" ht="14.25">
      <c r="B83" s="3078"/>
      <c r="C83" s="3074" t="s">
        <v>1944</v>
      </c>
      <c r="D83" s="3075"/>
      <c r="E83" s="3075"/>
      <c r="F83" s="3076"/>
      <c r="G83" s="33"/>
      <c r="H83" s="33"/>
      <c r="I83" s="33"/>
      <c r="L83" s="3642"/>
      <c r="M83" s="3642"/>
      <c r="N83" s="3642"/>
      <c r="O83" s="3642"/>
      <c r="P83" s="3642"/>
      <c r="Q83" s="3642"/>
    </row>
    <row r="84" spans="2:17" ht="14.25">
      <c r="B84" s="3078"/>
      <c r="C84" s="3074" t="s">
        <v>1945</v>
      </c>
      <c r="D84" s="3075"/>
      <c r="E84" s="3075"/>
      <c r="F84" s="3076"/>
      <c r="G84" s="33"/>
      <c r="H84" s="33"/>
      <c r="I84" s="33"/>
      <c r="L84" s="3642"/>
      <c r="M84" s="3642"/>
      <c r="N84" s="3642"/>
      <c r="O84" s="3642"/>
      <c r="P84" s="3642"/>
      <c r="Q84" s="3642"/>
    </row>
    <row r="85" spans="2:17">
      <c r="B85" s="3078"/>
      <c r="C85" s="3066" t="s">
        <v>293</v>
      </c>
      <c r="D85" s="3067"/>
      <c r="E85" s="3067"/>
      <c r="F85" s="3068"/>
      <c r="G85" s="33"/>
      <c r="H85" s="33"/>
      <c r="I85" s="33"/>
      <c r="L85" s="3642"/>
      <c r="M85" s="3642"/>
      <c r="N85" s="3642"/>
      <c r="O85" s="3642"/>
      <c r="P85" s="3642"/>
      <c r="Q85" s="3642"/>
    </row>
    <row r="86" spans="2:17">
      <c r="B86" s="3078"/>
      <c r="C86" s="3066" t="s">
        <v>292</v>
      </c>
      <c r="D86" s="3067"/>
      <c r="E86" s="3067"/>
      <c r="F86" s="3068"/>
      <c r="G86" s="33"/>
      <c r="H86" s="33"/>
      <c r="I86" s="33"/>
      <c r="L86" s="3642"/>
      <c r="M86" s="3642"/>
      <c r="N86" s="3642"/>
      <c r="O86" s="3642"/>
      <c r="P86" s="3642"/>
      <c r="Q86" s="3642"/>
    </row>
    <row r="87" spans="2:17" ht="14.25">
      <c r="B87" s="3078"/>
      <c r="C87" s="3066" t="s">
        <v>291</v>
      </c>
      <c r="D87" s="3067"/>
      <c r="E87" s="3067"/>
      <c r="F87" s="3068"/>
      <c r="G87" s="33"/>
      <c r="H87" s="33"/>
      <c r="I87" s="33"/>
      <c r="L87" s="3642"/>
      <c r="M87" s="3642"/>
      <c r="N87" s="3642"/>
      <c r="O87" s="3642"/>
      <c r="P87" s="3642"/>
      <c r="Q87" s="3642"/>
    </row>
    <row r="88" spans="2:17" ht="13.15" customHeight="1">
      <c r="B88" s="3078"/>
      <c r="C88" s="3066" t="s">
        <v>290</v>
      </c>
      <c r="D88" s="3069"/>
      <c r="E88" s="3069"/>
      <c r="F88" s="3070"/>
      <c r="G88" s="33"/>
      <c r="H88" s="33"/>
      <c r="I88" s="33"/>
      <c r="L88" s="3642"/>
      <c r="M88" s="3642"/>
      <c r="N88" s="3642"/>
      <c r="O88" s="3642"/>
      <c r="P88" s="3642"/>
      <c r="Q88" s="3642"/>
    </row>
    <row r="89" spans="2:17">
      <c r="B89" s="3078"/>
      <c r="C89" s="3066" t="s">
        <v>289</v>
      </c>
      <c r="D89" s="3069"/>
      <c r="E89" s="3069"/>
      <c r="F89" s="3070"/>
      <c r="H89" s="3078"/>
      <c r="I89" s="3078"/>
      <c r="L89" s="3642"/>
      <c r="M89" s="3642"/>
      <c r="N89" s="3642"/>
      <c r="O89" s="3642"/>
      <c r="P89" s="3642"/>
      <c r="Q89" s="3642"/>
    </row>
    <row r="90" spans="2:17" ht="25.5">
      <c r="B90" s="3078"/>
      <c r="C90" s="3071" t="s">
        <v>288</v>
      </c>
      <c r="D90" s="3072"/>
      <c r="E90" s="3072"/>
      <c r="F90" s="3073"/>
      <c r="H90" s="3078"/>
      <c r="I90" s="3078"/>
      <c r="L90" s="3642"/>
      <c r="M90" s="3642"/>
      <c r="N90" s="3642"/>
      <c r="O90" s="3642"/>
      <c r="P90" s="3642"/>
      <c r="Q90" s="3642"/>
    </row>
    <row r="91" spans="2:17">
      <c r="C91" s="2538"/>
      <c r="D91" s="2538"/>
      <c r="E91" s="2538"/>
      <c r="F91" s="2538"/>
      <c r="G91" s="3642"/>
      <c r="H91" s="3642"/>
      <c r="I91" s="3642"/>
      <c r="J91" s="3642"/>
      <c r="L91" s="3642"/>
      <c r="M91" s="3642"/>
      <c r="N91" s="3642"/>
      <c r="O91" s="3642"/>
      <c r="P91" s="3642"/>
      <c r="Q91" s="3642"/>
    </row>
    <row r="92" spans="2:17">
      <c r="C92" s="2538"/>
      <c r="D92" s="2538"/>
      <c r="E92" s="2538"/>
      <c r="F92" s="2538"/>
      <c r="G92" s="3642"/>
      <c r="H92" s="3642"/>
      <c r="I92" s="3642"/>
      <c r="J92" s="3642"/>
      <c r="L92" s="3642"/>
      <c r="M92" s="3642"/>
      <c r="N92" s="3642"/>
      <c r="O92" s="3642"/>
      <c r="P92" s="3642"/>
      <c r="Q92" s="3642"/>
    </row>
    <row r="93" spans="2:17">
      <c r="C93" s="2538"/>
      <c r="D93" s="2538"/>
      <c r="E93" s="2538"/>
      <c r="F93" s="2538"/>
      <c r="G93" s="3642"/>
      <c r="H93" s="3642"/>
      <c r="I93" s="3642"/>
      <c r="J93" s="3642"/>
      <c r="L93" s="3642"/>
      <c r="M93" s="3642"/>
      <c r="N93" s="3642"/>
      <c r="O93" s="3642"/>
      <c r="P93" s="3642"/>
      <c r="Q93" s="3642"/>
    </row>
    <row r="94" spans="2:17">
      <c r="C94" s="2538"/>
      <c r="D94" s="2538"/>
      <c r="E94" s="2538"/>
      <c r="F94" s="2538"/>
      <c r="G94" s="3642"/>
      <c r="H94" s="3642"/>
      <c r="I94" s="3642"/>
      <c r="J94" s="3642"/>
      <c r="L94" s="3642"/>
      <c r="M94" s="3642"/>
      <c r="N94" s="3642"/>
      <c r="O94" s="3642"/>
      <c r="P94" s="3642"/>
      <c r="Q94" s="3642"/>
    </row>
    <row r="95" spans="2:17">
      <c r="C95" s="2538"/>
      <c r="D95" s="2538"/>
      <c r="E95" s="2538"/>
      <c r="F95" s="2538"/>
      <c r="G95" s="3642"/>
      <c r="H95" s="3642"/>
      <c r="I95" s="3642"/>
      <c r="J95" s="3642"/>
      <c r="L95" s="3642"/>
      <c r="M95" s="3642"/>
      <c r="N95" s="3642"/>
      <c r="O95" s="3642"/>
      <c r="P95" s="3642"/>
      <c r="Q95" s="3642"/>
    </row>
    <row r="96" spans="2:17">
      <c r="C96" s="2538"/>
      <c r="D96" s="2538"/>
      <c r="E96" s="2538"/>
      <c r="F96" s="2538"/>
      <c r="G96" s="3642"/>
      <c r="H96" s="3642"/>
      <c r="I96" s="3642"/>
      <c r="J96" s="3642"/>
      <c r="L96" s="3642"/>
      <c r="M96" s="3642"/>
      <c r="N96" s="3642"/>
      <c r="O96" s="3642"/>
      <c r="P96" s="3642"/>
      <c r="Q96" s="3642"/>
    </row>
    <row r="97" spans="3:17">
      <c r="C97" s="2538"/>
      <c r="D97" s="2538"/>
      <c r="E97" s="2538"/>
      <c r="G97" s="3642"/>
      <c r="H97" s="3642"/>
      <c r="I97" s="3642"/>
      <c r="J97" s="3642"/>
      <c r="L97" s="3642"/>
      <c r="M97" s="3642"/>
      <c r="N97" s="3642"/>
      <c r="O97" s="3642"/>
      <c r="P97" s="3642"/>
      <c r="Q97" s="3642"/>
    </row>
    <row r="98" spans="3:17">
      <c r="C98" s="2538"/>
      <c r="D98" s="2538"/>
      <c r="E98" s="2538"/>
      <c r="G98" s="3642"/>
      <c r="H98" s="3642"/>
      <c r="I98" s="3642"/>
      <c r="J98" s="3642"/>
      <c r="L98" s="3642"/>
      <c r="M98" s="3642"/>
      <c r="N98" s="3642"/>
      <c r="O98" s="3642"/>
      <c r="P98" s="3642"/>
      <c r="Q98" s="3642"/>
    </row>
    <row r="99" spans="3:17">
      <c r="C99" s="2538"/>
      <c r="D99" s="2538"/>
      <c r="E99" s="2538"/>
      <c r="G99" s="3642"/>
      <c r="H99" s="3642"/>
      <c r="I99" s="3642"/>
      <c r="J99" s="3642"/>
      <c r="L99" s="3642"/>
      <c r="M99" s="3642"/>
      <c r="N99" s="3642"/>
      <c r="O99" s="3642"/>
      <c r="P99" s="3642"/>
      <c r="Q99" s="3642"/>
    </row>
    <row r="100" spans="3:17">
      <c r="C100" s="2538"/>
      <c r="D100" s="2538"/>
      <c r="E100" s="2538"/>
      <c r="G100" s="3642"/>
      <c r="H100" s="3642"/>
      <c r="I100" s="3642"/>
      <c r="J100" s="3642"/>
      <c r="L100" s="3642"/>
      <c r="M100" s="3642"/>
      <c r="N100" s="3642"/>
      <c r="O100" s="3642"/>
      <c r="P100" s="3642"/>
      <c r="Q100" s="3642"/>
    </row>
    <row r="101" spans="3:17">
      <c r="C101" s="2538"/>
      <c r="E101" s="2538"/>
      <c r="G101" s="3642"/>
      <c r="H101" s="3642"/>
      <c r="I101" s="3642"/>
      <c r="J101" s="3642"/>
      <c r="L101" s="3642"/>
      <c r="M101" s="3642"/>
      <c r="N101" s="3642"/>
      <c r="O101" s="3642"/>
      <c r="P101" s="3642"/>
      <c r="Q101" s="3642"/>
    </row>
    <row r="102" spans="3:17">
      <c r="C102" s="2538"/>
      <c r="D102" s="2538"/>
      <c r="E102" s="2538"/>
      <c r="G102" s="3642"/>
      <c r="I102" s="3642"/>
      <c r="J102" s="3642"/>
      <c r="L102" s="3642"/>
      <c r="M102" s="3642"/>
      <c r="N102" s="3642"/>
      <c r="O102" s="3642"/>
      <c r="P102" s="3642"/>
      <c r="Q102" s="3642"/>
    </row>
    <row r="103" spans="3:17">
      <c r="C103" s="2538"/>
      <c r="D103" s="2538"/>
      <c r="E103" s="2538"/>
      <c r="G103" s="3642"/>
      <c r="H103" s="3642"/>
      <c r="I103" s="3642"/>
      <c r="J103" s="3642"/>
      <c r="L103" s="3642"/>
      <c r="M103" s="3642"/>
      <c r="N103" s="3642"/>
      <c r="O103" s="3642"/>
      <c r="P103" s="3642"/>
      <c r="Q103" s="3642"/>
    </row>
    <row r="104" spans="3:17">
      <c r="C104" s="2538"/>
      <c r="D104" s="2538"/>
      <c r="E104" s="2538"/>
      <c r="G104" s="3642"/>
      <c r="H104" s="3642"/>
      <c r="I104" s="3642"/>
      <c r="J104" s="3642"/>
      <c r="L104" s="3642"/>
      <c r="M104" s="3642"/>
      <c r="N104" s="3642"/>
      <c r="O104" s="3642"/>
      <c r="P104" s="3642"/>
      <c r="Q104" s="3642"/>
    </row>
    <row r="105" spans="3:17">
      <c r="C105" s="2538"/>
      <c r="D105" s="2538"/>
      <c r="E105" s="2538"/>
      <c r="G105" s="3642"/>
      <c r="H105" s="3642"/>
      <c r="I105" s="3642"/>
      <c r="J105" s="3642"/>
      <c r="L105" s="3642"/>
      <c r="M105" s="3642"/>
      <c r="N105" s="3642"/>
      <c r="O105" s="3642"/>
      <c r="P105" s="3642"/>
      <c r="Q105" s="3642"/>
    </row>
    <row r="106" spans="3:17">
      <c r="C106" s="2538"/>
      <c r="D106" s="2538"/>
      <c r="E106" s="2538"/>
      <c r="G106" s="3642"/>
      <c r="H106" s="3642"/>
      <c r="I106" s="3642"/>
      <c r="J106" s="3642"/>
      <c r="L106" s="3642"/>
      <c r="M106" s="3642"/>
      <c r="N106" s="3642"/>
      <c r="O106" s="3642"/>
      <c r="P106" s="3642"/>
      <c r="Q106" s="3642"/>
    </row>
    <row r="107" spans="3:17">
      <c r="C107" s="2538"/>
      <c r="D107" s="2538"/>
      <c r="E107" s="2538"/>
      <c r="G107" s="3642"/>
      <c r="H107" s="3642"/>
      <c r="I107" s="3642"/>
      <c r="J107" s="3642"/>
      <c r="L107" s="3642"/>
      <c r="M107" s="3642"/>
      <c r="N107" s="3642"/>
      <c r="O107" s="3642"/>
      <c r="P107" s="3642"/>
      <c r="Q107" s="3642"/>
    </row>
    <row r="108" spans="3:17">
      <c r="C108" s="2538"/>
      <c r="D108" s="2538"/>
      <c r="E108" s="2538"/>
      <c r="G108" s="3642"/>
      <c r="H108" s="3642"/>
      <c r="I108" s="3642"/>
      <c r="J108" s="3642"/>
      <c r="L108" s="3642"/>
      <c r="M108" s="3642"/>
      <c r="N108" s="3642"/>
      <c r="O108" s="3642"/>
      <c r="P108" s="3642"/>
      <c r="Q108" s="3642"/>
    </row>
    <row r="109" spans="3:17">
      <c r="C109" s="2538"/>
      <c r="D109" s="2538"/>
      <c r="E109" s="2538"/>
      <c r="G109" s="3642"/>
      <c r="H109" s="3642"/>
      <c r="I109" s="3642"/>
      <c r="J109" s="3642"/>
      <c r="L109" s="3642"/>
      <c r="M109" s="3642"/>
      <c r="N109" s="3642"/>
      <c r="O109" s="3642"/>
      <c r="P109" s="3642"/>
      <c r="Q109" s="3642"/>
    </row>
    <row r="110" spans="3:17">
      <c r="G110" s="3642"/>
      <c r="H110" s="3642"/>
      <c r="I110" s="3642"/>
      <c r="J110" s="3642"/>
      <c r="L110" s="3642"/>
      <c r="M110" s="3642"/>
      <c r="N110" s="3642"/>
      <c r="O110" s="3642"/>
      <c r="P110" s="3642"/>
      <c r="Q110" s="3642"/>
    </row>
    <row r="111" spans="3:17">
      <c r="G111" s="3642"/>
      <c r="H111" s="3642"/>
      <c r="I111" s="3642"/>
      <c r="J111" s="3642"/>
      <c r="L111" s="3642"/>
      <c r="M111" s="3642"/>
      <c r="N111" s="3642"/>
      <c r="O111" s="3642"/>
      <c r="P111" s="3642"/>
      <c r="Q111" s="3642"/>
    </row>
    <row r="112" spans="3:17">
      <c r="G112" s="3642"/>
      <c r="H112" s="3642"/>
      <c r="I112" s="3642"/>
      <c r="J112" s="3642"/>
      <c r="L112" s="3642"/>
      <c r="M112" s="3642"/>
      <c r="N112" s="3642"/>
      <c r="O112" s="3642"/>
      <c r="P112" s="3642"/>
      <c r="Q112" s="3642"/>
    </row>
    <row r="113" spans="2:17">
      <c r="G113" s="3642"/>
      <c r="H113" s="3642"/>
      <c r="I113" s="3642"/>
      <c r="J113" s="3642"/>
      <c r="L113" s="3642"/>
      <c r="M113" s="3642"/>
      <c r="N113" s="3642"/>
      <c r="O113" s="3642"/>
      <c r="P113" s="3642"/>
      <c r="Q113" s="3642"/>
    </row>
    <row r="114" spans="2:17">
      <c r="G114" s="3642"/>
      <c r="H114" s="3642"/>
      <c r="I114" s="3642"/>
      <c r="J114" s="3642"/>
      <c r="L114" s="3642"/>
      <c r="M114" s="3642"/>
      <c r="N114" s="3642"/>
      <c r="O114" s="3642"/>
      <c r="P114" s="3642"/>
      <c r="Q114" s="3642"/>
    </row>
    <row r="115" spans="2:17">
      <c r="G115" s="3642"/>
      <c r="H115" s="3642"/>
      <c r="I115" s="3642"/>
      <c r="J115" s="3642"/>
      <c r="L115" s="3642"/>
      <c r="M115" s="3642"/>
      <c r="N115" s="3642"/>
      <c r="O115" s="3642"/>
      <c r="P115" s="3642"/>
      <c r="Q115" s="3642"/>
    </row>
    <row r="116" spans="2:17">
      <c r="G116" s="3642"/>
      <c r="H116" s="3642"/>
      <c r="I116" s="3642"/>
      <c r="J116" s="3642"/>
      <c r="L116" s="3642"/>
      <c r="M116" s="3642"/>
      <c r="N116" s="3642"/>
      <c r="O116" s="3642"/>
      <c r="P116" s="3642"/>
      <c r="Q116" s="3642"/>
    </row>
    <row r="117" spans="2:17">
      <c r="L117" s="3642"/>
      <c r="M117" s="3642"/>
      <c r="N117" s="3642"/>
      <c r="O117" s="3642"/>
      <c r="P117" s="3642"/>
      <c r="Q117" s="3642"/>
    </row>
    <row r="118" spans="2:17">
      <c r="B118" s="622"/>
      <c r="C118" s="33"/>
      <c r="L118" s="3642"/>
      <c r="M118" s="3642"/>
      <c r="N118" s="3642"/>
      <c r="O118" s="3642"/>
      <c r="P118" s="3642"/>
      <c r="Q118" s="3642"/>
    </row>
    <row r="119" spans="2:17">
      <c r="B119" s="622"/>
      <c r="C119" s="33"/>
      <c r="L119" s="3642"/>
      <c r="M119" s="3642"/>
      <c r="N119" s="3642"/>
      <c r="O119" s="3642"/>
      <c r="P119" s="3642"/>
      <c r="Q119" s="3642"/>
    </row>
    <row r="120" spans="2:17">
      <c r="B120" s="622"/>
      <c r="C120" s="33"/>
      <c r="L120" s="3642"/>
      <c r="M120" s="3642"/>
      <c r="N120" s="3642"/>
      <c r="O120" s="3642"/>
      <c r="P120" s="3642"/>
      <c r="Q120" s="3642"/>
    </row>
    <row r="121" spans="2:17">
      <c r="B121" s="622"/>
      <c r="C121" s="33"/>
      <c r="L121" s="3642"/>
      <c r="M121" s="3642"/>
      <c r="N121" s="3642"/>
      <c r="O121" s="3642"/>
      <c r="P121" s="3642"/>
      <c r="Q121" s="3642"/>
    </row>
    <row r="122" spans="2:17">
      <c r="B122" s="622"/>
      <c r="C122" s="33"/>
      <c r="L122" s="3642"/>
      <c r="M122" s="3642"/>
      <c r="N122" s="3642"/>
      <c r="O122" s="3642"/>
      <c r="P122" s="3642"/>
      <c r="Q122" s="3642"/>
    </row>
    <row r="123" spans="2:17">
      <c r="B123" s="622"/>
      <c r="C123" s="33"/>
      <c r="L123" s="3642"/>
      <c r="M123" s="3642"/>
      <c r="N123" s="3642"/>
      <c r="O123" s="3642"/>
      <c r="P123" s="3642"/>
      <c r="Q123" s="3642"/>
    </row>
    <row r="124" spans="2:17">
      <c r="B124" s="622"/>
      <c r="C124" s="33"/>
      <c r="L124" s="3642"/>
      <c r="M124" s="3642"/>
      <c r="N124" s="3642"/>
      <c r="O124" s="3642"/>
      <c r="P124" s="3642"/>
      <c r="Q124" s="3642"/>
    </row>
    <row r="125" spans="2:17">
      <c r="B125" s="622"/>
      <c r="C125" s="33"/>
      <c r="L125" s="3642"/>
      <c r="M125" s="3642"/>
      <c r="N125" s="3642"/>
      <c r="O125" s="3642"/>
      <c r="P125" s="3642"/>
      <c r="Q125" s="3642"/>
    </row>
    <row r="126" spans="2:17">
      <c r="B126" s="622"/>
      <c r="C126" s="33"/>
      <c r="L126" s="3642"/>
      <c r="M126" s="3642"/>
      <c r="N126" s="3642"/>
      <c r="O126" s="3642"/>
      <c r="P126" s="3642"/>
      <c r="Q126" s="3642"/>
    </row>
    <row r="127" spans="2:17">
      <c r="B127" s="622"/>
      <c r="C127" s="33"/>
      <c r="L127" s="3642"/>
      <c r="M127" s="3642"/>
      <c r="N127" s="3642"/>
      <c r="O127" s="3642"/>
      <c r="P127" s="3642"/>
      <c r="Q127" s="3642"/>
    </row>
    <row r="128" spans="2:17">
      <c r="B128" s="622"/>
      <c r="C128" s="33"/>
      <c r="L128" s="3642"/>
      <c r="M128" s="3642"/>
      <c r="N128" s="3642"/>
      <c r="O128" s="3642"/>
      <c r="P128" s="3642"/>
      <c r="Q128" s="3642"/>
    </row>
    <row r="129" spans="2:17">
      <c r="B129" s="622"/>
      <c r="C129" s="33"/>
      <c r="L129" s="3642"/>
      <c r="M129" s="3642"/>
      <c r="N129" s="3642"/>
      <c r="O129" s="3642"/>
      <c r="P129" s="3642"/>
      <c r="Q129" s="3642"/>
    </row>
    <row r="130" spans="2:17">
      <c r="B130" s="622"/>
      <c r="C130" s="33"/>
      <c r="L130" s="3642"/>
      <c r="M130" s="3642"/>
      <c r="N130" s="3642"/>
      <c r="O130" s="3642"/>
      <c r="P130" s="3642"/>
      <c r="Q130" s="3642"/>
    </row>
    <row r="131" spans="2:17">
      <c r="B131" s="622"/>
      <c r="C131" s="33"/>
      <c r="L131" s="3642"/>
      <c r="M131" s="3642"/>
      <c r="N131" s="3642"/>
      <c r="O131" s="3642"/>
      <c r="P131" s="3642"/>
      <c r="Q131" s="3642"/>
    </row>
    <row r="132" spans="2:17">
      <c r="B132" s="622"/>
      <c r="C132" s="33"/>
      <c r="L132" s="3642"/>
      <c r="M132" s="3642"/>
      <c r="N132" s="3642"/>
      <c r="O132" s="3642"/>
      <c r="P132" s="3642"/>
      <c r="Q132" s="3642"/>
    </row>
    <row r="133" spans="2:17">
      <c r="B133" s="622"/>
      <c r="C133" s="33"/>
      <c r="L133" s="3642"/>
      <c r="M133" s="3642"/>
      <c r="N133" s="3642"/>
      <c r="O133" s="3642"/>
      <c r="P133" s="3642"/>
      <c r="Q133" s="3642"/>
    </row>
    <row r="134" spans="2:17">
      <c r="B134" s="622"/>
      <c r="C134" s="33"/>
      <c r="L134" s="3642"/>
      <c r="M134" s="3642"/>
      <c r="N134" s="3642"/>
      <c r="O134" s="3642"/>
      <c r="P134" s="3642"/>
      <c r="Q134" s="3642"/>
    </row>
    <row r="135" spans="2:17">
      <c r="B135" s="622"/>
      <c r="C135" s="33"/>
      <c r="L135" s="3642"/>
      <c r="M135" s="3642"/>
      <c r="N135" s="3642"/>
      <c r="O135" s="3642"/>
      <c r="P135" s="3642"/>
      <c r="Q135" s="3642"/>
    </row>
    <row r="136" spans="2:17">
      <c r="B136" s="622"/>
      <c r="C136" s="33"/>
      <c r="L136" s="3642"/>
      <c r="M136" s="3642"/>
      <c r="N136" s="3642"/>
      <c r="O136" s="3642"/>
      <c r="P136" s="3642"/>
      <c r="Q136" s="3642"/>
    </row>
    <row r="137" spans="2:17">
      <c r="B137" s="622"/>
      <c r="C137" s="33"/>
      <c r="L137" s="3642"/>
      <c r="M137" s="3642"/>
      <c r="N137" s="3642"/>
      <c r="O137" s="3642"/>
      <c r="P137" s="3642"/>
      <c r="Q137" s="3642"/>
    </row>
    <row r="138" spans="2:17">
      <c r="B138" s="622"/>
      <c r="C138" s="33"/>
      <c r="L138" s="3642"/>
      <c r="M138" s="3642"/>
      <c r="N138" s="3642"/>
      <c r="O138" s="3642"/>
      <c r="P138" s="3642"/>
      <c r="Q138" s="3642"/>
    </row>
    <row r="139" spans="2:17">
      <c r="B139" s="622"/>
      <c r="C139" s="33"/>
      <c r="L139" s="3642"/>
      <c r="M139" s="3642"/>
      <c r="N139" s="3642"/>
      <c r="O139" s="3642"/>
      <c r="P139" s="3642"/>
      <c r="Q139" s="3642"/>
    </row>
    <row r="140" spans="2:17">
      <c r="B140" s="622"/>
      <c r="C140" s="33"/>
      <c r="L140" s="3642"/>
      <c r="M140" s="3642"/>
      <c r="N140" s="3642"/>
      <c r="O140" s="3642"/>
      <c r="P140" s="3642"/>
      <c r="Q140" s="3642"/>
    </row>
    <row r="141" spans="2:17">
      <c r="B141" s="622"/>
      <c r="C141" s="33"/>
      <c r="L141" s="33"/>
    </row>
    <row r="142" spans="2:17">
      <c r="B142" s="622"/>
      <c r="C142" s="33"/>
      <c r="L142" s="33"/>
    </row>
    <row r="143" spans="2:17">
      <c r="B143" s="622"/>
      <c r="C143" s="33"/>
      <c r="L143" s="33"/>
    </row>
    <row r="144" spans="2:17">
      <c r="B144" s="622"/>
      <c r="C144" s="33"/>
      <c r="L144" s="33"/>
    </row>
    <row r="145" spans="2:12">
      <c r="B145" s="622"/>
      <c r="C145" s="33"/>
      <c r="L145" s="33"/>
    </row>
    <row r="146" spans="2:12">
      <c r="B146" s="622"/>
      <c r="C146" s="33"/>
      <c r="L146" s="33"/>
    </row>
    <row r="147" spans="2:12">
      <c r="B147" s="622"/>
      <c r="C147" s="33"/>
    </row>
    <row r="148" spans="2:12">
      <c r="B148" s="622"/>
      <c r="C148" s="33"/>
      <c r="H148" s="1929"/>
      <c r="J148" s="2389"/>
    </row>
    <row r="149" spans="2:12">
      <c r="B149" s="622"/>
      <c r="C149" s="33"/>
      <c r="H149" s="1929"/>
      <c r="J149" s="2389"/>
    </row>
    <row r="150" spans="2:12">
      <c r="B150" s="622"/>
      <c r="C150" s="33"/>
      <c r="H150" s="1929"/>
      <c r="J150" s="2389"/>
    </row>
    <row r="151" spans="2:12">
      <c r="B151" s="622"/>
      <c r="C151" s="33"/>
      <c r="H151" s="1929"/>
      <c r="J151" s="2389"/>
    </row>
    <row r="152" spans="2:12">
      <c r="B152" s="622"/>
      <c r="C152" s="33"/>
      <c r="H152" s="1929"/>
      <c r="J152" s="2389"/>
    </row>
    <row r="153" spans="2:12">
      <c r="B153" s="622"/>
      <c r="C153" s="33"/>
      <c r="D153" s="33"/>
      <c r="F153" s="33"/>
      <c r="H153" s="33"/>
      <c r="I153" s="33"/>
      <c r="J153" s="33"/>
      <c r="K153" s="33"/>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9">
    <mergeCell ref="C42:E42"/>
    <mergeCell ref="C57:D57"/>
    <mergeCell ref="C39:E39"/>
    <mergeCell ref="C54:D54"/>
    <mergeCell ref="C56:D56"/>
    <mergeCell ref="C50:D50"/>
    <mergeCell ref="C51:D51"/>
    <mergeCell ref="C74:E74"/>
    <mergeCell ref="B75:C75"/>
    <mergeCell ref="C55:D55"/>
    <mergeCell ref="C63:E63"/>
    <mergeCell ref="C68:E68"/>
    <mergeCell ref="C62:E62"/>
    <mergeCell ref="W3:Y3"/>
    <mergeCell ref="E4:I4"/>
    <mergeCell ref="W4:Y4"/>
    <mergeCell ref="C15:F15"/>
    <mergeCell ref="N6:O6"/>
    <mergeCell ref="C14:F14"/>
    <mergeCell ref="N1:O1"/>
    <mergeCell ref="C36:E36"/>
    <mergeCell ref="C37:E37"/>
    <mergeCell ref="C38:E38"/>
    <mergeCell ref="E10:F10"/>
    <mergeCell ref="K2:P2"/>
    <mergeCell ref="C16:F16"/>
    <mergeCell ref="C17:F17"/>
    <mergeCell ref="C19:F19"/>
    <mergeCell ref="F23:G23"/>
    <mergeCell ref="E22:G22"/>
    <mergeCell ref="D25:E25"/>
    <mergeCell ref="D26:E26"/>
    <mergeCell ref="F34:G34"/>
    <mergeCell ref="C78:F78"/>
    <mergeCell ref="C79:F79"/>
    <mergeCell ref="G1:I1"/>
    <mergeCell ref="H6:I6"/>
    <mergeCell ref="K6:L6"/>
    <mergeCell ref="K1:L1"/>
    <mergeCell ref="C64:E64"/>
    <mergeCell ref="C46:D46"/>
    <mergeCell ref="C40:E40"/>
    <mergeCell ref="C41:E41"/>
    <mergeCell ref="C49:D49"/>
    <mergeCell ref="C53:D53"/>
    <mergeCell ref="C47:D47"/>
    <mergeCell ref="C48:D48"/>
    <mergeCell ref="C52:D52"/>
    <mergeCell ref="C73:E73"/>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7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7">
    <tabColor rgb="FF7030A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9.75" style="32" hidden="1" customWidth="1"/>
    <col min="18" max="28" width="0" style="31" hidden="1" customWidth="1"/>
    <col min="29" max="16384" width="10.5" style="31"/>
  </cols>
  <sheetData>
    <row r="1" spans="1:41" s="276" customFormat="1" ht="30.2" customHeight="1">
      <c r="A1" s="2507"/>
      <c r="B1" s="326"/>
      <c r="C1" s="1908"/>
      <c r="D1" s="136"/>
      <c r="E1" s="323"/>
      <c r="F1" s="323"/>
      <c r="G1" s="4908" t="s">
        <v>1694</v>
      </c>
      <c r="H1" s="4908"/>
      <c r="I1" s="4908"/>
      <c r="J1" s="1906">
        <f>(J7+J13+J18+J22+I11+I12)-(J23+J27+J34+J43+J60+J65+J67+J69+J71+J75)</f>
        <v>430.73837499999996</v>
      </c>
      <c r="K1" s="4859">
        <f>M1-J1</f>
        <v>40.013750000000016</v>
      </c>
      <c r="L1" s="4859"/>
      <c r="M1" s="1906">
        <f>(M7+M13+M18+M22+L11+L12)-(M23+M27+M34+M43+M60+M65+M67+M69+M71+M75)</f>
        <v>470.75212499999998</v>
      </c>
      <c r="N1" s="4859">
        <f>P1-M1</f>
        <v>40.013749999999959</v>
      </c>
      <c r="O1" s="4859"/>
      <c r="P1" s="1906">
        <f>(P7+P13+P18+P22+O11+O12)-(P23+P27+P34+P43+P60+P65+P67+P69+P71+P75)</f>
        <v>510.76587499999994</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3968" t="s">
        <v>1902</v>
      </c>
      <c r="L2" s="3968"/>
      <c r="M2" s="3968"/>
      <c r="N2" s="3968"/>
      <c r="O2" s="3968"/>
      <c r="P2" s="3968"/>
      <c r="Q2" s="2507"/>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row>
    <row r="4" spans="1:41" s="276" customFormat="1" ht="20.25" customHeight="1">
      <c r="A4" s="2507"/>
      <c r="B4" s="377" t="s">
        <v>1154</v>
      </c>
      <c r="C4" s="31"/>
      <c r="D4" s="31"/>
      <c r="E4" s="4830" t="s">
        <v>1706</v>
      </c>
      <c r="F4" s="4830"/>
      <c r="G4" s="4830"/>
      <c r="H4" s="4830"/>
      <c r="I4" s="4830"/>
      <c r="J4" s="4866" t="s">
        <v>1250</v>
      </c>
      <c r="K4" s="4916"/>
      <c r="L4" s="4916"/>
      <c r="M4" s="2522"/>
      <c r="N4" s="4872"/>
      <c r="O4" s="4872"/>
      <c r="P4" s="1896">
        <f>SDÖ1!O3</f>
        <v>0</v>
      </c>
      <c r="Q4" s="2507"/>
      <c r="T4" s="1918" t="b">
        <v>0</v>
      </c>
      <c r="U4" s="2516"/>
    </row>
    <row r="5" spans="1:41" ht="6" customHeight="1"/>
    <row r="6" spans="1:41" s="1885" customFormat="1" ht="24" customHeight="1">
      <c r="A6" s="48"/>
      <c r="B6" s="1890" t="s">
        <v>1207</v>
      </c>
      <c r="C6" s="1889"/>
      <c r="D6" s="1889"/>
      <c r="E6" s="1889"/>
      <c r="F6" s="1889"/>
      <c r="G6" s="1888" t="s">
        <v>1700</v>
      </c>
      <c r="H6" s="4864"/>
      <c r="I6" s="4865"/>
      <c r="J6" s="1887">
        <v>50</v>
      </c>
      <c r="K6" s="4849"/>
      <c r="L6" s="4850"/>
      <c r="M6" s="1887">
        <v>75</v>
      </c>
      <c r="N6" s="4864"/>
      <c r="O6" s="4865"/>
      <c r="P6" s="1886">
        <v>100</v>
      </c>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c r="H9" s="1877">
        <f>J6-H10</f>
        <v>50</v>
      </c>
      <c r="I9" s="1873">
        <f>H9*G9</f>
        <v>0</v>
      </c>
      <c r="J9" s="43"/>
      <c r="K9" s="1876">
        <f>M6-K10</f>
        <v>75</v>
      </c>
      <c r="L9" s="1875">
        <f>K9*G9</f>
        <v>0</v>
      </c>
      <c r="M9" s="1854"/>
      <c r="N9" s="1874">
        <f>P6-N10</f>
        <v>100</v>
      </c>
      <c r="O9" s="1873">
        <f>N9*G9</f>
        <v>0</v>
      </c>
      <c r="P9" s="43"/>
      <c r="Q9" s="32"/>
      <c r="R9" s="935"/>
      <c r="S9" s="265" t="s">
        <v>1265</v>
      </c>
      <c r="T9" s="1872"/>
    </row>
    <row r="10" spans="1:41" s="1842" customFormat="1" ht="15" customHeight="1">
      <c r="A10" s="377"/>
      <c r="B10" s="239"/>
      <c r="C10" s="281" t="s">
        <v>1689</v>
      </c>
      <c r="D10" s="1851"/>
      <c r="E10" s="4873"/>
      <c r="F10" s="4874"/>
      <c r="G10" s="1871"/>
      <c r="H10" s="1866">
        <v>0</v>
      </c>
      <c r="I10" s="1865">
        <f>H10*G10</f>
        <v>0</v>
      </c>
      <c r="J10" s="1870"/>
      <c r="K10" s="1869">
        <v>0</v>
      </c>
      <c r="L10" s="1868">
        <f>K10*G10</f>
        <v>0</v>
      </c>
      <c r="M10" s="1867"/>
      <c r="N10" s="1866">
        <v>0</v>
      </c>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3815">
        <f>SUM(I14:I17)</f>
        <v>240</v>
      </c>
      <c r="K13" s="1826"/>
      <c r="L13" s="1825"/>
      <c r="M13" s="1589">
        <f>SUM(L14:L16)</f>
        <v>240</v>
      </c>
      <c r="N13" s="1824"/>
      <c r="O13" s="1823"/>
      <c r="P13" s="1614">
        <f>SUM(O14:O16)</f>
        <v>240</v>
      </c>
      <c r="Q13" s="32"/>
      <c r="R13" s="136"/>
      <c r="U13" s="42"/>
      <c r="V13" s="42"/>
      <c r="X13" s="1838" t="str">
        <f>IF(OR(T4=TRUE,T5=TRUE),J7*$E$11,"0")</f>
        <v>0</v>
      </c>
      <c r="Y13" s="1839" t="str">
        <f>IF(OR(T4=TRUE,T5=TRUE),M7*$E$11,"0")</f>
        <v>0</v>
      </c>
      <c r="Z13" s="1838" t="str">
        <f>IF(OR(T4=TRUE,T5=TRUE),P7*$E$11,"0")</f>
        <v>0</v>
      </c>
    </row>
    <row r="14" spans="1:41" s="42" customFormat="1" ht="15" customHeight="1">
      <c r="A14" s="45"/>
      <c r="B14" s="1821"/>
      <c r="C14" s="4833" t="s">
        <v>2105</v>
      </c>
      <c r="D14" s="4833"/>
      <c r="E14" s="4833"/>
      <c r="F14" s="4833"/>
      <c r="G14" s="1837"/>
      <c r="H14" s="1967" t="s">
        <v>1299</v>
      </c>
      <c r="I14" s="1817">
        <f>IF(H14="ja",Q14,0)</f>
        <v>240</v>
      </c>
      <c r="J14" s="45"/>
      <c r="K14" s="1836" t="s">
        <v>1299</v>
      </c>
      <c r="L14" s="1671">
        <f>IF(K14="ja",Q14,0)</f>
        <v>240</v>
      </c>
      <c r="M14" s="1589"/>
      <c r="N14" s="1836" t="s">
        <v>1299</v>
      </c>
      <c r="O14" s="1817">
        <f>IF(N14="ja",Q14,0)</f>
        <v>240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355.4</v>
      </c>
      <c r="K18" s="3101"/>
      <c r="L18" s="3350"/>
      <c r="M18" s="1617">
        <f>SUM(L19:L21)</f>
        <v>355.4</v>
      </c>
      <c r="N18" s="3100"/>
      <c r="O18" s="3349"/>
      <c r="P18" s="1614">
        <f>SUM(O19:O21)</f>
        <v>355.4</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158</v>
      </c>
      <c r="J19" s="45">
        <f>SUM(I23:I24)</f>
        <v>0</v>
      </c>
      <c r="K19" s="1819"/>
      <c r="L19" s="1671">
        <f>IF(OR($C19=0,$M$6=0),0,VLOOKUP($C19,'SD2'!$C$59:$N$74,12,FALSE))</f>
        <v>158</v>
      </c>
      <c r="M19" s="1589">
        <f>SUM(L23:L24)</f>
        <v>0</v>
      </c>
      <c r="N19" s="1818"/>
      <c r="O19" s="1817">
        <f>IF(OR($C19=0,$P$6=0),0,VLOOKUP($C19,'SD2'!C59:N75,12,FALSE))</f>
        <v>158</v>
      </c>
      <c r="P19" s="1586">
        <f>SUM(O23:O24)</f>
        <v>0</v>
      </c>
      <c r="R19" s="1816">
        <f>J13+J18</f>
        <v>595.4</v>
      </c>
      <c r="S19" s="1816">
        <f>M13+M18</f>
        <v>595.4</v>
      </c>
      <c r="T19" s="1816">
        <f>P13+P18</f>
        <v>595.4</v>
      </c>
    </row>
    <row r="20" spans="1:26" s="4056" customFormat="1" ht="15.6" customHeight="1">
      <c r="A20" s="3913"/>
      <c r="B20" s="1821"/>
      <c r="C20" s="4058" t="s">
        <v>2182</v>
      </c>
      <c r="D20" s="4099"/>
      <c r="E20" s="4099"/>
      <c r="F20" s="4099"/>
      <c r="G20" s="4100"/>
      <c r="H20" s="1818"/>
      <c r="I20" s="3965">
        <f>IF(OR($C20=0,$J$6=0),0,VLOOKUP($C20,'SD2'!C60:N76,12,FALSE))</f>
        <v>63.4</v>
      </c>
      <c r="J20" s="3908"/>
      <c r="K20" s="1819"/>
      <c r="L20" s="3955">
        <f>IF(OR($C20=0,$M$6=0),0,VLOOKUP($C20,'SD2'!$C$59:$N$74,12,FALSE))</f>
        <v>63.4</v>
      </c>
      <c r="M20" s="3920"/>
      <c r="N20" s="1818"/>
      <c r="O20" s="3965">
        <f>IF(OR($C20=0,$P$6=0),0,VLOOKUP($C20,'SD2'!C60:N76,12,FALSE))</f>
        <v>63.4</v>
      </c>
      <c r="P20" s="1586"/>
      <c r="Q20" s="4057"/>
      <c r="R20" s="4043"/>
      <c r="S20" s="4043"/>
      <c r="T20" s="4043"/>
    </row>
    <row r="21" spans="1:26" s="4056" customFormat="1" ht="15.6" customHeight="1">
      <c r="A21" s="3913"/>
      <c r="B21" s="1821"/>
      <c r="C21" s="4058" t="s">
        <v>2183</v>
      </c>
      <c r="D21" s="4099"/>
      <c r="E21" s="4099"/>
      <c r="F21" s="4099"/>
      <c r="G21" s="4100"/>
      <c r="H21" s="1818"/>
      <c r="I21" s="3965">
        <f>IF(OR($C21=0,$J$6=0),0,VLOOKUP($C21,'SD2'!C61:N77,12,FALSE))</f>
        <v>134</v>
      </c>
      <c r="J21" s="3908"/>
      <c r="K21" s="1819"/>
      <c r="L21" s="3955">
        <f>IF(OR($C21=0,$M$6=0),0,VLOOKUP($C21,'SD2'!$C$59:$N$74,12,FALSE))</f>
        <v>134</v>
      </c>
      <c r="M21" s="3920"/>
      <c r="N21" s="1818"/>
      <c r="O21" s="3965">
        <f>IF(OR($C21=0,$P$6=0),0,VLOOKUP($C21,'SD2'!C61:N77,12,FALSE))</f>
        <v>134</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0</v>
      </c>
      <c r="K23" s="1619"/>
      <c r="L23" s="1618"/>
      <c r="M23" s="1800">
        <f>SUM(L25:L26)</f>
        <v>0</v>
      </c>
      <c r="N23" s="1616"/>
      <c r="O23" s="1615"/>
      <c r="P23" s="1599">
        <f>SUM(O25:O26)</f>
        <v>0</v>
      </c>
      <c r="Q23" s="32"/>
      <c r="R23" s="42" t="s">
        <v>1699</v>
      </c>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c r="G25" s="1794">
        <f>F25*(100+$D$24)/100</f>
        <v>0</v>
      </c>
      <c r="H25" s="1793"/>
      <c r="I25" s="1754">
        <f>H25*$G25</f>
        <v>0</v>
      </c>
      <c r="J25" s="45"/>
      <c r="K25" s="1793">
        <f>H25</f>
        <v>0</v>
      </c>
      <c r="L25" s="1596">
        <f>K25*$G25</f>
        <v>0</v>
      </c>
      <c r="M25" s="1589"/>
      <c r="N25" s="1793">
        <f>H25</f>
        <v>0</v>
      </c>
      <c r="O25" s="1754">
        <f>N25*$G25</f>
        <v>0</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11.333333333333332</v>
      </c>
      <c r="K27" s="1748"/>
      <c r="L27" s="1747"/>
      <c r="M27" s="1617">
        <f>SUM(L30:L33)</f>
        <v>-28.333333333333332</v>
      </c>
      <c r="N27" s="1746"/>
      <c r="O27" s="1745"/>
      <c r="P27" s="1614">
        <f>SUM(O30:O33)</f>
        <v>-68</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v>-0.35</v>
      </c>
      <c r="F30" s="1774"/>
      <c r="G30" s="1773">
        <v>20</v>
      </c>
      <c r="H30" s="1771">
        <f>IF(J$6=0,0,(J$6*$E30+$G30+X13))</f>
        <v>2.5</v>
      </c>
      <c r="I30" s="1754">
        <f>H30*$D30</f>
        <v>11.333333333333332</v>
      </c>
      <c r="J30" s="45"/>
      <c r="K30" s="1772">
        <f>IF(M$6=0,0,(M$6*$E30+$G30+AA14))</f>
        <v>-6.25</v>
      </c>
      <c r="L30" s="1596">
        <f>K30*$D30</f>
        <v>-28.333333333333332</v>
      </c>
      <c r="M30" s="1589"/>
      <c r="N30" s="1771">
        <f>IF(P$6=0,0,(P$6*$E30+$G30+AD14))</f>
        <v>-15</v>
      </c>
      <c r="O30" s="1754">
        <f>N30*$D30</f>
        <v>-68</v>
      </c>
      <c r="P30" s="1718"/>
      <c r="Q30" s="32"/>
    </row>
    <row r="31" spans="1:26" s="42" customFormat="1" ht="15" customHeight="1">
      <c r="A31" s="1306"/>
      <c r="B31" s="274"/>
      <c r="C31" s="1306" t="s">
        <v>244</v>
      </c>
      <c r="D31" s="1723">
        <f>IF(SDÖ1!$U$17=TRUE,SDÖ1!O56,0)</f>
        <v>1.3999999999999997</v>
      </c>
      <c r="E31" s="1774"/>
      <c r="F31" s="1774"/>
      <c r="G31" s="1773"/>
      <c r="H31" s="1771">
        <f>IF(J$6=0,0,(J$6*$E31+$G31+X14))</f>
        <v>0</v>
      </c>
      <c r="I31" s="1754">
        <f>H31*$D31</f>
        <v>0</v>
      </c>
      <c r="J31" s="45"/>
      <c r="K31" s="1772">
        <f>IF(M$6=0,0,(M$6*$E31+$G31+Y14))</f>
        <v>0</v>
      </c>
      <c r="L31" s="1596">
        <f>K31*$D31</f>
        <v>0</v>
      </c>
      <c r="M31" s="1589"/>
      <c r="N31" s="1771">
        <f>IF(P$6=0,0,(P$6*$E31+$G31+Z14))</f>
        <v>0</v>
      </c>
      <c r="O31" s="1754">
        <f>N31*$D31</f>
        <v>0</v>
      </c>
      <c r="P31" s="1718"/>
      <c r="Q31" s="32"/>
    </row>
    <row r="32" spans="1:26" s="708" customFormat="1" ht="18.75" customHeight="1">
      <c r="A32" s="1270"/>
      <c r="B32" s="274"/>
      <c r="C32" s="1306" t="s">
        <v>242</v>
      </c>
      <c r="D32" s="1723">
        <f>IF(SDÖ1!$U$17=TRUE,SDÖ1!O57,0)</f>
        <v>1.3999999999999997</v>
      </c>
      <c r="E32" s="1774"/>
      <c r="F32" s="1774"/>
      <c r="G32" s="1773"/>
      <c r="H32" s="1771">
        <f>IF(J$6=0,0,(J$6*$E32+$G32+X15))</f>
        <v>0</v>
      </c>
      <c r="I32" s="1754">
        <f>H32*$D32</f>
        <v>0</v>
      </c>
      <c r="J32" s="45"/>
      <c r="K32" s="1772">
        <f>IF(M$6=0,0,(M$6*$E32+$G32+Y15))</f>
        <v>0</v>
      </c>
      <c r="L32" s="1596">
        <f>K32*$D32</f>
        <v>0</v>
      </c>
      <c r="M32" s="1589"/>
      <c r="N32" s="1771">
        <f>IF(P$6=0,0,(P$6*$E32+$G32+Z15))</f>
        <v>0</v>
      </c>
      <c r="O32" s="1754">
        <f>N32*$D32</f>
        <v>0</v>
      </c>
      <c r="P32" s="1718"/>
      <c r="Q32" s="32"/>
    </row>
    <row r="33" spans="1:17" s="708" customFormat="1" ht="13.15" customHeight="1">
      <c r="A33" s="1270"/>
      <c r="B33" s="239"/>
      <c r="C33" s="1331" t="s">
        <v>240</v>
      </c>
      <c r="D33" s="1706">
        <f>IF(SDÖ1!$U$17=TRUE,SDÖ1!O58,0)</f>
        <v>0.5</v>
      </c>
      <c r="E33" s="1770"/>
      <c r="F33" s="1770"/>
      <c r="G33" s="1769"/>
      <c r="H33" s="1767">
        <f>IF(J$6=0,0,(J$6*$E33+$G33+X16))</f>
        <v>0</v>
      </c>
      <c r="I33" s="1750">
        <f>H33*$D33</f>
        <v>0</v>
      </c>
      <c r="J33" s="45"/>
      <c r="K33" s="1768">
        <f>IF(M$6=0,0,(M$6*$E33+$G33+Y16))</f>
        <v>0</v>
      </c>
      <c r="L33" s="1590">
        <f>K33*$D33</f>
        <v>0</v>
      </c>
      <c r="M33" s="1589"/>
      <c r="N33" s="1767">
        <f>IF(P$6=0,0,(P$6*$E33+$G33+Z16))</f>
        <v>0</v>
      </c>
      <c r="O33" s="1750">
        <f>N33*$D33</f>
        <v>0</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0</v>
      </c>
      <c r="K43" s="1748"/>
      <c r="L43" s="1747"/>
      <c r="M43" s="1617">
        <f>SUM(M46:M57)</f>
        <v>0</v>
      </c>
      <c r="N43" s="1746"/>
      <c r="O43" s="1745"/>
      <c r="P43" s="1614">
        <f>SUM(P46:P57)</f>
        <v>0</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c r="D46" s="4836"/>
      <c r="E46" s="1725">
        <f>IF($C46=0,0,VLOOKUP($C46,SDÖ3!$C$24:$O$99,4,FALSE))</f>
        <v>0</v>
      </c>
      <c r="F46" s="1724">
        <f>IF($C46=0,0,VLOOKUP($C46,SDÖ3!$C$24:$O$99,12,FALSE))</f>
        <v>0</v>
      </c>
      <c r="G46" s="1723">
        <f>IF($C46=0,0,VLOOKUP($C46,SDÖ3!$C$24:$O$99,13,FALSE))</f>
        <v>0</v>
      </c>
      <c r="H46" s="1720"/>
      <c r="I46" s="1719">
        <f t="shared" ref="I46:I56" si="4">$F46*H46</f>
        <v>0</v>
      </c>
      <c r="J46" s="1718">
        <f t="shared" ref="J46:J56" si="5">H46*$G46</f>
        <v>0</v>
      </c>
      <c r="K46" s="1720"/>
      <c r="L46" s="1722">
        <f t="shared" ref="L46:L56" si="6">$F46*K46</f>
        <v>0</v>
      </c>
      <c r="M46" s="1721">
        <f t="shared" ref="M46:M56" si="7">K46*$G46</f>
        <v>0</v>
      </c>
      <c r="N46" s="1720"/>
      <c r="O46" s="1719">
        <f t="shared" ref="O46:O56" si="8">$F46*N46</f>
        <v>0</v>
      </c>
      <c r="P46" s="1718">
        <f t="shared" ref="P46:P56" si="9">N46*$G46</f>
        <v>0</v>
      </c>
      <c r="Q46" s="32"/>
    </row>
    <row r="47" spans="1:17" s="42" customFormat="1" ht="15" customHeight="1">
      <c r="A47" s="1306"/>
      <c r="B47" s="1726"/>
      <c r="C47" s="4835"/>
      <c r="D47" s="4836"/>
      <c r="E47" s="1725">
        <f>IF($C47=0,0,VLOOKUP($C47,SDÖ3!$C$24:$O$99,4,FALSE))</f>
        <v>0</v>
      </c>
      <c r="F47" s="1724">
        <f>IF($C47=0,0,VLOOKUP($C47,SDÖ3!$C$24:$O$99,12,FALSE))</f>
        <v>0</v>
      </c>
      <c r="G47" s="1723">
        <f>IF($C47=0,0,VLOOKUP($C47,SDÖ3!$C$24:$O$99,13,FALSE))</f>
        <v>0</v>
      </c>
      <c r="H47" s="1720"/>
      <c r="I47" s="1719">
        <f t="shared" si="4"/>
        <v>0</v>
      </c>
      <c r="J47" s="1718">
        <f t="shared" si="5"/>
        <v>0</v>
      </c>
      <c r="K47" s="1720"/>
      <c r="L47" s="1722">
        <f t="shared" si="6"/>
        <v>0</v>
      </c>
      <c r="M47" s="1721">
        <f t="shared" si="7"/>
        <v>0</v>
      </c>
      <c r="N47" s="1720"/>
      <c r="O47" s="1719">
        <f t="shared" si="8"/>
        <v>0</v>
      </c>
      <c r="P47" s="1718">
        <f t="shared" si="9"/>
        <v>0</v>
      </c>
      <c r="Q47" s="32"/>
    </row>
    <row r="48" spans="1:17" s="42" customFormat="1" ht="15" customHeight="1">
      <c r="A48" s="1306"/>
      <c r="B48" s="1726"/>
      <c r="C48" s="4835"/>
      <c r="D48" s="4836"/>
      <c r="E48" s="1725">
        <f>IF($C48=0,0,VLOOKUP($C48,SDÖ3!$C$24:$O$99,4,FALSE))</f>
        <v>0</v>
      </c>
      <c r="F48" s="1724">
        <f>IF($C48=0,0,VLOOKUP($C48,SDÖ3!$C$24:$O$99,12,FALSE))</f>
        <v>0</v>
      </c>
      <c r="G48" s="1723">
        <f>IF($C48=0,0,VLOOKUP($C48,SDÖ3!$C$24:$O$99,13,FALSE))</f>
        <v>0</v>
      </c>
      <c r="H48" s="1720"/>
      <c r="I48" s="1719">
        <f t="shared" si="4"/>
        <v>0</v>
      </c>
      <c r="J48" s="1718">
        <f t="shared" si="5"/>
        <v>0</v>
      </c>
      <c r="K48" s="1720"/>
      <c r="L48" s="1722">
        <f t="shared" si="6"/>
        <v>0</v>
      </c>
      <c r="M48" s="1721">
        <f t="shared" si="7"/>
        <v>0</v>
      </c>
      <c r="N48" s="1720"/>
      <c r="O48" s="1719">
        <f t="shared" si="8"/>
        <v>0</v>
      </c>
      <c r="P48" s="1718">
        <f t="shared" si="9"/>
        <v>0</v>
      </c>
      <c r="Q48" s="32"/>
    </row>
    <row r="49" spans="1:17" s="42" customFormat="1" ht="15" customHeight="1">
      <c r="A49" s="1306"/>
      <c r="B49" s="1726"/>
      <c r="C49" s="4835"/>
      <c r="D49" s="4836"/>
      <c r="E49" s="1725">
        <f>IF($C49=0,0,VLOOKUP($C49,SDÖ3!$C$24:$O$99,4,FALSE))</f>
        <v>0</v>
      </c>
      <c r="F49" s="1724">
        <f>IF($C49=0,0,VLOOKUP($C49,SDÖ3!$C$24:$O$99,12,FALSE))</f>
        <v>0</v>
      </c>
      <c r="G49" s="1723">
        <f>IF($C49=0,0,VLOOKUP($C49,SDÖ3!$C$24:$O$99,13,FALSE))</f>
        <v>0</v>
      </c>
      <c r="H49" s="1720"/>
      <c r="I49" s="1719">
        <f t="shared" si="4"/>
        <v>0</v>
      </c>
      <c r="J49" s="1718">
        <f t="shared" si="5"/>
        <v>0</v>
      </c>
      <c r="K49" s="1720"/>
      <c r="L49" s="1722">
        <f t="shared" si="6"/>
        <v>0</v>
      </c>
      <c r="M49" s="1721">
        <f t="shared" si="7"/>
        <v>0</v>
      </c>
      <c r="N49" s="1720"/>
      <c r="O49" s="1719">
        <f t="shared" si="8"/>
        <v>0</v>
      </c>
      <c r="P49" s="1718">
        <f t="shared" si="9"/>
        <v>0</v>
      </c>
      <c r="Q49" s="32"/>
    </row>
    <row r="50" spans="1:17" s="42" customFormat="1" ht="15" customHeight="1">
      <c r="A50" s="1306"/>
      <c r="B50" s="1726"/>
      <c r="C50" s="4835"/>
      <c r="D50" s="4836"/>
      <c r="E50" s="1725">
        <f>IF($C50=0,0,VLOOKUP($C50,SDÖ3!$C$24:$O$99,4,FALSE))</f>
        <v>0</v>
      </c>
      <c r="F50" s="1724">
        <f>IF($C50=0,0,VLOOKUP($C50,SDÖ3!$C$24:$O$99,12,FALSE))</f>
        <v>0</v>
      </c>
      <c r="G50" s="1723">
        <f>IF($C50=0,0,VLOOKUP($C50,SDÖ3!$C$24:$O$99,13,FALSE))</f>
        <v>0</v>
      </c>
      <c r="H50" s="1720"/>
      <c r="I50" s="1719">
        <f t="shared" si="4"/>
        <v>0</v>
      </c>
      <c r="J50" s="1718">
        <f t="shared" si="5"/>
        <v>0</v>
      </c>
      <c r="K50" s="1720"/>
      <c r="L50" s="1722">
        <f t="shared" si="6"/>
        <v>0</v>
      </c>
      <c r="M50" s="1721">
        <f t="shared" si="7"/>
        <v>0</v>
      </c>
      <c r="N50" s="1720"/>
      <c r="O50" s="1719">
        <f t="shared" si="8"/>
        <v>0</v>
      </c>
      <c r="P50" s="1718">
        <f t="shared" si="9"/>
        <v>0</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919"/>
      <c r="D55" s="4920"/>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14.25">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847"/>
      <c r="D57" s="4848"/>
      <c r="E57" s="3617">
        <f>IF($C57=0,0,VLOOKUP($C57,SDÖ3!$C$24:$O$99,4,FALSE))</f>
        <v>0</v>
      </c>
      <c r="F57" s="3618">
        <f>IF($C57=0,0,VLOOKUP($C57,SDÖ3!$C$24:$O$99,12,FALSE))</f>
        <v>0</v>
      </c>
      <c r="G57" s="3619">
        <f>IF($C57=0,0,VLOOKUP($C57,SDÖ3!$C$24:$O$99,13,FALSE))</f>
        <v>0</v>
      </c>
      <c r="H57" s="1704"/>
      <c r="I57" s="1703">
        <f>SUM(I44:I56)</f>
        <v>0</v>
      </c>
      <c r="J57" s="1702"/>
      <c r="K57" s="1704"/>
      <c r="L57" s="1705">
        <f>SUM(L44:L56)</f>
        <v>0</v>
      </c>
      <c r="M57" s="1652"/>
      <c r="N57" s="1704"/>
      <c r="O57" s="1703">
        <f>SUM(O44:O56)</f>
        <v>0</v>
      </c>
      <c r="P57" s="1702"/>
      <c r="Q57" s="32"/>
    </row>
    <row r="58" spans="1:17" s="708" customFormat="1" ht="18.75" customHeight="1">
      <c r="A58" s="1270"/>
      <c r="B58" s="1276" t="s">
        <v>1223</v>
      </c>
      <c r="C58" s="1373"/>
      <c r="D58" s="1373"/>
      <c r="E58" s="1373"/>
      <c r="F58" s="38"/>
      <c r="G58" s="1620"/>
      <c r="H58" s="1697"/>
      <c r="I58" s="1696">
        <f>SUM($I$46:$I$57)</f>
        <v>0</v>
      </c>
      <c r="J58" s="1701"/>
      <c r="K58" s="1700"/>
      <c r="L58" s="1699">
        <f>SUM($L$46:$L$57)</f>
        <v>0</v>
      </c>
      <c r="M58" s="1698"/>
      <c r="N58" s="1697"/>
      <c r="O58" s="1696">
        <f>SUM($O$46:$O$57)</f>
        <v>0</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0</v>
      </c>
      <c r="J59" s="1686"/>
      <c r="K59" s="1691"/>
      <c r="L59" s="1690">
        <f>IF(L58+SUM($L$46:$L$57)*$E$59%&gt;L58+10,L58+10,L58+SUM($L$46:$L$57)*$E$59%)</f>
        <v>0</v>
      </c>
      <c r="M59" s="1689"/>
      <c r="N59" s="1688"/>
      <c r="O59" s="1687">
        <f>IF(O58+SUM($O$46:$O$57)*$E$59%&gt;O58+10,O58+10,O58+SUM($O$46:$O$57)*$E$59%)</f>
        <v>0</v>
      </c>
      <c r="P59" s="1686"/>
      <c r="Q59" s="32"/>
    </row>
    <row r="60" spans="1:17" s="65" customFormat="1" ht="18.75" customHeight="1">
      <c r="A60" s="1373"/>
      <c r="B60" s="1276" t="s">
        <v>1220</v>
      </c>
      <c r="C60" s="1373"/>
      <c r="D60" s="1373"/>
      <c r="E60" s="45"/>
      <c r="F60" s="45"/>
      <c r="G60" s="1685"/>
      <c r="H60" s="1677"/>
      <c r="I60" s="1676"/>
      <c r="J60" s="1684">
        <f>IF(J6=0,0,SUM(I62:I64))</f>
        <v>151.9</v>
      </c>
      <c r="K60" s="1680"/>
      <c r="L60" s="1679"/>
      <c r="M60" s="1617">
        <f>IF(M6=0,0,SUM(L62:L64))</f>
        <v>151.9</v>
      </c>
      <c r="N60" s="1677"/>
      <c r="O60" s="1676"/>
      <c r="P60" s="1684">
        <f>IF(P6=0,0,SUM(O62:O64))</f>
        <v>151.9</v>
      </c>
      <c r="Q60" s="32"/>
    </row>
    <row r="61" spans="1:17" s="65" customFormat="1" ht="15" customHeight="1">
      <c r="A61" s="1373"/>
      <c r="B61" s="1613"/>
      <c r="C61" s="1612" t="s">
        <v>1212</v>
      </c>
      <c r="D61" s="1683">
        <f>SDÖ1!$O$11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t="s">
        <v>340</v>
      </c>
      <c r="D62" s="4833"/>
      <c r="E62" s="4833"/>
      <c r="F62" s="1674">
        <f>IF($C62=0,0,VLOOKUP($C62,'SDK3'!$C$98:$D$119,2,FALSE))</f>
        <v>151.9</v>
      </c>
      <c r="G62" s="1673">
        <f>(100+$D$61)/100*F62</f>
        <v>151.9</v>
      </c>
      <c r="H62" s="227"/>
      <c r="I62" s="1669">
        <f>$G$62</f>
        <v>151.9</v>
      </c>
      <c r="J62" s="227"/>
      <c r="K62" s="1672"/>
      <c r="L62" s="1671">
        <f>$G$62</f>
        <v>151.9</v>
      </c>
      <c r="M62" s="1589"/>
      <c r="N62" s="1670"/>
      <c r="O62" s="1669">
        <f>$G$62</f>
        <v>151.9</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 customHeight="1">
      <c r="A68" s="1270"/>
      <c r="B68" s="1637"/>
      <c r="C68" s="4839" t="s">
        <v>1215</v>
      </c>
      <c r="D68" s="4839"/>
      <c r="E68" s="4839"/>
      <c r="F68" s="1636"/>
      <c r="G68" s="1627" t="s">
        <v>171</v>
      </c>
      <c r="H68" s="1634"/>
      <c r="I68" s="1633"/>
      <c r="J68" s="1632"/>
      <c r="K68" s="1634"/>
      <c r="L68" s="1633"/>
      <c r="M68" s="1635"/>
      <c r="N68" s="1634"/>
      <c r="O68" s="1633"/>
      <c r="P68" s="1632"/>
      <c r="Q68" s="32"/>
      <c r="R68" s="1631">
        <f>IF($H$64=0,0,VLOOKUP($H$64,#REF!,#REF!,FALSE))*(1+SDÖ1!$O$11/100)</f>
        <v>0</v>
      </c>
      <c r="S68" s="1631">
        <f>IF($K$64=0,0,VLOOKUP($K$64,#REF!,#REF!,FALSE))*(1+SDÖ1!$O$11/100)</f>
        <v>0</v>
      </c>
      <c r="T68" s="1631">
        <f>IF($N$64=0,0,VLOOKUP($N$64,#REF!,#REF!,FALSE))*(1+SDÖ1!$O$11/100)</f>
        <v>0</v>
      </c>
    </row>
    <row r="69" spans="1:20" s="708" customFormat="1" ht="18.75"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1.4282916666666667</v>
      </c>
      <c r="K75" s="3063"/>
      <c r="L75" s="1056"/>
      <c r="M75" s="1578">
        <f>(M23+M27+M34+M43+M60+M65+M67+M69+M71)*('SDK1'!$O$59%*$G$75/12)</f>
        <v>1.0812083333333333</v>
      </c>
      <c r="N75" s="1580"/>
      <c r="O75" s="1579"/>
      <c r="P75" s="1578">
        <f>(P23+P27+P34+P43+P60+P65+P67+P69+P71)*('SDK1'!$O$59%*$G$75/12)</f>
        <v>0.73412500000000003</v>
      </c>
      <c r="Q75" s="32"/>
    </row>
    <row r="76" spans="1:20">
      <c r="G76" s="3642"/>
      <c r="H76" s="3642"/>
      <c r="I76" s="3642"/>
      <c r="J76" s="3642"/>
      <c r="K76" s="3642"/>
      <c r="L76" s="3642"/>
      <c r="M76" s="3642"/>
      <c r="N76" s="3642"/>
      <c r="O76" s="3642"/>
      <c r="P76" s="3642"/>
    </row>
    <row r="77" spans="1:20">
      <c r="G77" s="3642"/>
      <c r="H77" s="3642"/>
      <c r="I77" s="3642"/>
      <c r="J77" s="3642"/>
      <c r="K77" s="3642"/>
      <c r="L77" s="3642"/>
      <c r="M77" s="3642"/>
      <c r="N77" s="3642"/>
      <c r="O77" s="3642"/>
      <c r="P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row>
    <row r="80" spans="1:20"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K90" s="3642"/>
      <c r="L90" s="3642"/>
      <c r="M90" s="3642"/>
      <c r="N90" s="3642"/>
      <c r="O90" s="3642"/>
      <c r="P90" s="3642"/>
    </row>
    <row r="91" spans="2:16">
      <c r="C91" s="2538"/>
      <c r="D91" s="2538"/>
      <c r="E91" s="2538"/>
      <c r="F91" s="2538"/>
      <c r="G91" s="3642"/>
      <c r="H91" s="3642"/>
      <c r="I91" s="3642"/>
      <c r="J91" s="3642"/>
      <c r="K91" s="3642"/>
      <c r="L91" s="3642"/>
      <c r="M91" s="3642"/>
      <c r="N91" s="3642"/>
      <c r="O91" s="3642"/>
      <c r="P91" s="3642"/>
    </row>
    <row r="92" spans="2:16">
      <c r="C92" s="2538"/>
      <c r="D92" s="2538"/>
      <c r="E92" s="2538"/>
      <c r="F92" s="2538"/>
      <c r="G92" s="3642"/>
      <c r="H92" s="3642"/>
      <c r="I92" s="3642"/>
      <c r="J92" s="3642"/>
      <c r="K92" s="3642"/>
      <c r="L92" s="3642"/>
      <c r="M92" s="3642"/>
      <c r="N92" s="3642"/>
      <c r="O92" s="3642"/>
      <c r="P92" s="3642"/>
    </row>
    <row r="93" spans="2:16">
      <c r="C93" s="2538"/>
      <c r="D93" s="2538"/>
      <c r="E93" s="2538"/>
      <c r="F93" s="2538"/>
      <c r="G93" s="3642"/>
      <c r="H93" s="3642"/>
      <c r="I93" s="3642"/>
      <c r="J93" s="3642"/>
      <c r="K93" s="3642"/>
      <c r="L93" s="3642"/>
      <c r="M93" s="3642"/>
      <c r="N93" s="3642"/>
      <c r="O93" s="3642"/>
      <c r="P93" s="3642"/>
    </row>
    <row r="94" spans="2:16">
      <c r="C94" s="2538"/>
      <c r="D94" s="2538"/>
      <c r="E94" s="2538"/>
      <c r="F94" s="2538"/>
      <c r="G94" s="3642"/>
      <c r="H94" s="3642"/>
      <c r="I94" s="3642"/>
      <c r="J94" s="3642"/>
      <c r="K94" s="3642"/>
      <c r="L94" s="3642"/>
      <c r="M94" s="3642"/>
      <c r="N94" s="3642"/>
      <c r="O94" s="3642"/>
      <c r="P94" s="3642"/>
    </row>
    <row r="95" spans="2:16">
      <c r="C95" s="2538"/>
      <c r="D95" s="2538"/>
      <c r="E95" s="2538"/>
      <c r="F95" s="2538"/>
      <c r="G95" s="3642"/>
      <c r="H95" s="3642"/>
      <c r="I95" s="3642"/>
      <c r="J95" s="3642"/>
      <c r="K95" s="3642"/>
      <c r="L95" s="3642"/>
      <c r="M95" s="3642"/>
      <c r="N95" s="3642"/>
      <c r="O95" s="3642"/>
      <c r="P95" s="3642"/>
    </row>
    <row r="96" spans="2:16">
      <c r="C96" s="2538"/>
      <c r="D96" s="2538"/>
      <c r="E96" s="2538"/>
      <c r="F96" s="2538"/>
      <c r="G96" s="3642"/>
      <c r="H96" s="3642"/>
      <c r="I96" s="3642"/>
      <c r="J96" s="3642"/>
      <c r="K96" s="3642"/>
      <c r="L96" s="3642"/>
      <c r="M96" s="3642"/>
      <c r="N96" s="3642"/>
      <c r="O96" s="3642"/>
      <c r="P96" s="3642"/>
    </row>
    <row r="97" spans="2:16">
      <c r="C97" s="2538"/>
      <c r="D97" s="2538"/>
      <c r="E97" s="2538"/>
      <c r="G97" s="3642"/>
      <c r="H97" s="3642"/>
      <c r="I97" s="3642"/>
      <c r="J97" s="3642"/>
      <c r="K97" s="3642"/>
      <c r="L97" s="3642"/>
      <c r="M97" s="3642"/>
      <c r="N97" s="3642"/>
      <c r="O97" s="3642"/>
      <c r="P97" s="3642"/>
    </row>
    <row r="98" spans="2:16">
      <c r="B98" s="3642"/>
      <c r="C98" s="3642"/>
      <c r="D98" s="3642"/>
      <c r="G98" s="3642"/>
      <c r="H98" s="3642"/>
      <c r="I98" s="3642"/>
      <c r="J98" s="3642"/>
      <c r="K98" s="3642"/>
      <c r="L98" s="3642"/>
      <c r="M98" s="3642"/>
      <c r="N98" s="3642"/>
      <c r="O98" s="3642"/>
      <c r="P98" s="3642"/>
    </row>
    <row r="99" spans="2:16">
      <c r="B99" s="3642"/>
      <c r="C99" s="3642"/>
      <c r="D99" s="3642"/>
      <c r="G99" s="3642"/>
      <c r="H99" s="3642"/>
      <c r="I99" s="3642"/>
      <c r="J99" s="3642"/>
      <c r="K99" s="3642"/>
      <c r="L99" s="3642"/>
      <c r="M99" s="3642"/>
      <c r="N99" s="3642"/>
      <c r="O99" s="3642"/>
      <c r="P99" s="3642"/>
    </row>
    <row r="100" spans="2:16">
      <c r="B100" s="3642"/>
      <c r="C100" s="3642"/>
      <c r="D100" s="3642"/>
      <c r="G100" s="3642"/>
      <c r="H100" s="3642"/>
      <c r="I100" s="3642"/>
      <c r="J100" s="3642"/>
      <c r="K100" s="3642"/>
      <c r="L100" s="3642"/>
      <c r="M100" s="3642"/>
      <c r="N100" s="3642"/>
      <c r="O100" s="3642"/>
      <c r="P100" s="3642"/>
    </row>
    <row r="101" spans="2:16">
      <c r="B101" s="3642"/>
      <c r="C101" s="3642"/>
      <c r="D101" s="3642"/>
      <c r="G101" s="3642"/>
      <c r="H101" s="3642"/>
      <c r="I101" s="3642"/>
      <c r="J101" s="3642"/>
      <c r="K101" s="3642"/>
      <c r="L101" s="3642"/>
      <c r="M101" s="3642"/>
      <c r="N101" s="3642"/>
      <c r="O101" s="3642"/>
      <c r="P101" s="3642"/>
    </row>
    <row r="102" spans="2:16">
      <c r="B102" s="3642"/>
      <c r="C102" s="3642"/>
      <c r="D102" s="3642"/>
      <c r="G102" s="3642"/>
      <c r="H102" s="3642"/>
      <c r="I102" s="3642"/>
      <c r="J102" s="3642"/>
      <c r="K102" s="3642"/>
      <c r="L102" s="3642"/>
      <c r="M102" s="3642"/>
      <c r="N102" s="3642"/>
      <c r="O102" s="3642"/>
      <c r="P102" s="3642"/>
    </row>
    <row r="103" spans="2:16">
      <c r="B103" s="3642"/>
      <c r="C103" s="3642"/>
      <c r="D103" s="3642"/>
      <c r="G103" s="3642"/>
      <c r="H103" s="3642"/>
      <c r="I103" s="3642"/>
      <c r="J103" s="3642"/>
      <c r="K103" s="3642"/>
      <c r="L103" s="3642"/>
      <c r="M103" s="3642"/>
      <c r="N103" s="3642"/>
      <c r="O103" s="3642"/>
      <c r="P103" s="3642"/>
    </row>
    <row r="104" spans="2:16">
      <c r="B104" s="3642"/>
      <c r="C104" s="3642"/>
      <c r="D104" s="3642"/>
      <c r="G104" s="3642"/>
      <c r="H104" s="3642"/>
      <c r="I104" s="3642"/>
      <c r="J104" s="3642"/>
      <c r="K104" s="3642"/>
      <c r="L104" s="3642"/>
      <c r="M104" s="3642"/>
      <c r="N104" s="3642"/>
      <c r="O104" s="3642"/>
      <c r="P104" s="3642"/>
    </row>
    <row r="105" spans="2:16">
      <c r="B105" s="3642"/>
      <c r="C105" s="3642"/>
      <c r="D105" s="3642"/>
      <c r="G105" s="3642"/>
      <c r="H105" s="3642"/>
      <c r="I105" s="3642"/>
      <c r="J105" s="3642"/>
      <c r="K105" s="3642"/>
      <c r="L105" s="3642"/>
      <c r="M105" s="3642"/>
      <c r="N105" s="3642"/>
      <c r="O105" s="3642"/>
      <c r="P105" s="3642"/>
    </row>
    <row r="106" spans="2:16">
      <c r="B106" s="3642"/>
      <c r="C106" s="3642"/>
      <c r="D106" s="3642"/>
      <c r="G106" s="3642"/>
      <c r="H106" s="3642"/>
      <c r="I106" s="3642"/>
      <c r="J106" s="3642"/>
      <c r="K106" s="3642"/>
      <c r="L106" s="3642"/>
      <c r="M106" s="3642"/>
      <c r="N106" s="3642"/>
      <c r="O106" s="3642"/>
      <c r="P106" s="3642"/>
    </row>
    <row r="107" spans="2:16">
      <c r="G107" s="3642"/>
      <c r="H107" s="3642"/>
      <c r="I107" s="3642"/>
      <c r="J107" s="3642"/>
      <c r="K107" s="3642"/>
      <c r="L107" s="3642"/>
      <c r="M107" s="3642"/>
      <c r="N107" s="3642"/>
      <c r="O107" s="3642"/>
      <c r="P107" s="3642"/>
    </row>
    <row r="108" spans="2:16">
      <c r="G108" s="3642"/>
      <c r="H108" s="3642"/>
      <c r="I108" s="3642"/>
      <c r="J108" s="3642"/>
      <c r="K108" s="3642"/>
      <c r="L108" s="3642"/>
      <c r="M108" s="3642"/>
      <c r="N108" s="3642"/>
      <c r="O108" s="3642"/>
      <c r="P108" s="3642"/>
    </row>
    <row r="109" spans="2:16">
      <c r="G109" s="3642"/>
      <c r="H109" s="3642"/>
      <c r="I109" s="3642"/>
      <c r="J109" s="3642"/>
      <c r="K109" s="3642"/>
      <c r="L109" s="3642"/>
      <c r="M109" s="3642"/>
      <c r="N109" s="3642"/>
      <c r="O109" s="3642"/>
      <c r="P109" s="3642"/>
    </row>
    <row r="110" spans="2:16">
      <c r="G110" s="3642"/>
      <c r="H110" s="3642"/>
      <c r="I110" s="3642"/>
      <c r="J110" s="3642"/>
      <c r="K110" s="3642"/>
      <c r="L110" s="3642"/>
      <c r="M110" s="3642"/>
      <c r="N110" s="3642"/>
      <c r="O110" s="3642"/>
      <c r="P110" s="3642"/>
    </row>
    <row r="111" spans="2:16">
      <c r="G111" s="3642"/>
      <c r="H111" s="3642"/>
      <c r="I111" s="3642"/>
      <c r="J111" s="3642"/>
      <c r="K111" s="3642"/>
      <c r="L111" s="3642"/>
      <c r="M111" s="3642"/>
      <c r="N111" s="3642"/>
      <c r="O111" s="3642"/>
      <c r="P111" s="3642"/>
    </row>
    <row r="112" spans="2:16">
      <c r="G112" s="3642"/>
      <c r="H112" s="3642"/>
      <c r="I112" s="3642"/>
      <c r="J112" s="3642"/>
      <c r="K112" s="3642"/>
      <c r="L112" s="3642"/>
      <c r="M112" s="3642"/>
      <c r="N112" s="3642"/>
      <c r="O112" s="3642"/>
      <c r="P112" s="3642"/>
    </row>
    <row r="113" spans="2:16">
      <c r="G113" s="3642"/>
      <c r="H113" s="3642"/>
      <c r="I113" s="3642"/>
      <c r="J113" s="3642"/>
      <c r="K113" s="3642"/>
      <c r="L113" s="3642"/>
      <c r="M113" s="3642"/>
      <c r="N113" s="3642"/>
      <c r="O113" s="3642"/>
      <c r="P113" s="3642"/>
    </row>
    <row r="114" spans="2:16">
      <c r="G114" s="3642"/>
      <c r="H114" s="3642"/>
      <c r="I114" s="3642"/>
      <c r="J114" s="3642"/>
      <c r="K114" s="3642"/>
      <c r="L114" s="3642"/>
      <c r="M114" s="3642"/>
      <c r="N114" s="3642"/>
      <c r="O114" s="3642"/>
      <c r="P114" s="3642"/>
    </row>
    <row r="115" spans="2:16">
      <c r="G115" s="3642"/>
      <c r="H115" s="3642"/>
      <c r="I115" s="3642"/>
      <c r="J115" s="3642"/>
      <c r="K115" s="3642"/>
      <c r="L115" s="3642"/>
      <c r="M115" s="3642"/>
      <c r="N115" s="3642"/>
      <c r="O115" s="3642"/>
      <c r="P115" s="3642"/>
    </row>
    <row r="116" spans="2:16">
      <c r="G116" s="3642"/>
      <c r="H116" s="3642"/>
      <c r="I116" s="3642"/>
      <c r="J116" s="3642"/>
      <c r="K116" s="3642"/>
      <c r="L116" s="3642"/>
      <c r="M116" s="3642"/>
      <c r="N116" s="3642"/>
      <c r="O116" s="3642"/>
      <c r="P116" s="3642"/>
    </row>
    <row r="117" spans="2:16">
      <c r="G117" s="3642"/>
      <c r="H117" s="3642"/>
      <c r="I117" s="3642"/>
      <c r="J117" s="3642"/>
      <c r="K117" s="3642"/>
      <c r="L117" s="3642"/>
      <c r="M117" s="3642"/>
      <c r="N117" s="3642"/>
      <c r="O117" s="3642"/>
      <c r="P117" s="3642"/>
    </row>
    <row r="118" spans="2:16">
      <c r="B118" s="622"/>
      <c r="C118" s="33"/>
      <c r="G118" s="3642"/>
      <c r="H118" s="3642"/>
      <c r="I118" s="3642"/>
      <c r="J118" s="3642"/>
      <c r="K118" s="3642"/>
      <c r="L118" s="3642"/>
      <c r="M118" s="3642"/>
      <c r="N118" s="3642"/>
      <c r="O118" s="3642"/>
      <c r="P118" s="3642"/>
    </row>
    <row r="119" spans="2:16">
      <c r="B119" s="622"/>
      <c r="C119" s="33"/>
      <c r="G119" s="3642"/>
      <c r="H119" s="3642"/>
      <c r="I119" s="3642"/>
      <c r="J119" s="3642"/>
      <c r="K119" s="3642"/>
      <c r="L119" s="3642"/>
      <c r="M119" s="3642"/>
      <c r="N119" s="3642"/>
      <c r="O119" s="3642"/>
      <c r="P119" s="3642"/>
    </row>
    <row r="120" spans="2:16">
      <c r="B120" s="622"/>
      <c r="C120" s="33"/>
      <c r="G120" s="3642"/>
      <c r="H120" s="3642"/>
      <c r="I120" s="3642"/>
      <c r="J120" s="3642"/>
      <c r="K120" s="3642"/>
      <c r="L120" s="3642"/>
      <c r="M120" s="3642"/>
      <c r="N120" s="3642"/>
      <c r="O120" s="3642"/>
      <c r="P120" s="3642"/>
    </row>
    <row r="121" spans="2:16">
      <c r="B121" s="622"/>
      <c r="C121" s="33"/>
      <c r="G121" s="3642"/>
      <c r="H121" s="3642"/>
      <c r="I121" s="3642"/>
      <c r="J121" s="3642"/>
      <c r="K121" s="3642"/>
      <c r="L121" s="3642"/>
      <c r="M121" s="3642"/>
      <c r="N121" s="3642"/>
      <c r="O121" s="3642"/>
      <c r="P121" s="3642"/>
    </row>
    <row r="122" spans="2:16">
      <c r="B122" s="622"/>
      <c r="C122" s="33"/>
      <c r="G122" s="3642"/>
      <c r="H122" s="3642"/>
      <c r="I122" s="3642"/>
      <c r="J122" s="3642"/>
      <c r="K122" s="3642"/>
      <c r="L122" s="3642"/>
      <c r="M122" s="3642"/>
      <c r="N122" s="3642"/>
      <c r="O122" s="3642"/>
      <c r="P122" s="3642"/>
    </row>
    <row r="123" spans="2:16">
      <c r="B123" s="622"/>
      <c r="C123" s="33"/>
      <c r="G123" s="3642"/>
      <c r="H123" s="3642"/>
      <c r="I123" s="3642"/>
      <c r="J123" s="3642"/>
      <c r="K123" s="3642"/>
      <c r="L123" s="3642"/>
      <c r="M123" s="3642"/>
      <c r="N123" s="3642"/>
      <c r="O123" s="3642"/>
      <c r="P123" s="3642"/>
    </row>
    <row r="124" spans="2:16">
      <c r="B124" s="622"/>
      <c r="C124" s="33"/>
      <c r="G124" s="3642"/>
      <c r="H124" s="3642"/>
      <c r="I124" s="3642"/>
      <c r="J124" s="3642"/>
      <c r="K124" s="3642"/>
      <c r="L124" s="3642"/>
      <c r="M124" s="3642"/>
      <c r="N124" s="3642"/>
      <c r="O124" s="3642"/>
      <c r="P124" s="3642"/>
    </row>
    <row r="125" spans="2:16">
      <c r="B125" s="622"/>
      <c r="C125" s="33"/>
      <c r="G125" s="3642"/>
      <c r="H125" s="3642"/>
      <c r="I125" s="3642"/>
      <c r="J125" s="3642"/>
      <c r="K125" s="3642"/>
      <c r="L125" s="3642"/>
      <c r="M125" s="3642"/>
      <c r="N125" s="3642"/>
      <c r="O125" s="3642"/>
      <c r="P125" s="3642"/>
    </row>
    <row r="126" spans="2:16">
      <c r="B126" s="622"/>
      <c r="C126" s="33"/>
      <c r="G126" s="3642"/>
      <c r="H126" s="3642"/>
      <c r="I126" s="3642"/>
      <c r="J126" s="3642"/>
      <c r="K126" s="3642"/>
      <c r="L126" s="3642"/>
      <c r="M126" s="3642"/>
      <c r="N126" s="3642"/>
      <c r="O126" s="3642"/>
      <c r="P126" s="3642"/>
    </row>
    <row r="127" spans="2:16">
      <c r="B127" s="622"/>
      <c r="C127" s="33"/>
      <c r="G127" s="3642"/>
      <c r="H127" s="3642"/>
      <c r="I127" s="3642"/>
      <c r="J127" s="3642"/>
      <c r="K127" s="3642"/>
      <c r="L127" s="3642"/>
      <c r="M127" s="3642"/>
      <c r="N127" s="3642"/>
      <c r="O127" s="3642"/>
      <c r="P127" s="3642"/>
    </row>
    <row r="128" spans="2:16">
      <c r="B128" s="622"/>
      <c r="C128" s="33"/>
      <c r="G128" s="3642"/>
      <c r="H128" s="3642"/>
      <c r="I128" s="3642"/>
      <c r="J128" s="3642"/>
      <c r="K128" s="3642"/>
      <c r="L128" s="3642"/>
      <c r="M128" s="3642"/>
      <c r="N128" s="3642"/>
      <c r="O128" s="3642"/>
      <c r="P128" s="3642"/>
    </row>
    <row r="129" spans="2:16">
      <c r="B129" s="622"/>
      <c r="C129" s="33"/>
      <c r="G129" s="3642"/>
      <c r="H129" s="3642"/>
      <c r="I129" s="3642"/>
      <c r="J129" s="3642"/>
      <c r="K129" s="3642"/>
      <c r="L129" s="3642"/>
      <c r="M129" s="3642"/>
      <c r="N129" s="3642"/>
      <c r="O129" s="3642"/>
      <c r="P129" s="3642"/>
    </row>
    <row r="130" spans="2:16">
      <c r="B130" s="622"/>
      <c r="C130" s="33"/>
      <c r="G130" s="3642"/>
      <c r="H130" s="3642"/>
      <c r="I130" s="3642"/>
      <c r="J130" s="3642"/>
      <c r="K130" s="3642"/>
      <c r="L130" s="3642"/>
      <c r="M130" s="3642"/>
      <c r="N130" s="3642"/>
      <c r="O130" s="3642"/>
      <c r="P130" s="3642"/>
    </row>
    <row r="131" spans="2:16">
      <c r="B131" s="622"/>
      <c r="C131" s="33"/>
      <c r="G131" s="3642"/>
      <c r="H131" s="3642"/>
      <c r="I131" s="3642"/>
      <c r="J131" s="3642"/>
      <c r="K131" s="3642"/>
      <c r="L131" s="3642"/>
      <c r="M131" s="3642"/>
      <c r="N131" s="3642"/>
      <c r="O131" s="3642"/>
      <c r="P131" s="3642"/>
    </row>
    <row r="132" spans="2:16">
      <c r="B132" s="622"/>
      <c r="C132" s="33"/>
      <c r="G132" s="3642"/>
      <c r="H132" s="3642"/>
      <c r="I132" s="3642"/>
      <c r="J132" s="3642"/>
      <c r="K132" s="3642"/>
      <c r="L132" s="3642"/>
      <c r="M132" s="3642"/>
      <c r="N132" s="3642"/>
      <c r="O132" s="3642"/>
      <c r="P132" s="3642"/>
    </row>
    <row r="133" spans="2:16">
      <c r="B133" s="622"/>
      <c r="C133" s="33"/>
      <c r="G133" s="3642"/>
      <c r="H133" s="3642"/>
      <c r="I133" s="3642"/>
      <c r="J133" s="3642"/>
      <c r="K133" s="3642"/>
      <c r="L133" s="3642"/>
      <c r="M133" s="3642"/>
      <c r="N133" s="3642"/>
      <c r="O133" s="3642"/>
      <c r="P133" s="3642"/>
    </row>
    <row r="134" spans="2:16">
      <c r="B134" s="622"/>
      <c r="C134" s="33"/>
      <c r="G134" s="3642"/>
      <c r="H134" s="3642"/>
      <c r="I134" s="3642"/>
      <c r="J134" s="3642"/>
      <c r="K134" s="3642"/>
      <c r="L134" s="3642"/>
      <c r="M134" s="3642"/>
      <c r="N134" s="3642"/>
      <c r="O134" s="3642"/>
      <c r="P134" s="3642"/>
    </row>
    <row r="135" spans="2:16">
      <c r="B135" s="622"/>
      <c r="C135" s="33"/>
      <c r="G135" s="3642"/>
      <c r="H135" s="3642"/>
      <c r="I135" s="3642"/>
      <c r="J135" s="3642"/>
      <c r="K135" s="3642"/>
      <c r="L135" s="3642"/>
      <c r="M135" s="3642"/>
      <c r="N135" s="3642"/>
      <c r="O135" s="3642"/>
      <c r="P135" s="3642"/>
    </row>
    <row r="136" spans="2:16">
      <c r="B136" s="622"/>
      <c r="C136" s="33"/>
      <c r="G136" s="3642"/>
      <c r="H136" s="3642"/>
      <c r="I136" s="3642"/>
      <c r="J136" s="3642"/>
      <c r="K136" s="3642"/>
      <c r="L136" s="3642"/>
      <c r="M136" s="3642"/>
      <c r="N136" s="3642"/>
      <c r="O136" s="3642"/>
      <c r="P136" s="3642"/>
    </row>
    <row r="137" spans="2:16">
      <c r="B137" s="622"/>
      <c r="C137" s="33"/>
      <c r="G137" s="3642"/>
      <c r="H137" s="3642"/>
      <c r="I137" s="3642"/>
      <c r="J137" s="3642"/>
      <c r="K137" s="3642"/>
      <c r="L137" s="3642"/>
      <c r="M137" s="3642"/>
      <c r="N137" s="3642"/>
      <c r="O137" s="3642"/>
      <c r="P137" s="3642"/>
    </row>
    <row r="138" spans="2:16">
      <c r="B138" s="622"/>
      <c r="C138" s="33"/>
      <c r="G138" s="3642"/>
      <c r="H138" s="3642"/>
      <c r="I138" s="3642"/>
      <c r="J138" s="3642"/>
      <c r="K138" s="3642"/>
      <c r="L138" s="3642"/>
      <c r="M138" s="3642"/>
      <c r="N138" s="3642"/>
      <c r="O138" s="3642"/>
      <c r="P138" s="3642"/>
    </row>
    <row r="139" spans="2:16">
      <c r="B139" s="622"/>
      <c r="C139" s="33"/>
      <c r="G139" s="3642"/>
      <c r="H139" s="3642"/>
      <c r="I139" s="3642"/>
      <c r="J139" s="3642"/>
      <c r="K139" s="3642"/>
      <c r="L139" s="3642"/>
      <c r="M139" s="3642"/>
      <c r="N139" s="3642"/>
      <c r="O139" s="3642"/>
      <c r="P139" s="3642"/>
    </row>
    <row r="140" spans="2:16">
      <c r="B140" s="622"/>
      <c r="C140" s="33"/>
      <c r="G140" s="3642"/>
      <c r="H140" s="3642"/>
      <c r="I140" s="3642"/>
      <c r="J140" s="3642"/>
      <c r="K140" s="3642"/>
      <c r="L140" s="3642"/>
      <c r="M140" s="3642"/>
      <c r="N140" s="3642"/>
      <c r="O140" s="3642"/>
      <c r="P140" s="3642"/>
    </row>
    <row r="141" spans="2:16">
      <c r="B141" s="622"/>
      <c r="C141" s="33"/>
      <c r="G141" s="3642"/>
      <c r="H141" s="3642"/>
      <c r="I141" s="3642"/>
      <c r="J141" s="3642"/>
      <c r="K141" s="3642"/>
      <c r="L141" s="3642"/>
      <c r="M141" s="3642"/>
      <c r="N141" s="3642"/>
      <c r="O141" s="3642"/>
      <c r="P141" s="3642"/>
    </row>
    <row r="142" spans="2:16">
      <c r="B142" s="622"/>
      <c r="C142" s="33"/>
      <c r="G142" s="3642"/>
      <c r="H142" s="3642"/>
      <c r="I142" s="3642"/>
      <c r="J142" s="3642"/>
      <c r="K142" s="3642"/>
      <c r="L142" s="3642"/>
      <c r="M142" s="3642"/>
      <c r="N142" s="3642"/>
      <c r="O142" s="3642"/>
      <c r="P142" s="3642"/>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F147" s="33"/>
      <c r="G147" s="33"/>
      <c r="H147" s="33"/>
      <c r="I147" s="33"/>
      <c r="J147" s="33"/>
    </row>
    <row r="148" spans="2:12">
      <c r="B148" s="622"/>
      <c r="C148" s="33"/>
      <c r="F148" s="33"/>
      <c r="G148" s="33"/>
      <c r="H148" s="33"/>
      <c r="I148" s="33"/>
      <c r="J148" s="33"/>
    </row>
    <row r="149" spans="2:12">
      <c r="B149" s="622"/>
      <c r="C149" s="33"/>
      <c r="D149" s="33"/>
      <c r="F149" s="33"/>
      <c r="G149" s="33"/>
      <c r="H149" s="33"/>
      <c r="I149" s="33"/>
      <c r="J149" s="33"/>
    </row>
    <row r="150" spans="2:12">
      <c r="B150" s="622"/>
      <c r="C150" s="33"/>
      <c r="D150" s="33"/>
      <c r="F150" s="33"/>
      <c r="G150" s="33"/>
      <c r="H150" s="33"/>
      <c r="I150" s="33"/>
      <c r="J150" s="33"/>
    </row>
    <row r="151" spans="2:12">
      <c r="B151" s="622"/>
      <c r="C151" s="33"/>
      <c r="D151" s="33"/>
      <c r="F151" s="33"/>
      <c r="G151" s="33"/>
      <c r="H151" s="33"/>
      <c r="I151" s="33"/>
      <c r="J151" s="33"/>
    </row>
    <row r="152" spans="2:12">
      <c r="B152" s="622"/>
      <c r="C152" s="33"/>
      <c r="D152" s="33"/>
      <c r="F152" s="33"/>
      <c r="G152" s="33"/>
      <c r="H152" s="33"/>
      <c r="I152" s="33"/>
      <c r="J152" s="33"/>
    </row>
    <row r="153" spans="2:12">
      <c r="B153" s="622"/>
      <c r="C153" s="33"/>
      <c r="D153" s="33"/>
      <c r="F153" s="33"/>
      <c r="G153" s="33"/>
      <c r="H153" s="33"/>
      <c r="I153" s="33"/>
      <c r="J153" s="33"/>
    </row>
    <row r="154" spans="2:12">
      <c r="B154" s="622"/>
      <c r="C154" s="33"/>
      <c r="D154" s="33"/>
      <c r="F154" s="33"/>
      <c r="G154" s="33"/>
      <c r="H154" s="33"/>
      <c r="I154" s="33"/>
      <c r="J154" s="33"/>
    </row>
    <row r="155" spans="2:12">
      <c r="B155" s="622"/>
      <c r="C155" s="33"/>
      <c r="D155" s="33"/>
      <c r="F155" s="33"/>
      <c r="G155" s="33"/>
      <c r="H155" s="33"/>
      <c r="I155" s="33"/>
      <c r="J155" s="33"/>
    </row>
    <row r="156" spans="2:12">
      <c r="B156" s="622"/>
      <c r="C156" s="33"/>
      <c r="D156" s="33"/>
      <c r="F156" s="33"/>
      <c r="G156" s="33"/>
      <c r="H156" s="33"/>
      <c r="I156" s="33"/>
      <c r="J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9">
    <mergeCell ref="C49:D49"/>
    <mergeCell ref="C37:E37"/>
    <mergeCell ref="E22:G22"/>
    <mergeCell ref="C55:D55"/>
    <mergeCell ref="C63:E63"/>
    <mergeCell ref="C38:E38"/>
    <mergeCell ref="C39:E39"/>
    <mergeCell ref="C40:E40"/>
    <mergeCell ref="C46:D46"/>
    <mergeCell ref="C47:D47"/>
    <mergeCell ref="C48:D48"/>
    <mergeCell ref="C42:E42"/>
    <mergeCell ref="C50:D50"/>
    <mergeCell ref="C51:D51"/>
    <mergeCell ref="C52:D52"/>
    <mergeCell ref="C41:E41"/>
    <mergeCell ref="C36:E36"/>
    <mergeCell ref="F23:G23"/>
    <mergeCell ref="D25:E25"/>
    <mergeCell ref="D26:E26"/>
    <mergeCell ref="F34:G34"/>
    <mergeCell ref="C17:F17"/>
    <mergeCell ref="C19:F19"/>
    <mergeCell ref="H6:I6"/>
    <mergeCell ref="C14:F14"/>
    <mergeCell ref="C15:F15"/>
    <mergeCell ref="C16:F16"/>
    <mergeCell ref="K6:L6"/>
    <mergeCell ref="K1:L1"/>
    <mergeCell ref="N6:O6"/>
    <mergeCell ref="E10:F10"/>
    <mergeCell ref="N1:O1"/>
    <mergeCell ref="J3:L3"/>
    <mergeCell ref="N3:O4"/>
    <mergeCell ref="E4:I4"/>
    <mergeCell ref="J4:L4"/>
    <mergeCell ref="G1:I1"/>
    <mergeCell ref="C64:E64"/>
    <mergeCell ref="C78:F78"/>
    <mergeCell ref="C79:F79"/>
    <mergeCell ref="C53:D53"/>
    <mergeCell ref="C57:D57"/>
    <mergeCell ref="C62:E62"/>
    <mergeCell ref="C54:D54"/>
    <mergeCell ref="C56:D56"/>
    <mergeCell ref="C74:E74"/>
    <mergeCell ref="B75:C75"/>
    <mergeCell ref="C68:E68"/>
    <mergeCell ref="C73:E73"/>
  </mergeCells>
  <dataValidations count="2">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Gmünd&amp;C24&amp;R&amp;11&amp;F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7" r:id="rId4" name="Check Box 17">
              <controlPr defaultSize="0" print="0" autoFill="0" autoLine="0" autoPict="0">
                <anchor moveWithCells="1">
                  <from>
                    <xdr:col>12</xdr:col>
                    <xdr:colOff>161925</xdr:colOff>
                    <xdr:row>2</xdr:row>
                    <xdr:rowOff>76200</xdr:rowOff>
                  </from>
                  <to>
                    <xdr:col>12</xdr:col>
                    <xdr:colOff>285750</xdr:colOff>
                    <xdr:row>2</xdr:row>
                    <xdr:rowOff>190500</xdr:rowOff>
                  </to>
                </anchor>
              </controlPr>
            </control>
          </mc:Choice>
        </mc:AlternateContent>
        <mc:AlternateContent xmlns:mc="http://schemas.openxmlformats.org/markup-compatibility/2006">
          <mc:Choice Requires="x14">
            <control shapeId="87058" r:id="rId5" name="Check Box 18">
              <controlPr defaultSize="0" print="0" autoFill="0" autoLine="0" autoPict="0">
                <anchor moveWithCells="1">
                  <from>
                    <xdr:col>12</xdr:col>
                    <xdr:colOff>171450</xdr:colOff>
                    <xdr:row>3</xdr:row>
                    <xdr:rowOff>76200</xdr:rowOff>
                  </from>
                  <to>
                    <xdr:col>12</xdr:col>
                    <xdr:colOff>295275</xdr:colOff>
                    <xdr:row>3</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tabColor rgb="FF92D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125" style="32" hidden="1" customWidth="1"/>
    <col min="18" max="27" width="0" style="31" hidden="1" customWidth="1"/>
    <col min="28" max="16384" width="10.5" style="31"/>
  </cols>
  <sheetData>
    <row r="1" spans="1:41" s="276" customFormat="1" ht="30.2" customHeight="1">
      <c r="A1" s="2507" t="s">
        <v>2190</v>
      </c>
      <c r="B1" s="326"/>
      <c r="C1" s="1908"/>
      <c r="D1" s="136"/>
      <c r="E1" s="323"/>
      <c r="F1" s="323"/>
      <c r="G1" s="4908" t="s">
        <v>1694</v>
      </c>
      <c r="H1" s="4908"/>
      <c r="I1" s="4908"/>
      <c r="J1" s="1906">
        <f>(J7+J13+J18+J22+I11+I12)-(J23+J27+J34+J43+J60+J65+J67+J69+J71+J75)</f>
        <v>-121.14773827992059</v>
      </c>
      <c r="K1" s="4859">
        <f>M1-J1</f>
        <v>0</v>
      </c>
      <c r="L1" s="4859"/>
      <c r="M1" s="1906">
        <f>(M7+M13+M18+M22+L11+L12)-(M23+M27+M34+M43+M60+M65+M67+M69+M71+M75)</f>
        <v>-121.14773827992059</v>
      </c>
      <c r="N1" s="4859">
        <f>P1-M1</f>
        <v>0</v>
      </c>
      <c r="O1" s="4859"/>
      <c r="P1" s="1906">
        <f>(P7+P13+P18+P22+O11+O12)-(P23+P27+P34+P43+P60+P65+P67+P69+P71+P75)</f>
        <v>-121.14773827992059</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1712</v>
      </c>
      <c r="L2" s="4870"/>
      <c r="M2" s="4870"/>
      <c r="N2" s="4870"/>
      <c r="O2" s="4870"/>
      <c r="P2" s="4870"/>
      <c r="Q2" s="2507"/>
    </row>
    <row r="3" spans="1:41" s="276" customFormat="1" ht="21.75" customHeight="1">
      <c r="A3" s="2507"/>
      <c r="B3" s="1903" t="s">
        <v>1693</v>
      </c>
      <c r="G3" s="1891"/>
      <c r="H3" s="1902"/>
      <c r="J3" s="33"/>
      <c r="K3" s="33"/>
      <c r="L3" s="33"/>
      <c r="M3" s="33"/>
      <c r="N3" s="4909" t="str">
        <f>IF(AND(T3=TRUE,T4=TRUE),"nur 1 Strohnutzung möglich","")</f>
        <v/>
      </c>
      <c r="O3" s="4872"/>
      <c r="P3" s="1900"/>
      <c r="Q3" s="2507"/>
      <c r="T3" s="1918"/>
    </row>
    <row r="4" spans="1:41" s="276" customFormat="1" ht="20.25" customHeight="1">
      <c r="A4" s="2507"/>
      <c r="B4" s="377" t="s">
        <v>1154</v>
      </c>
      <c r="C4" s="31"/>
      <c r="D4" s="31"/>
      <c r="E4" s="4968" t="s">
        <v>1711</v>
      </c>
      <c r="F4" s="4968"/>
      <c r="G4" s="4968"/>
      <c r="H4" s="4968"/>
      <c r="I4" s="4968"/>
      <c r="J4" s="4968"/>
      <c r="K4" s="4968"/>
      <c r="L4" s="4968"/>
      <c r="M4" s="4968"/>
      <c r="N4" s="4872"/>
      <c r="O4" s="4872"/>
      <c r="P4" s="1896">
        <f>SDÖ1!O3</f>
        <v>0</v>
      </c>
      <c r="Q4" s="2507"/>
      <c r="T4" s="1918"/>
    </row>
    <row r="5" spans="1:41" ht="6" customHeight="1"/>
    <row r="6" spans="1:41" s="1885" customFormat="1" ht="24" customHeight="1">
      <c r="A6" s="48"/>
      <c r="B6" s="1890" t="s">
        <v>1207</v>
      </c>
      <c r="C6" s="1889"/>
      <c r="D6" s="1889"/>
      <c r="E6" s="1889"/>
      <c r="F6" s="1889"/>
      <c r="G6" s="1888" t="s">
        <v>1700</v>
      </c>
      <c r="H6" s="4864" t="s">
        <v>179</v>
      </c>
      <c r="I6" s="4865"/>
      <c r="J6" s="1887"/>
      <c r="K6" s="4849" t="s">
        <v>152</v>
      </c>
      <c r="L6" s="4850"/>
      <c r="M6" s="1887"/>
      <c r="N6" s="4864" t="s">
        <v>178</v>
      </c>
      <c r="O6" s="4865"/>
      <c r="P6" s="1886"/>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c r="H9" s="1877">
        <f>J6-H10</f>
        <v>0</v>
      </c>
      <c r="I9" s="1873">
        <f>H9*G9</f>
        <v>0</v>
      </c>
      <c r="J9" s="43"/>
      <c r="K9" s="1876">
        <f>M6-K10</f>
        <v>0</v>
      </c>
      <c r="L9" s="1875">
        <f>K9*J9</f>
        <v>0</v>
      </c>
      <c r="M9" s="1854"/>
      <c r="N9" s="1874">
        <f>P6-N10</f>
        <v>0</v>
      </c>
      <c r="O9" s="1873">
        <f>N9*M9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0.5</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43"/>
      <c r="Q12" s="38"/>
      <c r="U12" s="252"/>
      <c r="V12" s="252"/>
      <c r="W12" s="1840" t="s">
        <v>1247</v>
      </c>
      <c r="X12" s="1838" t="str">
        <f>IF(OR(T3=TRUE,T4=TRUE),J6*$E$11,"0")</f>
        <v>0</v>
      </c>
      <c r="Y12" s="1839" t="str">
        <f>IF(OR(T3=TRUE,T4=TRUE),M6*$E$11,"0")</f>
        <v>0</v>
      </c>
      <c r="Z12" s="1838" t="str">
        <f>IF(OR(T3=TRUE,T4=TRUE),P6*$E$11,"0")</f>
        <v>0</v>
      </c>
    </row>
    <row r="13" spans="1:41" s="252" customFormat="1" ht="18.75" customHeight="1">
      <c r="A13" s="47"/>
      <c r="B13" s="266" t="s">
        <v>1688</v>
      </c>
      <c r="C13" s="47"/>
      <c r="D13" s="47"/>
      <c r="E13" s="47"/>
      <c r="F13" s="47"/>
      <c r="G13" s="1841" t="s">
        <v>171</v>
      </c>
      <c r="H13" s="1824"/>
      <c r="I13" s="1823"/>
      <c r="J13" s="1614">
        <f>SUM(I14:I17)</f>
        <v>100</v>
      </c>
      <c r="K13" s="1826"/>
      <c r="L13" s="1825"/>
      <c r="M13" s="1617">
        <f>SUM(L14:L16)</f>
        <v>100</v>
      </c>
      <c r="N13" s="1824"/>
      <c r="O13" s="1823"/>
      <c r="P13" s="1614">
        <f>SUM(O14:O16)</f>
        <v>100</v>
      </c>
      <c r="Q13" s="32"/>
      <c r="R13" s="136"/>
      <c r="U13" s="42"/>
      <c r="V13" s="42"/>
      <c r="X13" s="1838" t="str">
        <f>IF(OR(T4=TRUE,T5=TRUE),J7*$E$11,"0")</f>
        <v>0</v>
      </c>
      <c r="Y13" s="1839" t="str">
        <f>IF(OR(T4=TRUE,T5=TRUE),M7*$E$11,"0")</f>
        <v>0</v>
      </c>
      <c r="Z13" s="1838" t="str">
        <f>IF(OR(T4=TRUE,T5=TRUE),P7*$E$11,"0")</f>
        <v>0</v>
      </c>
    </row>
    <row r="14" spans="1:41" s="42" customFormat="1" ht="15" customHeight="1">
      <c r="A14" s="45"/>
      <c r="B14" s="1821"/>
      <c r="C14" s="4833" t="s">
        <v>2108</v>
      </c>
      <c r="D14" s="4833"/>
      <c r="E14" s="4833"/>
      <c r="F14" s="4833"/>
      <c r="G14" s="1837"/>
      <c r="H14" s="1967" t="s">
        <v>1299</v>
      </c>
      <c r="I14" s="3965">
        <f>IF(H14="ja",Q14,0)</f>
        <v>100</v>
      </c>
      <c r="J14" s="45"/>
      <c r="K14" s="1836" t="s">
        <v>1299</v>
      </c>
      <c r="L14" s="1671">
        <f>IF(K14="ja",Q14,0)</f>
        <v>100</v>
      </c>
      <c r="M14" s="1589"/>
      <c r="N14" s="1836" t="s">
        <v>1299</v>
      </c>
      <c r="O14" s="1817">
        <f>IF(N14="ja",Q14,0)</f>
        <v>100</v>
      </c>
      <c r="P14" s="1586"/>
      <c r="Q14" s="1835">
        <f>IF(C14=0,0,VLOOKUP(C14,'SD2'!$C$11:$N$49,'SD2'!$N$1,FALSE))</f>
        <v>100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0</v>
      </c>
      <c r="K18" s="3101"/>
      <c r="L18" s="3350"/>
      <c r="M18" s="1617">
        <f>SUM(L19:L21)</f>
        <v>0</v>
      </c>
      <c r="N18" s="3100"/>
      <c r="O18" s="3349"/>
      <c r="P18" s="1614">
        <f>SUM(O19:O21)</f>
        <v>0</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0</v>
      </c>
      <c r="J19" s="45">
        <f>SUM(I23:I24)</f>
        <v>0</v>
      </c>
      <c r="K19" s="1819"/>
      <c r="L19" s="1671">
        <f>IF(OR($C19=0,$M$6=0),0,VLOOKUP($C19,'SD2'!$C$59:$N$74,12,FALSE))</f>
        <v>0</v>
      </c>
      <c r="M19" s="1589">
        <f>SUM(L23:L24)</f>
        <v>0</v>
      </c>
      <c r="N19" s="1818"/>
      <c r="O19" s="1817">
        <f>IF(OR($C19=0,$P$6=0),0,VLOOKUP($C19,'SD2'!C59:N75,12,FALSE))</f>
        <v>0</v>
      </c>
      <c r="P19" s="1586">
        <f>SUM(O23:O24)</f>
        <v>0</v>
      </c>
      <c r="R19" s="1816">
        <f>J13+J18</f>
        <v>100</v>
      </c>
      <c r="S19" s="1816">
        <f>M13+M18</f>
        <v>100</v>
      </c>
      <c r="T19" s="1816">
        <f>P13+P18</f>
        <v>100</v>
      </c>
    </row>
    <row r="20" spans="1:26" s="4056" customFormat="1" ht="15.6" customHeight="1">
      <c r="A20" s="3913"/>
      <c r="B20" s="1821"/>
      <c r="C20" s="4099" t="s">
        <v>2182</v>
      </c>
      <c r="D20" s="4099"/>
      <c r="E20" s="4099"/>
      <c r="F20" s="4099"/>
      <c r="G20" s="4100"/>
      <c r="H20" s="1818"/>
      <c r="I20" s="3965">
        <f>IF(OR($C20=0,$J$6=0),0,VLOOKUP($C20,'SD2'!C60:N76,12,FALSE))</f>
        <v>0</v>
      </c>
      <c r="J20" s="3908"/>
      <c r="K20" s="1819"/>
      <c r="L20" s="3955">
        <f>IF(OR($C20=0,$M$6=0),0,VLOOKUP($C20,'SD2'!$C$59:$N$74,12,FALSE))</f>
        <v>0</v>
      </c>
      <c r="M20" s="3920"/>
      <c r="N20" s="1818"/>
      <c r="O20" s="3965">
        <f>IF(OR($C20=0,$P$6=0),0,VLOOKUP($C20,'SD2'!C60:N76,12,FALSE))</f>
        <v>0</v>
      </c>
      <c r="P20" s="1586"/>
      <c r="Q20" s="4057"/>
      <c r="R20" s="4043"/>
      <c r="S20" s="4043"/>
      <c r="T20" s="4043"/>
    </row>
    <row r="21" spans="1:26" s="4056" customFormat="1" ht="15.6" customHeight="1">
      <c r="A21" s="3913"/>
      <c r="B21" s="1821"/>
      <c r="C21" s="4058" t="s">
        <v>2183</v>
      </c>
      <c r="D21" s="4099"/>
      <c r="E21" s="4099"/>
      <c r="F21" s="4099"/>
      <c r="G21" s="4100"/>
      <c r="H21" s="1818"/>
      <c r="I21" s="3965">
        <f>IF(OR($C21=0,$J$6=0),0,VLOOKUP($C21,'SD2'!C61:N77,12,FALSE))</f>
        <v>0</v>
      </c>
      <c r="J21" s="3908"/>
      <c r="K21" s="1819"/>
      <c r="L21" s="3955">
        <f>IF(OR($C21=0,$M$6=0),0,VLOOKUP($C21,'SD2'!$C$59:$N$74,12,FALSE))</f>
        <v>0</v>
      </c>
      <c r="M21" s="3920"/>
      <c r="N21" s="1818"/>
      <c r="O21" s="3965">
        <f>IF(OR($C21=0,$P$6=0),0,VLOOKUP($C21,'SD2'!C61:N77,12,FALSE))</f>
        <v>0</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135</v>
      </c>
      <c r="K23" s="1619"/>
      <c r="L23" s="1618"/>
      <c r="M23" s="1800">
        <f>SUM(L25:L26)</f>
        <v>135</v>
      </c>
      <c r="N23" s="1616"/>
      <c r="O23" s="1615"/>
      <c r="P23" s="1599">
        <f>SUM(O25:O26)</f>
        <v>135</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v>9</v>
      </c>
      <c r="G25" s="1794">
        <f>F25*(100+$D$24)/100</f>
        <v>9</v>
      </c>
      <c r="H25" s="1793">
        <v>15</v>
      </c>
      <c r="I25" s="1754">
        <f>H25*$G25</f>
        <v>135</v>
      </c>
      <c r="J25" s="45"/>
      <c r="K25" s="1793">
        <f>H25</f>
        <v>15</v>
      </c>
      <c r="L25" s="1596">
        <f>K25*$G25</f>
        <v>135</v>
      </c>
      <c r="M25" s="1589"/>
      <c r="N25" s="1793">
        <f>H25</f>
        <v>15</v>
      </c>
      <c r="O25" s="1754">
        <f>N25*$G25</f>
        <v>135</v>
      </c>
      <c r="P25" s="1718"/>
      <c r="Q25" s="32"/>
    </row>
    <row r="26" spans="1:26" s="708" customFormat="1" ht="13.9" customHeight="1">
      <c r="A26" s="1270"/>
      <c r="B26" s="1332"/>
      <c r="C26" s="1792"/>
      <c r="D26" s="4853"/>
      <c r="E26" s="4854"/>
      <c r="F26" s="1791"/>
      <c r="G26" s="1790">
        <f>F26*(100+$D$24)/100</f>
        <v>0</v>
      </c>
      <c r="H26" s="1789"/>
      <c r="I26" s="1750">
        <f>H26*$G26</f>
        <v>0</v>
      </c>
      <c r="J26" s="45"/>
      <c r="K26" s="1789">
        <f>H26</f>
        <v>0</v>
      </c>
      <c r="L26" s="1590">
        <f>K26*$G26</f>
        <v>0</v>
      </c>
      <c r="M26" s="1589"/>
      <c r="N26" s="1789">
        <f>H26</f>
        <v>0</v>
      </c>
      <c r="O26" s="1750">
        <f>N26*$G26</f>
        <v>0</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0</v>
      </c>
      <c r="K27" s="1748"/>
      <c r="L27" s="1747"/>
      <c r="M27" s="1617">
        <f>SUM(L30:L33)</f>
        <v>0</v>
      </c>
      <c r="N27" s="1746"/>
      <c r="O27" s="1745"/>
      <c r="P27" s="1614">
        <f>SUM(O30:O33)</f>
        <v>0</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t="s">
        <v>1270</v>
      </c>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v>-0.35</v>
      </c>
      <c r="F30" s="1774"/>
      <c r="G30" s="1773">
        <v>20</v>
      </c>
      <c r="H30" s="1771">
        <f>IF(J$6=0,0,(J$6*$E30+$G30+X13))</f>
        <v>0</v>
      </c>
      <c r="I30" s="1754">
        <f>H30*$D30</f>
        <v>0</v>
      </c>
      <c r="J30" s="45"/>
      <c r="K30" s="1772">
        <f>IF(M$6=0,0,(M$6*$E30+$G30+AA14))</f>
        <v>0</v>
      </c>
      <c r="L30" s="1596">
        <f>K30*$D30</f>
        <v>0</v>
      </c>
      <c r="M30" s="1589"/>
      <c r="N30" s="1771">
        <f>IF(P$6=0,0,(P$6*$E30+$G30+AD14))</f>
        <v>0</v>
      </c>
      <c r="O30" s="1754">
        <f>N30*$D30</f>
        <v>0</v>
      </c>
      <c r="P30" s="1718"/>
      <c r="Q30" s="32"/>
    </row>
    <row r="31" spans="1:26" s="42" customFormat="1" ht="15" customHeight="1">
      <c r="A31" s="1306"/>
      <c r="B31" s="274"/>
      <c r="C31" s="1306" t="s">
        <v>244</v>
      </c>
      <c r="D31" s="1723">
        <f>IF(SDÖ1!$U$17=TRUE,SDÖ1!O56,0)</f>
        <v>1.3999999999999997</v>
      </c>
      <c r="E31" s="1774"/>
      <c r="F31" s="1774"/>
      <c r="G31" s="1773"/>
      <c r="H31" s="1771">
        <f>IF(J$6=0,0,(J$6*$E31+$G31+X14))</f>
        <v>0</v>
      </c>
      <c r="I31" s="1754">
        <f>H31*$D31</f>
        <v>0</v>
      </c>
      <c r="J31" s="45"/>
      <c r="K31" s="1772">
        <f>IF(M$6=0,0,(M$6*$E31+$G31+Y14))</f>
        <v>0</v>
      </c>
      <c r="L31" s="1596">
        <f>K31*$D31</f>
        <v>0</v>
      </c>
      <c r="M31" s="1589"/>
      <c r="N31" s="1771">
        <f>IF(P$6=0,0,(P$6*$E31+$G31+Z14))</f>
        <v>0</v>
      </c>
      <c r="O31" s="1754">
        <f>N31*$D31</f>
        <v>0</v>
      </c>
      <c r="P31" s="1718"/>
      <c r="Q31" s="32"/>
    </row>
    <row r="32" spans="1:26" s="708" customFormat="1" ht="18.75" customHeight="1">
      <c r="A32" s="1270"/>
      <c r="B32" s="274"/>
      <c r="C32" s="1306" t="s">
        <v>242</v>
      </c>
      <c r="D32" s="1723">
        <f>IF(SDÖ1!$U$17=TRUE,SDÖ1!O57,0)</f>
        <v>1.3999999999999997</v>
      </c>
      <c r="E32" s="1774"/>
      <c r="F32" s="1774"/>
      <c r="G32" s="1773"/>
      <c r="H32" s="1771">
        <f>IF(J$6=0,0,(J$6*$E32+$G32+X15))</f>
        <v>0</v>
      </c>
      <c r="I32" s="1754">
        <f>H32*$D32</f>
        <v>0</v>
      </c>
      <c r="J32" s="45"/>
      <c r="K32" s="1772">
        <f>IF(M$6=0,0,(M$6*$E32+$G32+Y15))</f>
        <v>0</v>
      </c>
      <c r="L32" s="1596">
        <f>K32*$D32</f>
        <v>0</v>
      </c>
      <c r="M32" s="1589"/>
      <c r="N32" s="1771">
        <f>IF(P$6=0,0,(P$6*$E32+$G32+Z15))</f>
        <v>0</v>
      </c>
      <c r="O32" s="1754">
        <f>N32*$D32</f>
        <v>0</v>
      </c>
      <c r="P32" s="1718"/>
      <c r="Q32" s="32"/>
    </row>
    <row r="33" spans="1:17" s="708" customFormat="1" ht="13.15" customHeight="1">
      <c r="A33" s="1270"/>
      <c r="B33" s="239"/>
      <c r="C33" s="1331" t="s">
        <v>240</v>
      </c>
      <c r="D33" s="1706">
        <f>IF(SDÖ1!$U$17=TRUE,SDÖ1!O58,0)</f>
        <v>0.5</v>
      </c>
      <c r="E33" s="1770"/>
      <c r="F33" s="1770"/>
      <c r="G33" s="1769"/>
      <c r="H33" s="1767">
        <f>IF(J$6=0,0,(J$6*$E33+$G33+X16))</f>
        <v>0</v>
      </c>
      <c r="I33" s="1750">
        <f>H33*$D33</f>
        <v>0</v>
      </c>
      <c r="J33" s="45"/>
      <c r="K33" s="1768">
        <f>IF(M$6=0,0,(M$6*$E33+$G33+Y16))</f>
        <v>0</v>
      </c>
      <c r="L33" s="1590">
        <f>K33*$D33</f>
        <v>0</v>
      </c>
      <c r="M33" s="1589"/>
      <c r="N33" s="1767">
        <f>IF(P$6=0,0,(P$6*$E33+$G33+Z16))</f>
        <v>0</v>
      </c>
      <c r="O33" s="1750">
        <f>N33*$D33</f>
        <v>0</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84.229480327058837</v>
      </c>
      <c r="K43" s="1748"/>
      <c r="L43" s="1747"/>
      <c r="M43" s="1617">
        <f>SUM(M46:M57)</f>
        <v>84.229480327058837</v>
      </c>
      <c r="N43" s="1746"/>
      <c r="O43" s="1745"/>
      <c r="P43" s="1614">
        <f>SUM(P46:P57)</f>
        <v>84.229480327058837</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508</v>
      </c>
      <c r="D46" s="4836"/>
      <c r="E46" s="1725">
        <f>IF($C46=0,0,VLOOKUP($C46,SDÖ3!$C$24:$O$99,4,FALSE))</f>
        <v>102</v>
      </c>
      <c r="F46" s="1724">
        <f>IF($C46=0,0,VLOOKUP($C46,SDÖ3!$C$24:$O$99,12,FALSE))</f>
        <v>0.54</v>
      </c>
      <c r="G46" s="1723">
        <f>IF($C46=0,0,VLOOKUP($C46,SDÖ3!$C$24:$O$99,13,FALSE))</f>
        <v>16.377695200000002</v>
      </c>
      <c r="H46" s="1720">
        <v>1</v>
      </c>
      <c r="I46" s="1719">
        <f t="shared" ref="I46:I56" si="4">$F46*H46</f>
        <v>0.54</v>
      </c>
      <c r="J46" s="1718">
        <f t="shared" ref="J46:J56" si="5">H46*$G46</f>
        <v>16.377695200000002</v>
      </c>
      <c r="K46" s="1720">
        <v>1</v>
      </c>
      <c r="L46" s="1722">
        <f t="shared" ref="L46:L56" si="6">$F46*K46</f>
        <v>0.54</v>
      </c>
      <c r="M46" s="1721">
        <f t="shared" ref="M46:M56" si="7">K46*$G46</f>
        <v>16.377695200000002</v>
      </c>
      <c r="N46" s="1720">
        <v>1</v>
      </c>
      <c r="O46" s="1719">
        <f t="shared" ref="O46:O56" si="8">$F46*N46</f>
        <v>0.54</v>
      </c>
      <c r="P46" s="1718">
        <f t="shared" ref="P46:P56" si="9">N46*$G46</f>
        <v>16.377695200000002</v>
      </c>
      <c r="Q46" s="32"/>
    </row>
    <row r="47" spans="1:17" s="42" customFormat="1" ht="15" customHeight="1">
      <c r="A47" s="1306"/>
      <c r="B47" s="1726"/>
      <c r="C47" s="4835"/>
      <c r="D47" s="4836"/>
      <c r="E47" s="1725">
        <f>IF($C47=0,0,VLOOKUP($C47,SDÖ3!$C$24:$O$99,4,FALSE))</f>
        <v>0</v>
      </c>
      <c r="F47" s="1724">
        <f>IF($C47=0,0,VLOOKUP($C47,SDÖ3!$C$24:$O$99,12,FALSE))</f>
        <v>0</v>
      </c>
      <c r="G47" s="1723">
        <f>IF($C47=0,0,VLOOKUP($C47,SDÖ3!$C$24:$O$99,13,FALSE))</f>
        <v>0</v>
      </c>
      <c r="H47" s="1720"/>
      <c r="I47" s="1719">
        <f t="shared" si="4"/>
        <v>0</v>
      </c>
      <c r="J47" s="1718">
        <f t="shared" si="5"/>
        <v>0</v>
      </c>
      <c r="K47" s="1720"/>
      <c r="L47" s="1722">
        <f t="shared" si="6"/>
        <v>0</v>
      </c>
      <c r="M47" s="1721">
        <f t="shared" si="7"/>
        <v>0</v>
      </c>
      <c r="N47" s="1720"/>
      <c r="O47" s="1719">
        <f t="shared" si="8"/>
        <v>0</v>
      </c>
      <c r="P47" s="1718">
        <f t="shared" si="9"/>
        <v>0</v>
      </c>
      <c r="Q47" s="32"/>
    </row>
    <row r="48" spans="1:17" s="42" customFormat="1" ht="15" customHeight="1">
      <c r="A48" s="1306"/>
      <c r="B48" s="1726"/>
      <c r="C48" s="4835" t="s">
        <v>493</v>
      </c>
      <c r="D48" s="4836"/>
      <c r="E48" s="1725">
        <f>IF($C48=0,0,VLOOKUP($C48,SDÖ3!$C$24:$O$99,4,FALSE))</f>
        <v>120</v>
      </c>
      <c r="F48" s="1724">
        <f>IF($C48=0,0,VLOOKUP($C48,SDÖ3!$C$24:$O$99,12,FALSE))</f>
        <v>1.03</v>
      </c>
      <c r="G48" s="1723">
        <f>IF($C48=0,0,VLOOKUP($C48,SDÖ3!$C$24:$O$99,13,FALSE))</f>
        <v>33.576407529411767</v>
      </c>
      <c r="H48" s="1720">
        <v>1</v>
      </c>
      <c r="I48" s="1719">
        <f t="shared" si="4"/>
        <v>1.03</v>
      </c>
      <c r="J48" s="1718">
        <f t="shared" si="5"/>
        <v>33.576407529411767</v>
      </c>
      <c r="K48" s="1720">
        <v>1</v>
      </c>
      <c r="L48" s="1722">
        <f t="shared" si="6"/>
        <v>1.03</v>
      </c>
      <c r="M48" s="1721">
        <f t="shared" si="7"/>
        <v>33.576407529411767</v>
      </c>
      <c r="N48" s="1720">
        <v>1</v>
      </c>
      <c r="O48" s="1719">
        <f t="shared" si="8"/>
        <v>1.03</v>
      </c>
      <c r="P48" s="1718">
        <f t="shared" si="9"/>
        <v>33.576407529411767</v>
      </c>
      <c r="Q48" s="32"/>
    </row>
    <row r="49" spans="1:17" s="42" customFormat="1" ht="15" customHeight="1">
      <c r="A49" s="1306"/>
      <c r="B49" s="1726"/>
      <c r="C49" s="4835" t="s">
        <v>497</v>
      </c>
      <c r="D49" s="4836"/>
      <c r="E49" s="1725">
        <f>IF($C49=0,0,VLOOKUP($C49,SDÖ3!$C$24:$O$99,4,FALSE))</f>
        <v>83</v>
      </c>
      <c r="F49" s="1724">
        <f>IF($C49=0,0,VLOOKUP($C49,SDÖ3!$C$24:$O$99,12,FALSE))</f>
        <v>0.61</v>
      </c>
      <c r="G49" s="1723">
        <f>IF($C49=0,0,VLOOKUP($C49,SDÖ3!$C$24:$O$99,13,FALSE))</f>
        <v>10.780813997647058</v>
      </c>
      <c r="H49" s="1720">
        <v>1</v>
      </c>
      <c r="I49" s="1719">
        <f t="shared" si="4"/>
        <v>0.61</v>
      </c>
      <c r="J49" s="1718">
        <f t="shared" si="5"/>
        <v>10.780813997647058</v>
      </c>
      <c r="K49" s="1720">
        <v>1</v>
      </c>
      <c r="L49" s="1722">
        <f t="shared" si="6"/>
        <v>0.61</v>
      </c>
      <c r="M49" s="1721">
        <f t="shared" si="7"/>
        <v>10.780813997647058</v>
      </c>
      <c r="N49" s="1720">
        <v>1</v>
      </c>
      <c r="O49" s="1719">
        <f t="shared" si="8"/>
        <v>0.61</v>
      </c>
      <c r="P49" s="1718">
        <f t="shared" si="9"/>
        <v>10.780813997647058</v>
      </c>
      <c r="Q49" s="32"/>
    </row>
    <row r="50" spans="1:17" s="42" customFormat="1" ht="15" customHeight="1">
      <c r="A50" s="1306"/>
      <c r="B50" s="1726"/>
      <c r="C50" s="4835" t="s">
        <v>450</v>
      </c>
      <c r="D50" s="4836"/>
      <c r="E50" s="1725">
        <f>IF($C50=0,0,VLOOKUP($C50,SDÖ3!$C$24:$O$99,4,FALSE))</f>
        <v>83</v>
      </c>
      <c r="F50" s="1724">
        <f>IF($C50=0,0,VLOOKUP($C50,SDÖ3!$C$24:$O$99,12,FALSE))</f>
        <v>1.19</v>
      </c>
      <c r="G50" s="1723">
        <f>IF($C50=0,0,VLOOKUP($C50,SDÖ3!$C$24:$O$99,13,FALSE))</f>
        <v>23.494563599999999</v>
      </c>
      <c r="H50" s="1720">
        <v>1</v>
      </c>
      <c r="I50" s="1719">
        <f t="shared" si="4"/>
        <v>1.19</v>
      </c>
      <c r="J50" s="1718">
        <f t="shared" si="5"/>
        <v>23.494563599999999</v>
      </c>
      <c r="K50" s="1720">
        <v>1</v>
      </c>
      <c r="L50" s="1722">
        <f t="shared" si="6"/>
        <v>1.19</v>
      </c>
      <c r="M50" s="1721">
        <f t="shared" si="7"/>
        <v>23.494563599999999</v>
      </c>
      <c r="N50" s="1720">
        <v>1</v>
      </c>
      <c r="O50" s="1719">
        <f t="shared" si="8"/>
        <v>1.19</v>
      </c>
      <c r="P50" s="1718">
        <f t="shared" si="9"/>
        <v>23.494563599999999</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v>0</v>
      </c>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v>0</v>
      </c>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v>0</v>
      </c>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919"/>
      <c r="D55" s="4920"/>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v>0</v>
      </c>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t="s">
        <v>1682</v>
      </c>
      <c r="C57" s="4847"/>
      <c r="D57" s="4848"/>
      <c r="E57" s="3617">
        <f>IF($C57=0,0,VLOOKUP($C57,SDÖ3!$C$24:$O$99,4,FALSE))</f>
        <v>0</v>
      </c>
      <c r="F57" s="3618">
        <f>IF($C57=0,0,VLOOKUP($C57,SDÖ3!$C$24:$O$99,12,FALSE))</f>
        <v>0</v>
      </c>
      <c r="G57" s="3619">
        <f>IF($C57=0,0,VLOOKUP($C57,SDÖ3!$C$24:$O$99,13,FALSE))</f>
        <v>0</v>
      </c>
      <c r="H57" s="1704"/>
      <c r="I57" s="1703">
        <f>SUM(I44:I56)</f>
        <v>3.37</v>
      </c>
      <c r="J57" s="1702"/>
      <c r="K57" s="1704"/>
      <c r="L57" s="1705">
        <f>SUM(L44:L56)</f>
        <v>3.37</v>
      </c>
      <c r="M57" s="1652"/>
      <c r="N57" s="1704"/>
      <c r="O57" s="1703">
        <f>SUM(O44:O56)</f>
        <v>3.37</v>
      </c>
      <c r="P57" s="1702"/>
      <c r="Q57" s="32"/>
    </row>
    <row r="58" spans="1:17" s="708" customFormat="1" ht="18.75" customHeight="1">
      <c r="A58" s="1270"/>
      <c r="B58" s="1276" t="s">
        <v>1223</v>
      </c>
      <c r="C58" s="1373"/>
      <c r="D58" s="1373"/>
      <c r="E58" s="1373"/>
      <c r="F58" s="38"/>
      <c r="G58" s="1620"/>
      <c r="H58" s="1697"/>
      <c r="I58" s="1696">
        <f>SUM($I$46:$I$57)</f>
        <v>6.74</v>
      </c>
      <c r="J58" s="1701"/>
      <c r="K58" s="1700"/>
      <c r="L58" s="1699">
        <f>SUM($L$46:$L$57)</f>
        <v>6.74</v>
      </c>
      <c r="M58" s="1698"/>
      <c r="N58" s="1697"/>
      <c r="O58" s="1696">
        <f>SUM($O$46:$O$57)</f>
        <v>6.74</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12.132000000000001</v>
      </c>
      <c r="J59" s="1686"/>
      <c r="K59" s="1691"/>
      <c r="L59" s="1690">
        <f>IF(L58+SUM($L$46:$L$57)*$E$59%&gt;L58+10,L58+10,L58+SUM($L$46:$L$57)*$E$59%)</f>
        <v>12.132000000000001</v>
      </c>
      <c r="M59" s="1689"/>
      <c r="N59" s="1688"/>
      <c r="O59" s="1687">
        <f>IF(O58+SUM($O$46:$O$57)*$E$59%&gt;O58+10,O58+10,O58+SUM($O$46:$O$57)*$E$59%)</f>
        <v>12.132000000000001</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'SDK1'!$O$11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 customHeight="1">
      <c r="A68" s="1270"/>
      <c r="B68" s="1637"/>
      <c r="C68" s="4839" t="s">
        <v>1215</v>
      </c>
      <c r="D68" s="4839"/>
      <c r="E68" s="4839"/>
      <c r="F68" s="1636"/>
      <c r="G68" s="1627" t="s">
        <v>171</v>
      </c>
      <c r="H68" s="1634">
        <v>16</v>
      </c>
      <c r="I68" s="1633">
        <v>50</v>
      </c>
      <c r="J68" s="1632"/>
      <c r="K68" s="1634">
        <v>20</v>
      </c>
      <c r="L68" s="1633">
        <v>50</v>
      </c>
      <c r="M68" s="1635"/>
      <c r="N68" s="1634">
        <v>18</v>
      </c>
      <c r="O68" s="1633">
        <v>50</v>
      </c>
      <c r="P68" s="1632"/>
      <c r="Q68" s="32"/>
      <c r="R68" s="1944">
        <f>IF($H$64=0,0,VLOOKUP($H$64,#REF!,2,FALSE))</f>
        <v>0</v>
      </c>
      <c r="S68" s="1631">
        <f>IF($K$64=0,0,VLOOKUP($K$64,#REF!,2,FALSE))</f>
        <v>0</v>
      </c>
      <c r="T68" s="1944">
        <f>IF($N$64=0,0,VLOOKUP($N$64,#REF!,2,FALSE))</f>
        <v>0</v>
      </c>
    </row>
    <row r="69" spans="1:20" s="708" customFormat="1" ht="18.75"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1.9182579528617647</v>
      </c>
      <c r="K75" s="3063"/>
      <c r="L75" s="1056"/>
      <c r="M75" s="1578">
        <f>(M23+M27+M34+M43+M60+M65+M67+M69+M71)*('SDK1'!$O$59%*$G$75/12)</f>
        <v>1.9182579528617647</v>
      </c>
      <c r="N75" s="1580"/>
      <c r="O75" s="1579"/>
      <c r="P75" s="1578">
        <f>(P23+P27+P34+P43+P60+P65+P67+P69+P71)*('SDK1'!$O$59%*$G$75/12)</f>
        <v>1.9182579528617647</v>
      </c>
      <c r="Q75" s="32"/>
    </row>
    <row r="76" spans="1:20">
      <c r="L76" s="33"/>
    </row>
    <row r="77" spans="1:20">
      <c r="G77" s="3642"/>
      <c r="H77" s="3642"/>
      <c r="I77" s="3642"/>
      <c r="J77" s="3642"/>
      <c r="K77" s="3642"/>
      <c r="L77" s="3642"/>
      <c r="M77" s="3642"/>
      <c r="N77" s="3642"/>
      <c r="O77" s="3642"/>
      <c r="P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row>
    <row r="80" spans="1:20"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K90" s="3642"/>
      <c r="L90" s="3642"/>
      <c r="M90" s="3642"/>
      <c r="N90" s="3642"/>
      <c r="O90" s="3642"/>
      <c r="P90" s="3642"/>
    </row>
    <row r="91" spans="2:16">
      <c r="C91" s="33"/>
      <c r="D91" s="33"/>
      <c r="E91" s="33"/>
      <c r="F91" s="2538"/>
      <c r="G91" s="3642"/>
      <c r="H91" s="3642"/>
      <c r="I91" s="3642"/>
      <c r="J91" s="3642"/>
      <c r="K91" s="3642"/>
      <c r="L91" s="3642"/>
      <c r="M91" s="3642"/>
      <c r="N91" s="3642"/>
      <c r="O91" s="3642"/>
      <c r="P91" s="3642"/>
    </row>
    <row r="92" spans="2:16">
      <c r="C92" s="33"/>
      <c r="D92" s="33"/>
      <c r="E92" s="33"/>
      <c r="F92" s="2538"/>
      <c r="G92" s="3642"/>
      <c r="H92" s="3642"/>
      <c r="I92" s="3642"/>
      <c r="J92" s="3642"/>
      <c r="K92" s="3642"/>
      <c r="L92" s="3642"/>
      <c r="M92" s="3642"/>
      <c r="N92" s="3642"/>
      <c r="O92" s="3642"/>
      <c r="P92" s="3642"/>
    </row>
    <row r="93" spans="2:16">
      <c r="C93" s="33"/>
      <c r="D93" s="33"/>
      <c r="E93" s="33"/>
      <c r="F93" s="2538"/>
      <c r="G93" s="3642"/>
      <c r="H93" s="3642"/>
      <c r="I93" s="3642"/>
      <c r="J93" s="3642"/>
      <c r="K93" s="3642"/>
      <c r="L93" s="3642"/>
      <c r="M93" s="3642"/>
      <c r="N93" s="3642"/>
      <c r="O93" s="3642"/>
      <c r="P93" s="3642"/>
    </row>
    <row r="94" spans="2:16">
      <c r="C94" s="33"/>
      <c r="D94" s="33"/>
      <c r="E94" s="33"/>
      <c r="F94" s="2538"/>
      <c r="G94" s="3642"/>
      <c r="H94" s="3642"/>
      <c r="I94" s="3642"/>
      <c r="J94" s="3642"/>
      <c r="K94" s="3642"/>
      <c r="L94" s="3642"/>
      <c r="M94" s="3642"/>
      <c r="N94" s="3642"/>
      <c r="O94" s="3642"/>
      <c r="P94" s="3642"/>
    </row>
    <row r="95" spans="2:16">
      <c r="C95" s="33"/>
      <c r="D95" s="33"/>
      <c r="E95" s="33"/>
      <c r="F95" s="2538"/>
      <c r="G95" s="3642"/>
      <c r="H95" s="3642"/>
      <c r="I95" s="3642"/>
      <c r="J95" s="3642"/>
      <c r="K95" s="3642"/>
      <c r="L95" s="3642"/>
      <c r="M95" s="3642"/>
      <c r="N95" s="3642"/>
      <c r="O95" s="3642"/>
      <c r="P95" s="3642"/>
    </row>
    <row r="96" spans="2:16">
      <c r="C96" s="33"/>
      <c r="D96" s="33"/>
      <c r="E96" s="33"/>
      <c r="F96" s="2538"/>
      <c r="G96" s="3642"/>
      <c r="H96" s="3642"/>
      <c r="I96" s="3642"/>
      <c r="J96" s="3642"/>
      <c r="K96" s="3642"/>
      <c r="L96" s="3642"/>
      <c r="M96" s="3642"/>
      <c r="N96" s="3642"/>
      <c r="O96" s="3642"/>
      <c r="P96" s="3642"/>
    </row>
    <row r="97" spans="2:16">
      <c r="C97" s="33"/>
      <c r="D97" s="33"/>
      <c r="E97" s="33"/>
      <c r="G97" s="3642"/>
      <c r="H97" s="3642"/>
      <c r="I97" s="3642"/>
      <c r="J97" s="3642"/>
      <c r="K97" s="3642"/>
      <c r="L97" s="3642"/>
      <c r="M97" s="3642"/>
      <c r="N97" s="3642"/>
      <c r="O97" s="3642"/>
      <c r="P97" s="3642"/>
    </row>
    <row r="98" spans="2:16">
      <c r="C98" s="33"/>
      <c r="D98" s="33"/>
      <c r="E98" s="33"/>
      <c r="G98" s="3642"/>
      <c r="H98" s="3642"/>
      <c r="I98" s="3642"/>
      <c r="J98" s="3642"/>
      <c r="K98" s="3642"/>
      <c r="L98" s="3642"/>
      <c r="M98" s="3642"/>
      <c r="N98" s="3642"/>
      <c r="O98" s="3642"/>
      <c r="P98" s="3642"/>
    </row>
    <row r="99" spans="2:16">
      <c r="B99" s="33"/>
      <c r="C99" s="33"/>
      <c r="D99" s="33"/>
      <c r="G99" s="3642"/>
      <c r="I99" s="3642"/>
      <c r="J99" s="3642"/>
      <c r="K99" s="3642"/>
      <c r="L99" s="3642"/>
      <c r="M99" s="3642"/>
      <c r="N99" s="3642"/>
      <c r="O99" s="3642"/>
      <c r="P99" s="3642"/>
    </row>
    <row r="100" spans="2:16">
      <c r="B100" s="33"/>
      <c r="C100" s="33"/>
      <c r="D100" s="33"/>
      <c r="G100" s="3642"/>
      <c r="H100" s="3642"/>
      <c r="I100" s="3642"/>
      <c r="J100" s="3642"/>
      <c r="K100" s="3642"/>
      <c r="L100" s="3642"/>
      <c r="M100" s="3642"/>
      <c r="N100" s="3642"/>
      <c r="O100" s="3642"/>
      <c r="P100" s="3642"/>
    </row>
    <row r="101" spans="2:16">
      <c r="B101" s="33"/>
      <c r="C101" s="33"/>
      <c r="D101" s="33"/>
      <c r="G101" s="3642"/>
      <c r="H101" s="3642"/>
      <c r="I101" s="3642"/>
      <c r="J101" s="3642"/>
      <c r="K101" s="3642"/>
      <c r="L101" s="3642"/>
      <c r="M101" s="3642"/>
      <c r="N101" s="3642"/>
      <c r="O101" s="3642"/>
      <c r="P101" s="3642"/>
    </row>
    <row r="102" spans="2:16">
      <c r="B102" s="33"/>
      <c r="C102" s="33"/>
      <c r="D102" s="33"/>
      <c r="G102" s="3642"/>
      <c r="H102" s="3642"/>
      <c r="I102" s="3642"/>
      <c r="J102" s="3642"/>
      <c r="K102" s="3642"/>
      <c r="L102" s="3642"/>
      <c r="M102" s="3642"/>
      <c r="N102" s="3642"/>
      <c r="O102" s="3642"/>
      <c r="P102" s="3642"/>
    </row>
    <row r="103" spans="2:16">
      <c r="B103" s="33"/>
      <c r="C103" s="33"/>
      <c r="D103" s="33"/>
      <c r="G103" s="3642"/>
      <c r="H103" s="3642"/>
      <c r="I103" s="3642"/>
      <c r="J103" s="3642"/>
      <c r="K103" s="3642"/>
      <c r="L103" s="3642"/>
      <c r="M103" s="3642"/>
      <c r="N103" s="3642"/>
      <c r="O103" s="3642"/>
      <c r="P103" s="3642"/>
    </row>
    <row r="104" spans="2:16">
      <c r="B104" s="33"/>
      <c r="C104" s="33"/>
      <c r="D104" s="33"/>
      <c r="G104" s="3642"/>
      <c r="H104" s="3642"/>
      <c r="I104" s="3642"/>
      <c r="J104" s="3642"/>
      <c r="K104" s="3642"/>
      <c r="L104" s="3642"/>
      <c r="M104" s="3642"/>
      <c r="N104" s="3642"/>
      <c r="O104" s="3642"/>
      <c r="P104" s="3642"/>
    </row>
    <row r="105" spans="2:16">
      <c r="B105" s="33"/>
      <c r="C105" s="33"/>
      <c r="D105" s="33"/>
      <c r="G105" s="3642"/>
      <c r="H105" s="3642"/>
      <c r="I105" s="3642"/>
      <c r="J105" s="3642"/>
      <c r="K105" s="3642"/>
      <c r="L105" s="3642"/>
      <c r="M105" s="3642"/>
      <c r="N105" s="3642"/>
      <c r="O105" s="3642"/>
      <c r="P105" s="3642"/>
    </row>
    <row r="106" spans="2:16">
      <c r="B106" s="33"/>
      <c r="C106" s="33"/>
      <c r="D106" s="33"/>
      <c r="G106" s="3642"/>
      <c r="H106" s="3642"/>
      <c r="I106" s="3642"/>
      <c r="J106" s="3642"/>
      <c r="K106" s="3642"/>
      <c r="L106" s="3642"/>
      <c r="M106" s="3642"/>
      <c r="N106" s="3642"/>
      <c r="O106" s="3642"/>
      <c r="P106" s="3642"/>
    </row>
    <row r="107" spans="2:16">
      <c r="B107" s="33"/>
      <c r="C107" s="33"/>
      <c r="D107" s="33"/>
      <c r="G107" s="3642"/>
      <c r="H107" s="3642"/>
      <c r="I107" s="3642"/>
      <c r="J107" s="3642"/>
      <c r="K107" s="3642"/>
      <c r="L107" s="3642"/>
      <c r="M107" s="3642"/>
      <c r="N107" s="3642"/>
      <c r="O107" s="3642"/>
      <c r="P107" s="3642"/>
    </row>
    <row r="108" spans="2:16">
      <c r="G108" s="3642"/>
      <c r="H108" s="3642"/>
      <c r="I108" s="3642"/>
      <c r="J108" s="3642"/>
      <c r="K108" s="3642"/>
      <c r="L108" s="3642"/>
      <c r="M108" s="3642"/>
      <c r="N108" s="3642"/>
      <c r="O108" s="3642"/>
      <c r="P108" s="3642"/>
    </row>
    <row r="109" spans="2:16">
      <c r="G109" s="3642"/>
      <c r="H109" s="3642"/>
      <c r="I109" s="3642"/>
      <c r="J109" s="3642"/>
      <c r="K109" s="3642"/>
      <c r="L109" s="3642"/>
      <c r="M109" s="3642"/>
      <c r="N109" s="3642"/>
      <c r="O109" s="3642"/>
      <c r="P109" s="3642"/>
    </row>
    <row r="110" spans="2:16">
      <c r="G110" s="3642"/>
      <c r="H110" s="3642"/>
      <c r="I110" s="3642"/>
      <c r="J110" s="3642"/>
      <c r="K110" s="3642"/>
      <c r="L110" s="3642"/>
      <c r="M110" s="3642"/>
      <c r="N110" s="3642"/>
      <c r="O110" s="3642"/>
      <c r="P110" s="3642"/>
    </row>
    <row r="111" spans="2:16">
      <c r="G111" s="3642"/>
      <c r="H111" s="3642"/>
      <c r="I111" s="3642"/>
      <c r="J111" s="3642"/>
      <c r="K111" s="3642"/>
      <c r="L111" s="3642"/>
      <c r="M111" s="3642"/>
      <c r="N111" s="3642"/>
      <c r="O111" s="3642"/>
      <c r="P111" s="3642"/>
    </row>
    <row r="112" spans="2:16">
      <c r="G112" s="3642"/>
      <c r="H112" s="3642"/>
      <c r="I112" s="3642"/>
      <c r="J112" s="3642"/>
      <c r="K112" s="3642"/>
      <c r="L112" s="3642"/>
      <c r="M112" s="3642"/>
      <c r="N112" s="3642"/>
      <c r="O112" s="3642"/>
      <c r="P112" s="3642"/>
    </row>
    <row r="113" spans="2:16">
      <c r="G113" s="3642"/>
      <c r="H113" s="3642"/>
      <c r="I113" s="3642"/>
      <c r="J113" s="3642"/>
      <c r="K113" s="3642"/>
      <c r="L113" s="3642"/>
      <c r="M113" s="3642"/>
      <c r="N113" s="3642"/>
      <c r="O113" s="3642"/>
      <c r="P113" s="3642"/>
    </row>
    <row r="114" spans="2:16">
      <c r="G114" s="3642"/>
      <c r="H114" s="3642"/>
      <c r="I114" s="3642"/>
      <c r="J114" s="3642"/>
      <c r="K114" s="3642"/>
      <c r="L114" s="3642"/>
      <c r="M114" s="3642"/>
      <c r="N114" s="3642"/>
      <c r="O114" s="3642"/>
      <c r="P114" s="3642"/>
    </row>
    <row r="115" spans="2:16">
      <c r="G115" s="3642"/>
      <c r="H115" s="3642"/>
      <c r="I115" s="3642"/>
      <c r="J115" s="3642"/>
      <c r="K115" s="3642"/>
      <c r="L115" s="3642"/>
      <c r="M115" s="3642"/>
      <c r="N115" s="3642"/>
      <c r="O115" s="3642"/>
      <c r="P115" s="3642"/>
    </row>
    <row r="116" spans="2:16">
      <c r="G116" s="3642"/>
      <c r="H116" s="3642"/>
      <c r="I116" s="3642"/>
      <c r="J116" s="3642"/>
      <c r="K116" s="3642"/>
      <c r="L116" s="3642"/>
      <c r="M116" s="3642"/>
      <c r="N116" s="3642"/>
      <c r="O116" s="3642"/>
      <c r="P116" s="3642"/>
    </row>
    <row r="117" spans="2:16">
      <c r="G117" s="3642"/>
      <c r="H117" s="3642"/>
      <c r="I117" s="3642"/>
      <c r="J117" s="3642"/>
      <c r="K117" s="3642"/>
      <c r="L117" s="3642"/>
      <c r="M117" s="3642"/>
      <c r="N117" s="3642"/>
      <c r="O117" s="3642"/>
      <c r="P117" s="3642"/>
    </row>
    <row r="118" spans="2:16">
      <c r="B118" s="622"/>
      <c r="C118" s="33"/>
      <c r="G118" s="3642"/>
      <c r="H118" s="3642"/>
      <c r="I118" s="3642"/>
      <c r="J118" s="3642"/>
      <c r="K118" s="3642"/>
      <c r="L118" s="3642"/>
      <c r="M118" s="3642"/>
      <c r="N118" s="3642"/>
      <c r="O118" s="3642"/>
      <c r="P118" s="3642"/>
    </row>
    <row r="119" spans="2:16">
      <c r="B119" s="622"/>
      <c r="C119" s="33"/>
      <c r="G119" s="3642"/>
      <c r="H119" s="3642"/>
      <c r="I119" s="3642"/>
      <c r="J119" s="3642"/>
      <c r="K119" s="3642"/>
      <c r="L119" s="3642"/>
      <c r="M119" s="3642"/>
      <c r="N119" s="3642"/>
      <c r="O119" s="3642"/>
      <c r="P119" s="3642"/>
    </row>
    <row r="120" spans="2:16">
      <c r="B120" s="622"/>
      <c r="C120" s="33"/>
      <c r="G120" s="3642"/>
      <c r="H120" s="3642"/>
      <c r="I120" s="3642"/>
      <c r="J120" s="3642"/>
      <c r="K120" s="3642"/>
      <c r="L120" s="3642"/>
      <c r="M120" s="3642"/>
      <c r="N120" s="3642"/>
      <c r="O120" s="3642"/>
      <c r="P120" s="3642"/>
    </row>
    <row r="121" spans="2:16">
      <c r="B121" s="622"/>
      <c r="C121" s="33"/>
      <c r="G121" s="3642"/>
      <c r="H121" s="3642"/>
      <c r="I121" s="3642"/>
      <c r="J121" s="3642"/>
      <c r="K121" s="3642"/>
      <c r="L121" s="3642"/>
      <c r="M121" s="3642"/>
      <c r="N121" s="3642"/>
      <c r="O121" s="3642"/>
      <c r="P121" s="3642"/>
    </row>
    <row r="122" spans="2:16">
      <c r="B122" s="622"/>
      <c r="C122" s="33"/>
      <c r="G122" s="3642"/>
      <c r="H122" s="3642"/>
      <c r="I122" s="3642"/>
      <c r="J122" s="3642"/>
      <c r="K122" s="3642"/>
      <c r="L122" s="3642"/>
      <c r="M122" s="3642"/>
      <c r="N122" s="3642"/>
      <c r="O122" s="3642"/>
      <c r="P122" s="3642"/>
    </row>
    <row r="123" spans="2:16">
      <c r="B123" s="622"/>
      <c r="C123" s="33"/>
      <c r="G123" s="3642"/>
      <c r="H123" s="3642"/>
      <c r="I123" s="3642"/>
      <c r="J123" s="3642"/>
      <c r="K123" s="3642"/>
      <c r="L123" s="3642"/>
      <c r="M123" s="3642"/>
      <c r="N123" s="3642"/>
      <c r="O123" s="3642"/>
      <c r="P123" s="3642"/>
    </row>
    <row r="124" spans="2:16">
      <c r="B124" s="622"/>
      <c r="C124" s="33"/>
      <c r="G124" s="3642"/>
      <c r="H124" s="3642"/>
      <c r="I124" s="3642"/>
      <c r="J124" s="3642"/>
      <c r="K124" s="3642"/>
      <c r="L124" s="3642"/>
      <c r="M124" s="3642"/>
      <c r="N124" s="3642"/>
      <c r="O124" s="3642"/>
      <c r="P124" s="3642"/>
    </row>
    <row r="125" spans="2:16">
      <c r="B125" s="622"/>
      <c r="C125" s="33"/>
      <c r="G125" s="3642"/>
      <c r="H125" s="3642"/>
      <c r="I125" s="3642"/>
      <c r="J125" s="3642"/>
      <c r="K125" s="3642"/>
      <c r="L125" s="3642"/>
      <c r="M125" s="3642"/>
      <c r="N125" s="3642"/>
      <c r="O125" s="3642"/>
      <c r="P125" s="3642"/>
    </row>
    <row r="126" spans="2:16">
      <c r="B126" s="622"/>
      <c r="C126" s="33"/>
      <c r="G126" s="3642"/>
      <c r="H126" s="3642"/>
      <c r="I126" s="3642"/>
      <c r="J126" s="3642"/>
      <c r="K126" s="3642"/>
      <c r="L126" s="3642"/>
      <c r="M126" s="3642"/>
      <c r="N126" s="3642"/>
      <c r="O126" s="3642"/>
      <c r="P126" s="3642"/>
    </row>
    <row r="127" spans="2:16">
      <c r="B127" s="622"/>
      <c r="C127" s="33"/>
      <c r="G127" s="3642"/>
      <c r="H127" s="3642"/>
      <c r="I127" s="3642"/>
      <c r="J127" s="3642"/>
      <c r="K127" s="3642"/>
      <c r="L127" s="3642"/>
      <c r="M127" s="3642"/>
      <c r="N127" s="3642"/>
      <c r="O127" s="3642"/>
      <c r="P127" s="3642"/>
    </row>
    <row r="128" spans="2:16">
      <c r="B128" s="622"/>
      <c r="C128" s="33"/>
      <c r="G128" s="3642"/>
      <c r="H128" s="3642"/>
      <c r="I128" s="3642"/>
      <c r="J128" s="3642"/>
      <c r="K128" s="3642"/>
      <c r="L128" s="3642"/>
      <c r="M128" s="3642"/>
      <c r="N128" s="3642"/>
      <c r="O128" s="3642"/>
      <c r="P128" s="3642"/>
    </row>
    <row r="129" spans="2:16">
      <c r="B129" s="622"/>
      <c r="C129" s="33"/>
      <c r="G129" s="3642"/>
      <c r="H129" s="3642"/>
      <c r="I129" s="3642"/>
      <c r="J129" s="3642"/>
      <c r="K129" s="3642"/>
      <c r="L129" s="3642"/>
      <c r="M129" s="3642"/>
      <c r="N129" s="3642"/>
      <c r="O129" s="3642"/>
      <c r="P129" s="3642"/>
    </row>
    <row r="130" spans="2:16">
      <c r="B130" s="622"/>
      <c r="C130" s="33"/>
      <c r="G130" s="3642"/>
      <c r="H130" s="3642"/>
      <c r="I130" s="3642"/>
      <c r="J130" s="3642"/>
      <c r="K130" s="3642"/>
      <c r="L130" s="3642"/>
      <c r="M130" s="3642"/>
      <c r="N130" s="3642"/>
      <c r="O130" s="3642"/>
      <c r="P130" s="3642"/>
    </row>
    <row r="131" spans="2:16">
      <c r="B131" s="622"/>
      <c r="C131" s="33"/>
      <c r="G131" s="3642"/>
      <c r="H131" s="3642"/>
      <c r="I131" s="3642"/>
      <c r="J131" s="3642"/>
      <c r="K131" s="3642"/>
      <c r="L131" s="3642"/>
      <c r="M131" s="3642"/>
      <c r="N131" s="3642"/>
      <c r="O131" s="3642"/>
      <c r="P131" s="3642"/>
    </row>
    <row r="132" spans="2:16">
      <c r="B132" s="622"/>
      <c r="C132" s="33"/>
      <c r="G132" s="3642"/>
      <c r="H132" s="3642"/>
      <c r="I132" s="3642"/>
      <c r="J132" s="3642"/>
      <c r="K132" s="3642"/>
      <c r="L132" s="3642"/>
      <c r="M132" s="3642"/>
      <c r="N132" s="3642"/>
      <c r="O132" s="3642"/>
      <c r="P132" s="3642"/>
    </row>
    <row r="133" spans="2:16">
      <c r="B133" s="622"/>
      <c r="C133" s="33"/>
      <c r="G133" s="3642"/>
      <c r="H133" s="3642"/>
      <c r="I133" s="3642"/>
      <c r="J133" s="3642"/>
      <c r="K133" s="3642"/>
      <c r="L133" s="3642"/>
      <c r="M133" s="3642"/>
      <c r="N133" s="3642"/>
      <c r="O133" s="3642"/>
      <c r="P133" s="3642"/>
    </row>
    <row r="134" spans="2:16">
      <c r="B134" s="622"/>
      <c r="C134" s="33"/>
      <c r="G134" s="3642"/>
      <c r="H134" s="3642"/>
      <c r="I134" s="3642"/>
      <c r="J134" s="3642"/>
      <c r="K134" s="3642"/>
      <c r="L134" s="3642"/>
      <c r="M134" s="3642"/>
      <c r="N134" s="3642"/>
      <c r="O134" s="3642"/>
      <c r="P134" s="3642"/>
    </row>
    <row r="135" spans="2:16">
      <c r="B135" s="622"/>
      <c r="C135" s="33"/>
      <c r="G135" s="3642"/>
      <c r="H135" s="3642"/>
      <c r="I135" s="3642"/>
      <c r="J135" s="3642"/>
      <c r="K135" s="3642"/>
      <c r="L135" s="3642"/>
      <c r="M135" s="3642"/>
      <c r="N135" s="3642"/>
      <c r="O135" s="3642"/>
      <c r="P135" s="3642"/>
    </row>
    <row r="136" spans="2:16">
      <c r="B136" s="622"/>
      <c r="C136" s="33"/>
      <c r="G136" s="3642"/>
      <c r="H136" s="3642"/>
      <c r="I136" s="3642"/>
      <c r="J136" s="3642"/>
      <c r="K136" s="3642"/>
      <c r="L136" s="3642"/>
      <c r="M136" s="3642"/>
      <c r="N136" s="3642"/>
      <c r="O136" s="3642"/>
      <c r="P136" s="3642"/>
    </row>
    <row r="137" spans="2:16">
      <c r="B137" s="622"/>
      <c r="C137" s="33"/>
      <c r="G137" s="3642"/>
      <c r="H137" s="3642"/>
      <c r="I137" s="3642"/>
      <c r="J137" s="3642"/>
      <c r="K137" s="3642"/>
      <c r="L137" s="3642"/>
      <c r="M137" s="3642"/>
      <c r="N137" s="3642"/>
      <c r="O137" s="3642"/>
      <c r="P137" s="3642"/>
    </row>
    <row r="138" spans="2:16">
      <c r="B138" s="622"/>
      <c r="C138" s="33"/>
      <c r="L138" s="33"/>
    </row>
    <row r="139" spans="2:16">
      <c r="B139" s="622"/>
      <c r="C139" s="33"/>
      <c r="L139" s="33"/>
    </row>
    <row r="140" spans="2:16">
      <c r="B140" s="622"/>
      <c r="C140" s="33"/>
      <c r="L140" s="33"/>
    </row>
    <row r="141" spans="2:16">
      <c r="B141" s="622"/>
      <c r="C141" s="33"/>
      <c r="L141" s="33"/>
    </row>
    <row r="142" spans="2:16">
      <c r="B142" s="622"/>
      <c r="C142" s="33"/>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row>
    <row r="152" spans="2:12">
      <c r="B152" s="622"/>
      <c r="C152" s="33"/>
    </row>
    <row r="153" spans="2:12">
      <c r="B153" s="622"/>
      <c r="C153" s="33"/>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8">
    <mergeCell ref="E22:G22"/>
    <mergeCell ref="C55:D55"/>
    <mergeCell ref="C63:E63"/>
    <mergeCell ref="C68:E68"/>
    <mergeCell ref="C73:E73"/>
    <mergeCell ref="C62:E62"/>
    <mergeCell ref="C51:D51"/>
    <mergeCell ref="C52:D52"/>
    <mergeCell ref="C48:D48"/>
    <mergeCell ref="C49:D49"/>
    <mergeCell ref="C50:D50"/>
    <mergeCell ref="C41:E41"/>
    <mergeCell ref="B75:C75"/>
    <mergeCell ref="D25:E25"/>
    <mergeCell ref="D26:E26"/>
    <mergeCell ref="F34:G34"/>
    <mergeCell ref="C42:E42"/>
    <mergeCell ref="C57:D57"/>
    <mergeCell ref="C47:D47"/>
    <mergeCell ref="C37:E37"/>
    <mergeCell ref="C46:D46"/>
    <mergeCell ref="C36:E36"/>
    <mergeCell ref="C39:E39"/>
    <mergeCell ref="C40:E40"/>
    <mergeCell ref="C53:D53"/>
    <mergeCell ref="C64:E64"/>
    <mergeCell ref="N3:O4"/>
    <mergeCell ref="E4:M4"/>
    <mergeCell ref="G1:I1"/>
    <mergeCell ref="K1:L1"/>
    <mergeCell ref="N1:O1"/>
    <mergeCell ref="K2:P2"/>
    <mergeCell ref="C78:F78"/>
    <mergeCell ref="C79:F79"/>
    <mergeCell ref="N6:O6"/>
    <mergeCell ref="C16:F16"/>
    <mergeCell ref="K6:L6"/>
    <mergeCell ref="C14:F14"/>
    <mergeCell ref="C15:F15"/>
    <mergeCell ref="H6:I6"/>
    <mergeCell ref="C38:E38"/>
    <mergeCell ref="C56:D56"/>
    <mergeCell ref="C54:D54"/>
    <mergeCell ref="E10:F10"/>
    <mergeCell ref="C17:F17"/>
    <mergeCell ref="C19:F19"/>
    <mergeCell ref="F23:G23"/>
    <mergeCell ref="C74:E74"/>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tabColor theme="6" tint="-0.249977111117893"/>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27" width="0" style="31" hidden="1" customWidth="1"/>
    <col min="28" max="16384" width="10.5" style="31"/>
  </cols>
  <sheetData>
    <row r="1" spans="1:41" s="276" customFormat="1" ht="30.2" customHeight="1">
      <c r="A1" s="2507"/>
      <c r="B1" s="326"/>
      <c r="C1" s="1908"/>
      <c r="D1" s="136"/>
      <c r="E1" s="323"/>
      <c r="F1" s="323"/>
      <c r="G1" s="4908" t="s">
        <v>1694</v>
      </c>
      <c r="H1" s="4908"/>
      <c r="I1" s="4908"/>
      <c r="J1" s="1906">
        <f>(J7+J13+J18+J22+I11+I12)-(J23+J27+J34+J43+J60+J65+J67+J69+J71+J75)</f>
        <v>-321.23509215979414</v>
      </c>
      <c r="K1" s="4859">
        <f>M1-J1</f>
        <v>0</v>
      </c>
      <c r="L1" s="4859"/>
      <c r="M1" s="1906">
        <f>(M7+M13+M18+M22+L11+L12)-(M23+M27+M34+M43+M60+M65+M67+M69+M71+M75)</f>
        <v>-321.23509215979414</v>
      </c>
      <c r="N1" s="4859">
        <f>P1-M1</f>
        <v>0</v>
      </c>
      <c r="O1" s="4859"/>
      <c r="P1" s="1906">
        <f>(P7+P13+P18+P22+O11+O12)-(P23+P27+P34+P43+P60+P65+P67+P69+P71+P75)</f>
        <v>-321.23509215979414</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614" t="str">
        <f>"Berechnungsgrundlagen (Deckungsbeitrag "&amp;SDÖ1!O8 &amp;")"</f>
        <v>Berechnungsgrundlagen (Deckungsbeitrag ohne MwSt.)</v>
      </c>
      <c r="G2" s="1891"/>
      <c r="H2" s="1902"/>
      <c r="K2" s="4870" t="s">
        <v>1714</v>
      </c>
      <c r="L2" s="4870"/>
      <c r="M2" s="4870"/>
      <c r="N2" s="4870"/>
      <c r="O2" s="4870"/>
      <c r="P2" s="4870"/>
      <c r="Q2" s="2507"/>
    </row>
    <row r="3" spans="1:41" s="276" customFormat="1" ht="21.75" customHeight="1">
      <c r="A3" s="2507"/>
      <c r="B3" s="1903" t="s">
        <v>1693</v>
      </c>
      <c r="G3" s="1891"/>
      <c r="H3" s="1902"/>
      <c r="J3" s="33"/>
      <c r="K3" s="33"/>
      <c r="L3" s="33"/>
      <c r="M3" s="33"/>
      <c r="N3" s="4909" t="str">
        <f>IF(AND(T3=TRUE,T4=TRUE),"nur 1 Strohnutzung möglich","")</f>
        <v/>
      </c>
      <c r="O3" s="4872"/>
      <c r="P3" s="1900"/>
      <c r="Q3" s="2507"/>
      <c r="T3" s="1918" t="b">
        <v>0</v>
      </c>
    </row>
    <row r="4" spans="1:41" s="276" customFormat="1" ht="20.25" customHeight="1">
      <c r="A4" s="2507"/>
      <c r="B4" s="377" t="s">
        <v>1154</v>
      </c>
      <c r="C4" s="31"/>
      <c r="D4" s="31"/>
      <c r="E4" s="4969" t="s">
        <v>1713</v>
      </c>
      <c r="F4" s="4969"/>
      <c r="G4" s="4969"/>
      <c r="H4" s="4969"/>
      <c r="I4" s="4969"/>
      <c r="J4" s="33"/>
      <c r="K4" s="33"/>
      <c r="L4" s="33"/>
      <c r="M4" s="33"/>
      <c r="N4" s="4872"/>
      <c r="O4" s="4872"/>
      <c r="P4" s="1896">
        <f>SDÖ1!O3</f>
        <v>0</v>
      </c>
      <c r="Q4" s="2507"/>
      <c r="T4" s="1918" t="b">
        <v>1</v>
      </c>
    </row>
    <row r="5" spans="1:41" ht="6" customHeight="1"/>
    <row r="6" spans="1:41" s="1885" customFormat="1" ht="24" customHeight="1">
      <c r="A6" s="48"/>
      <c r="B6" s="1890" t="s">
        <v>1207</v>
      </c>
      <c r="C6" s="1889"/>
      <c r="D6" s="1889"/>
      <c r="E6" s="1889"/>
      <c r="F6" s="1889"/>
      <c r="G6" s="1888" t="s">
        <v>1700</v>
      </c>
      <c r="H6" s="4864" t="s">
        <v>179</v>
      </c>
      <c r="I6" s="4865"/>
      <c r="J6" s="1887"/>
      <c r="K6" s="4849" t="s">
        <v>152</v>
      </c>
      <c r="L6" s="4850"/>
      <c r="M6" s="1887"/>
      <c r="N6" s="4864" t="s">
        <v>178</v>
      </c>
      <c r="O6" s="4865"/>
      <c r="P6" s="1886"/>
      <c r="Q6" s="70"/>
    </row>
    <row r="7" spans="1:41" s="252" customFormat="1" ht="18.75" customHeight="1">
      <c r="A7" s="47"/>
      <c r="B7" s="311" t="s">
        <v>1691</v>
      </c>
      <c r="C7" s="47"/>
      <c r="D7" s="47"/>
      <c r="E7" s="47"/>
      <c r="F7" s="47"/>
      <c r="G7" s="1884" t="s">
        <v>171</v>
      </c>
      <c r="H7" s="1881"/>
      <c r="I7" s="1880"/>
      <c r="J7" s="1614">
        <f>SUM(I9:I10)</f>
        <v>0</v>
      </c>
      <c r="K7" s="1883"/>
      <c r="L7" s="1882"/>
      <c r="M7" s="1617">
        <f>SUM(L9:L10)</f>
        <v>0</v>
      </c>
      <c r="N7" s="1881"/>
      <c r="O7" s="1880"/>
      <c r="P7" s="1614">
        <f>SUM(O9:O10)</f>
        <v>0</v>
      </c>
      <c r="Q7" s="32"/>
    </row>
    <row r="8" spans="1:41" s="252" customFormat="1" ht="13.15" customHeight="1">
      <c r="A8" s="47"/>
      <c r="B8" s="1799"/>
      <c r="C8" s="1879"/>
      <c r="D8" s="1879"/>
      <c r="E8" s="1879"/>
      <c r="F8" s="1879"/>
      <c r="G8" s="1606" t="s">
        <v>228</v>
      </c>
      <c r="H8" s="1778" t="s">
        <v>172</v>
      </c>
      <c r="I8" s="1600" t="s">
        <v>171</v>
      </c>
      <c r="J8" s="1599"/>
      <c r="K8" s="1780" t="s">
        <v>172</v>
      </c>
      <c r="L8" s="1603" t="s">
        <v>171</v>
      </c>
      <c r="M8" s="1800"/>
      <c r="N8" s="1778" t="s">
        <v>172</v>
      </c>
      <c r="O8" s="1600" t="s">
        <v>171</v>
      </c>
      <c r="P8" s="1599"/>
      <c r="Q8" s="32"/>
    </row>
    <row r="9" spans="1:41" s="252" customFormat="1" ht="16.5" customHeight="1">
      <c r="A9" s="47"/>
      <c r="B9" s="311"/>
      <c r="C9" s="45" t="s">
        <v>1690</v>
      </c>
      <c r="D9" s="47"/>
      <c r="E9" s="47"/>
      <c r="F9" s="1878" t="s">
        <v>1257</v>
      </c>
      <c r="G9" s="1794"/>
      <c r="H9" s="1877">
        <f>J6-H10</f>
        <v>0</v>
      </c>
      <c r="I9" s="1873">
        <f>H9*G9</f>
        <v>0</v>
      </c>
      <c r="J9" s="43"/>
      <c r="K9" s="1876">
        <f>M6-K10</f>
        <v>0</v>
      </c>
      <c r="L9" s="1875">
        <f>K9*G9</f>
        <v>0</v>
      </c>
      <c r="M9" s="1854"/>
      <c r="N9" s="1874">
        <f>P6-N10</f>
        <v>0</v>
      </c>
      <c r="O9" s="1873">
        <f>N9*G9</f>
        <v>0</v>
      </c>
      <c r="P9" s="43"/>
      <c r="Q9" s="32"/>
      <c r="R9" s="935"/>
      <c r="S9" s="265" t="s">
        <v>1265</v>
      </c>
      <c r="T9" s="1872"/>
    </row>
    <row r="10" spans="1:41" s="1842" customFormat="1" ht="15" customHeight="1">
      <c r="A10" s="377"/>
      <c r="B10" s="239"/>
      <c r="C10" s="281" t="s">
        <v>1689</v>
      </c>
      <c r="D10" s="1851"/>
      <c r="E10" s="4873"/>
      <c r="F10" s="4874"/>
      <c r="G10" s="1871"/>
      <c r="H10" s="1866"/>
      <c r="I10" s="1865">
        <f>H10*G10</f>
        <v>0</v>
      </c>
      <c r="J10" s="1870"/>
      <c r="K10" s="1869"/>
      <c r="L10" s="1868">
        <f>K10*G10</f>
        <v>0</v>
      </c>
      <c r="M10" s="1867"/>
      <c r="N10" s="1866"/>
      <c r="O10" s="1865">
        <f>N10*G10</f>
        <v>0</v>
      </c>
      <c r="P10" s="1864"/>
      <c r="Q10" s="38"/>
      <c r="R10" s="1863">
        <f>I10+I11+I12</f>
        <v>0</v>
      </c>
      <c r="S10" s="1862">
        <f>L10+L11+L12</f>
        <v>0</v>
      </c>
      <c r="T10" s="1861">
        <f>O10+O11+O12</f>
        <v>0</v>
      </c>
      <c r="W10" s="252" t="s">
        <v>1254</v>
      </c>
    </row>
    <row r="11" spans="1:41" s="1842" customFormat="1" ht="15" customHeight="1">
      <c r="A11" s="377"/>
      <c r="B11" s="274"/>
      <c r="C11" s="45" t="s">
        <v>1253</v>
      </c>
      <c r="D11" s="377"/>
      <c r="E11" s="1860">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43"/>
      <c r="Q11" s="38"/>
      <c r="W11" s="1842" t="s">
        <v>1251</v>
      </c>
    </row>
    <row r="12" spans="1:41" s="1842" customFormat="1" ht="15" customHeight="1">
      <c r="A12" s="377"/>
      <c r="B12" s="239"/>
      <c r="C12" s="281" t="s">
        <v>1250</v>
      </c>
      <c r="D12" s="1851"/>
      <c r="E12" s="1850"/>
      <c r="F12" s="281" t="s">
        <v>1249</v>
      </c>
      <c r="G12" s="1849"/>
      <c r="H12" s="1848"/>
      <c r="I12" s="1843"/>
      <c r="J12" s="1847"/>
      <c r="K12" s="1844"/>
      <c r="L12" s="1846"/>
      <c r="M12" s="1845">
        <f>IF(AND(L12&gt;0,T4=FALSE),"keine Angabe bei M4 ?",0)</f>
        <v>0</v>
      </c>
      <c r="N12" s="1844"/>
      <c r="O12" s="1843"/>
      <c r="P12" s="43"/>
      <c r="Q12" s="38"/>
      <c r="U12" s="252"/>
      <c r="V12" s="252"/>
      <c r="W12" s="1840" t="s">
        <v>1247</v>
      </c>
      <c r="X12" s="1838">
        <f>IF(OR(T3=TRUE,T4=TRUE),J6*$E$11,"0")</f>
        <v>0</v>
      </c>
      <c r="Y12" s="1839">
        <f>IF(OR(T3=TRUE,T4=TRUE),M6*$E$11,"0")</f>
        <v>0</v>
      </c>
      <c r="Z12" s="1838">
        <f>IF(OR(T3=TRUE,T4=TRUE),P6*$E$11,"0")</f>
        <v>0</v>
      </c>
    </row>
    <row r="13" spans="1:41" s="252" customFormat="1" ht="18.75" customHeight="1">
      <c r="A13" s="47"/>
      <c r="B13" s="266" t="s">
        <v>1688</v>
      </c>
      <c r="C13" s="47"/>
      <c r="D13" s="47"/>
      <c r="E13" s="47"/>
      <c r="F13" s="47"/>
      <c r="G13" s="1841" t="s">
        <v>171</v>
      </c>
      <c r="H13" s="1824"/>
      <c r="I13" s="1823"/>
      <c r="J13" s="1614">
        <f>SUM(I14:I17)</f>
        <v>0</v>
      </c>
      <c r="K13" s="1826"/>
      <c r="L13" s="1825"/>
      <c r="M13" s="1617">
        <f>SUM(L14:L16)</f>
        <v>0</v>
      </c>
      <c r="N13" s="1824"/>
      <c r="O13" s="1823"/>
      <c r="P13" s="1614">
        <f>SUM(O14:O16)</f>
        <v>0</v>
      </c>
      <c r="Q13" s="32"/>
      <c r="R13" s="136"/>
      <c r="U13" s="42"/>
      <c r="V13" s="42"/>
      <c r="X13" s="1838">
        <f>IF(OR(T4=TRUE,T5=TRUE),J7*$E$11,"0")</f>
        <v>0</v>
      </c>
      <c r="Y13" s="1839">
        <f>IF(OR(T4=TRUE,T5=TRUE),M7*$E$11,"0")</f>
        <v>0</v>
      </c>
      <c r="Z13" s="1838">
        <f>IF(OR(T4=TRUE,T5=TRUE),P7*$E$11,"0")</f>
        <v>0</v>
      </c>
    </row>
    <row r="14" spans="1:41" s="42" customFormat="1" ht="15" customHeight="1">
      <c r="A14" s="45"/>
      <c r="B14" s="1821"/>
      <c r="C14" s="4833" t="s">
        <v>2105</v>
      </c>
      <c r="D14" s="4833"/>
      <c r="E14" s="4833"/>
      <c r="F14" s="4833"/>
      <c r="G14" s="1837"/>
      <c r="H14" s="1967" t="s">
        <v>1246</v>
      </c>
      <c r="I14" s="3965">
        <f>IF(H14="ja",Q14,0)</f>
        <v>0</v>
      </c>
      <c r="J14" s="45"/>
      <c r="K14" s="1836" t="s">
        <v>1246</v>
      </c>
      <c r="L14" s="1671">
        <f>IF(K14="ja",Q14,0)</f>
        <v>0</v>
      </c>
      <c r="M14" s="1589"/>
      <c r="N14" s="1836" t="s">
        <v>1246</v>
      </c>
      <c r="O14" s="1817">
        <f>IF(N14="ja",Q14,0)</f>
        <v>0</v>
      </c>
      <c r="P14" s="1586"/>
      <c r="Q14" s="1835">
        <f>IF(C14=0,0,VLOOKUP(C14,'SD2'!$C$11:$N$49,'SD2'!$N$1,FALSE))</f>
        <v>240</v>
      </c>
      <c r="R14" s="1925"/>
      <c r="S14" s="1924"/>
      <c r="T14" s="1923"/>
      <c r="W14" s="42" t="s">
        <v>246</v>
      </c>
      <c r="X14" s="1834">
        <f>$X$12*F31</f>
        <v>0</v>
      </c>
      <c r="Y14" s="1834">
        <f>$Y$12*F31</f>
        <v>0</v>
      </c>
      <c r="Z14" s="1834">
        <f>$Z$12*F31</f>
        <v>0</v>
      </c>
    </row>
    <row r="15" spans="1:41" s="42" customFormat="1" ht="15" customHeight="1">
      <c r="A15" s="45"/>
      <c r="B15" s="1821"/>
      <c r="C15" s="4833"/>
      <c r="D15" s="4833"/>
      <c r="E15" s="4833"/>
      <c r="F15" s="4833"/>
      <c r="G15" s="1837"/>
      <c r="H15" s="1836" t="s">
        <v>1246</v>
      </c>
      <c r="I15" s="1817">
        <f>IF(H15="ja",Q15,0)</f>
        <v>0</v>
      </c>
      <c r="J15" s="45"/>
      <c r="K15" s="1836" t="s">
        <v>1246</v>
      </c>
      <c r="L15" s="1671">
        <f>IF(K15="ja",Q15,0)</f>
        <v>0</v>
      </c>
      <c r="M15" s="1589"/>
      <c r="N15" s="1836" t="s">
        <v>1246</v>
      </c>
      <c r="O15" s="1817">
        <f>IF(N15="ja",Q15,0)</f>
        <v>0</v>
      </c>
      <c r="P15" s="1586"/>
      <c r="Q15" s="1835">
        <f>IF(C15=0,0,VLOOKUP(C15,'SD2'!$C$11:$N$49,'SD2'!$N$1,FALSE))</f>
        <v>0</v>
      </c>
      <c r="R15" s="1922"/>
      <c r="S15" s="1918"/>
      <c r="T15" s="1921"/>
      <c r="W15" s="42" t="s">
        <v>1054</v>
      </c>
      <c r="X15" s="1834">
        <f>$X$12*F32</f>
        <v>0</v>
      </c>
      <c r="Y15" s="1834">
        <f>$Y$12*F32</f>
        <v>0</v>
      </c>
      <c r="Z15" s="1834">
        <f>$Z$12*F32</f>
        <v>0</v>
      </c>
    </row>
    <row r="16" spans="1:41" s="42" customFormat="1" ht="15" customHeight="1">
      <c r="A16" s="45"/>
      <c r="B16" s="1821"/>
      <c r="C16" s="4833"/>
      <c r="D16" s="4833"/>
      <c r="E16" s="4833"/>
      <c r="F16" s="4833"/>
      <c r="G16" s="1837"/>
      <c r="H16" s="1836" t="s">
        <v>1246</v>
      </c>
      <c r="I16" s="1817">
        <f>IF(H16="ja",Q16,0)</f>
        <v>0</v>
      </c>
      <c r="J16" s="45"/>
      <c r="K16" s="1836" t="s">
        <v>1246</v>
      </c>
      <c r="L16" s="1671">
        <f>IF(K16="ja",Q16,0)</f>
        <v>0</v>
      </c>
      <c r="M16" s="1589"/>
      <c r="N16" s="1836" t="s">
        <v>1246</v>
      </c>
      <c r="O16" s="1817">
        <f>IF(N16="ja",Q16,0)</f>
        <v>0</v>
      </c>
      <c r="P16" s="1586"/>
      <c r="Q16" s="1835">
        <f>IF(C16=0,0,VLOOKUP(C16,'SD2'!$C$11:$N$49,'SD2'!$N$1,FALSE))</f>
        <v>0</v>
      </c>
      <c r="R16" s="1922"/>
      <c r="S16" s="1918"/>
      <c r="T16" s="1921"/>
      <c r="W16" s="42" t="s">
        <v>1053</v>
      </c>
      <c r="X16" s="1834">
        <f>$X$12*F33</f>
        <v>0</v>
      </c>
      <c r="Y16" s="1834">
        <f>$Y$12*F33</f>
        <v>0</v>
      </c>
      <c r="Z16" s="1834">
        <f>$Z$12*F33</f>
        <v>0</v>
      </c>
    </row>
    <row r="17" spans="1:26" s="708" customFormat="1" ht="15" customHeight="1">
      <c r="A17" s="47"/>
      <c r="B17" s="1821"/>
      <c r="C17" s="4833"/>
      <c r="D17" s="4833"/>
      <c r="E17" s="4833"/>
      <c r="F17" s="4833"/>
      <c r="G17" s="1837"/>
      <c r="H17" s="1836" t="s">
        <v>1246</v>
      </c>
      <c r="I17" s="1817">
        <f>IF(H17="ja",Q17,0)</f>
        <v>0</v>
      </c>
      <c r="J17" s="45"/>
      <c r="K17" s="1836" t="s">
        <v>1246</v>
      </c>
      <c r="L17" s="1671">
        <f>IF(K17="ja",Q17,0)</f>
        <v>0</v>
      </c>
      <c r="M17" s="1589"/>
      <c r="N17" s="1836" t="s">
        <v>1246</v>
      </c>
      <c r="O17" s="1817">
        <f>IF(N17="ja",Q17,0)</f>
        <v>0</v>
      </c>
      <c r="P17" s="1586"/>
      <c r="Q17" s="1835">
        <f>IF(C17=0,0,VLOOKUP(C17,'SD2'!$C$11:$N$49,'SD2'!$N$1,FALSE))</f>
        <v>0</v>
      </c>
      <c r="W17" s="42" t="s">
        <v>240</v>
      </c>
      <c r="X17" s="1834">
        <f>$X$12*F34</f>
        <v>0</v>
      </c>
      <c r="Y17" s="1834">
        <f>$Y$12*F34</f>
        <v>0</v>
      </c>
      <c r="Z17" s="1834">
        <f>$Z$12*F34</f>
        <v>0</v>
      </c>
    </row>
    <row r="18" spans="1:26" s="42" customFormat="1" ht="18.75" customHeight="1">
      <c r="A18" s="45"/>
      <c r="B18" s="266" t="s">
        <v>2177</v>
      </c>
      <c r="C18" s="2498"/>
      <c r="D18" s="2498"/>
      <c r="E18" s="2498"/>
      <c r="F18" s="2498"/>
      <c r="G18" s="3348"/>
      <c r="H18" s="3100"/>
      <c r="I18" s="3349"/>
      <c r="J18" s="1614">
        <f>SUM(I19:I21)</f>
        <v>0</v>
      </c>
      <c r="K18" s="3101"/>
      <c r="L18" s="3350"/>
      <c r="M18" s="1617">
        <f>SUM(L19:L21)</f>
        <v>0</v>
      </c>
      <c r="N18" s="3100"/>
      <c r="O18" s="3349"/>
      <c r="P18" s="1614">
        <f>SUM(O19:O21)</f>
        <v>0</v>
      </c>
      <c r="Q18" s="32"/>
      <c r="R18" s="715" t="s">
        <v>1245</v>
      </c>
      <c r="S18" s="376"/>
      <c r="T18" s="1822"/>
    </row>
    <row r="19" spans="1:26" ht="15.6" customHeight="1">
      <c r="A19" s="377"/>
      <c r="B19" s="1821"/>
      <c r="C19" s="4833" t="s">
        <v>2172</v>
      </c>
      <c r="D19" s="4833"/>
      <c r="E19" s="4833"/>
      <c r="F19" s="4833"/>
      <c r="G19" s="1820" t="s">
        <v>171</v>
      </c>
      <c r="H19" s="1818"/>
      <c r="I19" s="3965">
        <f>IF(OR($C19=0,$J$6=0),0,VLOOKUP($C19,'SD2'!C59:N75,12,FALSE))</f>
        <v>0</v>
      </c>
      <c r="J19" s="45">
        <f>SUM(I23:I24)</f>
        <v>0</v>
      </c>
      <c r="K19" s="1819"/>
      <c r="L19" s="1671">
        <f>IF(OR($C19=0,$M$6=0),0,VLOOKUP($C19,'SD2'!$C$59:$N$74,12,FALSE))</f>
        <v>0</v>
      </c>
      <c r="M19" s="1589">
        <f>SUM(L23:L24)</f>
        <v>0</v>
      </c>
      <c r="N19" s="1818"/>
      <c r="O19" s="1817">
        <f>IF(OR($C19=0,$P$6=0),0,VLOOKUP($C19,'SD2'!C59:N75,12,FALSE))</f>
        <v>0</v>
      </c>
      <c r="P19" s="1586">
        <f>SUM(O23:O24)</f>
        <v>0</v>
      </c>
      <c r="R19" s="1816">
        <f>J13+J18</f>
        <v>0</v>
      </c>
      <c r="S19" s="1816">
        <f>M13+M18</f>
        <v>0</v>
      </c>
      <c r="T19" s="1816">
        <f>P13+P18</f>
        <v>0</v>
      </c>
    </row>
    <row r="20" spans="1:26" s="4056" customFormat="1" ht="15.6" customHeight="1">
      <c r="A20" s="3913"/>
      <c r="B20" s="1821"/>
      <c r="C20" s="4058" t="s">
        <v>2182</v>
      </c>
      <c r="D20" s="4099"/>
      <c r="E20" s="4099"/>
      <c r="F20" s="4099"/>
      <c r="G20" s="1820"/>
      <c r="H20" s="1818"/>
      <c r="I20" s="3965">
        <f>IF(OR($C20=0,$J$6=0),0,VLOOKUP($C20,'SD2'!C60:N76,12,FALSE))</f>
        <v>0</v>
      </c>
      <c r="J20" s="3908"/>
      <c r="K20" s="1819"/>
      <c r="L20" s="3955">
        <f>IF(OR($C20=0,$M$6=0),0,VLOOKUP($C20,'SD2'!$C$59:$N$74,12,FALSE))</f>
        <v>0</v>
      </c>
      <c r="M20" s="3920"/>
      <c r="N20" s="1818"/>
      <c r="O20" s="3965">
        <f>IF(OR($C20=0,$P$6=0),0,VLOOKUP($C20,'SD2'!C60:N76,12,FALSE))</f>
        <v>0</v>
      </c>
      <c r="P20" s="1586"/>
      <c r="Q20" s="4057"/>
      <c r="R20" s="4043"/>
      <c r="S20" s="4043"/>
      <c r="T20" s="4043"/>
    </row>
    <row r="21" spans="1:26" s="4056" customFormat="1" ht="15.6" customHeight="1">
      <c r="A21" s="3913"/>
      <c r="B21" s="1821"/>
      <c r="C21" s="4058" t="s">
        <v>2183</v>
      </c>
      <c r="D21" s="4099"/>
      <c r="E21" s="4099"/>
      <c r="F21" s="4099"/>
      <c r="G21" s="4100"/>
      <c r="H21" s="1818"/>
      <c r="I21" s="3965">
        <f>IF(OR($C21=0,$J$6=0),0,VLOOKUP($C21,'SD2'!C61:N77,12,FALSE))</f>
        <v>0</v>
      </c>
      <c r="J21" s="3908"/>
      <c r="K21" s="1819"/>
      <c r="L21" s="3955">
        <f>IF(OR($C21=0,$M$6=0),0,VLOOKUP($C21,'SD2'!$C$59:$N$74,12,FALSE))</f>
        <v>0</v>
      </c>
      <c r="M21" s="3920"/>
      <c r="N21" s="1818"/>
      <c r="O21" s="3965">
        <f>IF(OR($C21=0,$P$6=0),0,VLOOKUP($C21,'SD2'!C61:N77,12,FALSE))</f>
        <v>0</v>
      </c>
      <c r="P21" s="1586"/>
      <c r="Q21" s="4057"/>
      <c r="R21" s="4043"/>
      <c r="S21" s="4043"/>
      <c r="T21" s="4043"/>
    </row>
    <row r="22" spans="1:26" ht="15.6" customHeight="1">
      <c r="A22" s="377"/>
      <c r="B22" s="311" t="s">
        <v>1244</v>
      </c>
      <c r="C22" s="45"/>
      <c r="D22" s="1807"/>
      <c r="E22" s="4868" t="s">
        <v>1243</v>
      </c>
      <c r="F22" s="4868"/>
      <c r="G22" s="4869"/>
      <c r="H22" s="1804"/>
      <c r="I22" s="1803"/>
      <c r="J22" s="1802"/>
      <c r="K22" s="1806"/>
      <c r="L22" s="1805"/>
      <c r="M22" s="1802"/>
      <c r="N22" s="1804"/>
      <c r="O22" s="1803"/>
      <c r="P22" s="1802"/>
    </row>
    <row r="23" spans="1:26" s="42" customFormat="1" ht="18.75" customHeight="1">
      <c r="A23" s="1306"/>
      <c r="B23" s="266" t="s">
        <v>222</v>
      </c>
      <c r="C23" s="1801"/>
      <c r="D23" s="1801"/>
      <c r="E23" s="38"/>
      <c r="F23" s="4831"/>
      <c r="G23" s="4832" t="s">
        <v>171</v>
      </c>
      <c r="H23" s="1616"/>
      <c r="I23" s="1615"/>
      <c r="J23" s="1599">
        <f>SUM(I25:I26)</f>
        <v>245</v>
      </c>
      <c r="K23" s="1619"/>
      <c r="L23" s="1618"/>
      <c r="M23" s="1800">
        <f>SUM(L25:L26)</f>
        <v>245</v>
      </c>
      <c r="N23" s="1616"/>
      <c r="O23" s="1615"/>
      <c r="P23" s="1599">
        <f>SUM(O25:O26)</f>
        <v>245</v>
      </c>
      <c r="Q23" s="32"/>
    </row>
    <row r="24" spans="1:26" s="42" customFormat="1" ht="15" customHeight="1">
      <c r="A24" s="1306"/>
      <c r="B24" s="1799"/>
      <c r="C24" s="1612" t="s">
        <v>1212</v>
      </c>
      <c r="D24" s="1683">
        <f>SDÖ1!$O$10</f>
        <v>0</v>
      </c>
      <c r="E24" s="1798"/>
      <c r="F24" s="1606" t="s">
        <v>249</v>
      </c>
      <c r="G24" s="1682" t="s">
        <v>1211</v>
      </c>
      <c r="H24" s="1778" t="s">
        <v>1232</v>
      </c>
      <c r="I24" s="1600" t="s">
        <v>171</v>
      </c>
      <c r="J24" s="38"/>
      <c r="K24" s="1780" t="s">
        <v>1232</v>
      </c>
      <c r="L24" s="1603" t="s">
        <v>171</v>
      </c>
      <c r="M24" s="1797"/>
      <c r="N24" s="1778" t="s">
        <v>1232</v>
      </c>
      <c r="O24" s="1600" t="s">
        <v>171</v>
      </c>
      <c r="P24" s="1758"/>
      <c r="Q24" s="32"/>
    </row>
    <row r="25" spans="1:26" s="708" customFormat="1" ht="18.75" customHeight="1">
      <c r="A25" s="1270"/>
      <c r="B25" s="1796"/>
      <c r="C25" s="1306" t="s">
        <v>1241</v>
      </c>
      <c r="D25" s="4851"/>
      <c r="E25" s="4852"/>
      <c r="F25" s="1795"/>
      <c r="G25" s="1794">
        <f>F25*(100+$D$24)/100</f>
        <v>0</v>
      </c>
      <c r="H25" s="1793"/>
      <c r="I25" s="1754">
        <f>H25*$G25</f>
        <v>0</v>
      </c>
      <c r="J25" s="45"/>
      <c r="K25" s="1793">
        <f>H25</f>
        <v>0</v>
      </c>
      <c r="L25" s="1596">
        <f>K25*$G25</f>
        <v>0</v>
      </c>
      <c r="M25" s="1589"/>
      <c r="N25" s="1793">
        <f>H25</f>
        <v>0</v>
      </c>
      <c r="O25" s="1754">
        <f>N25*$G25</f>
        <v>0</v>
      </c>
      <c r="P25" s="1718"/>
      <c r="Q25" s="32"/>
    </row>
    <row r="26" spans="1:26" s="708" customFormat="1" ht="13.9" customHeight="1">
      <c r="A26" s="1270"/>
      <c r="B26" s="1332"/>
      <c r="C26" s="1792" t="s">
        <v>191</v>
      </c>
      <c r="D26" s="4904" t="s">
        <v>944</v>
      </c>
      <c r="E26" s="4854"/>
      <c r="F26" s="1791">
        <v>3.5</v>
      </c>
      <c r="G26" s="1790">
        <f>F26*(100+$D$24)/100</f>
        <v>3.5</v>
      </c>
      <c r="H26" s="1789">
        <v>70</v>
      </c>
      <c r="I26" s="1750">
        <f>H26*$G26</f>
        <v>245</v>
      </c>
      <c r="J26" s="45"/>
      <c r="K26" s="1789">
        <f>H26</f>
        <v>70</v>
      </c>
      <c r="L26" s="1590">
        <f>K26*$G26</f>
        <v>245</v>
      </c>
      <c r="M26" s="1589"/>
      <c r="N26" s="1789">
        <f>H26</f>
        <v>70</v>
      </c>
      <c r="O26" s="1750">
        <f>N26*$G26</f>
        <v>245</v>
      </c>
      <c r="P26" s="1749"/>
      <c r="Q26" s="32"/>
    </row>
    <row r="27" spans="1:26" s="708" customFormat="1" ht="17.45" customHeight="1">
      <c r="A27" s="1270"/>
      <c r="B27" s="1788" t="s">
        <v>221</v>
      </c>
      <c r="C27" s="1270"/>
      <c r="D27" s="73" t="str">
        <f>IF(SDÖ1!U17=FALSE,"(Nährstoffabfuhr nicht bewertet)","(Nährstoffabfuhr bewertet)")</f>
        <v>(Nährstoffabfuhr bewertet)</v>
      </c>
      <c r="E27" s="38"/>
      <c r="F27" s="38"/>
      <c r="G27" s="1787" t="s">
        <v>171</v>
      </c>
      <c r="H27" s="1746"/>
      <c r="I27" s="1745"/>
      <c r="J27" s="1614">
        <f>SUM(I30:I33)</f>
        <v>0</v>
      </c>
      <c r="K27" s="1748"/>
      <c r="L27" s="1747"/>
      <c r="M27" s="1617">
        <f>SUM(L30:L33)</f>
        <v>0</v>
      </c>
      <c r="N27" s="1746"/>
      <c r="O27" s="1745"/>
      <c r="P27" s="1614">
        <f>SUM(O30:O33)</f>
        <v>0</v>
      </c>
      <c r="Q27" s="32"/>
    </row>
    <row r="28" spans="1:26" s="42" customFormat="1" ht="15" customHeight="1">
      <c r="A28" s="1306"/>
      <c r="B28" s="1334"/>
      <c r="C28" s="3227"/>
      <c r="D28" s="1786" t="s">
        <v>1075</v>
      </c>
      <c r="E28" s="1786" t="s">
        <v>1239</v>
      </c>
      <c r="F28" s="1786" t="s">
        <v>1239</v>
      </c>
      <c r="G28" s="1785" t="s">
        <v>1238</v>
      </c>
      <c r="H28" s="1745"/>
      <c r="I28" s="1782"/>
      <c r="J28" s="3228"/>
      <c r="K28" s="1748"/>
      <c r="L28" s="1678"/>
      <c r="M28" s="1783"/>
      <c r="N28" s="1746"/>
      <c r="O28" s="1782"/>
      <c r="P28" s="1599"/>
      <c r="Q28" s="32"/>
    </row>
    <row r="29" spans="1:26" s="42" customFormat="1" ht="15" customHeight="1">
      <c r="A29" s="1306"/>
      <c r="B29" s="1781"/>
      <c r="C29" s="1307" t="s">
        <v>1237</v>
      </c>
      <c r="D29" s="1607" t="s">
        <v>908</v>
      </c>
      <c r="E29" s="1607" t="s">
        <v>1236</v>
      </c>
      <c r="F29" s="1607" t="s">
        <v>1235</v>
      </c>
      <c r="G29" s="1607" t="s">
        <v>1686</v>
      </c>
      <c r="H29" s="1778" t="s">
        <v>909</v>
      </c>
      <c r="I29" s="1600" t="s">
        <v>171</v>
      </c>
      <c r="J29" s="3227"/>
      <c r="K29" s="1780" t="s">
        <v>909</v>
      </c>
      <c r="L29" s="1603" t="s">
        <v>171</v>
      </c>
      <c r="M29" s="1779"/>
      <c r="N29" s="1778" t="s">
        <v>909</v>
      </c>
      <c r="O29" s="1600" t="s">
        <v>171</v>
      </c>
      <c r="P29" s="1777"/>
      <c r="Q29" s="32"/>
    </row>
    <row r="30" spans="1:26" s="42" customFormat="1" ht="15" customHeight="1">
      <c r="A30" s="1306"/>
      <c r="B30" s="1776"/>
      <c r="C30" s="1775" t="s">
        <v>246</v>
      </c>
      <c r="D30" s="1723">
        <f>IF(SDÖ1!$U$17=TRUE,SDÖ1!O55,0)</f>
        <v>4.5333333333333332</v>
      </c>
      <c r="E30" s="1774">
        <v>-0.35</v>
      </c>
      <c r="F30" s="1774"/>
      <c r="G30" s="1773">
        <v>20</v>
      </c>
      <c r="H30" s="1771">
        <f>IF(J$6=0,0,(J$6*$E30+$G30+X13))</f>
        <v>0</v>
      </c>
      <c r="I30" s="1754">
        <f>H30*$D30</f>
        <v>0</v>
      </c>
      <c r="J30" s="45"/>
      <c r="K30" s="1772">
        <f>IF(M$6=0,0,(M$6*$E30+$G30+AA14))</f>
        <v>0</v>
      </c>
      <c r="L30" s="1596">
        <f>K30*$D30</f>
        <v>0</v>
      </c>
      <c r="M30" s="1589"/>
      <c r="N30" s="1771">
        <f>IF(P$6=0,0,(P$6*$E30+$G30+AD14))</f>
        <v>0</v>
      </c>
      <c r="O30" s="1754">
        <f>N30*$D30</f>
        <v>0</v>
      </c>
      <c r="P30" s="1718"/>
      <c r="Q30" s="32"/>
    </row>
    <row r="31" spans="1:26" s="42" customFormat="1" ht="15" customHeight="1">
      <c r="A31" s="1306"/>
      <c r="B31" s="274"/>
      <c r="C31" s="1306" t="s">
        <v>244</v>
      </c>
      <c r="D31" s="1723">
        <f>IF(SDÖ1!$U$17=TRUE,SDÖ1!O56,0)</f>
        <v>1.3999999999999997</v>
      </c>
      <c r="E31" s="1774"/>
      <c r="F31" s="1774"/>
      <c r="G31" s="1773"/>
      <c r="H31" s="1771">
        <f>IF(J$6=0,0,(J$6*$E31+$G31+X14))</f>
        <v>0</v>
      </c>
      <c r="I31" s="1754">
        <f>H31*$D31</f>
        <v>0</v>
      </c>
      <c r="J31" s="45"/>
      <c r="K31" s="1772">
        <f>IF(M$6=0,0,(M$6*$E31+$G31+Y14))</f>
        <v>0</v>
      </c>
      <c r="L31" s="1596">
        <f>K31*$D31</f>
        <v>0</v>
      </c>
      <c r="M31" s="1589"/>
      <c r="N31" s="1771">
        <f>IF(P$6=0,0,(P$6*$E31+$G31+Z14))</f>
        <v>0</v>
      </c>
      <c r="O31" s="1754">
        <f>N31*$D31</f>
        <v>0</v>
      </c>
      <c r="P31" s="1718"/>
      <c r="Q31" s="32"/>
    </row>
    <row r="32" spans="1:26" s="708" customFormat="1" ht="18.75" customHeight="1">
      <c r="A32" s="1270"/>
      <c r="B32" s="274"/>
      <c r="C32" s="1306" t="s">
        <v>242</v>
      </c>
      <c r="D32" s="1723">
        <f>IF(SDÖ1!$U$17=TRUE,SDÖ1!O57,0)</f>
        <v>1.3999999999999997</v>
      </c>
      <c r="E32" s="1774"/>
      <c r="F32" s="1774"/>
      <c r="G32" s="1773"/>
      <c r="H32" s="1771">
        <f>IF(J$6=0,0,(J$6*$E32+$G32+X15))</f>
        <v>0</v>
      </c>
      <c r="I32" s="1754">
        <f>H32*$D32</f>
        <v>0</v>
      </c>
      <c r="J32" s="45"/>
      <c r="K32" s="1772">
        <f>IF(M$6=0,0,(M$6*$E32+$G32+Y15))</f>
        <v>0</v>
      </c>
      <c r="L32" s="1596">
        <f>K32*$D32</f>
        <v>0</v>
      </c>
      <c r="M32" s="1589"/>
      <c r="N32" s="1771">
        <f>IF(P$6=0,0,(P$6*$E32+$G32+Z15))</f>
        <v>0</v>
      </c>
      <c r="O32" s="1754">
        <f>N32*$D32</f>
        <v>0</v>
      </c>
      <c r="P32" s="1718"/>
      <c r="Q32" s="32"/>
    </row>
    <row r="33" spans="1:17" s="708" customFormat="1" ht="13.15" customHeight="1">
      <c r="A33" s="1270"/>
      <c r="B33" s="239"/>
      <c r="C33" s="1331" t="s">
        <v>240</v>
      </c>
      <c r="D33" s="1706">
        <f>IF(SDÖ1!$U$17=TRUE,SDÖ1!O58,0)</f>
        <v>0.5</v>
      </c>
      <c r="E33" s="1770"/>
      <c r="F33" s="1770"/>
      <c r="G33" s="1769"/>
      <c r="H33" s="1767">
        <f>IF(J$6=0,0,(J$6*$E33+$G33+X16))</f>
        <v>0</v>
      </c>
      <c r="I33" s="1750">
        <f>H33*$D33</f>
        <v>0</v>
      </c>
      <c r="J33" s="45"/>
      <c r="K33" s="1768">
        <f>IF(M$6=0,0,(M$6*$E33+$G33+Y16))</f>
        <v>0</v>
      </c>
      <c r="L33" s="1590">
        <f>K33*$D33</f>
        <v>0</v>
      </c>
      <c r="M33" s="1589"/>
      <c r="N33" s="1767">
        <f>IF(P$6=0,0,(P$6*$E33+$G33+Z16))</f>
        <v>0</v>
      </c>
      <c r="O33" s="1750">
        <f>N33*$D33</f>
        <v>0</v>
      </c>
      <c r="P33" s="1749"/>
      <c r="Q33" s="32"/>
    </row>
    <row r="34" spans="1:17" s="42" customFormat="1" ht="15" customHeight="1">
      <c r="A34" s="1306"/>
      <c r="B34" s="1276" t="s">
        <v>1685</v>
      </c>
      <c r="C34" s="1270"/>
      <c r="D34" s="3227"/>
      <c r="E34" s="3227"/>
      <c r="F34" s="4831"/>
      <c r="G34" s="4832" t="s">
        <v>171</v>
      </c>
      <c r="H34" s="1764"/>
      <c r="I34" s="1763"/>
      <c r="J34" s="1614">
        <f>SUM(I36:I42)</f>
        <v>0</v>
      </c>
      <c r="K34" s="1766"/>
      <c r="L34" s="1765"/>
      <c r="M34" s="1617">
        <f>SUM(L36:L42)</f>
        <v>0</v>
      </c>
      <c r="N34" s="1764"/>
      <c r="O34" s="1763"/>
      <c r="P34" s="1614">
        <f>SUM(O36:O42)</f>
        <v>0</v>
      </c>
      <c r="Q34" s="32"/>
    </row>
    <row r="35" spans="1:17" s="42" customFormat="1" ht="15" customHeight="1">
      <c r="A35" s="1306"/>
      <c r="B35" s="1613"/>
      <c r="C35" s="1612" t="s">
        <v>1212</v>
      </c>
      <c r="D35" s="1683">
        <f>SDÖ1!$O$11</f>
        <v>0</v>
      </c>
      <c r="E35" s="1610"/>
      <c r="F35" s="1606" t="s">
        <v>249</v>
      </c>
      <c r="G35" s="1682" t="s">
        <v>1211</v>
      </c>
      <c r="H35" s="1759" t="s">
        <v>1232</v>
      </c>
      <c r="I35" s="1600" t="s">
        <v>171</v>
      </c>
      <c r="J35" s="1762"/>
      <c r="K35" s="1761" t="s">
        <v>1232</v>
      </c>
      <c r="L35" s="1603" t="s">
        <v>171</v>
      </c>
      <c r="M35" s="1760"/>
      <c r="N35" s="1759" t="s">
        <v>1232</v>
      </c>
      <c r="O35" s="1600" t="s">
        <v>171</v>
      </c>
      <c r="P35" s="1599"/>
      <c r="Q35" s="32"/>
    </row>
    <row r="36" spans="1:17" s="42" customFormat="1" ht="15" customHeight="1">
      <c r="A36" s="1306"/>
      <c r="B36" s="1594"/>
      <c r="C36" s="4857" t="s">
        <v>1581</v>
      </c>
      <c r="D36" s="4857"/>
      <c r="E36" s="4858"/>
      <c r="F36" s="1756">
        <f>IF(C36=0,0,VLOOKUP(C36,SDÖ5!$C$6:$D$33,2,FALSE))</f>
        <v>10</v>
      </c>
      <c r="G36" s="1756">
        <f t="shared" ref="G36:G42" si="0">F36*(100+$D$35)/100</f>
        <v>10</v>
      </c>
      <c r="H36" s="1755"/>
      <c r="I36" s="1754">
        <f t="shared" ref="I36:I42" si="1">$G36*H36</f>
        <v>0</v>
      </c>
      <c r="J36" s="45"/>
      <c r="K36" s="1755"/>
      <c r="L36" s="1596">
        <f t="shared" ref="L36:L42" si="2">$G36*K36</f>
        <v>0</v>
      </c>
      <c r="M36" s="1589"/>
      <c r="N36" s="1755"/>
      <c r="O36" s="1754">
        <f t="shared" ref="O36:O42" si="3">$G36*N36</f>
        <v>0</v>
      </c>
      <c r="P36" s="1758"/>
      <c r="Q36" s="32"/>
    </row>
    <row r="37" spans="1:17" s="42" customFormat="1" ht="15" customHeight="1">
      <c r="A37" s="1306"/>
      <c r="B37" s="1594"/>
      <c r="C37" s="4855"/>
      <c r="D37" s="4855"/>
      <c r="E37" s="4856"/>
      <c r="F37" s="1756">
        <f>IF(C37=0,0,VLOOKUP(C37,SDÖ5!$C$6:$D$33,2,FALSE))</f>
        <v>0</v>
      </c>
      <c r="G37" s="1756">
        <f t="shared" si="0"/>
        <v>0</v>
      </c>
      <c r="H37" s="1755"/>
      <c r="I37" s="1754">
        <f t="shared" si="1"/>
        <v>0</v>
      </c>
      <c r="J37" s="45"/>
      <c r="K37" s="1755"/>
      <c r="L37" s="1596">
        <f t="shared" si="2"/>
        <v>0</v>
      </c>
      <c r="M37" s="1589"/>
      <c r="N37" s="1755"/>
      <c r="O37" s="1754">
        <f t="shared" si="3"/>
        <v>0</v>
      </c>
      <c r="P37" s="1718"/>
      <c r="Q37" s="32"/>
    </row>
    <row r="38" spans="1:17" s="42" customFormat="1" ht="15" hidden="1" customHeight="1">
      <c r="A38" s="1306"/>
      <c r="B38" s="1757"/>
      <c r="C38" s="4855"/>
      <c r="D38" s="4855"/>
      <c r="E38" s="4856"/>
      <c r="F38" s="1756">
        <f>IF(C38=0,0,VLOOKUP(C38,SDÖ5!$C$6:$D$33,2,FALSE))</f>
        <v>0</v>
      </c>
      <c r="G38" s="1756">
        <f t="shared" si="0"/>
        <v>0</v>
      </c>
      <c r="H38" s="1755"/>
      <c r="I38" s="1754">
        <f t="shared" si="1"/>
        <v>0</v>
      </c>
      <c r="J38" s="45"/>
      <c r="K38" s="1755"/>
      <c r="L38" s="1596">
        <f t="shared" si="2"/>
        <v>0</v>
      </c>
      <c r="M38" s="1589"/>
      <c r="N38" s="1755"/>
      <c r="O38" s="1754">
        <f t="shared" si="3"/>
        <v>0</v>
      </c>
      <c r="P38" s="1718"/>
      <c r="Q38" s="32"/>
    </row>
    <row r="39" spans="1:17" s="42" customFormat="1" ht="15" hidden="1" customHeight="1">
      <c r="A39" s="1306"/>
      <c r="B39" s="1594"/>
      <c r="C39" s="4855">
        <v>0</v>
      </c>
      <c r="D39" s="4855"/>
      <c r="E39" s="4856"/>
      <c r="F39" s="1756">
        <f>IF(C39=0,0,VLOOKUP(C39,SDÖ5!$C$6:$D$33,2,FALSE))</f>
        <v>0</v>
      </c>
      <c r="G39" s="1756">
        <f t="shared" si="0"/>
        <v>0</v>
      </c>
      <c r="H39" s="1755"/>
      <c r="I39" s="1754">
        <f t="shared" si="1"/>
        <v>0</v>
      </c>
      <c r="J39" s="45"/>
      <c r="K39" s="1755"/>
      <c r="L39" s="1596">
        <f t="shared" si="2"/>
        <v>0</v>
      </c>
      <c r="M39" s="1589"/>
      <c r="N39" s="1755"/>
      <c r="O39" s="1754">
        <f t="shared" si="3"/>
        <v>0</v>
      </c>
      <c r="P39" s="1718"/>
      <c r="Q39" s="32"/>
    </row>
    <row r="40" spans="1:17" s="42" customFormat="1" ht="15" hidden="1" customHeight="1">
      <c r="A40" s="1306"/>
      <c r="B40" s="1594"/>
      <c r="C40" s="4855"/>
      <c r="D40" s="4855"/>
      <c r="E40" s="4856"/>
      <c r="F40" s="1756">
        <f>IF(C40=0,0,VLOOKUP(C40,SDÖ5!$C$6:$D$16,2,FALSE))</f>
        <v>0</v>
      </c>
      <c r="G40" s="1756">
        <f t="shared" si="0"/>
        <v>0</v>
      </c>
      <c r="H40" s="1755"/>
      <c r="I40" s="1754">
        <f t="shared" si="1"/>
        <v>0</v>
      </c>
      <c r="J40" s="45"/>
      <c r="K40" s="1755"/>
      <c r="L40" s="1596">
        <f t="shared" si="2"/>
        <v>0</v>
      </c>
      <c r="M40" s="1589"/>
      <c r="N40" s="1755"/>
      <c r="O40" s="1754">
        <f t="shared" si="3"/>
        <v>0</v>
      </c>
      <c r="P40" s="1718"/>
      <c r="Q40" s="32"/>
    </row>
    <row r="41" spans="1:17" s="42" customFormat="1" ht="15" hidden="1" customHeight="1">
      <c r="A41" s="1306"/>
      <c r="B41" s="1594"/>
      <c r="C41" s="4855"/>
      <c r="D41" s="4855"/>
      <c r="E41" s="4856"/>
      <c r="F41" s="1756">
        <f>IF(C41=0,0,VLOOKUP(C41,SDÖ5!$C$6:$D$16,2,FALSE))</f>
        <v>0</v>
      </c>
      <c r="G41" s="1756">
        <f t="shared" si="0"/>
        <v>0</v>
      </c>
      <c r="H41" s="1755"/>
      <c r="I41" s="1754">
        <f t="shared" si="1"/>
        <v>0</v>
      </c>
      <c r="J41" s="45"/>
      <c r="K41" s="1755"/>
      <c r="L41" s="1596">
        <f t="shared" si="2"/>
        <v>0</v>
      </c>
      <c r="M41" s="1589"/>
      <c r="N41" s="1755"/>
      <c r="O41" s="1754">
        <f t="shared" si="3"/>
        <v>0</v>
      </c>
      <c r="P41" s="1718"/>
      <c r="Q41" s="32"/>
    </row>
    <row r="42" spans="1:17" s="708" customFormat="1" ht="18.75" customHeight="1">
      <c r="A42" s="1270"/>
      <c r="B42" s="1753"/>
      <c r="C42" s="4860"/>
      <c r="D42" s="4860"/>
      <c r="E42" s="4861"/>
      <c r="F42" s="1752">
        <f>IF(C42=0,0,VLOOKUP(C42,SDÖ5!$C$6:$D$16,2,FALSE))</f>
        <v>0</v>
      </c>
      <c r="G42" s="1752">
        <f t="shared" si="0"/>
        <v>0</v>
      </c>
      <c r="H42" s="1751"/>
      <c r="I42" s="1750">
        <f t="shared" si="1"/>
        <v>0</v>
      </c>
      <c r="J42" s="45"/>
      <c r="K42" s="1751"/>
      <c r="L42" s="1590">
        <f t="shared" si="2"/>
        <v>0</v>
      </c>
      <c r="M42" s="1589"/>
      <c r="N42" s="1751"/>
      <c r="O42" s="1750">
        <f t="shared" si="3"/>
        <v>0</v>
      </c>
      <c r="P42" s="1749"/>
      <c r="Q42" s="32"/>
    </row>
    <row r="43" spans="1:17" s="42" customFormat="1" ht="15" customHeight="1">
      <c r="A43" s="1306"/>
      <c r="B43" s="1276" t="s">
        <v>1231</v>
      </c>
      <c r="C43" s="1270"/>
      <c r="D43" s="1270"/>
      <c r="E43" s="1270"/>
      <c r="F43" s="1270"/>
      <c r="G43" s="1620"/>
      <c r="H43" s="1746"/>
      <c r="I43" s="1745"/>
      <c r="J43" s="1614">
        <f>SUM(J46:J57)</f>
        <v>73.448666329411765</v>
      </c>
      <c r="K43" s="1748"/>
      <c r="L43" s="1747"/>
      <c r="M43" s="1617">
        <f>SUM(M46:M57)</f>
        <v>73.448666329411765</v>
      </c>
      <c r="N43" s="1746"/>
      <c r="O43" s="1745"/>
      <c r="P43" s="1614">
        <f>SUM(P46:P57)</f>
        <v>73.448666329411765</v>
      </c>
      <c r="Q43" s="32"/>
    </row>
    <row r="44" spans="1:17" s="42" customFormat="1" ht="15" customHeight="1">
      <c r="A44" s="1306"/>
      <c r="B44" s="1334"/>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1737"/>
      <c r="Q44" s="32"/>
    </row>
    <row r="45" spans="1:17" s="42" customFormat="1" ht="15" customHeight="1">
      <c r="A45" s="1306"/>
      <c r="B45" s="573"/>
      <c r="C45" s="554"/>
      <c r="D45" s="1736"/>
      <c r="E45" s="1607" t="s">
        <v>1683</v>
      </c>
      <c r="F45" s="1607" t="s">
        <v>1225</v>
      </c>
      <c r="G45" s="1607" t="s">
        <v>612</v>
      </c>
      <c r="H45" s="1732" t="s">
        <v>1224</v>
      </c>
      <c r="I45" s="1606" t="s">
        <v>114</v>
      </c>
      <c r="J45" s="1731" t="s">
        <v>171</v>
      </c>
      <c r="K45" s="1735" t="s">
        <v>1224</v>
      </c>
      <c r="L45" s="1734" t="s">
        <v>114</v>
      </c>
      <c r="M45" s="1733" t="s">
        <v>171</v>
      </c>
      <c r="N45" s="1732" t="s">
        <v>1224</v>
      </c>
      <c r="O45" s="1606" t="s">
        <v>114</v>
      </c>
      <c r="P45" s="1731" t="s">
        <v>171</v>
      </c>
      <c r="Q45" s="32"/>
    </row>
    <row r="46" spans="1:17" s="42" customFormat="1" ht="15" customHeight="1">
      <c r="A46" s="1306"/>
      <c r="B46" s="1726"/>
      <c r="C46" s="4835" t="s">
        <v>493</v>
      </c>
      <c r="D46" s="4836"/>
      <c r="E46" s="1725">
        <f>IF($C46=0,0,VLOOKUP($C46,SDÖ3!$C$24:$O$99,4,FALSE))</f>
        <v>120</v>
      </c>
      <c r="F46" s="1724">
        <f>IF($C46=0,0,VLOOKUP($C46,SDÖ3!$C$24:$O$99,12,FALSE))</f>
        <v>1.03</v>
      </c>
      <c r="G46" s="1723">
        <f>IF($C46=0,0,VLOOKUP($C46,SDÖ3!$C$24:$O$99,13,FALSE))</f>
        <v>33.576407529411767</v>
      </c>
      <c r="H46" s="1720">
        <v>1</v>
      </c>
      <c r="I46" s="1719">
        <f t="shared" ref="I46:I56" si="4">$F46*H46</f>
        <v>1.03</v>
      </c>
      <c r="J46" s="1718">
        <f t="shared" ref="J46:J56" si="5">H46*$G46</f>
        <v>33.576407529411767</v>
      </c>
      <c r="K46" s="1720">
        <v>1</v>
      </c>
      <c r="L46" s="1722">
        <f t="shared" ref="L46:L56" si="6">$F46*K46</f>
        <v>1.03</v>
      </c>
      <c r="M46" s="1721">
        <f t="shared" ref="M46:M56" si="7">K46*$G46</f>
        <v>33.576407529411767</v>
      </c>
      <c r="N46" s="1720">
        <v>1</v>
      </c>
      <c r="O46" s="1719">
        <f t="shared" ref="O46:O56" si="8">$F46*N46</f>
        <v>1.03</v>
      </c>
      <c r="P46" s="1718">
        <f t="shared" ref="P46:P56" si="9">N46*$G46</f>
        <v>33.576407529411767</v>
      </c>
      <c r="Q46" s="32"/>
    </row>
    <row r="47" spans="1:17" s="42" customFormat="1" ht="15" customHeight="1">
      <c r="A47" s="1306"/>
      <c r="B47" s="1726"/>
      <c r="C47" s="4835"/>
      <c r="D47" s="4836"/>
      <c r="E47" s="1725">
        <f>IF($C47=0,0,VLOOKUP($C47,SDÖ3!$C$24:$O$99,4,FALSE))</f>
        <v>0</v>
      </c>
      <c r="F47" s="1724">
        <f>IF($C47=0,0,VLOOKUP($C47,SDÖ3!$C$24:$O$99,12,FALSE))</f>
        <v>0</v>
      </c>
      <c r="G47" s="1723">
        <f>IF($C47=0,0,VLOOKUP($C47,SDÖ3!$C$24:$O$99,13,FALSE))</f>
        <v>0</v>
      </c>
      <c r="H47" s="1720"/>
      <c r="I47" s="1719">
        <f t="shared" si="4"/>
        <v>0</v>
      </c>
      <c r="J47" s="1718">
        <f t="shared" si="5"/>
        <v>0</v>
      </c>
      <c r="K47" s="1720"/>
      <c r="L47" s="1722">
        <f t="shared" si="6"/>
        <v>0</v>
      </c>
      <c r="M47" s="1721">
        <f t="shared" si="7"/>
        <v>0</v>
      </c>
      <c r="N47" s="1720"/>
      <c r="O47" s="1719">
        <f t="shared" si="8"/>
        <v>0</v>
      </c>
      <c r="P47" s="1718">
        <f t="shared" si="9"/>
        <v>0</v>
      </c>
      <c r="Q47" s="32"/>
    </row>
    <row r="48" spans="1:17" s="42" customFormat="1" ht="15" customHeight="1">
      <c r="A48" s="1306"/>
      <c r="B48" s="1726"/>
      <c r="C48" s="4835" t="s">
        <v>450</v>
      </c>
      <c r="D48" s="4836"/>
      <c r="E48" s="1725">
        <f>IF($C48=0,0,VLOOKUP($C48,SDÖ3!$C$24:$O$99,4,FALSE))</f>
        <v>83</v>
      </c>
      <c r="F48" s="1724">
        <f>IF($C48=0,0,VLOOKUP($C48,SDÖ3!$C$24:$O$99,12,FALSE))</f>
        <v>1.19</v>
      </c>
      <c r="G48" s="1723">
        <f>IF($C48=0,0,VLOOKUP($C48,SDÖ3!$C$24:$O$99,13,FALSE))</f>
        <v>23.494563599999999</v>
      </c>
      <c r="H48" s="1720">
        <v>1</v>
      </c>
      <c r="I48" s="1719">
        <f t="shared" si="4"/>
        <v>1.19</v>
      </c>
      <c r="J48" s="1718">
        <f t="shared" si="5"/>
        <v>23.494563599999999</v>
      </c>
      <c r="K48" s="1720">
        <v>1</v>
      </c>
      <c r="L48" s="1722">
        <f t="shared" si="6"/>
        <v>1.19</v>
      </c>
      <c r="M48" s="1721">
        <f t="shared" si="7"/>
        <v>23.494563599999999</v>
      </c>
      <c r="N48" s="1720">
        <v>1</v>
      </c>
      <c r="O48" s="1719">
        <f t="shared" si="8"/>
        <v>1.19</v>
      </c>
      <c r="P48" s="1718">
        <f t="shared" si="9"/>
        <v>23.494563599999999</v>
      </c>
      <c r="Q48" s="32"/>
    </row>
    <row r="49" spans="1:17" s="42" customFormat="1" ht="15" customHeight="1">
      <c r="A49" s="1306"/>
      <c r="B49" s="1726"/>
      <c r="C49" s="4835"/>
      <c r="D49" s="4836"/>
      <c r="E49" s="1725">
        <f>IF($C49=0,0,VLOOKUP($C49,SDÖ3!$C$24:$O$99,4,FALSE))</f>
        <v>0</v>
      </c>
      <c r="F49" s="1724">
        <f>IF($C49=0,0,VLOOKUP($C49,SDÖ3!$C$24:$O$99,12,FALSE))</f>
        <v>0</v>
      </c>
      <c r="G49" s="1723">
        <f>IF($C49=0,0,VLOOKUP($C49,SDÖ3!$C$24:$O$99,13,FALSE))</f>
        <v>0</v>
      </c>
      <c r="H49" s="1720"/>
      <c r="I49" s="1719">
        <f t="shared" si="4"/>
        <v>0</v>
      </c>
      <c r="J49" s="1718">
        <f t="shared" si="5"/>
        <v>0</v>
      </c>
      <c r="K49" s="1720"/>
      <c r="L49" s="1722">
        <f t="shared" si="6"/>
        <v>0</v>
      </c>
      <c r="M49" s="1721">
        <f t="shared" si="7"/>
        <v>0</v>
      </c>
      <c r="N49" s="1720"/>
      <c r="O49" s="1719">
        <f t="shared" si="8"/>
        <v>0</v>
      </c>
      <c r="P49" s="1718">
        <f t="shared" si="9"/>
        <v>0</v>
      </c>
      <c r="Q49" s="32"/>
    </row>
    <row r="50" spans="1:17" s="42" customFormat="1" ht="15" customHeight="1">
      <c r="A50" s="1306"/>
      <c r="B50" s="1726"/>
      <c r="C50" s="4835" t="s">
        <v>508</v>
      </c>
      <c r="D50" s="4836"/>
      <c r="E50" s="1725">
        <f>IF($C50=0,0,VLOOKUP($C50,SDÖ3!$C$24:$O$99,4,FALSE))</f>
        <v>102</v>
      </c>
      <c r="F50" s="1724">
        <f>IF($C50=0,0,VLOOKUP($C50,SDÖ3!$C$24:$O$99,12,FALSE))</f>
        <v>0.54</v>
      </c>
      <c r="G50" s="1723">
        <f>IF($C50=0,0,VLOOKUP($C50,SDÖ3!$C$24:$O$99,13,FALSE))</f>
        <v>16.377695200000002</v>
      </c>
      <c r="H50" s="1720">
        <v>1</v>
      </c>
      <c r="I50" s="1719">
        <f t="shared" si="4"/>
        <v>0.54</v>
      </c>
      <c r="J50" s="1718">
        <f t="shared" si="5"/>
        <v>16.377695200000002</v>
      </c>
      <c r="K50" s="1720">
        <v>1</v>
      </c>
      <c r="L50" s="1722">
        <f t="shared" si="6"/>
        <v>0.54</v>
      </c>
      <c r="M50" s="1721">
        <f t="shared" si="7"/>
        <v>16.377695200000002</v>
      </c>
      <c r="N50" s="1720">
        <v>1</v>
      </c>
      <c r="O50" s="1719">
        <f t="shared" si="8"/>
        <v>0.54</v>
      </c>
      <c r="P50" s="1718">
        <f t="shared" si="9"/>
        <v>16.377695200000002</v>
      </c>
      <c r="Q50" s="32"/>
    </row>
    <row r="51" spans="1:17" s="42" customFormat="1" ht="15" customHeight="1">
      <c r="A51" s="1306"/>
      <c r="B51" s="1726"/>
      <c r="C51" s="4835"/>
      <c r="D51" s="4836"/>
      <c r="E51" s="1725">
        <f>IF($C51=0,0,VLOOKUP($C51,SDÖ3!$C$24:$O$99,4,FALSE))</f>
        <v>0</v>
      </c>
      <c r="F51" s="1724">
        <f>IF($C51=0,0,VLOOKUP($C51,SDÖ3!$C$24:$O$99,12,FALSE))</f>
        <v>0</v>
      </c>
      <c r="G51" s="1723">
        <f>IF($C51=0,0,VLOOKUP($C51,SDÖ3!$C$24:$O$99,13,FALSE))</f>
        <v>0</v>
      </c>
      <c r="H51" s="1720"/>
      <c r="I51" s="1719">
        <f t="shared" si="4"/>
        <v>0</v>
      </c>
      <c r="J51" s="1718">
        <f t="shared" si="5"/>
        <v>0</v>
      </c>
      <c r="K51" s="1720"/>
      <c r="L51" s="1722">
        <f t="shared" si="6"/>
        <v>0</v>
      </c>
      <c r="M51" s="1721">
        <f t="shared" si="7"/>
        <v>0</v>
      </c>
      <c r="N51" s="1720"/>
      <c r="O51" s="1719">
        <f t="shared" si="8"/>
        <v>0</v>
      </c>
      <c r="P51" s="1718">
        <f t="shared" si="9"/>
        <v>0</v>
      </c>
      <c r="Q51" s="32"/>
    </row>
    <row r="52" spans="1:17" s="42" customFormat="1" ht="15" customHeight="1">
      <c r="A52" s="1306"/>
      <c r="B52" s="1726"/>
      <c r="C52" s="4835">
        <v>0</v>
      </c>
      <c r="D52" s="4836"/>
      <c r="E52" s="1725">
        <f>IF($C52=0,0,VLOOKUP($C52,SDÖ3!$C$24:$O$99,4,FALSE))</f>
        <v>0</v>
      </c>
      <c r="F52" s="1724">
        <f>IF($C52=0,0,VLOOKUP($C52,SDÖ3!$C$24:$O$99,12,FALSE))</f>
        <v>0</v>
      </c>
      <c r="G52" s="1723">
        <f>IF($C52=0,0,VLOOKUP($C52,SDÖ3!$C$24:$O$99,13,FALSE))</f>
        <v>0</v>
      </c>
      <c r="H52" s="1720"/>
      <c r="I52" s="1719">
        <f t="shared" si="4"/>
        <v>0</v>
      </c>
      <c r="J52" s="1718">
        <f t="shared" si="5"/>
        <v>0</v>
      </c>
      <c r="K52" s="1720"/>
      <c r="L52" s="1722">
        <f t="shared" si="6"/>
        <v>0</v>
      </c>
      <c r="M52" s="1721">
        <f t="shared" si="7"/>
        <v>0</v>
      </c>
      <c r="N52" s="1720"/>
      <c r="O52" s="1719">
        <f t="shared" si="8"/>
        <v>0</v>
      </c>
      <c r="P52" s="1718">
        <f t="shared" si="9"/>
        <v>0</v>
      </c>
      <c r="Q52" s="32"/>
    </row>
    <row r="53" spans="1:17" s="42" customFormat="1" ht="15" customHeight="1">
      <c r="A53" s="1306"/>
      <c r="B53" s="1726"/>
      <c r="C53" s="4835">
        <v>0</v>
      </c>
      <c r="D53" s="4836"/>
      <c r="E53" s="1725">
        <f>IF($C53=0,0,VLOOKUP($C53,SDÖ3!$C$24:$O$99,4,FALSE))</f>
        <v>0</v>
      </c>
      <c r="F53" s="1724">
        <f>IF($C53=0,0,VLOOKUP($C53,SDÖ3!$C$24:$O$99,12,FALSE))</f>
        <v>0</v>
      </c>
      <c r="G53" s="1723">
        <f>IF($C53=0,0,VLOOKUP($C53,SDÖ3!$C$24:$O$99,13,FALSE))</f>
        <v>0</v>
      </c>
      <c r="H53" s="1720"/>
      <c r="I53" s="1719">
        <f t="shared" si="4"/>
        <v>0</v>
      </c>
      <c r="J53" s="1718">
        <f t="shared" si="5"/>
        <v>0</v>
      </c>
      <c r="K53" s="1720"/>
      <c r="L53" s="1722">
        <f t="shared" si="6"/>
        <v>0</v>
      </c>
      <c r="M53" s="1721">
        <f t="shared" si="7"/>
        <v>0</v>
      </c>
      <c r="N53" s="1720"/>
      <c r="O53" s="1719">
        <f t="shared" si="8"/>
        <v>0</v>
      </c>
      <c r="P53" s="1718">
        <f t="shared" si="9"/>
        <v>0</v>
      </c>
      <c r="Q53" s="32"/>
    </row>
    <row r="54" spans="1:17" s="42" customFormat="1" ht="15" customHeight="1">
      <c r="A54" s="1306"/>
      <c r="B54" s="1726"/>
      <c r="C54" s="4835">
        <v>0</v>
      </c>
      <c r="D54" s="4836"/>
      <c r="E54" s="1725">
        <f>IF($C54=0,0,VLOOKUP($C54,SDÖ3!$C$24:$O$99,4,FALSE))</f>
        <v>0</v>
      </c>
      <c r="F54" s="1724">
        <f>IF($C54=0,0,VLOOKUP($C54,SDÖ3!$C$24:$O$99,12,FALSE))</f>
        <v>0</v>
      </c>
      <c r="G54" s="1723">
        <f>IF($C54=0,0,VLOOKUP($C54,SDÖ3!$C$24:$O$99,13,FALSE))</f>
        <v>0</v>
      </c>
      <c r="H54" s="1720"/>
      <c r="I54" s="1719">
        <f t="shared" si="4"/>
        <v>0</v>
      </c>
      <c r="J54" s="1718">
        <f t="shared" si="5"/>
        <v>0</v>
      </c>
      <c r="K54" s="1720"/>
      <c r="L54" s="1722">
        <f t="shared" si="6"/>
        <v>0</v>
      </c>
      <c r="M54" s="1721">
        <f t="shared" si="7"/>
        <v>0</v>
      </c>
      <c r="N54" s="1720"/>
      <c r="O54" s="1719">
        <f t="shared" si="8"/>
        <v>0</v>
      </c>
      <c r="P54" s="1718">
        <f t="shared" si="9"/>
        <v>0</v>
      </c>
      <c r="Q54" s="32"/>
    </row>
    <row r="55" spans="1:17" s="42" customFormat="1" ht="15" customHeight="1">
      <c r="A55" s="1306"/>
      <c r="B55" s="1726"/>
      <c r="C55" s="4919"/>
      <c r="D55" s="4920"/>
      <c r="E55" s="1725">
        <f>IF($C55=0,0,VLOOKUP($C55,SDÖ3!$C$24:$O$99,4,FALSE))</f>
        <v>0</v>
      </c>
      <c r="F55" s="1724">
        <f>IF($C55=0,0,VLOOKUP($C55,SDÖ3!$C$24:$O$99,12,FALSE))</f>
        <v>0</v>
      </c>
      <c r="G55" s="1723">
        <f>IF($C55=0,0,VLOOKUP($C55,SDÖ3!$C$24:$O$99,13,FALSE))</f>
        <v>0</v>
      </c>
      <c r="H55" s="1720"/>
      <c r="I55" s="1719">
        <f t="shared" si="4"/>
        <v>0</v>
      </c>
      <c r="J55" s="1718">
        <f t="shared" si="5"/>
        <v>0</v>
      </c>
      <c r="K55" s="1720"/>
      <c r="L55" s="1722">
        <f t="shared" si="6"/>
        <v>0</v>
      </c>
      <c r="M55" s="1721">
        <f t="shared" si="7"/>
        <v>0</v>
      </c>
      <c r="N55" s="1720"/>
      <c r="O55" s="1719">
        <f t="shared" si="8"/>
        <v>0</v>
      </c>
      <c r="P55" s="1718">
        <f t="shared" si="9"/>
        <v>0</v>
      </c>
      <c r="Q55" s="32"/>
    </row>
    <row r="56" spans="1:17" s="42" customFormat="1" ht="24.75" customHeight="1">
      <c r="A56" s="1306"/>
      <c r="B56" s="1917"/>
      <c r="C56" s="4840"/>
      <c r="D56" s="4841"/>
      <c r="E56" s="1725">
        <f>IF($C56=0,0,VLOOKUP($C56,SDÖ3!$C$24:$O$99,4,FALSE))</f>
        <v>0</v>
      </c>
      <c r="F56" s="1724">
        <f>IF($C56=0,0,VLOOKUP($C56,SDÖ3!$C$24:$O$99,12,FALSE))</f>
        <v>0</v>
      </c>
      <c r="G56" s="1723">
        <f>IF($C56=0,0,VLOOKUP($C56,SDÖ3!$C$24:$O$99,13,FALSE))</f>
        <v>0</v>
      </c>
      <c r="H56" s="1911"/>
      <c r="I56" s="1910">
        <f t="shared" si="4"/>
        <v>0</v>
      </c>
      <c r="J56" s="1909">
        <f t="shared" si="5"/>
        <v>0</v>
      </c>
      <c r="K56" s="1911"/>
      <c r="L56" s="1913">
        <f t="shared" si="6"/>
        <v>0</v>
      </c>
      <c r="M56" s="1912">
        <f t="shared" si="7"/>
        <v>0</v>
      </c>
      <c r="N56" s="1911"/>
      <c r="O56" s="1910">
        <f t="shared" si="8"/>
        <v>0</v>
      </c>
      <c r="P56" s="1909">
        <f t="shared" si="9"/>
        <v>0</v>
      </c>
      <c r="Q56" s="32"/>
    </row>
    <row r="57" spans="1:17" s="42" customFormat="1" ht="24.75" customHeight="1">
      <c r="A57" s="1306"/>
      <c r="B57" s="1657"/>
      <c r="C57" s="4847"/>
      <c r="D57" s="4848"/>
      <c r="E57" s="3617">
        <f>IF($C57=0,0,VLOOKUP($C57,SDÖ3!$C$24:$O$99,4,FALSE))</f>
        <v>0</v>
      </c>
      <c r="F57" s="3618">
        <f>IF($C57=0,0,VLOOKUP($C57,SDÖ3!$C$24:$O$99,12,FALSE))</f>
        <v>0</v>
      </c>
      <c r="G57" s="3619">
        <f>IF($C57=0,0,VLOOKUP($C57,SDÖ3!$C$24:$O$99,13,FALSE))</f>
        <v>0</v>
      </c>
      <c r="H57" s="1704"/>
      <c r="I57" s="1703">
        <f>SUM(I44:I56)</f>
        <v>2.76</v>
      </c>
      <c r="J57" s="1702"/>
      <c r="K57" s="1704"/>
      <c r="L57" s="1705">
        <f>SUM(L44:L56)</f>
        <v>2.76</v>
      </c>
      <c r="M57" s="1652"/>
      <c r="N57" s="1704"/>
      <c r="O57" s="1703">
        <f>SUM(O44:O56)</f>
        <v>2.76</v>
      </c>
      <c r="P57" s="1702"/>
      <c r="Q57" s="32"/>
    </row>
    <row r="58" spans="1:17" s="708" customFormat="1" ht="18.75" customHeight="1">
      <c r="A58" s="1270"/>
      <c r="B58" s="1276" t="s">
        <v>1223</v>
      </c>
      <c r="C58" s="1373"/>
      <c r="D58" s="1373"/>
      <c r="E58" s="1373"/>
      <c r="F58" s="38"/>
      <c r="G58" s="1620"/>
      <c r="H58" s="1697"/>
      <c r="I58" s="1696">
        <f>SUM($I$46:$I$57)</f>
        <v>5.52</v>
      </c>
      <c r="J58" s="1701"/>
      <c r="K58" s="1700"/>
      <c r="L58" s="1699">
        <f>SUM($L$46:$L$57)</f>
        <v>5.52</v>
      </c>
      <c r="M58" s="1698"/>
      <c r="N58" s="1697"/>
      <c r="O58" s="1696">
        <f>SUM($O$46:$O$57)</f>
        <v>5.52</v>
      </c>
      <c r="P58" s="1695"/>
      <c r="Q58" s="32"/>
    </row>
    <row r="59" spans="1:17" s="708" customFormat="1" ht="15" customHeight="1">
      <c r="A59" s="1270"/>
      <c r="B59" s="1694"/>
      <c r="C59" s="353"/>
      <c r="D59" s="280" t="s">
        <v>1222</v>
      </c>
      <c r="E59" s="1693">
        <v>80</v>
      </c>
      <c r="F59" s="353" t="s">
        <v>1221</v>
      </c>
      <c r="G59" s="1692"/>
      <c r="H59" s="1688"/>
      <c r="I59" s="1687">
        <f>IF(I58+SUM($I$46:$I$57)*$E$59%&gt;I58+10,I58+10,I58+SUM($I$46:$I$57)*$E$59%)</f>
        <v>9.9359999999999999</v>
      </c>
      <c r="J59" s="1686"/>
      <c r="K59" s="1691"/>
      <c r="L59" s="1690">
        <f>IF(L58+SUM($L$46:$L$57)*$E$59%&gt;L58+10,L58+10,L58+SUM($L$46:$L$57)*$E$59%)</f>
        <v>9.9359999999999999</v>
      </c>
      <c r="M59" s="1689"/>
      <c r="N59" s="1688"/>
      <c r="O59" s="1687">
        <f>IF(O58+SUM($O$46:$O$57)*$E$59%&gt;O58+10,O58+10,O58+SUM($O$46:$O$57)*$E$59%)</f>
        <v>9.9359999999999999</v>
      </c>
      <c r="P59" s="1686"/>
      <c r="Q59" s="32"/>
    </row>
    <row r="60" spans="1:17" s="65" customFormat="1" ht="18.75" customHeight="1">
      <c r="A60" s="1373"/>
      <c r="B60" s="1276" t="s">
        <v>1220</v>
      </c>
      <c r="C60" s="1373"/>
      <c r="D60" s="1373"/>
      <c r="E60" s="45"/>
      <c r="F60" s="45"/>
      <c r="G60" s="1685"/>
      <c r="H60" s="1677"/>
      <c r="I60" s="1676"/>
      <c r="J60" s="1684">
        <f>IF(J6=0,0,SUM(I62:I64))</f>
        <v>0</v>
      </c>
      <c r="K60" s="1680"/>
      <c r="L60" s="1679"/>
      <c r="M60" s="1617">
        <f>IF(M6=0,0,SUM(L62:L64))</f>
        <v>0</v>
      </c>
      <c r="N60" s="1677"/>
      <c r="O60" s="1676"/>
      <c r="P60" s="1684">
        <f>IF(P6=0,0,SUM(O62:O64))</f>
        <v>0</v>
      </c>
      <c r="Q60" s="32"/>
    </row>
    <row r="61" spans="1:17" s="65" customFormat="1" ht="15" customHeight="1">
      <c r="A61" s="1373"/>
      <c r="B61" s="1613"/>
      <c r="C61" s="1612" t="s">
        <v>1212</v>
      </c>
      <c r="D61" s="1683">
        <f>'SDK1'!$O$11</f>
        <v>0</v>
      </c>
      <c r="E61" s="1610"/>
      <c r="F61" s="1606" t="s">
        <v>249</v>
      </c>
      <c r="G61" s="1682" t="s">
        <v>1211</v>
      </c>
      <c r="H61" s="1677"/>
      <c r="I61" s="1676"/>
      <c r="J61" s="1681"/>
      <c r="K61" s="1680"/>
      <c r="L61" s="1679"/>
      <c r="M61" s="1678"/>
      <c r="N61" s="1677"/>
      <c r="O61" s="1676"/>
      <c r="P61" s="1675"/>
      <c r="Q61" s="32"/>
    </row>
    <row r="62" spans="1:17" s="42" customFormat="1" ht="18.75" customHeight="1">
      <c r="A62" s="1306"/>
      <c r="B62" s="1594"/>
      <c r="C62" s="4833"/>
      <c r="D62" s="4833"/>
      <c r="E62" s="4833"/>
      <c r="F62" s="1674">
        <f>IF($C62=0,0,VLOOKUP($C62,'SDK3'!$C$98:$D$119,2,FALSE))</f>
        <v>0</v>
      </c>
      <c r="G62" s="1673">
        <f>(100+$D$61)/100*F62</f>
        <v>0</v>
      </c>
      <c r="H62" s="227"/>
      <c r="I62" s="1669">
        <f>$G$62</f>
        <v>0</v>
      </c>
      <c r="J62" s="227"/>
      <c r="K62" s="1672"/>
      <c r="L62" s="1671">
        <f>$G$62</f>
        <v>0</v>
      </c>
      <c r="M62" s="1589"/>
      <c r="N62" s="1670"/>
      <c r="O62" s="1669">
        <f>$G$62</f>
        <v>0</v>
      </c>
      <c r="P62" s="1668"/>
      <c r="Q62" s="32"/>
    </row>
    <row r="63" spans="1:17" s="42" customFormat="1" ht="13.15" customHeight="1">
      <c r="A63" s="1306"/>
      <c r="B63" s="1667"/>
      <c r="C63" s="4843"/>
      <c r="D63" s="4843"/>
      <c r="E63" s="4844"/>
      <c r="F63" s="1666">
        <f>IF($C63=0,0,VLOOKUP($C63,'SDK3'!$C$98:$D$119,2,FALSE))</f>
        <v>0</v>
      </c>
      <c r="G63" s="1665">
        <f>(100+$D$61)/100*F63</f>
        <v>0</v>
      </c>
      <c r="H63" s="1664"/>
      <c r="I63" s="1659">
        <f>$G$63</f>
        <v>0</v>
      </c>
      <c r="J63" s="1664"/>
      <c r="K63" s="1663"/>
      <c r="L63" s="1662">
        <f>$G$63</f>
        <v>0</v>
      </c>
      <c r="M63" s="1661"/>
      <c r="N63" s="1660"/>
      <c r="O63" s="1659">
        <f>$G$63</f>
        <v>0</v>
      </c>
      <c r="P63" s="1658"/>
      <c r="Q63" s="32"/>
    </row>
    <row r="64" spans="1:17" s="42" customFormat="1" ht="15" customHeight="1">
      <c r="A64" s="1306"/>
      <c r="B64" s="1657"/>
      <c r="C64" s="4842" t="s">
        <v>322</v>
      </c>
      <c r="D64" s="4842"/>
      <c r="E64" s="4842"/>
      <c r="F64" s="1656">
        <f>IF($T$3=FALSE,0,VLOOKUP($C64,'SDK3'!$C$98:$D$119,2,FALSE))</f>
        <v>0</v>
      </c>
      <c r="G64" s="1655">
        <f>(100+$D$61)/100*F64</f>
        <v>0</v>
      </c>
      <c r="H64" s="1651"/>
      <c r="I64" s="1650">
        <f>H11*$G$64</f>
        <v>0</v>
      </c>
      <c r="J64" s="227"/>
      <c r="K64" s="1654"/>
      <c r="L64" s="1653">
        <f>K11*$G$64</f>
        <v>0</v>
      </c>
      <c r="M64" s="1652"/>
      <c r="N64" s="1651"/>
      <c r="O64" s="1650">
        <f>N11*$G$64</f>
        <v>0</v>
      </c>
      <c r="P64" s="1649"/>
      <c r="Q64" s="32"/>
    </row>
    <row r="65" spans="1:20" s="42" customFormat="1" ht="15" customHeight="1">
      <c r="A65" s="1306"/>
      <c r="B65" s="1276" t="s">
        <v>1219</v>
      </c>
      <c r="C65" s="1270"/>
      <c r="D65" s="1270"/>
      <c r="E65" s="1270"/>
      <c r="F65" s="38"/>
      <c r="G65" s="1620"/>
      <c r="H65" s="73"/>
      <c r="I65" s="73"/>
      <c r="J65" s="1614">
        <f>H66*$E66</f>
        <v>0</v>
      </c>
      <c r="K65" s="1629"/>
      <c r="L65" s="1629"/>
      <c r="M65" s="1617">
        <f>K66*$E66</f>
        <v>0</v>
      </c>
      <c r="N65" s="73"/>
      <c r="O65" s="73"/>
      <c r="P65" s="1614">
        <f>N66*$E66</f>
        <v>0</v>
      </c>
      <c r="Q65" s="32"/>
    </row>
    <row r="66" spans="1:20" s="42" customFormat="1" ht="15" customHeight="1">
      <c r="A66" s="1306"/>
      <c r="B66" s="1648"/>
      <c r="C66" s="1377"/>
      <c r="D66" s="280" t="s">
        <v>1060</v>
      </c>
      <c r="E66" s="1647"/>
      <c r="F66" s="1622"/>
      <c r="G66" s="1646" t="s">
        <v>516</v>
      </c>
      <c r="H66" s="1644"/>
      <c r="I66" s="1643"/>
      <c r="J66" s="1632"/>
      <c r="K66" s="1644"/>
      <c r="L66" s="1645"/>
      <c r="M66" s="1635"/>
      <c r="N66" s="1644"/>
      <c r="O66" s="1643"/>
      <c r="P66" s="1632"/>
      <c r="Q66" s="32"/>
    </row>
    <row r="67" spans="1:20" s="708" customFormat="1" ht="22.9" customHeight="1">
      <c r="A67" s="1270"/>
      <c r="B67" s="1276" t="s">
        <v>1218</v>
      </c>
      <c r="C67" s="1270"/>
      <c r="D67" s="1270"/>
      <c r="E67" s="229"/>
      <c r="F67" s="1642"/>
      <c r="G67" s="1620"/>
      <c r="H67" s="1639" t="s">
        <v>1217</v>
      </c>
      <c r="I67" s="1638" t="s">
        <v>1216</v>
      </c>
      <c r="J67" s="1614">
        <f>R68*(H9+H10)*I68%+F68</f>
        <v>0</v>
      </c>
      <c r="K67" s="1641" t="s">
        <v>1217</v>
      </c>
      <c r="L67" s="1640" t="s">
        <v>1216</v>
      </c>
      <c r="M67" s="1617">
        <f>S68*(K9+K10)*L68%+F68</f>
        <v>0</v>
      </c>
      <c r="N67" s="1639" t="s">
        <v>1217</v>
      </c>
      <c r="O67" s="1638" t="s">
        <v>1216</v>
      </c>
      <c r="P67" s="1614">
        <f>T68*(N9+N10)*O68%+F68</f>
        <v>0</v>
      </c>
      <c r="Q67" s="32"/>
    </row>
    <row r="68" spans="1:20" s="708" customFormat="1" ht="15" customHeight="1">
      <c r="A68" s="1270"/>
      <c r="B68" s="1637"/>
      <c r="C68" s="4839" t="s">
        <v>1215</v>
      </c>
      <c r="D68" s="4839"/>
      <c r="E68" s="4839"/>
      <c r="F68" s="1636"/>
      <c r="G68" s="1627" t="s">
        <v>171</v>
      </c>
      <c r="H68" s="1634">
        <v>16</v>
      </c>
      <c r="I68" s="1633">
        <v>50</v>
      </c>
      <c r="J68" s="1632"/>
      <c r="K68" s="1634">
        <v>20</v>
      </c>
      <c r="L68" s="1633">
        <v>50</v>
      </c>
      <c r="M68" s="1635"/>
      <c r="N68" s="1634">
        <v>18</v>
      </c>
      <c r="O68" s="1633">
        <v>50</v>
      </c>
      <c r="P68" s="1632"/>
      <c r="Q68" s="32"/>
      <c r="R68" s="1944">
        <f>IF($H$64=0,0,VLOOKUP($H$64,#REF!,2,FALSE))</f>
        <v>0</v>
      </c>
      <c r="S68" s="1631">
        <f>IF($K$64=0,0,VLOOKUP($K$64,#REF!,2,FALSE))</f>
        <v>0</v>
      </c>
      <c r="T68" s="1944">
        <f>IF($N$64=0,0,VLOOKUP($N$64,#REF!,2,FALSE))</f>
        <v>0</v>
      </c>
    </row>
    <row r="69" spans="1:20" s="708" customFormat="1" ht="18.75" customHeight="1">
      <c r="A69" s="1270"/>
      <c r="B69" s="1276" t="s">
        <v>1214</v>
      </c>
      <c r="C69" s="1270"/>
      <c r="D69" s="1270"/>
      <c r="E69" s="38"/>
      <c r="F69" s="38"/>
      <c r="G69" s="1620"/>
      <c r="H69" s="44"/>
      <c r="I69" s="73"/>
      <c r="J69" s="1614">
        <f>H70*$F70/1000</f>
        <v>0</v>
      </c>
      <c r="K69" s="1630"/>
      <c r="L69" s="1629"/>
      <c r="M69" s="1617">
        <f>K70*$F70/1000</f>
        <v>0</v>
      </c>
      <c r="N69" s="44"/>
      <c r="O69" s="73"/>
      <c r="P69" s="1614">
        <f>N70*$F70/1000</f>
        <v>0</v>
      </c>
      <c r="Q69" s="32"/>
    </row>
    <row r="70" spans="1:20" s="708" customFormat="1" ht="15" customHeight="1">
      <c r="A70" s="1270"/>
      <c r="B70" s="1332"/>
      <c r="C70" s="1331" t="s">
        <v>896</v>
      </c>
      <c r="D70" s="353"/>
      <c r="E70" s="280"/>
      <c r="F70" s="1628">
        <f>'SDK7'!G102</f>
        <v>16</v>
      </c>
      <c r="G70" s="1627" t="s">
        <v>171</v>
      </c>
      <c r="H70" s="1623">
        <f>I9+I10</f>
        <v>0</v>
      </c>
      <c r="I70" s="1622"/>
      <c r="J70" s="1621"/>
      <c r="K70" s="1626">
        <f>L9+L10</f>
        <v>0</v>
      </c>
      <c r="L70" s="1625"/>
      <c r="M70" s="1624"/>
      <c r="N70" s="1623">
        <f>O9+O10</f>
        <v>0</v>
      </c>
      <c r="O70" s="1622"/>
      <c r="P70" s="1621"/>
      <c r="Q70" s="32"/>
    </row>
    <row r="71" spans="1:20" ht="18.75" customHeight="1">
      <c r="A71" s="377"/>
      <c r="B71" s="311" t="s">
        <v>1213</v>
      </c>
      <c r="C71" s="377"/>
      <c r="D71" s="377"/>
      <c r="E71" s="229"/>
      <c r="F71" s="38"/>
      <c r="G71" s="1620"/>
      <c r="H71" s="1616"/>
      <c r="I71" s="1615"/>
      <c r="J71" s="1614">
        <f>SUM(I73:I74)</f>
        <v>0</v>
      </c>
      <c r="K71" s="1619"/>
      <c r="L71" s="1618"/>
      <c r="M71" s="1617">
        <f>SUM(L73:L74)</f>
        <v>0</v>
      </c>
      <c r="N71" s="1616"/>
      <c r="O71" s="1615"/>
      <c r="P71" s="1614">
        <f>SUM(O73:O74)</f>
        <v>0</v>
      </c>
    </row>
    <row r="72" spans="1:20" ht="13.15" customHeight="1">
      <c r="A72" s="377"/>
      <c r="B72" s="1613"/>
      <c r="C72" s="1612" t="s">
        <v>1212</v>
      </c>
      <c r="D72" s="1611">
        <f>'SDK1'!$O$12</f>
        <v>0</v>
      </c>
      <c r="E72" s="1610"/>
      <c r="F72" s="1609"/>
      <c r="G72" s="1608"/>
      <c r="H72" s="1607" t="s">
        <v>249</v>
      </c>
      <c r="I72" s="1606" t="s">
        <v>1211</v>
      </c>
      <c r="J72" s="1605"/>
      <c r="K72" s="1604" t="s">
        <v>249</v>
      </c>
      <c r="L72" s="1603" t="s">
        <v>1211</v>
      </c>
      <c r="M72" s="1602"/>
      <c r="N72" s="1601" t="s">
        <v>249</v>
      </c>
      <c r="O72" s="1600" t="s">
        <v>1211</v>
      </c>
      <c r="P72" s="1599"/>
    </row>
    <row r="73" spans="1:20" s="42" customFormat="1" ht="15" customHeight="1">
      <c r="A73" s="1306"/>
      <c r="B73" s="1594"/>
      <c r="C73" s="4846"/>
      <c r="D73" s="4846"/>
      <c r="E73" s="4846"/>
      <c r="F73" s="1598"/>
      <c r="G73" s="1597"/>
      <c r="H73" s="1591"/>
      <c r="I73" s="1595">
        <f>(100+$D$72)/100*H73</f>
        <v>0</v>
      </c>
      <c r="J73" s="45"/>
      <c r="K73" s="1591"/>
      <c r="L73" s="1596">
        <f>(100+$D$72)/100*K73</f>
        <v>0</v>
      </c>
      <c r="M73" s="1589"/>
      <c r="N73" s="1591"/>
      <c r="O73" s="1595">
        <f>(100+$D$72)/100*N73</f>
        <v>0</v>
      </c>
      <c r="P73" s="1586"/>
      <c r="Q73" s="32"/>
    </row>
    <row r="74" spans="1:20" s="42" customFormat="1" ht="15" customHeight="1">
      <c r="A74" s="1306"/>
      <c r="B74" s="1594"/>
      <c r="C74" s="4845"/>
      <c r="D74" s="4845"/>
      <c r="E74" s="4845"/>
      <c r="F74" s="1593"/>
      <c r="G74" s="1592"/>
      <c r="H74" s="1588"/>
      <c r="I74" s="1587">
        <f>(100+$D$72)/100*H74</f>
        <v>0</v>
      </c>
      <c r="J74" s="45"/>
      <c r="K74" s="1591"/>
      <c r="L74" s="1590">
        <f>(100+$D$72)/100*K74</f>
        <v>0</v>
      </c>
      <c r="M74" s="1589"/>
      <c r="N74" s="1588"/>
      <c r="O74" s="1587">
        <f>(100+$D$72)/100*N74</f>
        <v>0</v>
      </c>
      <c r="P74" s="1586"/>
      <c r="Q74" s="32"/>
    </row>
    <row r="75" spans="1:20" s="708" customFormat="1" ht="30.2" customHeight="1">
      <c r="A75" s="1270"/>
      <c r="B75" s="4837" t="s">
        <v>1210</v>
      </c>
      <c r="C75" s="4838"/>
      <c r="D75" s="1585" t="s">
        <v>1209</v>
      </c>
      <c r="E75" s="1584">
        <f>'SDK1'!$O$59/100</f>
        <v>1.4999999999999999E-2</v>
      </c>
      <c r="F75" s="1583" t="s">
        <v>1208</v>
      </c>
      <c r="G75" s="1582">
        <v>7</v>
      </c>
      <c r="H75" s="1580"/>
      <c r="I75" s="1581"/>
      <c r="J75" s="1578">
        <f>(J23+J27+J34+J43+J60+J65+J67+J69+J71)*('SDK1'!$O$59%*$G$75/12)</f>
        <v>2.7864258303823526</v>
      </c>
      <c r="K75" s="3063"/>
      <c r="L75" s="1056"/>
      <c r="M75" s="1578">
        <f>(M23+M27+M34+M43+M60+M65+M67+M69+M71)*('SDK1'!$O$59%*$G$75/12)</f>
        <v>2.7864258303823526</v>
      </c>
      <c r="N75" s="1580"/>
      <c r="O75" s="1579"/>
      <c r="P75" s="1578">
        <f>(P23+P27+P34+P43+P60+P65+P67+P69+P71)*('SDK1'!$O$59%*$G$75/12)</f>
        <v>2.7864258303823526</v>
      </c>
      <c r="Q75" s="32"/>
    </row>
    <row r="76" spans="1:20">
      <c r="L76" s="33"/>
    </row>
    <row r="77" spans="1:20">
      <c r="G77" s="3642"/>
      <c r="H77" s="3642"/>
      <c r="I77" s="3642"/>
      <c r="J77" s="3642"/>
      <c r="K77" s="3642"/>
      <c r="L77" s="3642"/>
      <c r="M77" s="3642"/>
      <c r="N77" s="3642"/>
      <c r="O77" s="3642"/>
      <c r="P77" s="3642"/>
    </row>
    <row r="78" spans="1:20" ht="14.25">
      <c r="C78" s="4921" t="s">
        <v>1946</v>
      </c>
      <c r="D78" s="4922"/>
      <c r="E78" s="4922"/>
      <c r="F78" s="4923"/>
      <c r="G78" s="3642"/>
      <c r="H78" s="3642"/>
      <c r="I78" s="3642"/>
      <c r="J78" s="3642"/>
      <c r="K78" s="3642"/>
      <c r="L78" s="3642"/>
      <c r="M78" s="3642"/>
      <c r="N78" s="3642"/>
      <c r="O78" s="3642"/>
      <c r="P78" s="3642"/>
    </row>
    <row r="79" spans="1:20">
      <c r="C79" s="4913" t="s">
        <v>295</v>
      </c>
      <c r="D79" s="4914"/>
      <c r="E79" s="4914"/>
      <c r="F79" s="4915"/>
      <c r="G79" s="3642"/>
      <c r="H79" s="3642"/>
      <c r="I79" s="3642"/>
      <c r="J79" s="3642"/>
      <c r="K79" s="3642"/>
      <c r="L79" s="3642"/>
      <c r="M79" s="3642"/>
      <c r="N79" s="3642"/>
      <c r="O79" s="3642"/>
      <c r="P79" s="3642"/>
    </row>
    <row r="80" spans="1:20" ht="14.25">
      <c r="B80" s="3078"/>
      <c r="C80" s="3074" t="s">
        <v>1942</v>
      </c>
      <c r="D80" s="3075"/>
      <c r="E80" s="3075"/>
      <c r="F80" s="3076"/>
      <c r="G80" s="3642"/>
      <c r="H80" s="3642"/>
      <c r="I80" s="3642"/>
      <c r="J80" s="3642"/>
      <c r="K80" s="3642"/>
      <c r="L80" s="3642"/>
      <c r="M80" s="3642"/>
      <c r="N80" s="3642"/>
      <c r="O80" s="3642"/>
      <c r="P80" s="3642"/>
    </row>
    <row r="81" spans="2:16" ht="14.25">
      <c r="B81" s="3078"/>
      <c r="C81" s="3074" t="s">
        <v>1943</v>
      </c>
      <c r="D81" s="3075"/>
      <c r="E81" s="3075"/>
      <c r="F81" s="3076"/>
      <c r="G81" s="3642"/>
      <c r="H81" s="3642"/>
      <c r="I81" s="3642"/>
      <c r="J81" s="3642"/>
      <c r="K81" s="3642"/>
      <c r="L81" s="3642"/>
      <c r="M81" s="3642"/>
      <c r="N81" s="3642"/>
      <c r="O81" s="3642"/>
      <c r="P81" s="3642"/>
    </row>
    <row r="82" spans="2:16">
      <c r="B82" s="3078"/>
      <c r="C82" s="3066" t="s">
        <v>294</v>
      </c>
      <c r="D82" s="3067"/>
      <c r="E82" s="3067"/>
      <c r="F82" s="3068"/>
      <c r="G82" s="3642"/>
      <c r="H82" s="3642"/>
      <c r="I82" s="3642"/>
      <c r="J82" s="3642"/>
      <c r="K82" s="3642"/>
      <c r="L82" s="3642"/>
      <c r="M82" s="3642"/>
      <c r="N82" s="3642"/>
      <c r="O82" s="3642"/>
      <c r="P82" s="3642"/>
    </row>
    <row r="83" spans="2:16" ht="14.25">
      <c r="B83" s="3078"/>
      <c r="C83" s="3074" t="s">
        <v>1944</v>
      </c>
      <c r="D83" s="3075"/>
      <c r="E83" s="3075"/>
      <c r="F83" s="3076"/>
      <c r="G83" s="3642"/>
      <c r="H83" s="3642"/>
      <c r="I83" s="3642"/>
      <c r="J83" s="3642"/>
      <c r="K83" s="3642"/>
      <c r="L83" s="3642"/>
      <c r="M83" s="3642"/>
      <c r="N83" s="3642"/>
      <c r="O83" s="3642"/>
      <c r="P83" s="3642"/>
    </row>
    <row r="84" spans="2:16" ht="14.25">
      <c r="B84" s="3078"/>
      <c r="C84" s="3074" t="s">
        <v>1945</v>
      </c>
      <c r="D84" s="3075"/>
      <c r="E84" s="3075"/>
      <c r="F84" s="3076"/>
      <c r="G84" s="3642"/>
      <c r="H84" s="3642"/>
      <c r="I84" s="3642"/>
      <c r="J84" s="3642"/>
      <c r="K84" s="3642"/>
      <c r="L84" s="3642"/>
      <c r="M84" s="3642"/>
      <c r="N84" s="3642"/>
      <c r="O84" s="3642"/>
      <c r="P84" s="3642"/>
    </row>
    <row r="85" spans="2:16">
      <c r="B85" s="3078"/>
      <c r="C85" s="3066" t="s">
        <v>293</v>
      </c>
      <c r="D85" s="3067"/>
      <c r="E85" s="3067"/>
      <c r="F85" s="3068"/>
      <c r="G85" s="3642"/>
      <c r="H85" s="3642"/>
      <c r="I85" s="3642"/>
      <c r="J85" s="3642"/>
      <c r="K85" s="3642"/>
      <c r="L85" s="3642"/>
      <c r="M85" s="3642"/>
      <c r="N85" s="3642"/>
      <c r="O85" s="3642"/>
      <c r="P85" s="3642"/>
    </row>
    <row r="86" spans="2:16">
      <c r="B86" s="3078"/>
      <c r="C86" s="3066" t="s">
        <v>292</v>
      </c>
      <c r="D86" s="3067"/>
      <c r="E86" s="3067"/>
      <c r="F86" s="3068"/>
      <c r="G86" s="3642"/>
      <c r="H86" s="3642"/>
      <c r="I86" s="3642"/>
      <c r="J86" s="3642"/>
      <c r="K86" s="3642"/>
      <c r="L86" s="3642"/>
      <c r="M86" s="3642"/>
      <c r="N86" s="3642"/>
      <c r="O86" s="3642"/>
      <c r="P86" s="3642"/>
    </row>
    <row r="87" spans="2:16" ht="14.25">
      <c r="B87" s="3078"/>
      <c r="C87" s="3066" t="s">
        <v>291</v>
      </c>
      <c r="D87" s="3067"/>
      <c r="E87" s="3067"/>
      <c r="F87" s="3068"/>
      <c r="G87" s="3642"/>
      <c r="H87" s="3642"/>
      <c r="I87" s="3642"/>
      <c r="J87" s="3642"/>
      <c r="K87" s="3642"/>
      <c r="L87" s="3642"/>
      <c r="M87" s="3642"/>
      <c r="N87" s="3642"/>
      <c r="O87" s="3642"/>
      <c r="P87" s="3642"/>
    </row>
    <row r="88" spans="2:16" ht="13.15" customHeight="1">
      <c r="B88" s="3078"/>
      <c r="C88" s="3066" t="s">
        <v>290</v>
      </c>
      <c r="D88" s="3069"/>
      <c r="E88" s="3069"/>
      <c r="F88" s="3070"/>
      <c r="G88" s="3642"/>
      <c r="H88" s="3642"/>
      <c r="I88" s="3642"/>
      <c r="J88" s="3642"/>
      <c r="K88" s="3642"/>
      <c r="L88" s="3642"/>
      <c r="M88" s="3642"/>
      <c r="N88" s="3642"/>
      <c r="O88" s="3642"/>
      <c r="P88" s="3642"/>
    </row>
    <row r="89" spans="2:16">
      <c r="B89" s="3078"/>
      <c r="C89" s="3066" t="s">
        <v>289</v>
      </c>
      <c r="D89" s="3069"/>
      <c r="E89" s="3069"/>
      <c r="F89" s="3070"/>
      <c r="G89" s="3642"/>
      <c r="H89" s="3642"/>
      <c r="I89" s="3642"/>
      <c r="J89" s="3642"/>
      <c r="K89" s="3642"/>
      <c r="L89" s="3642"/>
      <c r="M89" s="3642"/>
      <c r="N89" s="3642"/>
      <c r="O89" s="3642"/>
      <c r="P89" s="3642"/>
    </row>
    <row r="90" spans="2:16" ht="25.5">
      <c r="B90" s="3078"/>
      <c r="C90" s="3071" t="s">
        <v>288</v>
      </c>
      <c r="D90" s="3072"/>
      <c r="E90" s="3072"/>
      <c r="F90" s="3073"/>
      <c r="G90" s="3642"/>
      <c r="H90" s="3642"/>
      <c r="I90" s="3642"/>
      <c r="J90" s="3642"/>
      <c r="K90" s="3642"/>
      <c r="L90" s="3642"/>
      <c r="M90" s="3642"/>
      <c r="N90" s="3642"/>
      <c r="O90" s="3642"/>
      <c r="P90" s="3642"/>
    </row>
    <row r="91" spans="2:16">
      <c r="C91" s="33"/>
      <c r="D91" s="33"/>
      <c r="E91" s="33"/>
      <c r="F91" s="2538"/>
      <c r="G91" s="3642"/>
      <c r="H91" s="3642"/>
      <c r="I91" s="3642"/>
      <c r="J91" s="3642"/>
      <c r="K91" s="3642"/>
      <c r="L91" s="3642"/>
      <c r="M91" s="3642"/>
      <c r="N91" s="3642"/>
      <c r="O91" s="3642"/>
      <c r="P91" s="3642"/>
    </row>
    <row r="92" spans="2:16">
      <c r="C92" s="33"/>
      <c r="D92" s="33"/>
      <c r="E92" s="33"/>
      <c r="F92" s="2538"/>
      <c r="G92" s="3642"/>
      <c r="H92" s="3642"/>
      <c r="I92" s="3642"/>
      <c r="J92" s="3642"/>
      <c r="K92" s="3642"/>
      <c r="L92" s="3642"/>
      <c r="M92" s="3642"/>
      <c r="N92" s="3642"/>
      <c r="O92" s="3642"/>
      <c r="P92" s="3642"/>
    </row>
    <row r="93" spans="2:16">
      <c r="C93" s="33"/>
      <c r="D93" s="33"/>
      <c r="E93" s="33"/>
      <c r="F93" s="2538"/>
      <c r="G93" s="3642"/>
      <c r="H93" s="3642"/>
      <c r="I93" s="3642"/>
      <c r="J93" s="3642"/>
      <c r="K93" s="3642"/>
      <c r="L93" s="3642"/>
      <c r="M93" s="3642"/>
      <c r="N93" s="3642"/>
      <c r="O93" s="3642"/>
      <c r="P93" s="3642"/>
    </row>
    <row r="94" spans="2:16">
      <c r="C94" s="33"/>
      <c r="D94" s="33"/>
      <c r="E94" s="33"/>
      <c r="F94" s="2538"/>
      <c r="G94" s="3642"/>
      <c r="H94" s="3642"/>
      <c r="I94" s="3642"/>
      <c r="J94" s="3642"/>
      <c r="K94" s="3642"/>
      <c r="L94" s="3642"/>
      <c r="M94" s="3642"/>
      <c r="N94" s="3642"/>
      <c r="O94" s="3642"/>
      <c r="P94" s="3642"/>
    </row>
    <row r="95" spans="2:16">
      <c r="C95" s="33"/>
      <c r="D95" s="33"/>
      <c r="E95" s="33"/>
      <c r="F95" s="2538"/>
      <c r="G95" s="3642"/>
      <c r="H95" s="3642"/>
      <c r="I95" s="3642"/>
      <c r="J95" s="3642"/>
      <c r="K95" s="3642"/>
      <c r="L95" s="3642"/>
      <c r="M95" s="3642"/>
      <c r="N95" s="3642"/>
      <c r="O95" s="3642"/>
      <c r="P95" s="3642"/>
    </row>
    <row r="96" spans="2:16">
      <c r="C96" s="33"/>
      <c r="D96" s="33"/>
      <c r="E96" s="33"/>
      <c r="F96" s="2538"/>
      <c r="G96" s="3642"/>
      <c r="H96" s="3642"/>
      <c r="I96" s="3642"/>
      <c r="J96" s="3642"/>
      <c r="K96" s="3642"/>
      <c r="L96" s="3642"/>
      <c r="M96" s="3642"/>
      <c r="N96" s="3642"/>
      <c r="O96" s="3642"/>
      <c r="P96" s="3642"/>
    </row>
    <row r="97" spans="3:16">
      <c r="C97" s="33"/>
      <c r="D97" s="33"/>
      <c r="E97" s="33"/>
      <c r="G97" s="3642"/>
      <c r="H97" s="3642"/>
      <c r="I97" s="3642"/>
      <c r="J97" s="3642"/>
      <c r="K97" s="3642"/>
      <c r="L97" s="3642"/>
      <c r="M97" s="3642"/>
      <c r="N97" s="3642"/>
      <c r="O97" s="3642"/>
      <c r="P97" s="3642"/>
    </row>
    <row r="98" spans="3:16">
      <c r="C98" s="33"/>
      <c r="D98" s="33"/>
      <c r="E98" s="33"/>
      <c r="G98" s="3642"/>
      <c r="H98" s="3642"/>
      <c r="I98" s="3642"/>
      <c r="J98" s="3642"/>
      <c r="K98" s="3642"/>
      <c r="L98" s="3642"/>
      <c r="M98" s="3642"/>
      <c r="N98" s="3642"/>
      <c r="O98" s="3642"/>
      <c r="P98" s="3642"/>
    </row>
    <row r="99" spans="3:16">
      <c r="C99" s="33"/>
      <c r="D99" s="33"/>
      <c r="G99" s="3642"/>
      <c r="H99" s="3642"/>
      <c r="I99" s="3642"/>
      <c r="J99" s="3642"/>
      <c r="K99" s="3642"/>
      <c r="L99" s="3642"/>
      <c r="M99" s="3642"/>
      <c r="N99" s="3642"/>
      <c r="O99" s="3642"/>
      <c r="P99" s="3642"/>
    </row>
    <row r="100" spans="3:16">
      <c r="C100" s="33"/>
      <c r="D100" s="33"/>
      <c r="G100" s="3642"/>
      <c r="H100" s="3642"/>
      <c r="I100" s="3642"/>
      <c r="J100" s="3642"/>
      <c r="K100" s="3642"/>
      <c r="L100" s="3642"/>
      <c r="M100" s="3642"/>
      <c r="N100" s="3642"/>
      <c r="O100" s="3642"/>
      <c r="P100" s="3642"/>
    </row>
    <row r="101" spans="3:16">
      <c r="C101" s="33"/>
      <c r="D101" s="33"/>
      <c r="G101" s="3642"/>
      <c r="H101" s="3642"/>
      <c r="I101" s="3642"/>
      <c r="J101" s="3642"/>
      <c r="K101" s="3642"/>
      <c r="L101" s="3642"/>
      <c r="M101" s="3642"/>
      <c r="N101" s="3642"/>
      <c r="O101" s="3642"/>
      <c r="P101" s="3642"/>
    </row>
    <row r="102" spans="3:16">
      <c r="C102" s="33"/>
      <c r="D102" s="33"/>
      <c r="G102" s="3642"/>
      <c r="H102" s="3642"/>
      <c r="I102" s="3642"/>
      <c r="J102" s="3642"/>
      <c r="K102" s="3642"/>
      <c r="L102" s="3642"/>
      <c r="M102" s="3642"/>
      <c r="N102" s="3642"/>
      <c r="O102" s="3642"/>
      <c r="P102" s="3642"/>
    </row>
    <row r="103" spans="3:16">
      <c r="C103" s="33"/>
      <c r="D103" s="33"/>
      <c r="G103" s="3642"/>
      <c r="H103" s="3642"/>
      <c r="I103" s="3642"/>
      <c r="J103" s="3642"/>
      <c r="K103" s="3642"/>
      <c r="L103" s="3642"/>
      <c r="M103" s="3642"/>
      <c r="N103" s="3642"/>
      <c r="O103" s="3642"/>
      <c r="P103" s="3642"/>
    </row>
    <row r="104" spans="3:16">
      <c r="C104" s="33"/>
      <c r="D104" s="33"/>
      <c r="G104" s="3642"/>
      <c r="H104" s="3642"/>
      <c r="I104" s="3642"/>
      <c r="J104" s="3642"/>
      <c r="K104" s="3642"/>
      <c r="L104" s="3642"/>
      <c r="M104" s="3642"/>
      <c r="N104" s="3642"/>
      <c r="O104" s="3642"/>
      <c r="P104" s="3642"/>
    </row>
    <row r="105" spans="3:16">
      <c r="C105" s="33"/>
      <c r="D105" s="33"/>
      <c r="G105" s="3642"/>
      <c r="H105" s="3642"/>
      <c r="I105" s="3642"/>
      <c r="J105" s="3642"/>
      <c r="K105" s="3642"/>
      <c r="L105" s="3642"/>
      <c r="M105" s="3642"/>
      <c r="N105" s="3642"/>
      <c r="O105" s="3642"/>
      <c r="P105" s="3642"/>
    </row>
    <row r="106" spans="3:16">
      <c r="C106" s="33"/>
      <c r="D106" s="33"/>
      <c r="G106" s="3642"/>
      <c r="H106" s="3642"/>
      <c r="I106" s="3642"/>
      <c r="J106" s="3642"/>
      <c r="K106" s="3642"/>
      <c r="L106" s="3642"/>
      <c r="M106" s="3642"/>
      <c r="N106" s="3642"/>
      <c r="O106" s="3642"/>
      <c r="P106" s="3642"/>
    </row>
    <row r="107" spans="3:16">
      <c r="G107" s="3642"/>
      <c r="H107" s="3642"/>
      <c r="I107" s="3642"/>
      <c r="J107" s="3642"/>
      <c r="K107" s="3642"/>
      <c r="L107" s="3642"/>
      <c r="M107" s="3642"/>
      <c r="N107" s="3642"/>
      <c r="O107" s="3642"/>
      <c r="P107" s="3642"/>
    </row>
    <row r="108" spans="3:16">
      <c r="G108" s="3642"/>
      <c r="H108" s="3642"/>
      <c r="I108" s="3642"/>
      <c r="J108" s="3642"/>
      <c r="K108" s="3642"/>
      <c r="L108" s="3642"/>
      <c r="M108" s="3642"/>
      <c r="N108" s="3642"/>
      <c r="O108" s="3642"/>
      <c r="P108" s="3642"/>
    </row>
    <row r="109" spans="3:16">
      <c r="G109" s="3642"/>
      <c r="H109" s="3642"/>
      <c r="I109" s="3642"/>
      <c r="J109" s="3642"/>
      <c r="K109" s="3642"/>
      <c r="L109" s="3642"/>
      <c r="M109" s="3642"/>
      <c r="N109" s="3642"/>
      <c r="O109" s="3642"/>
      <c r="P109" s="3642"/>
    </row>
    <row r="110" spans="3:16">
      <c r="G110" s="3642"/>
      <c r="H110" s="3642"/>
      <c r="I110" s="3642"/>
      <c r="J110" s="3642"/>
      <c r="K110" s="3642"/>
      <c r="L110" s="3642"/>
      <c r="M110" s="3642"/>
      <c r="N110" s="3642"/>
      <c r="O110" s="3642"/>
      <c r="P110" s="3642"/>
    </row>
    <row r="111" spans="3:16">
      <c r="G111" s="3642"/>
      <c r="H111" s="3642"/>
      <c r="I111" s="3642"/>
      <c r="J111" s="3642"/>
      <c r="K111" s="3642"/>
      <c r="L111" s="3642"/>
      <c r="M111" s="3642"/>
      <c r="N111" s="3642"/>
      <c r="O111" s="3642"/>
      <c r="P111" s="3642"/>
    </row>
    <row r="112" spans="3:16">
      <c r="G112" s="3642"/>
      <c r="H112" s="3642"/>
      <c r="I112" s="3642"/>
      <c r="J112" s="3642"/>
      <c r="K112" s="3642"/>
      <c r="L112" s="3642"/>
      <c r="M112" s="3642"/>
      <c r="N112" s="3642"/>
      <c r="O112" s="3642"/>
      <c r="P112" s="3642"/>
    </row>
    <row r="113" spans="2:16">
      <c r="G113" s="3642"/>
      <c r="H113" s="3642"/>
      <c r="I113" s="3642"/>
      <c r="J113" s="3642"/>
      <c r="K113" s="3642"/>
      <c r="L113" s="3642"/>
      <c r="M113" s="3642"/>
      <c r="N113" s="3642"/>
      <c r="O113" s="3642"/>
      <c r="P113" s="3642"/>
    </row>
    <row r="114" spans="2:16">
      <c r="G114" s="3642"/>
      <c r="H114" s="3642"/>
      <c r="I114" s="3642"/>
      <c r="J114" s="3642"/>
      <c r="K114" s="3642"/>
      <c r="L114" s="3642"/>
      <c r="M114" s="3642"/>
      <c r="N114" s="3642"/>
      <c r="O114" s="3642"/>
      <c r="P114" s="3642"/>
    </row>
    <row r="115" spans="2:16">
      <c r="G115" s="3642"/>
      <c r="H115" s="3642"/>
      <c r="I115" s="3642"/>
      <c r="J115" s="3642"/>
      <c r="K115" s="3642"/>
      <c r="L115" s="3642"/>
      <c r="M115" s="3642"/>
      <c r="N115" s="3642"/>
      <c r="O115" s="3642"/>
      <c r="P115" s="3642"/>
    </row>
    <row r="116" spans="2:16">
      <c r="G116" s="3642"/>
      <c r="H116" s="3642"/>
      <c r="I116" s="3642"/>
      <c r="J116" s="3642"/>
      <c r="K116" s="3642"/>
      <c r="L116" s="3642"/>
      <c r="M116" s="3642"/>
      <c r="N116" s="3642"/>
      <c r="O116" s="3642"/>
      <c r="P116" s="3642"/>
    </row>
    <row r="117" spans="2:16">
      <c r="G117" s="3642"/>
      <c r="H117" s="3642"/>
      <c r="I117" s="3642"/>
      <c r="J117" s="3642"/>
      <c r="K117" s="3642"/>
      <c r="L117" s="3642"/>
      <c r="M117" s="3642"/>
      <c r="N117" s="3642"/>
      <c r="O117" s="3642"/>
      <c r="P117" s="3642"/>
    </row>
    <row r="118" spans="2:16">
      <c r="B118" s="622"/>
      <c r="C118" s="33"/>
      <c r="G118" s="3642"/>
      <c r="H118" s="3642"/>
      <c r="I118" s="3642"/>
      <c r="J118" s="3642"/>
      <c r="K118" s="3642"/>
      <c r="L118" s="3642"/>
      <c r="M118" s="3642"/>
      <c r="N118" s="3642"/>
      <c r="O118" s="3642"/>
      <c r="P118" s="3642"/>
    </row>
    <row r="119" spans="2:16">
      <c r="B119" s="622"/>
      <c r="C119" s="33"/>
      <c r="G119" s="3642"/>
      <c r="H119" s="3642"/>
      <c r="I119" s="3642"/>
      <c r="J119" s="3642"/>
      <c r="K119" s="3642"/>
      <c r="L119" s="3642"/>
      <c r="M119" s="3642"/>
      <c r="N119" s="3642"/>
      <c r="O119" s="3642"/>
      <c r="P119" s="3642"/>
    </row>
    <row r="120" spans="2:16">
      <c r="B120" s="622"/>
      <c r="C120" s="33"/>
      <c r="G120" s="3642"/>
      <c r="H120" s="3642"/>
      <c r="I120" s="3642"/>
      <c r="J120" s="3642"/>
      <c r="K120" s="3642"/>
      <c r="L120" s="3642"/>
      <c r="M120" s="3642"/>
      <c r="N120" s="3642"/>
      <c r="O120" s="3642"/>
      <c r="P120" s="3642"/>
    </row>
    <row r="121" spans="2:16">
      <c r="B121" s="622"/>
      <c r="C121" s="33"/>
      <c r="G121" s="3642"/>
      <c r="H121" s="3642"/>
      <c r="I121" s="3642"/>
      <c r="J121" s="3642"/>
      <c r="K121" s="3642"/>
      <c r="L121" s="3642"/>
      <c r="M121" s="3642"/>
      <c r="N121" s="3642"/>
      <c r="O121" s="3642"/>
      <c r="P121" s="3642"/>
    </row>
    <row r="122" spans="2:16">
      <c r="B122" s="622"/>
      <c r="C122" s="33"/>
      <c r="G122" s="3642"/>
      <c r="H122" s="3642"/>
      <c r="I122" s="3642"/>
      <c r="J122" s="3642"/>
      <c r="K122" s="3642"/>
      <c r="L122" s="3642"/>
      <c r="M122" s="3642"/>
      <c r="N122" s="3642"/>
      <c r="O122" s="3642"/>
      <c r="P122" s="3642"/>
    </row>
    <row r="123" spans="2:16">
      <c r="B123" s="622"/>
      <c r="C123" s="33"/>
      <c r="G123" s="3642"/>
      <c r="H123" s="3642"/>
      <c r="I123" s="3642"/>
      <c r="J123" s="3642"/>
      <c r="K123" s="3642"/>
      <c r="L123" s="3642"/>
      <c r="M123" s="3642"/>
      <c r="N123" s="3642"/>
      <c r="O123" s="3642"/>
      <c r="P123" s="3642"/>
    </row>
    <row r="124" spans="2:16">
      <c r="B124" s="622"/>
      <c r="C124" s="33"/>
      <c r="G124" s="3642"/>
      <c r="H124" s="3642"/>
      <c r="I124" s="3642"/>
      <c r="J124" s="3642"/>
      <c r="K124" s="3642"/>
      <c r="L124" s="3642"/>
      <c r="M124" s="3642"/>
      <c r="N124" s="3642"/>
      <c r="O124" s="3642"/>
      <c r="P124" s="3642"/>
    </row>
    <row r="125" spans="2:16">
      <c r="B125" s="622"/>
      <c r="C125" s="33"/>
      <c r="G125" s="3642"/>
      <c r="H125" s="3642"/>
      <c r="I125" s="3642"/>
      <c r="J125" s="3642"/>
      <c r="K125" s="3642"/>
      <c r="L125" s="3642"/>
      <c r="M125" s="3642"/>
      <c r="N125" s="3642"/>
      <c r="O125" s="3642"/>
      <c r="P125" s="3642"/>
    </row>
    <row r="126" spans="2:16">
      <c r="B126" s="622"/>
      <c r="C126" s="33"/>
      <c r="G126" s="3642"/>
      <c r="H126" s="3642"/>
      <c r="I126" s="3642"/>
      <c r="J126" s="3642"/>
      <c r="K126" s="3642"/>
      <c r="L126" s="3642"/>
      <c r="M126" s="3642"/>
      <c r="N126" s="3642"/>
      <c r="O126" s="3642"/>
      <c r="P126" s="3642"/>
    </row>
    <row r="127" spans="2:16">
      <c r="B127" s="622"/>
      <c r="C127" s="33"/>
      <c r="G127" s="3642"/>
      <c r="H127" s="3642"/>
      <c r="I127" s="3642"/>
      <c r="J127" s="3642"/>
      <c r="K127" s="3642"/>
      <c r="L127" s="3642"/>
      <c r="M127" s="3642"/>
      <c r="N127" s="3642"/>
      <c r="O127" s="3642"/>
      <c r="P127" s="3642"/>
    </row>
    <row r="128" spans="2:16">
      <c r="B128" s="622"/>
      <c r="C128" s="33"/>
      <c r="G128" s="3642"/>
      <c r="H128" s="3642"/>
      <c r="I128" s="3642"/>
      <c r="J128" s="3642"/>
      <c r="K128" s="3642"/>
      <c r="L128" s="3642"/>
      <c r="M128" s="3642"/>
      <c r="N128" s="3642"/>
      <c r="O128" s="3642"/>
      <c r="P128" s="3642"/>
    </row>
    <row r="129" spans="2:16">
      <c r="B129" s="622"/>
      <c r="C129" s="33"/>
      <c r="G129" s="3642"/>
      <c r="H129" s="3642"/>
      <c r="I129" s="3642"/>
      <c r="J129" s="3642"/>
      <c r="K129" s="3642"/>
      <c r="L129" s="3642"/>
      <c r="M129" s="3642"/>
      <c r="N129" s="3642"/>
      <c r="O129" s="3642"/>
      <c r="P129" s="3642"/>
    </row>
    <row r="130" spans="2:16">
      <c r="B130" s="622"/>
      <c r="C130" s="33"/>
      <c r="G130" s="3642"/>
      <c r="H130" s="3642"/>
      <c r="I130" s="3642"/>
      <c r="J130" s="3642"/>
      <c r="K130" s="3642"/>
      <c r="L130" s="3642"/>
      <c r="M130" s="3642"/>
      <c r="N130" s="3642"/>
      <c r="O130" s="3642"/>
      <c r="P130" s="3642"/>
    </row>
    <row r="131" spans="2:16">
      <c r="B131" s="622"/>
      <c r="C131" s="33"/>
      <c r="G131" s="3642"/>
      <c r="H131" s="3642"/>
      <c r="I131" s="3642"/>
      <c r="J131" s="3642"/>
      <c r="K131" s="3642"/>
      <c r="L131" s="3642"/>
      <c r="M131" s="3642"/>
      <c r="N131" s="3642"/>
      <c r="O131" s="3642"/>
      <c r="P131" s="3642"/>
    </row>
    <row r="132" spans="2:16">
      <c r="B132" s="622"/>
      <c r="C132" s="33"/>
      <c r="G132" s="3642"/>
      <c r="H132" s="3642"/>
      <c r="I132" s="3642"/>
      <c r="J132" s="3642"/>
      <c r="K132" s="3642"/>
      <c r="L132" s="3642"/>
      <c r="M132" s="3642"/>
      <c r="N132" s="3642"/>
      <c r="O132" s="3642"/>
      <c r="P132" s="3642"/>
    </row>
    <row r="133" spans="2:16">
      <c r="B133" s="622"/>
      <c r="C133" s="33"/>
      <c r="G133" s="3642"/>
      <c r="H133" s="3642"/>
      <c r="I133" s="3642"/>
      <c r="J133" s="3642"/>
      <c r="K133" s="3642"/>
      <c r="L133" s="3642"/>
      <c r="M133" s="3642"/>
      <c r="N133" s="3642"/>
      <c r="O133" s="3642"/>
      <c r="P133" s="3642"/>
    </row>
    <row r="134" spans="2:16">
      <c r="B134" s="622"/>
      <c r="C134" s="33"/>
      <c r="G134" s="3642"/>
      <c r="H134" s="3642"/>
      <c r="I134" s="3642"/>
      <c r="J134" s="3642"/>
      <c r="K134" s="3642"/>
      <c r="L134" s="3642"/>
      <c r="M134" s="3642"/>
      <c r="N134" s="3642"/>
      <c r="O134" s="3642"/>
      <c r="P134" s="3642"/>
    </row>
    <row r="135" spans="2:16">
      <c r="B135" s="622"/>
      <c r="C135" s="33"/>
      <c r="G135" s="3642"/>
      <c r="H135" s="3642"/>
      <c r="I135" s="3642"/>
      <c r="J135" s="3642"/>
      <c r="K135" s="3642"/>
      <c r="L135" s="3642"/>
      <c r="M135" s="3642"/>
      <c r="N135" s="3642"/>
      <c r="O135" s="3642"/>
      <c r="P135" s="3642"/>
    </row>
    <row r="136" spans="2:16">
      <c r="B136" s="622"/>
      <c r="C136" s="33"/>
      <c r="G136" s="3642"/>
      <c r="H136" s="3642"/>
      <c r="I136" s="3642"/>
      <c r="J136" s="3642"/>
      <c r="K136" s="3642"/>
      <c r="L136" s="3642"/>
      <c r="M136" s="3642"/>
      <c r="N136" s="3642"/>
      <c r="O136" s="3642"/>
      <c r="P136" s="3642"/>
    </row>
    <row r="137" spans="2:16">
      <c r="B137" s="622"/>
      <c r="C137" s="33"/>
      <c r="G137" s="3642"/>
      <c r="H137" s="3642"/>
      <c r="I137" s="3642"/>
      <c r="J137" s="3642"/>
      <c r="K137" s="3642"/>
      <c r="L137" s="3642"/>
      <c r="M137" s="3642"/>
      <c r="N137" s="3642"/>
      <c r="O137" s="3642"/>
      <c r="P137" s="3642"/>
    </row>
    <row r="138" spans="2:16">
      <c r="B138" s="622"/>
      <c r="C138" s="33"/>
      <c r="G138" s="3642"/>
      <c r="H138" s="3642"/>
      <c r="I138" s="3642"/>
      <c r="J138" s="3642"/>
      <c r="K138" s="3642"/>
      <c r="L138" s="3642"/>
      <c r="M138" s="3642"/>
      <c r="N138" s="3642"/>
      <c r="O138" s="3642"/>
      <c r="P138" s="3642"/>
    </row>
    <row r="139" spans="2:16">
      <c r="B139" s="622"/>
      <c r="C139" s="33"/>
      <c r="L139" s="33"/>
    </row>
    <row r="140" spans="2:16">
      <c r="B140" s="622"/>
      <c r="C140" s="33"/>
      <c r="L140" s="33"/>
    </row>
    <row r="141" spans="2:16">
      <c r="B141" s="622"/>
      <c r="C141" s="33"/>
      <c r="L141" s="33"/>
    </row>
    <row r="142" spans="2:16">
      <c r="B142" s="622"/>
      <c r="C142" s="33"/>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row>
    <row r="148" spans="2:12">
      <c r="B148" s="622"/>
      <c r="C148" s="33"/>
    </row>
    <row r="149" spans="2:12">
      <c r="B149" s="622"/>
      <c r="C149" s="33"/>
    </row>
    <row r="150" spans="2:12">
      <c r="B150" s="622"/>
      <c r="C150" s="33"/>
    </row>
    <row r="151" spans="2:12">
      <c r="B151" s="622"/>
      <c r="C151" s="33"/>
    </row>
    <row r="152" spans="2:12">
      <c r="B152" s="622"/>
      <c r="C152" s="33"/>
    </row>
    <row r="153" spans="2:12">
      <c r="B153" s="622"/>
      <c r="C153" s="33"/>
    </row>
    <row r="154" spans="2:12">
      <c r="B154" s="622"/>
      <c r="C154" s="33"/>
      <c r="D154" s="33"/>
      <c r="F154" s="33"/>
      <c r="G154" s="33"/>
      <c r="H154" s="33"/>
      <c r="I154" s="33"/>
      <c r="J154" s="33"/>
      <c r="K154" s="33"/>
    </row>
    <row r="155" spans="2:12">
      <c r="B155" s="622"/>
      <c r="C155" s="33"/>
      <c r="D155" s="33"/>
      <c r="F155" s="33"/>
      <c r="G155" s="33"/>
      <c r="H155" s="33"/>
      <c r="I155" s="33"/>
      <c r="J155" s="33"/>
      <c r="K155" s="33"/>
    </row>
    <row r="156" spans="2:12">
      <c r="B156" s="622"/>
      <c r="C156" s="33"/>
      <c r="D156" s="33"/>
      <c r="F156" s="33"/>
      <c r="G156" s="33"/>
      <c r="H156" s="33"/>
      <c r="I156" s="33"/>
      <c r="J156" s="33"/>
      <c r="K156" s="33"/>
    </row>
    <row r="157" spans="2:12">
      <c r="B157" s="622"/>
      <c r="C157" s="33"/>
    </row>
    <row r="158" spans="2:12">
      <c r="B158" s="622"/>
      <c r="C158" s="33"/>
    </row>
    <row r="159" spans="2:12">
      <c r="B159" s="622"/>
      <c r="C159" s="33"/>
    </row>
    <row r="160" spans="2:12">
      <c r="B160" s="622"/>
      <c r="C160" s="33"/>
    </row>
    <row r="161" spans="2:3">
      <c r="B161" s="622"/>
      <c r="C161" s="33"/>
    </row>
    <row r="162" spans="2:3">
      <c r="B162" s="622"/>
      <c r="C162" s="33"/>
    </row>
    <row r="163" spans="2:3">
      <c r="B163" s="622"/>
      <c r="C163" s="33"/>
    </row>
    <row r="164" spans="2:3">
      <c r="B164" s="622"/>
      <c r="C164" s="33"/>
    </row>
    <row r="165" spans="2:3">
      <c r="B165" s="622"/>
      <c r="C165" s="33"/>
    </row>
    <row r="166" spans="2:3">
      <c r="B166" s="622"/>
      <c r="C166" s="33"/>
    </row>
    <row r="167" spans="2:3">
      <c r="B167" s="622"/>
      <c r="C167" s="33"/>
    </row>
    <row r="168" spans="2:3">
      <c r="B168" s="622"/>
      <c r="C168" s="33"/>
    </row>
    <row r="169" spans="2:3">
      <c r="B169" s="622"/>
      <c r="C169" s="33"/>
    </row>
    <row r="170" spans="2:3">
      <c r="B170" s="622"/>
      <c r="C170" s="33"/>
    </row>
    <row r="171" spans="2:3">
      <c r="B171" s="622"/>
      <c r="C171" s="33"/>
    </row>
    <row r="172" spans="2:3">
      <c r="B172" s="622"/>
      <c r="C172" s="33"/>
    </row>
    <row r="173" spans="2:3">
      <c r="B173" s="622"/>
      <c r="C173" s="33"/>
    </row>
    <row r="174" spans="2:3">
      <c r="B174" s="622"/>
      <c r="C174" s="33"/>
    </row>
    <row r="175" spans="2:3">
      <c r="B175" s="622"/>
      <c r="C175" s="33"/>
    </row>
    <row r="176" spans="2:3">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sheetData>
  <sheetProtection sheet="1" selectLockedCells="1"/>
  <mergeCells count="48">
    <mergeCell ref="C41:E41"/>
    <mergeCell ref="C55:D55"/>
    <mergeCell ref="C62:E62"/>
    <mergeCell ref="C68:E68"/>
    <mergeCell ref="C54:D54"/>
    <mergeCell ref="C56:D56"/>
    <mergeCell ref="C49:D49"/>
    <mergeCell ref="C63:E63"/>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19:F19"/>
    <mergeCell ref="F23:G23"/>
    <mergeCell ref="D25:E25"/>
    <mergeCell ref="D26:E26"/>
    <mergeCell ref="C38:E38"/>
    <mergeCell ref="C37:E37"/>
    <mergeCell ref="C36:E36"/>
    <mergeCell ref="E22:G22"/>
    <mergeCell ref="C78:F78"/>
    <mergeCell ref="C79:F79"/>
    <mergeCell ref="C17:F17"/>
    <mergeCell ref="N1:O1"/>
    <mergeCell ref="E4:I4"/>
    <mergeCell ref="N6:O6"/>
    <mergeCell ref="G1:I1"/>
    <mergeCell ref="K2:P2"/>
    <mergeCell ref="K1:L1"/>
    <mergeCell ref="N3:O4"/>
    <mergeCell ref="H6:I6"/>
    <mergeCell ref="K6:L6"/>
    <mergeCell ref="E10:F10"/>
    <mergeCell ref="C16:F16"/>
    <mergeCell ref="C14:F14"/>
    <mergeCell ref="C15:F15"/>
  </mergeCells>
  <dataValidations count="6">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6:F16">
      <formula1>$C$78:$C$95</formula1>
    </dataValidation>
    <dataValidation type="list" allowBlank="1" showInputMessage="1" showErrorMessage="1" sqref="D20:F21">
      <formula1>$G$78:$G$79</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7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8">
    <tabColor rgb="FF7030A0"/>
    <pageSetUpPr fitToPage="1"/>
  </sheetPr>
  <dimension ref="A1:AO211"/>
  <sheetViews>
    <sheetView topLeftCell="A44" workbookViewId="0">
      <selection activeCell="A5" sqref="A5"/>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8" width="7.25" style="2533" customWidth="1"/>
    <col min="9" max="9" width="7.75" style="2533" customWidth="1"/>
    <col min="10" max="10" width="8" style="2533" customWidth="1"/>
    <col min="11" max="11" width="7.25" style="2533" customWidth="1"/>
    <col min="12" max="12" width="7.75" style="2533" customWidth="1"/>
    <col min="13" max="13" width="8.125" style="2533" customWidth="1"/>
    <col min="14" max="14" width="7.25" style="2533" customWidth="1"/>
    <col min="15" max="15" width="8.125" style="2533" customWidth="1"/>
    <col min="16" max="16" width="8.25" style="2533" customWidth="1"/>
    <col min="17" max="17" width="19.75" style="2533" hidden="1" customWidth="1"/>
    <col min="18" max="30" width="0" style="2537" hidden="1" customWidth="1"/>
    <col min="31"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#REF!</v>
      </c>
      <c r="K1" s="4859" t="e">
        <f>M1-J1</f>
        <v>#REF!</v>
      </c>
      <c r="L1" s="4859"/>
      <c r="M1" s="1906" t="e">
        <f>(M7+M13+M19+M22+L11+L12)-(M23+M27+M34+M43+M63+M59+M68+M70+M72+M76)</f>
        <v>#REF!</v>
      </c>
      <c r="N1" s="4859" t="e">
        <f>P1-M1</f>
        <v>#REF!</v>
      </c>
      <c r="O1" s="4859"/>
      <c r="P1" s="1906" t="e">
        <f>(P7+P13+P19+P22+O11+O12)-(P23+P27+P34+P43+P63+P59+P68+P70+P72+P76)</f>
        <v>#REF!</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1919" t="s">
        <v>1932</v>
      </c>
      <c r="G2" s="1891"/>
      <c r="H2" s="1902"/>
      <c r="K2" s="4898" t="s">
        <v>1931</v>
      </c>
      <c r="L2" s="4898"/>
      <c r="M2" s="4898"/>
      <c r="N2" s="4898"/>
      <c r="O2" s="4898"/>
      <c r="P2" s="4898"/>
      <c r="Q2" s="1895"/>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c r="W3" s="4866" t="s">
        <v>1262</v>
      </c>
      <c r="X3" s="4916"/>
      <c r="Y3" s="4916"/>
      <c r="Z3" s="1901"/>
    </row>
    <row r="4" spans="1:41" s="276" customFormat="1" ht="20.25" customHeight="1">
      <c r="A4" s="2507"/>
      <c r="B4" s="377" t="s">
        <v>1154</v>
      </c>
      <c r="C4" s="2537"/>
      <c r="D4" s="2537"/>
      <c r="E4" s="4830" t="s">
        <v>1706</v>
      </c>
      <c r="F4" s="4830"/>
      <c r="G4" s="4830"/>
      <c r="H4" s="4830"/>
      <c r="I4" s="4830"/>
      <c r="J4" s="4866" t="s">
        <v>1250</v>
      </c>
      <c r="K4" s="4916"/>
      <c r="L4" s="4916"/>
      <c r="M4" s="2522"/>
      <c r="N4" s="4872"/>
      <c r="O4" s="4872"/>
      <c r="P4" s="1896">
        <f>SDÖ1!O3</f>
        <v>0</v>
      </c>
      <c r="Q4" s="2507"/>
      <c r="T4" s="1918" t="b">
        <v>0</v>
      </c>
      <c r="W4" s="4866" t="s">
        <v>1250</v>
      </c>
      <c r="X4" s="4916"/>
      <c r="Y4" s="4916"/>
      <c r="Z4" s="2522"/>
    </row>
    <row r="5" spans="1:41" ht="6" customHeight="1" thickBot="1"/>
    <row r="6" spans="1:41" s="1885" customFormat="1" ht="24" customHeight="1">
      <c r="A6" s="48"/>
      <c r="B6" s="3013" t="s">
        <v>1207</v>
      </c>
      <c r="C6" s="3012"/>
      <c r="D6" s="3012"/>
      <c r="E6" s="3012"/>
      <c r="F6" s="3012"/>
      <c r="G6" s="3011" t="s">
        <v>1700</v>
      </c>
      <c r="H6" s="4972"/>
      <c r="I6" s="4973"/>
      <c r="J6" s="2504">
        <v>1</v>
      </c>
      <c r="K6" s="4974"/>
      <c r="L6" s="4975"/>
      <c r="M6" s="2504">
        <v>1</v>
      </c>
      <c r="N6" s="4976"/>
      <c r="O6" s="4977"/>
      <c r="P6" s="2503">
        <f>M6*1.25</f>
        <v>1.25</v>
      </c>
      <c r="Q6" s="70"/>
      <c r="R6" s="1885" t="s">
        <v>1930</v>
      </c>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c r="H9" s="1877">
        <f>J6-H10</f>
        <v>0.75</v>
      </c>
      <c r="I9" s="1873">
        <f>H9*G9</f>
        <v>0</v>
      </c>
      <c r="J9" s="43"/>
      <c r="K9" s="1876">
        <f>M6-K10</f>
        <v>0.75</v>
      </c>
      <c r="L9" s="1875">
        <f>K9*G9</f>
        <v>0</v>
      </c>
      <c r="M9" s="1854"/>
      <c r="N9" s="1874">
        <f>P6-N10</f>
        <v>0.9375</v>
      </c>
      <c r="O9" s="1873">
        <f>N9*G9</f>
        <v>0</v>
      </c>
      <c r="P9" s="273"/>
      <c r="Q9" s="2533"/>
      <c r="R9" s="935"/>
      <c r="S9" s="265" t="s">
        <v>1265</v>
      </c>
      <c r="T9" s="1872"/>
    </row>
    <row r="10" spans="1:41" s="1842" customFormat="1" ht="15" customHeight="1">
      <c r="A10" s="377"/>
      <c r="B10" s="2120"/>
      <c r="C10" s="281" t="s">
        <v>1689</v>
      </c>
      <c r="D10" s="1851"/>
      <c r="E10" s="4952" t="s">
        <v>1710</v>
      </c>
      <c r="F10" s="4953"/>
      <c r="G10" s="1871"/>
      <c r="H10" s="1866">
        <f>J6*0.25</f>
        <v>0.25</v>
      </c>
      <c r="I10" s="1865">
        <f>H10*G10</f>
        <v>0</v>
      </c>
      <c r="K10" s="1869">
        <f>M6*25%</f>
        <v>0.25</v>
      </c>
      <c r="L10" s="1868">
        <f>K10*G10</f>
        <v>0</v>
      </c>
      <c r="M10" s="1867"/>
      <c r="N10" s="1866">
        <f>P6*25%</f>
        <v>0.3125</v>
      </c>
      <c r="O10" s="1865">
        <f>N10*G10</f>
        <v>0</v>
      </c>
      <c r="P10" s="2500"/>
      <c r="Q10" s="2533"/>
      <c r="R10" s="1863">
        <f>I10+I11+I12</f>
        <v>0</v>
      </c>
      <c r="S10" s="1862">
        <f>L10+L11+L12</f>
        <v>0</v>
      </c>
      <c r="T10" s="1861">
        <f>O10+O11+O12</f>
        <v>0</v>
      </c>
      <c r="W10" s="252" t="s">
        <v>1254</v>
      </c>
    </row>
    <row r="11" spans="1:41" s="1842" customFormat="1" ht="15" customHeight="1">
      <c r="A11" s="377"/>
      <c r="B11" s="275"/>
      <c r="C11" s="45" t="s">
        <v>1253</v>
      </c>
      <c r="D11" s="377"/>
      <c r="E11" s="2499">
        <v>0.8</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2533"/>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2533"/>
    </row>
    <row r="13" spans="1:41" s="252" customFormat="1" ht="18.75" customHeight="1">
      <c r="A13" s="47"/>
      <c r="B13" s="2417" t="s">
        <v>1688</v>
      </c>
      <c r="C13" s="47"/>
      <c r="D13" s="2498"/>
      <c r="E13" s="2498"/>
      <c r="F13" s="2498"/>
      <c r="G13" s="2497" t="s">
        <v>171</v>
      </c>
      <c r="H13" s="1926"/>
      <c r="I13" s="1823"/>
      <c r="J13" s="1614" t="e">
        <f>SUM(I14:I18)</f>
        <v>#REF!</v>
      </c>
      <c r="K13" s="1927"/>
      <c r="L13" s="1825"/>
      <c r="M13" s="1617" t="e">
        <f>SUM(L14:L18)</f>
        <v>#REF!</v>
      </c>
      <c r="N13" s="1926"/>
      <c r="O13" s="1823"/>
      <c r="P13" s="2415" t="e">
        <f>SUM(O14:O18)</f>
        <v>#REF!</v>
      </c>
      <c r="Q13" s="2533"/>
      <c r="R13" s="136"/>
      <c r="W13" s="1840" t="s">
        <v>1247</v>
      </c>
      <c r="X13" s="1838" t="str">
        <f>IF(OR(T3=TRUE,T4=TRUE),J6*$E$11,"0")</f>
        <v>0</v>
      </c>
      <c r="Y13" s="1839" t="str">
        <f>IF(OR(T3=TRUE,T4=TRUE),M6*$E$11,"0")</f>
        <v>0</v>
      </c>
      <c r="Z13" s="1838" t="str">
        <f>IF(OR(T3=TRUE,T4=TRUE),P6*$E$11,"0")</f>
        <v>0</v>
      </c>
    </row>
    <row r="14" spans="1:41" s="42" customFormat="1" ht="15" customHeight="1">
      <c r="A14" s="45"/>
      <c r="B14" s="2495"/>
      <c r="C14" s="4944" t="s">
        <v>1422</v>
      </c>
      <c r="D14" s="4944"/>
      <c r="E14" s="4944"/>
      <c r="F14" s="4944"/>
      <c r="G14" s="1837"/>
      <c r="H14" s="2531"/>
      <c r="I14" s="1817" t="e">
        <f>IF(R14=TRUE,Q14,0)</f>
        <v>#REF!</v>
      </c>
      <c r="K14" s="2531"/>
      <c r="L14" s="1671" t="e">
        <f>IF(S14=TRUE,Q14,0)</f>
        <v>#REF!</v>
      </c>
      <c r="M14" s="2404"/>
      <c r="N14" s="2531"/>
      <c r="O14" s="1817" t="e">
        <f>IF(T14=TRUE,Q14,0)</f>
        <v>#REF!</v>
      </c>
      <c r="P14" s="2403"/>
      <c r="Q14" s="1835" t="e">
        <f>IF(C14=0,0,VLOOKUP(C14,#REF!,10,FALSE))</f>
        <v>#REF!</v>
      </c>
      <c r="R14" s="1925" t="b">
        <v>1</v>
      </c>
      <c r="S14" s="1924" t="b">
        <v>1</v>
      </c>
      <c r="T14" s="1923" t="b">
        <v>1</v>
      </c>
      <c r="W14" s="42" t="s">
        <v>246</v>
      </c>
      <c r="X14" s="1834">
        <f>$X$13*F30</f>
        <v>0</v>
      </c>
      <c r="Y14" s="1834">
        <f>$Y$13*F30</f>
        <v>0</v>
      </c>
      <c r="Z14" s="1834">
        <f>$Z$13*F30</f>
        <v>0</v>
      </c>
    </row>
    <row r="15" spans="1:41" s="42" customFormat="1" ht="15" customHeight="1">
      <c r="A15" s="45"/>
      <c r="B15" s="2495"/>
      <c r="C15" s="4944"/>
      <c r="D15" s="4944"/>
      <c r="E15" s="4944"/>
      <c r="F15" s="4944"/>
      <c r="G15" s="1837"/>
      <c r="H15" s="2531"/>
      <c r="I15" s="1817">
        <f>IF(R15=TRUE,Q15,0)</f>
        <v>0</v>
      </c>
      <c r="J15" s="64"/>
      <c r="K15" s="2531"/>
      <c r="L15" s="1671">
        <f>IF(S15=TRUE,Q15,0)</f>
        <v>0</v>
      </c>
      <c r="M15" s="2404"/>
      <c r="N15" s="2531"/>
      <c r="O15" s="1817">
        <f>IF(T15=TRUE,Q15,0)</f>
        <v>0</v>
      </c>
      <c r="P15" s="2403"/>
      <c r="Q15" s="1835">
        <f>IF(C15=0,0,VLOOKUP(C15,#REF!,10,FALSE))</f>
        <v>0</v>
      </c>
      <c r="R15" s="1922" t="b">
        <v>0</v>
      </c>
      <c r="S15" s="1918" t="b">
        <v>0</v>
      </c>
      <c r="T15" s="1921" t="b">
        <v>0</v>
      </c>
      <c r="W15" s="42" t="s">
        <v>1054</v>
      </c>
      <c r="X15" s="1834">
        <f>$X$13*F31</f>
        <v>0</v>
      </c>
      <c r="Y15" s="1834">
        <f>$Y$13*F31</f>
        <v>0</v>
      </c>
      <c r="Z15" s="1834">
        <f>$Z$13*F31</f>
        <v>0</v>
      </c>
    </row>
    <row r="16" spans="1:41" s="42" customFormat="1" ht="15" customHeight="1">
      <c r="A16" s="45"/>
      <c r="B16" s="2495">
        <v>0</v>
      </c>
      <c r="C16" s="4944">
        <v>0</v>
      </c>
      <c r="D16" s="4944"/>
      <c r="E16" s="4944"/>
      <c r="F16" s="4944"/>
      <c r="G16" s="1837"/>
      <c r="H16" s="2531"/>
      <c r="I16" s="1817">
        <f>IF(R16=TRUE,Q16,0)</f>
        <v>0</v>
      </c>
      <c r="K16" s="2531"/>
      <c r="L16" s="1671">
        <f>IF(S16=TRUE,Q16,0)</f>
        <v>0</v>
      </c>
      <c r="M16" s="2404"/>
      <c r="N16" s="2531"/>
      <c r="O16" s="1817">
        <f>IF(T16=TRUE,Q16,0)</f>
        <v>0</v>
      </c>
      <c r="P16" s="2403"/>
      <c r="Q16" s="1835">
        <f>IF(C16=0,0,VLOOKUP(C16,#REF!,10,FALSE))</f>
        <v>0</v>
      </c>
      <c r="R16" s="1922" t="b">
        <v>0</v>
      </c>
      <c r="S16" s="1918" t="b">
        <v>0</v>
      </c>
      <c r="T16" s="1921" t="b">
        <v>0</v>
      </c>
      <c r="W16" s="42" t="s">
        <v>1053</v>
      </c>
      <c r="X16" s="1834">
        <f>$X$13*F32</f>
        <v>0</v>
      </c>
      <c r="Y16" s="1834">
        <f>$Y$13*F32</f>
        <v>0</v>
      </c>
      <c r="Z16" s="1834">
        <f>$Z$13*F32</f>
        <v>0</v>
      </c>
    </row>
    <row r="17" spans="1:26" s="42" customFormat="1" ht="15" customHeight="1">
      <c r="A17" s="45"/>
      <c r="B17" s="2495"/>
      <c r="C17" s="4944">
        <v>0</v>
      </c>
      <c r="D17" s="4944"/>
      <c r="E17" s="4944"/>
      <c r="F17" s="4944"/>
      <c r="G17" s="1837"/>
      <c r="H17" s="2531"/>
      <c r="I17" s="1817">
        <f>IF(R17=TRUE,Q17,0)</f>
        <v>0</v>
      </c>
      <c r="K17" s="2531"/>
      <c r="L17" s="1671">
        <f>IF(S17=TRUE,Q17,0)</f>
        <v>0</v>
      </c>
      <c r="M17" s="2404"/>
      <c r="N17" s="2531"/>
      <c r="O17" s="1817">
        <f>IF(T17=TRUE,Q17,0)</f>
        <v>0</v>
      </c>
      <c r="P17" s="2403"/>
      <c r="Q17" s="1835">
        <f>IF(C17=0,0,VLOOKUP(C17,#REF!,10,FALSE))</f>
        <v>0</v>
      </c>
      <c r="R17" s="1922" t="b">
        <v>0</v>
      </c>
      <c r="S17" s="1918" t="b">
        <v>0</v>
      </c>
      <c r="T17" s="1921" t="b">
        <v>0</v>
      </c>
      <c r="W17" s="42" t="s">
        <v>240</v>
      </c>
      <c r="X17" s="1834">
        <f>$X$13*F33</f>
        <v>0</v>
      </c>
      <c r="Y17" s="1834">
        <f>$Y$13*F33</f>
        <v>0</v>
      </c>
      <c r="Z17" s="1834">
        <f>$Z$13*F33</f>
        <v>0</v>
      </c>
    </row>
    <row r="18" spans="1:26" s="42" customFormat="1" ht="15" customHeight="1">
      <c r="A18" s="45"/>
      <c r="B18" s="2429"/>
      <c r="C18" s="1833"/>
      <c r="D18" s="281"/>
      <c r="E18" s="281"/>
      <c r="F18" s="281"/>
      <c r="G18" s="1812"/>
      <c r="H18" s="1829"/>
      <c r="I18" s="1832">
        <f>IF($R18=TRUE,IF(G18=0,0,LOOKUP($G$18,#REF!)),0)</f>
        <v>0</v>
      </c>
      <c r="J18" s="281"/>
      <c r="K18" s="1829"/>
      <c r="L18" s="1831">
        <f>IF($S18=TRUE,IF(G18=0,0,LOOKUP($G$18,#REF!)),0)</f>
        <v>0</v>
      </c>
      <c r="M18" s="1830"/>
      <c r="N18" s="1829"/>
      <c r="O18" s="1828">
        <f>IF($T18=TRUE,IF(G18=0,0,LOOKUP($G$18,#REF!)),0)</f>
        <v>0</v>
      </c>
      <c r="P18" s="3010"/>
      <c r="Q18" s="1835">
        <f>IF(C18=0,0,VLOOKUP(C18,#REF!,10,FALSE))</f>
        <v>0</v>
      </c>
      <c r="R18" s="3009" t="b">
        <v>0</v>
      </c>
      <c r="S18" s="3008" t="b">
        <v>0</v>
      </c>
      <c r="T18" s="1893" t="b">
        <v>0</v>
      </c>
    </row>
    <row r="19" spans="1:26" s="2532" customFormat="1" ht="18.75" customHeight="1">
      <c r="A19" s="47"/>
      <c r="B19" s="2417" t="s">
        <v>1687</v>
      </c>
      <c r="C19" s="47"/>
      <c r="D19" s="47"/>
      <c r="E19" s="47"/>
      <c r="F19" s="47"/>
      <c r="G19" s="229" t="s">
        <v>171</v>
      </c>
      <c r="H19" s="1824"/>
      <c r="I19" s="1823"/>
      <c r="J19" s="1614" t="e">
        <f>SUM(I20:I21)</f>
        <v>#REF!</v>
      </c>
      <c r="K19" s="1826"/>
      <c r="L19" s="1825"/>
      <c r="M19" s="1617" t="e">
        <f>SUM(L20:L21)</f>
        <v>#REF!</v>
      </c>
      <c r="N19" s="1824"/>
      <c r="O19" s="1823"/>
      <c r="P19" s="2415" t="e">
        <f>SUM(O20:O21)</f>
        <v>#REF!</v>
      </c>
      <c r="Q19" s="2533"/>
      <c r="R19" s="715" t="s">
        <v>1245</v>
      </c>
      <c r="S19" s="376"/>
      <c r="T19" s="1822"/>
    </row>
    <row r="20" spans="1:26" s="42" customFormat="1" ht="15" customHeight="1">
      <c r="A20" s="45"/>
      <c r="B20" s="2495"/>
      <c r="C20" s="4944" t="s">
        <v>286</v>
      </c>
      <c r="D20" s="4944"/>
      <c r="E20" s="4944"/>
      <c r="F20" s="4944"/>
      <c r="G20" s="1820"/>
      <c r="H20" s="1818"/>
      <c r="I20" s="1817" t="e">
        <f>IF(OR($C20=0,$J$6=0),0,VLOOKUP($C20,#REF!,10,FALSE))</f>
        <v>#REF!</v>
      </c>
      <c r="K20" s="1819"/>
      <c r="L20" s="1671" t="e">
        <f>IF($C20=0,0,VLOOKUP($C20,#REF!,10,FALSE))</f>
        <v>#REF!</v>
      </c>
      <c r="M20" s="2404"/>
      <c r="N20" s="1818"/>
      <c r="O20" s="1817" t="e">
        <f>IF(OR($C20=0,$P$6=0),0,VLOOKUP($C20,#REF!,10,FALSE))</f>
        <v>#REF!</v>
      </c>
      <c r="P20" s="2403"/>
      <c r="Q20" s="2533"/>
      <c r="R20" s="1816" t="e">
        <f>J13+J19</f>
        <v>#REF!</v>
      </c>
      <c r="S20" s="1815" t="e">
        <f>M13+M19</f>
        <v>#REF!</v>
      </c>
      <c r="T20" s="1814" t="e">
        <f>P13+P19</f>
        <v>#REF!</v>
      </c>
    </row>
    <row r="21" spans="1:26" s="42" customFormat="1" ht="0.75" customHeight="1">
      <c r="A21" s="45"/>
      <c r="B21" s="2494"/>
      <c r="C21" s="4945"/>
      <c r="D21" s="4945"/>
      <c r="E21" s="4945"/>
      <c r="F21" s="4945"/>
      <c r="G21" s="1812"/>
      <c r="H21" s="1810"/>
      <c r="I21" s="1809">
        <f>IF(OR($C21=0,$J$6=0),0,VLOOKUP($C21,#REF!,10,FALSE))</f>
        <v>0</v>
      </c>
      <c r="K21" s="1811"/>
      <c r="L21" s="1653">
        <f>IF(OR($C21=0,$M$6=0),0,VLOOKUP($C21,#REF!,10,FALSE))</f>
        <v>0</v>
      </c>
      <c r="M21" s="2404"/>
      <c r="N21" s="1810"/>
      <c r="O21" s="1809">
        <f>IF(OR($C21=0,$P$6=0),0,VLOOKUP($C21,#REF!,10,FALSE))</f>
        <v>0</v>
      </c>
      <c r="P21" s="2427"/>
      <c r="Q21" s="2533"/>
    </row>
    <row r="22" spans="1:26" ht="16.5" customHeight="1">
      <c r="A22" s="377"/>
      <c r="B22" s="2417" t="s">
        <v>901</v>
      </c>
      <c r="C22" s="45"/>
      <c r="D22" s="4946"/>
      <c r="E22" s="4946"/>
      <c r="F22" s="4946"/>
      <c r="G22" s="4947"/>
      <c r="H22" s="1804"/>
      <c r="I22" s="1803"/>
      <c r="J22" s="1802"/>
      <c r="K22" s="1806"/>
      <c r="L22" s="1805"/>
      <c r="M22" s="1802"/>
      <c r="N22" s="1804"/>
      <c r="O22" s="1803"/>
      <c r="P22" s="2493"/>
      <c r="R22" s="2533"/>
      <c r="S22" s="2533"/>
      <c r="T22" s="2533"/>
    </row>
    <row r="23" spans="1:26" ht="18.75" customHeight="1">
      <c r="A23" s="377"/>
      <c r="B23" s="2492" t="s">
        <v>222</v>
      </c>
      <c r="C23" s="1801"/>
      <c r="D23" s="1801"/>
      <c r="G23" s="2476" t="s">
        <v>171</v>
      </c>
      <c r="H23" s="1616"/>
      <c r="I23" s="1615"/>
      <c r="J23" s="1599">
        <f>SUM(I25:I26)</f>
        <v>0</v>
      </c>
      <c r="K23" s="1619"/>
      <c r="L23" s="1618"/>
      <c r="M23" s="1800">
        <f>SUM(L25:L26)</f>
        <v>0</v>
      </c>
      <c r="N23" s="1616"/>
      <c r="O23" s="1615"/>
      <c r="P23" s="2406">
        <f>SUM(O25:O26)</f>
        <v>0</v>
      </c>
      <c r="R23" s="2532" t="s">
        <v>1929</v>
      </c>
    </row>
    <row r="24" spans="1:26" ht="13.15" customHeight="1">
      <c r="A24" s="377"/>
      <c r="B24" s="2491"/>
      <c r="C24" s="1612" t="s">
        <v>1212</v>
      </c>
      <c r="D24" s="1683">
        <f>SDÖ1!$O$10</f>
        <v>0</v>
      </c>
      <c r="E24" s="2490"/>
      <c r="F24" s="2411" t="s">
        <v>249</v>
      </c>
      <c r="G24" s="2434" t="s">
        <v>1211</v>
      </c>
      <c r="H24" s="2481" t="s">
        <v>1232</v>
      </c>
      <c r="I24" s="2407" t="s">
        <v>171</v>
      </c>
      <c r="J24" s="2489"/>
      <c r="K24" s="2483" t="s">
        <v>1232</v>
      </c>
      <c r="L24" s="2409" t="s">
        <v>171</v>
      </c>
      <c r="M24" s="2488"/>
      <c r="N24" s="2481" t="s">
        <v>1232</v>
      </c>
      <c r="O24" s="2407" t="s">
        <v>171</v>
      </c>
      <c r="P24" s="2471"/>
      <c r="R24" s="2537" t="s">
        <v>1928</v>
      </c>
    </row>
    <row r="25" spans="1:26" s="42" customFormat="1" ht="15" customHeight="1">
      <c r="A25" s="1306"/>
      <c r="B25" s="2487"/>
      <c r="C25" s="1306" t="s">
        <v>1241</v>
      </c>
      <c r="D25" s="4851"/>
      <c r="E25" s="4852"/>
      <c r="F25" s="1795"/>
      <c r="G25" s="1794">
        <f>F25*(100+$D$24)/100</f>
        <v>0</v>
      </c>
      <c r="H25" s="1793"/>
      <c r="I25" s="1754">
        <f>H25*$G25</f>
        <v>0</v>
      </c>
      <c r="K25" s="1793"/>
      <c r="L25" s="1596">
        <f>K25*$G25</f>
        <v>0</v>
      </c>
      <c r="M25" s="2404"/>
      <c r="N25" s="1793"/>
      <c r="O25" s="1754">
        <f>N25*$G25</f>
        <v>0</v>
      </c>
      <c r="P25" s="2449"/>
      <c r="Q25" s="2533"/>
    </row>
    <row r="26" spans="1:26" s="42" customFormat="1" ht="15" customHeight="1">
      <c r="A26" s="1306"/>
      <c r="B26" s="2419"/>
      <c r="C26" s="2508" t="s">
        <v>191</v>
      </c>
      <c r="D26" s="4853"/>
      <c r="E26" s="4854"/>
      <c r="F26" s="1791"/>
      <c r="G26" s="1790">
        <f>F26*(100+$D$24)/100</f>
        <v>0</v>
      </c>
      <c r="H26" s="1789"/>
      <c r="I26" s="1750">
        <f>H26*$G26</f>
        <v>0</v>
      </c>
      <c r="K26" s="1789"/>
      <c r="L26" s="1590">
        <f>K26*$G26</f>
        <v>0</v>
      </c>
      <c r="M26" s="2404"/>
      <c r="N26" s="1789"/>
      <c r="O26" s="1750">
        <f>N26*$G26</f>
        <v>0</v>
      </c>
      <c r="P26" s="2466"/>
      <c r="Q26" s="2533"/>
    </row>
    <row r="27" spans="1:26" s="2532" customFormat="1" ht="18.75" customHeight="1">
      <c r="A27" s="1270"/>
      <c r="B27" s="2465" t="s">
        <v>221</v>
      </c>
      <c r="C27" s="1270"/>
      <c r="D27" s="2486" t="str">
        <f>IF(SDÖ1!U17=FALSE,"(Nährstoffabfuhr nicht bewertet)","(Nährstoffabfuhr bewertet)")</f>
        <v>(Nährstoffabfuhr bewertet)</v>
      </c>
      <c r="E27" s="2533"/>
      <c r="F27" s="2533"/>
      <c r="G27" s="2476" t="s">
        <v>171</v>
      </c>
      <c r="H27" s="1746"/>
      <c r="I27" s="1745"/>
      <c r="J27" s="1614">
        <f>SUM(I30:I33)</f>
        <v>0</v>
      </c>
      <c r="K27" s="1748"/>
      <c r="L27" s="1747"/>
      <c r="M27" s="1617">
        <f>SUM(L30:L33)</f>
        <v>0</v>
      </c>
      <c r="N27" s="1746"/>
      <c r="O27" s="1745"/>
      <c r="P27" s="2415">
        <f>SUM(O30:O33)</f>
        <v>0</v>
      </c>
      <c r="Q27" s="2533"/>
    </row>
    <row r="28" spans="1:26" s="2532" customFormat="1" ht="13.7" customHeight="1">
      <c r="A28" s="1270"/>
      <c r="B28" s="2459"/>
      <c r="C28" s="2535"/>
      <c r="D28" s="1786" t="s">
        <v>1075</v>
      </c>
      <c r="E28" s="1786" t="s">
        <v>1239</v>
      </c>
      <c r="F28" s="1786" t="s">
        <v>1239</v>
      </c>
      <c r="G28" s="1785" t="s">
        <v>1238</v>
      </c>
      <c r="H28" s="1745"/>
      <c r="I28" s="1782"/>
      <c r="J28" s="2536"/>
      <c r="K28" s="1748"/>
      <c r="L28" s="1678"/>
      <c r="M28" s="1783"/>
      <c r="N28" s="1746"/>
      <c r="O28" s="1782"/>
      <c r="P28" s="2406"/>
      <c r="Q28" s="2533"/>
    </row>
    <row r="29" spans="1:26" s="2532" customFormat="1" ht="15" customHeight="1">
      <c r="A29" s="1270"/>
      <c r="B29" s="2485"/>
      <c r="C29" s="1307" t="s">
        <v>1237</v>
      </c>
      <c r="D29" s="2412" t="s">
        <v>908</v>
      </c>
      <c r="E29" s="2412" t="s">
        <v>1236</v>
      </c>
      <c r="F29" s="2412" t="s">
        <v>1235</v>
      </c>
      <c r="G29" s="2412" t="s">
        <v>909</v>
      </c>
      <c r="H29" s="2481" t="s">
        <v>909</v>
      </c>
      <c r="I29" s="2407" t="s">
        <v>171</v>
      </c>
      <c r="J29" s="2484"/>
      <c r="K29" s="2483" t="s">
        <v>909</v>
      </c>
      <c r="L29" s="2409" t="s">
        <v>171</v>
      </c>
      <c r="M29" s="2482"/>
      <c r="N29" s="2481" t="s">
        <v>909</v>
      </c>
      <c r="O29" s="2407" t="s">
        <v>171</v>
      </c>
      <c r="P29" s="2480"/>
      <c r="Q29" s="2533"/>
    </row>
    <row r="30" spans="1:26" s="42" customFormat="1" ht="15" customHeight="1">
      <c r="A30" s="1306"/>
      <c r="B30" s="2479"/>
      <c r="C30" s="1775" t="s">
        <v>246</v>
      </c>
      <c r="D30" s="1723">
        <f>IF(SDÖ1!$U$17=TRUE,SDÖ1!O55,0)</f>
        <v>4.5333333333333332</v>
      </c>
      <c r="E30" s="2478"/>
      <c r="F30" s="2478"/>
      <c r="G30" s="1773"/>
      <c r="H30" s="1771">
        <f>IF(J$6=0,0,(J$6*$E30+$G30+X14))</f>
        <v>0</v>
      </c>
      <c r="I30" s="1754">
        <f>H30*$D30</f>
        <v>0</v>
      </c>
      <c r="K30" s="1772">
        <f>IF(M$6=0,0,(M$6*$E30+$G30+Y14))</f>
        <v>0</v>
      </c>
      <c r="L30" s="1596">
        <f>K30*$D30</f>
        <v>0</v>
      </c>
      <c r="M30" s="2404"/>
      <c r="N30" s="1771">
        <f>IF(P$6=0,0,(P$6*$E30+$G30+Z14))</f>
        <v>0</v>
      </c>
      <c r="O30" s="1754">
        <f>N30*$D30</f>
        <v>0</v>
      </c>
      <c r="P30" s="2449"/>
      <c r="Q30" s="2533"/>
    </row>
    <row r="31" spans="1:26" s="42" customFormat="1" ht="15" customHeight="1">
      <c r="A31" s="1306"/>
      <c r="B31" s="275"/>
      <c r="C31" s="1306" t="s">
        <v>244</v>
      </c>
      <c r="D31" s="1723">
        <f>IF(SDÖ1!$U$17=TRUE,SDÖ1!O56,0)</f>
        <v>1.3999999999999997</v>
      </c>
      <c r="E31" s="2478"/>
      <c r="F31" s="2478"/>
      <c r="G31" s="1773"/>
      <c r="H31" s="1771">
        <f>IF(J$6=0,0,(J$6*$E31+$G31+X15))</f>
        <v>0</v>
      </c>
      <c r="I31" s="1754">
        <f>H31*$D31</f>
        <v>0</v>
      </c>
      <c r="K31" s="1772">
        <f>IF(M$6=0,0,(M$6*$E31+$G31+Y15))</f>
        <v>0</v>
      </c>
      <c r="L31" s="1596">
        <f>K31*$D31</f>
        <v>0</v>
      </c>
      <c r="M31" s="2404"/>
      <c r="N31" s="1771">
        <f>IF(P$6=0,0,(P$6*$E31+$G31+Z15))</f>
        <v>0</v>
      </c>
      <c r="O31" s="1754">
        <f>N31*$D31</f>
        <v>0</v>
      </c>
      <c r="P31" s="2449"/>
      <c r="Q31" s="2533"/>
    </row>
    <row r="32" spans="1:26" s="42" customFormat="1" ht="15" customHeight="1">
      <c r="A32" s="1306"/>
      <c r="B32" s="275"/>
      <c r="C32" s="1306" t="s">
        <v>242</v>
      </c>
      <c r="D32" s="1723">
        <f>IF(SDÖ1!$U$17=TRUE,SDÖ1!O57,0)</f>
        <v>1.3999999999999997</v>
      </c>
      <c r="E32" s="2478"/>
      <c r="F32" s="2478"/>
      <c r="G32" s="1773"/>
      <c r="H32" s="1771">
        <f>IF(J$6=0,0,(J$6*$E32+$G32+X16))</f>
        <v>0</v>
      </c>
      <c r="I32" s="1754">
        <f>H32*$D32</f>
        <v>0</v>
      </c>
      <c r="K32" s="1772">
        <f>IF(M$6=0,0,(M$6*$E32+$G32+Y16))</f>
        <v>0</v>
      </c>
      <c r="L32" s="1596">
        <f>K32*$D32</f>
        <v>0</v>
      </c>
      <c r="M32" s="2404"/>
      <c r="N32" s="1771">
        <f>IF(P$6=0,0,(P$6*$E32+$G32+Z16))</f>
        <v>0</v>
      </c>
      <c r="O32" s="1754">
        <f>N32*$D32</f>
        <v>0</v>
      </c>
      <c r="P32" s="2449"/>
      <c r="Q32" s="2533"/>
    </row>
    <row r="33" spans="1:18" s="42" customFormat="1" ht="15" customHeight="1">
      <c r="A33" s="1306"/>
      <c r="B33" s="2120"/>
      <c r="C33" s="1331" t="s">
        <v>240</v>
      </c>
      <c r="D33" s="1706">
        <f>IF(SDÖ1!$U$17=TRUE,SDÖ1!O58,0)</f>
        <v>0.5</v>
      </c>
      <c r="E33" s="2477"/>
      <c r="F33" s="2477"/>
      <c r="G33" s="1769"/>
      <c r="H33" s="1767">
        <f>IF(J$6=0,0,(J$6*$E33+$G33+X17))</f>
        <v>0</v>
      </c>
      <c r="I33" s="1750">
        <f>H33*$D33</f>
        <v>0</v>
      </c>
      <c r="K33" s="1768">
        <f>IF(M$6=0,0,(M$6*$E33+$G33+Y17))</f>
        <v>0</v>
      </c>
      <c r="L33" s="1590">
        <f>K33*$D33</f>
        <v>0</v>
      </c>
      <c r="M33" s="2404"/>
      <c r="N33" s="1767">
        <f>IF(P$6=0,0,(P$6*$E33+$G33+Z17))</f>
        <v>0</v>
      </c>
      <c r="O33" s="1750">
        <f>N33*$D33</f>
        <v>0</v>
      </c>
      <c r="P33" s="2466"/>
      <c r="Q33" s="2533"/>
    </row>
    <row r="34" spans="1:18" s="2532" customFormat="1" ht="18.75" customHeight="1">
      <c r="A34" s="1270"/>
      <c r="B34" s="2420" t="s">
        <v>220</v>
      </c>
      <c r="C34" s="1270"/>
      <c r="G34" s="2476" t="s">
        <v>171</v>
      </c>
      <c r="H34" s="1764"/>
      <c r="I34" s="1763"/>
      <c r="J34" s="1614">
        <f>SUM(I36:I42)</f>
        <v>0</v>
      </c>
      <c r="K34" s="1766"/>
      <c r="L34" s="1765"/>
      <c r="M34" s="1617">
        <f>SUM(L36:L42)</f>
        <v>0</v>
      </c>
      <c r="N34" s="1764"/>
      <c r="O34" s="1763"/>
      <c r="P34" s="2415">
        <f>SUM(O36:O42)</f>
        <v>0</v>
      </c>
      <c r="Q34" s="2533"/>
    </row>
    <row r="35" spans="1:18" s="2532" customFormat="1" ht="13.15" customHeight="1">
      <c r="A35" s="1270"/>
      <c r="B35" s="2414"/>
      <c r="C35" s="1612" t="s">
        <v>1212</v>
      </c>
      <c r="D35" s="1683">
        <f>SDÖ1!$O$11</f>
        <v>0</v>
      </c>
      <c r="E35" s="2413"/>
      <c r="F35" s="2411" t="s">
        <v>249</v>
      </c>
      <c r="G35" s="2434" t="s">
        <v>1211</v>
      </c>
      <c r="H35" s="2472" t="s">
        <v>1232</v>
      </c>
      <c r="I35" s="2407" t="s">
        <v>171</v>
      </c>
      <c r="J35" s="2475"/>
      <c r="K35" s="2474" t="s">
        <v>1232</v>
      </c>
      <c r="L35" s="2409" t="s">
        <v>171</v>
      </c>
      <c r="M35" s="2473"/>
      <c r="N35" s="2472" t="s">
        <v>1232</v>
      </c>
      <c r="O35" s="2407" t="s">
        <v>171</v>
      </c>
      <c r="P35" s="2406"/>
      <c r="Q35" s="2533"/>
    </row>
    <row r="36" spans="1:18" s="42" customFormat="1" ht="15" customHeight="1">
      <c r="A36" s="1306"/>
      <c r="B36" s="2405"/>
      <c r="C36" s="4958"/>
      <c r="D36" s="4958"/>
      <c r="E36" s="4959"/>
      <c r="F36" s="1756">
        <f>IF(C36=0,0,VLOOKUP(C36,SDÖ5!$C$6:$D$16,2,FALSE))</f>
        <v>0</v>
      </c>
      <c r="G36" s="1756">
        <f t="shared" ref="G36:G42" si="0">F36*(100+$D$35)/100</f>
        <v>0</v>
      </c>
      <c r="H36" s="2469"/>
      <c r="I36" s="1754">
        <f t="shared" ref="I36:I42" si="1">$G36*H36</f>
        <v>0</v>
      </c>
      <c r="K36" s="2469"/>
      <c r="L36" s="1596">
        <f t="shared" ref="L36:L42" si="2">$G36*K36</f>
        <v>0</v>
      </c>
      <c r="M36" s="2404"/>
      <c r="N36" s="2469"/>
      <c r="O36" s="1754">
        <f t="shared" ref="O36:O42" si="3">$G36*N36</f>
        <v>0</v>
      </c>
      <c r="P36" s="2471"/>
      <c r="Q36" s="2533"/>
    </row>
    <row r="37" spans="1:18" s="42" customFormat="1" ht="15" customHeight="1">
      <c r="A37" s="1306"/>
      <c r="B37" s="2405"/>
      <c r="C37" s="4956"/>
      <c r="D37" s="4956"/>
      <c r="E37" s="4957"/>
      <c r="F37" s="1756">
        <f>IF(C37=0,0,VLOOKUP(C37,SDÖ5!$C$6:$D$16,2,FALSE))</f>
        <v>0</v>
      </c>
      <c r="G37" s="1756">
        <f t="shared" si="0"/>
        <v>0</v>
      </c>
      <c r="H37" s="2469"/>
      <c r="I37" s="1754">
        <f t="shared" si="1"/>
        <v>0</v>
      </c>
      <c r="K37" s="2469"/>
      <c r="L37" s="1596">
        <f t="shared" si="2"/>
        <v>0</v>
      </c>
      <c r="M37" s="2404"/>
      <c r="N37" s="2469"/>
      <c r="O37" s="1754">
        <f t="shared" si="3"/>
        <v>0</v>
      </c>
      <c r="P37" s="2449"/>
      <c r="Q37" s="2533"/>
    </row>
    <row r="38" spans="1:18" s="42" customFormat="1" ht="15" customHeight="1">
      <c r="A38" s="1306"/>
      <c r="B38" s="2470"/>
      <c r="C38" s="4956"/>
      <c r="D38" s="4956"/>
      <c r="E38" s="4957"/>
      <c r="F38" s="1756">
        <f>IF(C38=0,0,VLOOKUP(C38,SDÖ5!$C$6:$D$16,2,FALSE))</f>
        <v>0</v>
      </c>
      <c r="G38" s="1756">
        <f t="shared" si="0"/>
        <v>0</v>
      </c>
      <c r="H38" s="2469"/>
      <c r="I38" s="1754">
        <f t="shared" si="1"/>
        <v>0</v>
      </c>
      <c r="K38" s="2469"/>
      <c r="L38" s="1596">
        <f t="shared" si="2"/>
        <v>0</v>
      </c>
      <c r="M38" s="2404"/>
      <c r="N38" s="2469"/>
      <c r="O38" s="1754">
        <f t="shared" si="3"/>
        <v>0</v>
      </c>
      <c r="P38" s="2449"/>
      <c r="Q38" s="2533"/>
      <c r="R38" s="42" t="s">
        <v>1927</v>
      </c>
    </row>
    <row r="39" spans="1:18" s="42" customFormat="1" ht="15" hidden="1" customHeight="1">
      <c r="A39" s="1306"/>
      <c r="B39" s="2405"/>
      <c r="C39" s="4956"/>
      <c r="D39" s="4956"/>
      <c r="E39" s="4957"/>
      <c r="F39" s="1756">
        <f>IF(C39=0,0,VLOOKUP(C39,SDÖ5!$C$6:$D$16,2,FALSE))</f>
        <v>0</v>
      </c>
      <c r="G39" s="1756">
        <f t="shared" si="0"/>
        <v>0</v>
      </c>
      <c r="H39" s="2469"/>
      <c r="I39" s="1754">
        <f t="shared" si="1"/>
        <v>0</v>
      </c>
      <c r="K39" s="2469"/>
      <c r="L39" s="1596">
        <f t="shared" si="2"/>
        <v>0</v>
      </c>
      <c r="M39" s="2404"/>
      <c r="N39" s="2469"/>
      <c r="O39" s="1754">
        <f t="shared" si="3"/>
        <v>0</v>
      </c>
      <c r="P39" s="2449"/>
      <c r="Q39" s="2533"/>
    </row>
    <row r="40" spans="1:18" s="42" customFormat="1" ht="15" hidden="1" customHeight="1">
      <c r="A40" s="1306"/>
      <c r="B40" s="2405"/>
      <c r="C40" s="4956"/>
      <c r="D40" s="4956"/>
      <c r="E40" s="4957"/>
      <c r="F40" s="1756">
        <f>IF(C40=0,0,VLOOKUP(C40,SDÖ5!$C$6:$D$16,2,FALSE))</f>
        <v>0</v>
      </c>
      <c r="G40" s="1756">
        <f t="shared" si="0"/>
        <v>0</v>
      </c>
      <c r="H40" s="2469"/>
      <c r="I40" s="1754">
        <f t="shared" si="1"/>
        <v>0</v>
      </c>
      <c r="K40" s="2469"/>
      <c r="L40" s="1596">
        <f t="shared" si="2"/>
        <v>0</v>
      </c>
      <c r="M40" s="2404"/>
      <c r="N40" s="2469"/>
      <c r="O40" s="1754">
        <f t="shared" si="3"/>
        <v>0</v>
      </c>
      <c r="P40" s="2449"/>
      <c r="Q40" s="2533"/>
    </row>
    <row r="41" spans="1:18" s="42" customFormat="1" ht="15" hidden="1" customHeight="1">
      <c r="A41" s="1306"/>
      <c r="B41" s="2405"/>
      <c r="C41" s="4956"/>
      <c r="D41" s="4956"/>
      <c r="E41" s="4957"/>
      <c r="F41" s="1756">
        <f>IF(C41=0,0,VLOOKUP(C41,SDÖ5!$C$6:$D$16,2,FALSE))</f>
        <v>0</v>
      </c>
      <c r="G41" s="1756">
        <f t="shared" si="0"/>
        <v>0</v>
      </c>
      <c r="H41" s="2469"/>
      <c r="I41" s="1754">
        <f t="shared" si="1"/>
        <v>0</v>
      </c>
      <c r="K41" s="2469"/>
      <c r="L41" s="1596">
        <f t="shared" si="2"/>
        <v>0</v>
      </c>
      <c r="M41" s="2404"/>
      <c r="N41" s="2469"/>
      <c r="O41" s="1754">
        <f t="shared" si="3"/>
        <v>0</v>
      </c>
      <c r="P41" s="2449"/>
      <c r="Q41" s="2533"/>
    </row>
    <row r="42" spans="1:18" s="42" customFormat="1" ht="15" hidden="1" customHeight="1">
      <c r="A42" s="1306"/>
      <c r="B42" s="2468"/>
      <c r="C42" s="4960"/>
      <c r="D42" s="4960"/>
      <c r="E42" s="4961"/>
      <c r="F42" s="1752">
        <f>IF(C42=0,0,VLOOKUP(C42,SDÖ5!$C$6:$D$16,2,FALSE))</f>
        <v>0</v>
      </c>
      <c r="G42" s="1752">
        <f t="shared" si="0"/>
        <v>0</v>
      </c>
      <c r="H42" s="2467"/>
      <c r="I42" s="1750">
        <f t="shared" si="1"/>
        <v>0</v>
      </c>
      <c r="K42" s="2467"/>
      <c r="L42" s="1590">
        <f t="shared" si="2"/>
        <v>0</v>
      </c>
      <c r="M42" s="2404"/>
      <c r="N42" s="2467"/>
      <c r="O42" s="1750">
        <f t="shared" si="3"/>
        <v>0</v>
      </c>
      <c r="P42" s="2466"/>
      <c r="Q42" s="2533"/>
    </row>
    <row r="43" spans="1:18" s="2532" customFormat="1" ht="18.75" customHeight="1">
      <c r="A43" s="1270"/>
      <c r="B43" s="2465" t="s">
        <v>1684</v>
      </c>
      <c r="C43" s="1376"/>
      <c r="D43" s="1376"/>
      <c r="E43" s="1376"/>
      <c r="F43" s="1376"/>
      <c r="G43" s="2464" t="s">
        <v>171</v>
      </c>
      <c r="H43" s="2461"/>
      <c r="I43" s="2460"/>
      <c r="J43" s="1614">
        <f>SUM(J46:J57)</f>
        <v>0</v>
      </c>
      <c r="K43" s="2463"/>
      <c r="L43" s="2462"/>
      <c r="M43" s="1617">
        <f>SUM(M46:M57)</f>
        <v>0</v>
      </c>
      <c r="N43" s="2461"/>
      <c r="O43" s="2460"/>
      <c r="P43" s="2415">
        <f>SUM(P46:P57)</f>
        <v>0</v>
      </c>
      <c r="Q43" s="2533"/>
    </row>
    <row r="44" spans="1:18" s="42" customFormat="1" ht="15" customHeight="1">
      <c r="A44" s="1306"/>
      <c r="B44" s="2459"/>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2458"/>
      <c r="Q44" s="2533"/>
    </row>
    <row r="45" spans="1:18" s="42" customFormat="1" ht="15" customHeight="1">
      <c r="A45" s="1306"/>
      <c r="B45" s="2457"/>
      <c r="C45" s="2456"/>
      <c r="D45" s="1736"/>
      <c r="E45" s="1607" t="s">
        <v>1683</v>
      </c>
      <c r="F45" s="2412" t="s">
        <v>1225</v>
      </c>
      <c r="G45" s="2412" t="s">
        <v>612</v>
      </c>
      <c r="H45" s="1732" t="s">
        <v>1224</v>
      </c>
      <c r="I45" s="2411" t="s">
        <v>114</v>
      </c>
      <c r="J45" s="2455" t="s">
        <v>171</v>
      </c>
      <c r="K45" s="1735" t="s">
        <v>1224</v>
      </c>
      <c r="L45" s="2454" t="s">
        <v>114</v>
      </c>
      <c r="M45" s="2453" t="s">
        <v>171</v>
      </c>
      <c r="N45" s="1732" t="s">
        <v>1224</v>
      </c>
      <c r="O45" s="2411" t="s">
        <v>114</v>
      </c>
      <c r="P45" s="2452" t="s">
        <v>171</v>
      </c>
      <c r="Q45" s="2533"/>
    </row>
    <row r="46" spans="1:18" s="42" customFormat="1" ht="15" customHeight="1">
      <c r="A46" s="1306"/>
      <c r="B46" s="2451"/>
      <c r="C46" s="4962"/>
      <c r="D46" s="4963"/>
      <c r="E46" s="1725">
        <f>IF($C46=0,0,VLOOKUP($C46,SDÖ3!$C$24:$N$101,4,FALSE))</f>
        <v>0</v>
      </c>
      <c r="F46" s="1724">
        <f>IF($C46=0,0,VLOOKUP($C46,SDÖ3!$C$24:$N$101,12,FALSE))</f>
        <v>0</v>
      </c>
      <c r="G46" s="1723">
        <f>IF($C46=0,0,VLOOKUP($C46,SDÖ3!$C$24:$N$101,13,FALSE))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2449">
        <f t="shared" ref="P46:P57" si="9">N46*$G46</f>
        <v>0</v>
      </c>
      <c r="Q46" s="2533"/>
    </row>
    <row r="47" spans="1:18" s="42" customFormat="1" ht="15" customHeight="1">
      <c r="A47" s="1306"/>
      <c r="B47" s="2450"/>
      <c r="C47" s="4954"/>
      <c r="D47" s="4955"/>
      <c r="E47" s="1725">
        <f>IF($C47=0,0,VLOOKUP($C47,SDÖ3!$C$24:$N$101,4,FALSE))</f>
        <v>0</v>
      </c>
      <c r="F47" s="1724">
        <f>IF($C47=0,0,VLOOKUP($C47,SDÖ3!$C$24:$N$101,12,FALSE))</f>
        <v>0</v>
      </c>
      <c r="G47" s="1723">
        <f>IF($C47=0,0,VLOOKUP($C47,SDÖ3!$C$24:$N$101,13,FALSE))</f>
        <v>0</v>
      </c>
      <c r="H47" s="1720"/>
      <c r="I47" s="1719">
        <f t="shared" si="4"/>
        <v>0</v>
      </c>
      <c r="J47" s="1718">
        <f t="shared" si="5"/>
        <v>0</v>
      </c>
      <c r="K47" s="1720"/>
      <c r="L47" s="1722">
        <f t="shared" si="6"/>
        <v>0</v>
      </c>
      <c r="M47" s="1721">
        <f t="shared" si="7"/>
        <v>0</v>
      </c>
      <c r="N47" s="1720"/>
      <c r="O47" s="1719">
        <f t="shared" si="8"/>
        <v>0</v>
      </c>
      <c r="P47" s="2449">
        <f t="shared" si="9"/>
        <v>0</v>
      </c>
      <c r="Q47" s="2533"/>
    </row>
    <row r="48" spans="1:18" s="42" customFormat="1" ht="15" customHeight="1">
      <c r="A48" s="1306"/>
      <c r="B48" s="2450"/>
      <c r="C48" s="4954"/>
      <c r="D48" s="4955"/>
      <c r="E48" s="1725">
        <f>IF($C48=0,0,VLOOKUP($C48,SDÖ3!$C$24:$N$101,4,FALSE))</f>
        <v>0</v>
      </c>
      <c r="F48" s="1724">
        <f>IF($C48=0,0,VLOOKUP($C48,SDÖ3!$C$24:$N$101,12,FALSE))</f>
        <v>0</v>
      </c>
      <c r="G48" s="1723">
        <f>IF($C48=0,0,VLOOKUP($C48,SDÖ3!$C$24:$N$101,13,FALSE))</f>
        <v>0</v>
      </c>
      <c r="H48" s="1720"/>
      <c r="I48" s="1719">
        <f t="shared" si="4"/>
        <v>0</v>
      </c>
      <c r="J48" s="1718">
        <f t="shared" si="5"/>
        <v>0</v>
      </c>
      <c r="K48" s="1720"/>
      <c r="L48" s="1722">
        <f t="shared" si="6"/>
        <v>0</v>
      </c>
      <c r="M48" s="1721">
        <f t="shared" si="7"/>
        <v>0</v>
      </c>
      <c r="N48" s="1720"/>
      <c r="O48" s="1719">
        <f t="shared" si="8"/>
        <v>0</v>
      </c>
      <c r="P48" s="2449">
        <f t="shared" si="9"/>
        <v>0</v>
      </c>
      <c r="Q48" s="2533"/>
    </row>
    <row r="49" spans="1:17" s="42" customFormat="1" ht="15" customHeight="1">
      <c r="A49" s="1306"/>
      <c r="B49" s="2450"/>
      <c r="C49" s="4954"/>
      <c r="D49" s="4955"/>
      <c r="E49" s="1725">
        <f>IF($C49=0,0,VLOOKUP($C49,SDÖ3!$C$24:$N$101,4,FALSE))</f>
        <v>0</v>
      </c>
      <c r="F49" s="1724">
        <f>IF($C49=0,0,VLOOKUP($C49,SDÖ3!$C$24:$N$101,12,FALSE))</f>
        <v>0</v>
      </c>
      <c r="G49" s="1723">
        <f>IF($C49=0,0,VLOOKUP($C49,SDÖ3!$C$24:$N$101,13,FALSE))</f>
        <v>0</v>
      </c>
      <c r="H49" s="1720"/>
      <c r="I49" s="1719">
        <f t="shared" si="4"/>
        <v>0</v>
      </c>
      <c r="J49" s="1718">
        <f t="shared" si="5"/>
        <v>0</v>
      </c>
      <c r="K49" s="1720"/>
      <c r="L49" s="1722">
        <f t="shared" si="6"/>
        <v>0</v>
      </c>
      <c r="M49" s="1721">
        <f t="shared" si="7"/>
        <v>0</v>
      </c>
      <c r="N49" s="1720"/>
      <c r="O49" s="1719">
        <f t="shared" si="8"/>
        <v>0</v>
      </c>
      <c r="P49" s="2449">
        <f t="shared" si="9"/>
        <v>0</v>
      </c>
      <c r="Q49" s="2533"/>
    </row>
    <row r="50" spans="1:17" s="42" customFormat="1" ht="15" customHeight="1">
      <c r="A50" s="1306"/>
      <c r="B50" s="2450"/>
      <c r="C50" s="4954"/>
      <c r="D50" s="4955"/>
      <c r="E50" s="1725">
        <f>IF($C50=0,0,VLOOKUP($C50,SDÖ3!$C$24:$N$101,4,FALSE))</f>
        <v>0</v>
      </c>
      <c r="F50" s="1724">
        <f>IF($C50=0,0,VLOOKUP($C50,SDÖ3!$C$24:$N$101,12,FALSE))</f>
        <v>0</v>
      </c>
      <c r="G50" s="1723">
        <f>IF($C50=0,0,VLOOKUP($C50,SDÖ3!$C$24:$N$101,13,FALSE))</f>
        <v>0</v>
      </c>
      <c r="H50" s="1720"/>
      <c r="I50" s="1719">
        <f t="shared" si="4"/>
        <v>0</v>
      </c>
      <c r="J50" s="1718">
        <f t="shared" si="5"/>
        <v>0</v>
      </c>
      <c r="K50" s="1720"/>
      <c r="L50" s="1722">
        <f t="shared" si="6"/>
        <v>0</v>
      </c>
      <c r="M50" s="1721">
        <f t="shared" si="7"/>
        <v>0</v>
      </c>
      <c r="N50" s="1720"/>
      <c r="O50" s="1719">
        <f t="shared" si="8"/>
        <v>0</v>
      </c>
      <c r="P50" s="2449">
        <f t="shared" si="9"/>
        <v>0</v>
      </c>
      <c r="Q50" s="2533"/>
    </row>
    <row r="51" spans="1:17"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17"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17" s="42" customFormat="1" ht="15" customHeight="1">
      <c r="A53" s="1306"/>
      <c r="B53" s="2450"/>
      <c r="C53" s="4954"/>
      <c r="D53" s="4955"/>
      <c r="E53" s="1725">
        <f>IF($C53=0,0,VLOOKUP($C53,SDÖ3!$C$24:$N$101,4,FALSE))</f>
        <v>0</v>
      </c>
      <c r="F53" s="1724">
        <f>IF($C53=0,0,VLOOKUP($C53,SDÖ3!$C$24:$N$101,12,FALSE))</f>
        <v>0</v>
      </c>
      <c r="G53" s="1723">
        <f>IF($C53=0,0,VLOOKUP($C53,SDÖ3!$C$24:$N$101,13,FALSE))</f>
        <v>0</v>
      </c>
      <c r="H53" s="1720"/>
      <c r="I53" s="1719">
        <f t="shared" si="4"/>
        <v>0</v>
      </c>
      <c r="J53" s="1718">
        <f t="shared" si="5"/>
        <v>0</v>
      </c>
      <c r="K53" s="1720"/>
      <c r="L53" s="1722">
        <f t="shared" si="6"/>
        <v>0</v>
      </c>
      <c r="M53" s="1721">
        <f t="shared" si="7"/>
        <v>0</v>
      </c>
      <c r="N53" s="1720"/>
      <c r="O53" s="1719">
        <f t="shared" si="8"/>
        <v>0</v>
      </c>
      <c r="P53" s="2449">
        <f t="shared" si="9"/>
        <v>0</v>
      </c>
      <c r="Q53" s="2533"/>
    </row>
    <row r="54" spans="1:17" s="42" customFormat="1" ht="15" customHeight="1">
      <c r="A54" s="1306"/>
      <c r="B54" s="2450"/>
      <c r="C54" s="4954"/>
      <c r="D54" s="4955"/>
      <c r="E54" s="1725">
        <f>IF($C54=0,0,VLOOKUP($C54,SDÖ3!$C$24:$N$101,4,FALSE))</f>
        <v>0</v>
      </c>
      <c r="F54" s="1724">
        <f>IF($C54=0,0,VLOOKUP($C54,SDÖ3!$C$24:$N$101,12,FALSE))</f>
        <v>0</v>
      </c>
      <c r="G54" s="1723">
        <f>IF($C54=0,0,VLOOKUP($C54,SDÖ3!$C$24:$N$101,13,FALSE))</f>
        <v>0</v>
      </c>
      <c r="H54" s="1720"/>
      <c r="I54" s="1719">
        <f t="shared" si="4"/>
        <v>0</v>
      </c>
      <c r="J54" s="1718">
        <f t="shared" si="5"/>
        <v>0</v>
      </c>
      <c r="K54" s="1720"/>
      <c r="L54" s="1722">
        <f t="shared" si="6"/>
        <v>0</v>
      </c>
      <c r="M54" s="1721">
        <f t="shared" si="7"/>
        <v>0</v>
      </c>
      <c r="N54" s="1720"/>
      <c r="O54" s="1719">
        <f t="shared" si="8"/>
        <v>0</v>
      </c>
      <c r="P54" s="2449">
        <f t="shared" si="9"/>
        <v>0</v>
      </c>
      <c r="Q54" s="2533"/>
    </row>
    <row r="55" spans="1:17"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2533"/>
    </row>
    <row r="56" spans="1:17" s="42" customFormat="1" ht="15" customHeight="1">
      <c r="A56" s="1306"/>
      <c r="B56" s="2450"/>
      <c r="C56" s="4954"/>
      <c r="D56" s="4955"/>
      <c r="E56" s="1725">
        <f>IF($C56=0,0,VLOOKUP($C56,SDÖ3!$C$24:$N$101,4,FALSE))</f>
        <v>0</v>
      </c>
      <c r="F56" s="1724">
        <f>IF($C56=0,0,VLOOKUP($C56,SDÖ3!$C$24:$N$101,12,FALSE))</f>
        <v>0</v>
      </c>
      <c r="G56" s="1723">
        <f>IF($C56=0,0,VLOOKUP($C56,SDÖ3!$C$24:$N$101,13,FALSE))</f>
        <v>0</v>
      </c>
      <c r="H56" s="1720"/>
      <c r="I56" s="1719">
        <f t="shared" si="4"/>
        <v>0</v>
      </c>
      <c r="J56" s="1718">
        <f t="shared" si="5"/>
        <v>0</v>
      </c>
      <c r="K56" s="1720"/>
      <c r="L56" s="1722">
        <f t="shared" si="6"/>
        <v>0</v>
      </c>
      <c r="M56" s="1721">
        <f t="shared" si="7"/>
        <v>0</v>
      </c>
      <c r="N56" s="1720"/>
      <c r="O56" s="1719">
        <f t="shared" si="8"/>
        <v>0</v>
      </c>
      <c r="P56" s="2449">
        <f t="shared" si="9"/>
        <v>0</v>
      </c>
      <c r="Q56" s="2533"/>
    </row>
    <row r="57" spans="1:17" s="42" customFormat="1" ht="24.75" customHeight="1">
      <c r="A57" s="1306"/>
      <c r="B57" s="2429"/>
      <c r="C57" s="4970">
        <v>0</v>
      </c>
      <c r="D57" s="4971"/>
      <c r="E57" s="1708">
        <f>IF($C57=0,0,VLOOKUP($C57,SDÖ3!$C$24:$N$101,4,FALSE))</f>
        <v>0</v>
      </c>
      <c r="F57" s="1707">
        <f>IF($C57=0,0,VLOOKUP($C57,SDÖ3!$C$24:$N$101,12,FALSE))</f>
        <v>0</v>
      </c>
      <c r="G57" s="1706">
        <f>IF($C57=0,0,VLOOKUP($C57,SDÖ3!$C$24:$N$101,13,FALSE))</f>
        <v>0</v>
      </c>
      <c r="H57" s="1704">
        <f>H11/50</f>
        <v>0</v>
      </c>
      <c r="I57" s="1703">
        <f t="shared" si="4"/>
        <v>0</v>
      </c>
      <c r="J57" s="1702">
        <f t="shared" si="5"/>
        <v>0</v>
      </c>
      <c r="K57" s="1704">
        <f>K11/50</f>
        <v>0</v>
      </c>
      <c r="L57" s="1705">
        <f t="shared" si="6"/>
        <v>0</v>
      </c>
      <c r="M57" s="1652">
        <f t="shared" si="7"/>
        <v>0</v>
      </c>
      <c r="N57" s="1704">
        <f>N11/50</f>
        <v>0</v>
      </c>
      <c r="O57" s="1703">
        <f t="shared" si="8"/>
        <v>0</v>
      </c>
      <c r="P57" s="2448">
        <f t="shared" si="9"/>
        <v>0</v>
      </c>
      <c r="Q57" s="2533"/>
    </row>
    <row r="58" spans="1:17" s="42" customFormat="1" ht="24.75" customHeight="1">
      <c r="A58" s="1306"/>
      <c r="B58" s="2447" t="s">
        <v>1682</v>
      </c>
      <c r="C58" s="2446"/>
      <c r="D58" s="2446"/>
      <c r="E58" s="2446"/>
      <c r="F58" s="2446"/>
      <c r="G58" s="2446"/>
      <c r="H58" s="2443"/>
      <c r="I58" s="2442">
        <f>SUM(I46:I57)</f>
        <v>0</v>
      </c>
      <c r="J58" s="2445"/>
      <c r="K58" s="2443"/>
      <c r="L58" s="2442">
        <f>SUM(L46:L57)</f>
        <v>0</v>
      </c>
      <c r="M58" s="2444"/>
      <c r="N58" s="2443"/>
      <c r="O58" s="2442">
        <f>SUM(O46:O57)</f>
        <v>0</v>
      </c>
      <c r="P58" s="2441"/>
      <c r="Q58" s="2533"/>
    </row>
    <row r="59" spans="1:17" s="2532" customFormat="1" ht="18.75" customHeight="1">
      <c r="A59" s="1270"/>
      <c r="B59" s="2420" t="s">
        <v>1681</v>
      </c>
      <c r="C59" s="1270"/>
      <c r="D59" s="1270"/>
      <c r="E59" s="1270"/>
      <c r="F59" s="2533"/>
      <c r="G59" s="2416" t="s">
        <v>171</v>
      </c>
      <c r="H59" s="73"/>
      <c r="I59" s="73"/>
      <c r="J59" s="1614">
        <f>H60*$E60</f>
        <v>0</v>
      </c>
      <c r="K59" s="1629"/>
      <c r="L59" s="1629"/>
      <c r="M59" s="1617">
        <f>K60*$E60</f>
        <v>0</v>
      </c>
      <c r="N59" s="73"/>
      <c r="O59" s="73"/>
      <c r="P59" s="2415">
        <f>N60*$E60</f>
        <v>0</v>
      </c>
      <c r="Q59" s="2533"/>
    </row>
    <row r="60" spans="1:17" s="2532" customFormat="1" ht="15" customHeight="1">
      <c r="A60" s="1270"/>
      <c r="B60" s="2440"/>
      <c r="C60" s="1377"/>
      <c r="D60" s="280" t="s">
        <v>1060</v>
      </c>
      <c r="E60" s="1647">
        <v>10</v>
      </c>
      <c r="F60" s="1622"/>
      <c r="G60" s="2439" t="s">
        <v>516</v>
      </c>
      <c r="H60" s="1588"/>
      <c r="I60" s="1643"/>
      <c r="J60" s="1632"/>
      <c r="K60" s="1588"/>
      <c r="L60" s="1645"/>
      <c r="M60" s="1635"/>
      <c r="N60" s="1588"/>
      <c r="O60" s="1643"/>
      <c r="P60" s="2421"/>
      <c r="Q60" s="2533"/>
    </row>
    <row r="61" spans="1:17" s="65" customFormat="1" ht="18.75" customHeight="1">
      <c r="A61" s="1373"/>
      <c r="B61" s="2420" t="s">
        <v>1680</v>
      </c>
      <c r="C61" s="1373"/>
      <c r="D61" s="1373"/>
      <c r="E61" s="1373"/>
      <c r="F61" s="2533"/>
      <c r="G61" s="2416" t="s">
        <v>516</v>
      </c>
      <c r="H61" s="1697"/>
      <c r="I61" s="1696">
        <f>I58-H60</f>
        <v>0</v>
      </c>
      <c r="J61" s="1701"/>
      <c r="K61" s="1700"/>
      <c r="L61" s="1699">
        <f>L58-K60</f>
        <v>0</v>
      </c>
      <c r="M61" s="1698"/>
      <c r="N61" s="1697"/>
      <c r="O61" s="1696">
        <f>O58-N60</f>
        <v>0</v>
      </c>
      <c r="P61" s="2438"/>
      <c r="Q61" s="2533"/>
    </row>
    <row r="62" spans="1:17" s="65" customFormat="1" ht="15" customHeight="1">
      <c r="A62" s="1373"/>
      <c r="B62" s="2437"/>
      <c r="C62" s="319"/>
      <c r="D62" s="280" t="s">
        <v>1222</v>
      </c>
      <c r="E62" s="1693">
        <v>80</v>
      </c>
      <c r="F62" s="319" t="s">
        <v>1221</v>
      </c>
      <c r="G62" s="142"/>
      <c r="H62" s="1688"/>
      <c r="I62" s="1687">
        <f>IF(I61+SUM($I$46:$I$57)*$E$62%&gt;I61+10,I61+10,I61+SUM($I$46:$I$57)*$E$62%)</f>
        <v>0</v>
      </c>
      <c r="J62" s="1686"/>
      <c r="K62" s="1691"/>
      <c r="L62" s="1690">
        <f>IF(L61+SUM($L$46:$L$57)*$E$62%&gt;L61+10,L61+10,L61+SUM($L$46:$L$57)*$E$62%)</f>
        <v>0</v>
      </c>
      <c r="M62" s="1689"/>
      <c r="N62" s="1688"/>
      <c r="O62" s="1687">
        <f>IF(O61+SUM($O$46:$O$57)*$E$62%&gt;O61+10,O61+10,O61+SUM($O$46:$O$57)*$E$62%)</f>
        <v>0</v>
      </c>
      <c r="P62" s="2436"/>
      <c r="Q62" s="2533"/>
    </row>
    <row r="63" spans="1:17" s="42" customFormat="1" ht="18.75" customHeight="1">
      <c r="A63" s="1306"/>
      <c r="B63" s="2420" t="s">
        <v>355</v>
      </c>
      <c r="C63" s="1373"/>
      <c r="D63" s="1373"/>
      <c r="G63" s="2435" t="s">
        <v>171</v>
      </c>
      <c r="H63" s="2433"/>
      <c r="I63" s="2432"/>
      <c r="J63" s="1614">
        <f>IF(J6=0,0,SUM(I65:I67))</f>
        <v>0</v>
      </c>
      <c r="K63" s="1680"/>
      <c r="L63" s="1679"/>
      <c r="M63" s="1617">
        <f>IF(M6=0,0,SUM(L65:L67))</f>
        <v>0</v>
      </c>
      <c r="N63" s="2433"/>
      <c r="O63" s="2432"/>
      <c r="P63" s="2415">
        <f>IF(P6=0,0,SUM(O65:O67))</f>
        <v>0</v>
      </c>
      <c r="Q63" s="2533"/>
    </row>
    <row r="64" spans="1:17" s="42" customFormat="1" ht="13.15" customHeight="1">
      <c r="A64" s="1306"/>
      <c r="B64" s="2414"/>
      <c r="C64" s="1612" t="s">
        <v>1212</v>
      </c>
      <c r="D64" s="1683">
        <f>SDÖ1!$O$11</f>
        <v>0</v>
      </c>
      <c r="E64" s="2413"/>
      <c r="F64" s="2411" t="s">
        <v>249</v>
      </c>
      <c r="G64" s="2434" t="s">
        <v>1211</v>
      </c>
      <c r="H64" s="2433"/>
      <c r="I64" s="2432"/>
      <c r="J64" s="1782"/>
      <c r="K64" s="1680"/>
      <c r="L64" s="1679"/>
      <c r="M64" s="1678"/>
      <c r="N64" s="2433"/>
      <c r="O64" s="2432"/>
      <c r="P64" s="2406"/>
      <c r="Q64" s="2533"/>
    </row>
    <row r="65" spans="1:20" s="42" customFormat="1" ht="15" customHeight="1">
      <c r="A65" s="1306"/>
      <c r="B65" s="2405"/>
      <c r="C65" s="4944"/>
      <c r="D65" s="4944"/>
      <c r="E65" s="4944"/>
      <c r="F65" s="1674">
        <f>IF($C65=0,0,VLOOKUP($C65,SDÖ3!$C$140:$D$162,2,FALSE))</f>
        <v>0</v>
      </c>
      <c r="G65" s="1673">
        <f>(100+$D$64)/100*F65</f>
        <v>0</v>
      </c>
      <c r="I65" s="1817">
        <f>$G$65</f>
        <v>0</v>
      </c>
      <c r="K65" s="1672"/>
      <c r="L65" s="1671">
        <f>$G$65</f>
        <v>0</v>
      </c>
      <c r="M65" s="2404"/>
      <c r="N65" s="2430"/>
      <c r="O65" s="1817">
        <f>$G$65</f>
        <v>0</v>
      </c>
      <c r="P65" s="2403"/>
      <c r="Q65" s="2533"/>
    </row>
    <row r="66" spans="1:20" s="42" customFormat="1" ht="15" customHeight="1">
      <c r="A66" s="1306"/>
      <c r="B66" s="2405"/>
      <c r="C66" s="4944"/>
      <c r="D66" s="4944"/>
      <c r="E66" s="4965"/>
      <c r="F66" s="2431">
        <f>IF($C66=0,0,VLOOKUP($C66,SDÖ3!$C$140:$D$162,2,FALSE))</f>
        <v>0</v>
      </c>
      <c r="G66" s="1586">
        <f>(100+$D$64)/100*F66</f>
        <v>0</v>
      </c>
      <c r="K66" s="1672"/>
      <c r="L66" s="1671"/>
      <c r="M66" s="2404"/>
      <c r="N66" s="2430"/>
      <c r="O66" s="1817"/>
      <c r="P66" s="2403"/>
      <c r="Q66" s="2533"/>
    </row>
    <row r="67" spans="1:20" s="42" customFormat="1" ht="15" customHeight="1">
      <c r="A67" s="1306"/>
      <c r="B67" s="2429"/>
      <c r="C67" s="4966" t="s">
        <v>322</v>
      </c>
      <c r="D67" s="4966"/>
      <c r="E67" s="4966"/>
      <c r="F67" s="1656">
        <f>IF($T$3=FALSE,0,VLOOKUP($C67,SDÖ3!$C$140:$D$162,2,FALSE))</f>
        <v>0</v>
      </c>
      <c r="G67" s="1655">
        <f>(100+$D$64)/100*F67</f>
        <v>0</v>
      </c>
      <c r="H67" s="2428"/>
      <c r="I67" s="1809">
        <f>H11*$G$67</f>
        <v>0</v>
      </c>
      <c r="K67" s="1654"/>
      <c r="L67" s="1653">
        <f>K11*$G$67</f>
        <v>0</v>
      </c>
      <c r="M67" s="1652"/>
      <c r="N67" s="2428"/>
      <c r="O67" s="1809">
        <f>N11*$G$67</f>
        <v>0</v>
      </c>
      <c r="P67" s="2427"/>
      <c r="Q67" s="2533"/>
    </row>
    <row r="68" spans="1:20" s="2532" customFormat="1" ht="22.9" customHeight="1">
      <c r="A68" s="1270"/>
      <c r="B68" s="2420" t="s">
        <v>1679</v>
      </c>
      <c r="C68" s="1270"/>
      <c r="D68" s="1270"/>
      <c r="E68" s="229"/>
      <c r="F68" s="1642"/>
      <c r="G68" s="2416" t="s">
        <v>171</v>
      </c>
      <c r="H68" s="2424" t="s">
        <v>1217</v>
      </c>
      <c r="I68" s="2423" t="s">
        <v>1216</v>
      </c>
      <c r="J68" s="1963">
        <f>IF($F$69=0,$R$69*H$9*I$69%,$F$69*H$9*I$69%)</f>
        <v>0</v>
      </c>
      <c r="K68" s="2426" t="s">
        <v>1217</v>
      </c>
      <c r="L68" s="2425" t="s">
        <v>1216</v>
      </c>
      <c r="M68" s="1963">
        <f>IF($F$69=0,$S$69*K$9*L$69%,$F$69*K$9*L$69%)</f>
        <v>0</v>
      </c>
      <c r="N68" s="2424" t="s">
        <v>1217</v>
      </c>
      <c r="O68" s="2423" t="s">
        <v>1216</v>
      </c>
      <c r="P68" s="3007">
        <f>IF($F$69=0,$T$69*N$9*O$69%,$F$69*N$9*O$69%)</f>
        <v>0</v>
      </c>
      <c r="Q68" s="2533"/>
    </row>
    <row r="69" spans="1:20" s="2532" customFormat="1" ht="15" customHeight="1">
      <c r="A69" s="1270"/>
      <c r="B69" s="2422"/>
      <c r="C69" s="4967" t="s">
        <v>1678</v>
      </c>
      <c r="D69" s="4967"/>
      <c r="E69" s="4967"/>
      <c r="F69" s="1636"/>
      <c r="G69" s="1627" t="s">
        <v>228</v>
      </c>
      <c r="H69" s="1634"/>
      <c r="I69" s="1633"/>
      <c r="J69" s="1632"/>
      <c r="K69" s="1634"/>
      <c r="L69" s="1633"/>
      <c r="M69" s="1635"/>
      <c r="N69" s="1634"/>
      <c r="O69" s="1633"/>
      <c r="P69" s="2421"/>
      <c r="Q69" s="2533"/>
      <c r="R69" s="1944">
        <f>IF($H$69=0,0,VLOOKUP($H$69,#REF!,2,FALSE))*(1+SDÖ1!$O$11/100)</f>
        <v>0</v>
      </c>
      <c r="S69" s="1631">
        <f>IF($K$69=0,0,VLOOKUP($K$69,#REF!,2,FALSE))*(1+SDÖ1!$O$11/100)</f>
        <v>0</v>
      </c>
      <c r="T69" s="1944">
        <f>IF($N$69=0,0,VLOOKUP($N$69,#REF!,2,FALSE))*(1+SDÖ1!$O$11/100)</f>
        <v>0</v>
      </c>
    </row>
    <row r="70" spans="1:20" s="2532" customFormat="1" ht="18.75" customHeight="1">
      <c r="A70" s="1270"/>
      <c r="B70" s="2420" t="s">
        <v>1677</v>
      </c>
      <c r="C70" s="1270"/>
      <c r="D70" s="1270"/>
      <c r="E70" s="229"/>
      <c r="F70" s="229"/>
      <c r="G70" s="2416" t="s">
        <v>171</v>
      </c>
      <c r="H70" s="44"/>
      <c r="I70" s="73"/>
      <c r="J70" s="1614">
        <f>H71*$F71/1000</f>
        <v>0</v>
      </c>
      <c r="K70" s="1630"/>
      <c r="L70" s="1629"/>
      <c r="M70" s="1617">
        <f>K71*$F71/1000</f>
        <v>0</v>
      </c>
      <c r="N70" s="44"/>
      <c r="O70" s="73"/>
      <c r="P70" s="2415">
        <f>N71*$F71/1000</f>
        <v>0</v>
      </c>
      <c r="Q70" s="2533"/>
    </row>
    <row r="71" spans="1:20" s="2532" customFormat="1" ht="15" customHeight="1">
      <c r="A71" s="1270"/>
      <c r="B71" s="2419"/>
      <c r="C71" s="1331" t="s">
        <v>896</v>
      </c>
      <c r="D71" s="319"/>
      <c r="E71" s="280"/>
      <c r="F71" s="1962"/>
      <c r="G71" s="1627" t="s">
        <v>171</v>
      </c>
      <c r="H71" s="1623">
        <f>I9+I10</f>
        <v>0</v>
      </c>
      <c r="I71" s="1622"/>
      <c r="J71" s="1621"/>
      <c r="K71" s="1626">
        <f>L9+L10</f>
        <v>0</v>
      </c>
      <c r="L71" s="1625"/>
      <c r="M71" s="1624"/>
      <c r="N71" s="1623">
        <f>O9+O10</f>
        <v>0</v>
      </c>
      <c r="O71" s="1622"/>
      <c r="P71" s="2418"/>
      <c r="Q71" s="2533"/>
    </row>
    <row r="72" spans="1:20" ht="18.75" customHeight="1">
      <c r="A72" s="377"/>
      <c r="B72" s="2417" t="s">
        <v>218</v>
      </c>
      <c r="C72" s="377"/>
      <c r="D72" s="377"/>
      <c r="E72" s="229"/>
      <c r="F72" s="2537"/>
      <c r="G72" s="2416" t="s">
        <v>171</v>
      </c>
      <c r="H72" s="1616"/>
      <c r="I72" s="1615"/>
      <c r="J72" s="1614">
        <f>SUM(I74:I75)</f>
        <v>0</v>
      </c>
      <c r="K72" s="1619"/>
      <c r="L72" s="1618"/>
      <c r="M72" s="1617">
        <f>SUM(L74:L75)</f>
        <v>0</v>
      </c>
      <c r="N72" s="1616"/>
      <c r="O72" s="1615"/>
      <c r="P72" s="2415">
        <f>SUM(O74:O75)</f>
        <v>0</v>
      </c>
    </row>
    <row r="73" spans="1:20" ht="13.15" customHeight="1">
      <c r="A73" s="377"/>
      <c r="B73" s="2414"/>
      <c r="C73" s="1612" t="s">
        <v>1212</v>
      </c>
      <c r="D73" s="1611">
        <f>SDÖ1!$O$12</f>
        <v>0</v>
      </c>
      <c r="E73" s="2413"/>
      <c r="F73" s="1609"/>
      <c r="G73" s="1608"/>
      <c r="H73" s="2412" t="s">
        <v>249</v>
      </c>
      <c r="I73" s="2411" t="s">
        <v>1211</v>
      </c>
      <c r="J73" s="1605"/>
      <c r="K73" s="2410" t="s">
        <v>249</v>
      </c>
      <c r="L73" s="2409" t="s">
        <v>1211</v>
      </c>
      <c r="M73" s="1602"/>
      <c r="N73" s="2408" t="s">
        <v>249</v>
      </c>
      <c r="O73" s="2407" t="s">
        <v>1211</v>
      </c>
      <c r="P73" s="2406"/>
    </row>
    <row r="74" spans="1:20" s="42" customFormat="1" ht="15" customHeight="1">
      <c r="A74" s="1306"/>
      <c r="B74" s="2405"/>
      <c r="C74" s="4941" t="s">
        <v>1715</v>
      </c>
      <c r="D74" s="4941"/>
      <c r="E74" s="4941"/>
      <c r="F74" s="1598"/>
      <c r="G74" s="1597"/>
      <c r="H74" s="1591"/>
      <c r="I74" s="1595">
        <f>(100+$D$73)/100*H74</f>
        <v>0</v>
      </c>
      <c r="K74" s="1591"/>
      <c r="L74" s="1596">
        <f>(100+$D$73)/100*K74</f>
        <v>0</v>
      </c>
      <c r="M74" s="2404"/>
      <c r="N74" s="1591"/>
      <c r="O74" s="1595">
        <f>(100+$D$73)/100*N74</f>
        <v>0</v>
      </c>
      <c r="P74" s="2403"/>
      <c r="Q74" s="2533"/>
    </row>
    <row r="75" spans="1:20" s="42" customFormat="1" ht="15" customHeight="1">
      <c r="A75" s="1306"/>
      <c r="B75" s="2405"/>
      <c r="C75" s="4964"/>
      <c r="D75" s="4964"/>
      <c r="E75" s="4964"/>
      <c r="F75" s="1593"/>
      <c r="G75" s="1592"/>
      <c r="H75" s="1588"/>
      <c r="I75" s="1587">
        <f>(100+$D$73)/100*H75</f>
        <v>0</v>
      </c>
      <c r="K75" s="1591"/>
      <c r="L75" s="1590">
        <f>(100+$D$73)/100*K75</f>
        <v>0</v>
      </c>
      <c r="M75" s="2404"/>
      <c r="N75" s="1588"/>
      <c r="O75" s="1587">
        <f>(100+$D$73)/100*N75</f>
        <v>0</v>
      </c>
      <c r="P75" s="2403"/>
      <c r="Q75" s="2533"/>
    </row>
    <row r="76" spans="1:20" s="2532" customFormat="1" ht="30.2" customHeight="1" thickBot="1">
      <c r="A76" s="1270"/>
      <c r="B76" s="4942" t="s">
        <v>1210</v>
      </c>
      <c r="C76" s="4943"/>
      <c r="D76" s="2402" t="s">
        <v>1209</v>
      </c>
      <c r="E76" s="2401">
        <f>SDÖ1!$O$71/100</f>
        <v>1.4999999999999999E-2</v>
      </c>
      <c r="F76" s="2400" t="s">
        <v>1676</v>
      </c>
      <c r="G76" s="2399">
        <v>5</v>
      </c>
      <c r="H76" s="2395"/>
      <c r="I76" s="2398"/>
      <c r="J76" s="2393">
        <f>(J23+J27+J34+J43+J63+J59+J68+J70+J72)*(SDÖ1!$O$71%*$G$76/12)</f>
        <v>0</v>
      </c>
      <c r="K76" s="2397"/>
      <c r="L76" s="2396"/>
      <c r="M76" s="2393">
        <f>(M23+M27+M34+M43+M63+M59+M68+M70+M72)*(SDÖ1!$O$71%*$G$76/12)</f>
        <v>0</v>
      </c>
      <c r="N76" s="2395"/>
      <c r="O76" s="2394"/>
      <c r="P76" s="2393">
        <f>(P23+P27+P34+P43+P63+P59+P68+P70+P72)*(SDÖ1!$O$71%*$G$76/12)</f>
        <v>0</v>
      </c>
      <c r="Q76" s="2533"/>
    </row>
    <row r="81" spans="3:16">
      <c r="C81" s="2390" t="e">
        <f>#REF!</f>
        <v>#REF!</v>
      </c>
      <c r="D81" s="272"/>
      <c r="E81" s="721"/>
      <c r="G81" s="2390" t="e">
        <f>#REF!</f>
        <v>#REF!</v>
      </c>
      <c r="H81" s="272"/>
      <c r="I81" s="721"/>
      <c r="L81" s="33"/>
    </row>
    <row r="82" spans="3:16">
      <c r="C82" s="765" t="e">
        <f>#REF!</f>
        <v>#REF!</v>
      </c>
      <c r="E82" s="2534"/>
      <c r="G82" s="2391" t="e">
        <f>#REF!</f>
        <v>#REF!</v>
      </c>
      <c r="I82" s="2534"/>
      <c r="L82" s="33"/>
      <c r="N82" s="2390" t="str">
        <f>SDÖ3!C24</f>
        <v>Drehpflug 2,10 m</v>
      </c>
      <c r="O82" s="272"/>
      <c r="P82" s="721"/>
    </row>
    <row r="83" spans="3:16">
      <c r="C83" s="765" t="e">
        <f>#REF!</f>
        <v>#REF!</v>
      </c>
      <c r="E83" s="2534"/>
      <c r="G83" s="2392"/>
      <c r="H83" s="319"/>
      <c r="I83" s="709"/>
      <c r="L83" s="33"/>
      <c r="N83" s="2391" t="str">
        <f>SDÖ3!C25</f>
        <v>Schwergrubber 3 m</v>
      </c>
      <c r="P83" s="2534"/>
    </row>
    <row r="84" spans="3:16">
      <c r="C84" s="765" t="e">
        <f>#REF!</f>
        <v>#REF!</v>
      </c>
      <c r="E84" s="2534"/>
      <c r="G84" s="33"/>
      <c r="H84" s="33"/>
      <c r="I84" s="33"/>
      <c r="L84" s="33"/>
      <c r="N84" s="2391" t="str">
        <f>SDÖ3!C26</f>
        <v>Scheibenegge 5 m</v>
      </c>
      <c r="P84" s="2534"/>
    </row>
    <row r="85" spans="3:16">
      <c r="C85" s="765" t="e">
        <f>#REF!</f>
        <v>#REF!</v>
      </c>
      <c r="E85" s="2534"/>
      <c r="G85" s="33"/>
      <c r="H85" s="33"/>
      <c r="I85" s="33"/>
      <c r="L85" s="33"/>
      <c r="N85" s="2391" t="str">
        <f>SDÖ3!C28</f>
        <v>Kreiselegge 3 m</v>
      </c>
      <c r="P85" s="2534"/>
    </row>
    <row r="86" spans="3:16">
      <c r="C86" s="765" t="e">
        <f>#REF!</f>
        <v>#REF!</v>
      </c>
      <c r="E86" s="2534"/>
      <c r="G86" s="33" t="e">
        <f>#REF!</f>
        <v>#REF!</v>
      </c>
      <c r="H86" s="33"/>
      <c r="I86" s="33"/>
      <c r="L86" s="33"/>
      <c r="N86" s="2391" t="str">
        <f>SDÖ3!C29</f>
        <v>Cambridgewalze 4,5 m</v>
      </c>
      <c r="P86" s="2534"/>
    </row>
    <row r="87" spans="3:16">
      <c r="C87" s="765" t="e">
        <f>#REF!</f>
        <v>#REF!</v>
      </c>
      <c r="E87" s="2534"/>
      <c r="G87" s="33"/>
      <c r="H87" s="33"/>
      <c r="I87" s="33"/>
      <c r="L87" s="33"/>
      <c r="N87" s="2391">
        <f>SDÖ3!C30</f>
        <v>0</v>
      </c>
      <c r="P87" s="2534"/>
    </row>
    <row r="88" spans="3:16">
      <c r="C88" s="765" t="e">
        <f>#REF!</f>
        <v>#REF!</v>
      </c>
      <c r="E88" s="2534"/>
      <c r="G88" s="33" t="e">
        <f>#REF!</f>
        <v>#REF!</v>
      </c>
      <c r="H88" s="33"/>
      <c r="I88" s="33"/>
      <c r="L88" s="33"/>
      <c r="N88" s="2391" t="str">
        <f>SDÖ3!C31</f>
        <v>Kreiselegge-Säkomb. 3 m</v>
      </c>
      <c r="P88" s="2534"/>
    </row>
    <row r="89" spans="3:16">
      <c r="C89" s="765" t="e">
        <f>#REF!</f>
        <v>#REF!</v>
      </c>
      <c r="E89" s="2534"/>
      <c r="G89" s="33" t="e">
        <f>#REF!</f>
        <v>#REF!</v>
      </c>
      <c r="H89" s="33"/>
      <c r="I89" s="33"/>
      <c r="L89" s="33"/>
      <c r="N89" s="2391" t="str">
        <f>SDÖ3!C32</f>
        <v>Grubber-Kreiselegge-Säkomb. 3 m</v>
      </c>
      <c r="P89" s="2534"/>
    </row>
    <row r="90" spans="3:16">
      <c r="C90" s="765" t="e">
        <f>#REF!</f>
        <v>#REF!</v>
      </c>
      <c r="E90" s="2534"/>
      <c r="G90" s="33" t="e">
        <f>#REF!</f>
        <v>#REF!</v>
      </c>
      <c r="H90" s="33"/>
      <c r="I90" s="33"/>
      <c r="L90" s="33"/>
      <c r="N90" s="2391" t="str">
        <f>SDÖ3!C33</f>
        <v>Sämaschine 3m</v>
      </c>
      <c r="P90" s="2534"/>
    </row>
    <row r="91" spans="3:16">
      <c r="C91" s="765" t="e">
        <f>#REF!</f>
        <v>#REF!</v>
      </c>
      <c r="E91" s="2534"/>
      <c r="G91" s="33"/>
      <c r="H91" s="33"/>
      <c r="I91" s="33"/>
      <c r="L91" s="33"/>
      <c r="N91" s="2391" t="str">
        <f>SDÖ3!C34</f>
        <v>Einzelkornsaat 4 r (Mais, Sonnenblume)</v>
      </c>
      <c r="P91" s="2534"/>
    </row>
    <row r="92" spans="3:16">
      <c r="C92" s="765" t="e">
        <f>#REF!</f>
        <v>#REF!</v>
      </c>
      <c r="E92" s="2534"/>
      <c r="L92" s="33"/>
      <c r="N92" s="2391" t="str">
        <f>SDÖ3!C35</f>
        <v>Einzelkornsaat 6 r (Rüben)</v>
      </c>
      <c r="P92" s="2534"/>
    </row>
    <row r="93" spans="3:16">
      <c r="C93" s="765" t="e">
        <f>#REF!</f>
        <v>#REF!</v>
      </c>
      <c r="E93" s="2534"/>
      <c r="L93" s="33"/>
      <c r="N93" s="2391" t="str">
        <f>SDÖ3!C37</f>
        <v>Direktsämaschine 3 m</v>
      </c>
      <c r="P93" s="2534"/>
    </row>
    <row r="94" spans="3:16">
      <c r="C94" s="765" t="e">
        <f>#REF!</f>
        <v>#REF!</v>
      </c>
      <c r="E94" s="2534"/>
      <c r="G94" s="2390" t="str">
        <f>SDÖ3!C140</f>
        <v>Mähdrescher - Erbsen/Ackerbohnen</v>
      </c>
      <c r="H94" s="272"/>
      <c r="I94" s="721"/>
      <c r="L94" s="33"/>
      <c r="N94" s="2391" t="str">
        <f>SDÖ3!C38</f>
        <v>Dammkulturgerät mit Säeinheit(3m)</v>
      </c>
      <c r="P94" s="2534"/>
    </row>
    <row r="95" spans="3:16">
      <c r="C95" s="765" t="e">
        <f>#REF!</f>
        <v>#REF!</v>
      </c>
      <c r="E95" s="2534"/>
      <c r="G95" s="2391" t="str">
        <f>SDÖ3!C141</f>
        <v>Mähdrescher - Körnermais</v>
      </c>
      <c r="I95" s="2534"/>
      <c r="L95" s="33"/>
      <c r="N95" s="2391">
        <f>SDÖ3!C39</f>
        <v>0</v>
      </c>
      <c r="P95" s="2534"/>
    </row>
    <row r="96" spans="3:16">
      <c r="C96" s="765" t="e">
        <f>#REF!</f>
        <v>#REF!</v>
      </c>
      <c r="E96" s="2534"/>
      <c r="G96" s="2391" t="str">
        <f>SDÖ3!C142</f>
        <v>Mähdrescher - Getr. m. Strohhäcksler</v>
      </c>
      <c r="I96" s="2534"/>
      <c r="L96" s="33"/>
      <c r="N96" s="2391" t="str">
        <f>SDÖ3!C40</f>
        <v xml:space="preserve">Düngerstreuer ab Hof 12 m, 400 kg/ha </v>
      </c>
      <c r="P96" s="2534"/>
    </row>
    <row r="97" spans="3:16">
      <c r="C97" s="765" t="e">
        <f>#REF!</f>
        <v>#REF!</v>
      </c>
      <c r="E97" s="2534"/>
      <c r="G97" s="2391" t="str">
        <f>SDÖ3!C143</f>
        <v>ZR - Roden, 6-reihig</v>
      </c>
      <c r="I97" s="2534"/>
      <c r="L97" s="33"/>
      <c r="N97" s="2391" t="str">
        <f>SDÖ3!C41</f>
        <v>Mist/Kompost streuen 20 t/ha  (6 m, 10 t) inkl. Beladen</v>
      </c>
      <c r="P97" s="2534"/>
    </row>
    <row r="98" spans="3:16">
      <c r="C98" s="765" t="e">
        <f>#REF!</f>
        <v>#REF!</v>
      </c>
      <c r="E98" s="2534"/>
      <c r="G98" s="2391" t="str">
        <f>SDÖ3!C144</f>
        <v>KA - Vollernter mit Bunker, 2-reihig</v>
      </c>
      <c r="I98" s="2534"/>
      <c r="L98" s="33"/>
      <c r="N98" s="2391" t="e">
        <f>SDÖ3!#REF!</f>
        <v>#REF!</v>
      </c>
      <c r="P98" s="2534"/>
    </row>
    <row r="99" spans="3:16">
      <c r="C99" s="290" t="e">
        <f>#REF!</f>
        <v>#REF!</v>
      </c>
      <c r="D99" s="319"/>
      <c r="E99" s="709"/>
      <c r="G99" s="2391" t="str">
        <f>SDÖ3!C145</f>
        <v>KA - Schlägeln (m. Schl. + Fahrer)</v>
      </c>
      <c r="I99" s="2534"/>
      <c r="L99" s="33"/>
      <c r="N99" s="2391" t="e">
        <f>SDÖ3!#REF!</f>
        <v>#REF!</v>
      </c>
      <c r="P99" s="2534"/>
    </row>
    <row r="100" spans="3:16">
      <c r="C100" s="765"/>
      <c r="E100" s="2534"/>
      <c r="G100" s="2391" t="str">
        <f>SDÖ3!C146</f>
        <v>ZR - Laden, Abfuhr</v>
      </c>
      <c r="I100" s="2534"/>
      <c r="L100" s="33"/>
      <c r="N100" s="2391" t="str">
        <f>SDÖ3!C42</f>
        <v>Gülle ausbringen 20 m³/ha, (15 m³ Fass, Schleppschl. 7,5 m</v>
      </c>
      <c r="P100" s="2534"/>
    </row>
    <row r="101" spans="3:16">
      <c r="C101" s="765"/>
      <c r="E101" s="2534"/>
      <c r="G101" s="2391" t="str">
        <f>SDÖ3!C147</f>
        <v>Mulchen (Lohnunternehmer)</v>
      </c>
      <c r="I101" s="2534"/>
      <c r="L101" s="33"/>
      <c r="N101" s="2391" t="str">
        <f>SDÖ3!C44</f>
        <v>Kalkstreuer 6 m³,15 m, 2t/ha (ab Feld, mit Beladen)</v>
      </c>
      <c r="P101" s="2534"/>
    </row>
    <row r="102" spans="3:16">
      <c r="C102" s="272"/>
      <c r="D102" s="272"/>
      <c r="E102" s="272"/>
      <c r="G102" s="2391" t="str">
        <f>SDÖ3!C148</f>
        <v>Stroh-Rundballen pressen je ha</v>
      </c>
      <c r="I102" s="2534"/>
      <c r="L102" s="33"/>
      <c r="N102" s="2391">
        <f>SDÖ3!C45</f>
        <v>0</v>
      </c>
      <c r="P102" s="2534"/>
    </row>
    <row r="103" spans="3:16">
      <c r="G103" s="2391" t="str">
        <f>SDÖ3!C149</f>
        <v>Stroh-Quaderballen pressen je ha</v>
      </c>
      <c r="I103" s="2534"/>
      <c r="L103" s="33"/>
      <c r="N103" s="2391" t="str">
        <f>SDÖ3!C46</f>
        <v>Pflanzenschutzspritze 12 m, 300 l/ha</v>
      </c>
      <c r="P103" s="2534"/>
    </row>
    <row r="104" spans="3:16">
      <c r="G104" s="2391" t="str">
        <f>SDÖ3!C150</f>
        <v>Silomais Häckseln/Festfahren im Lohn</v>
      </c>
      <c r="I104" s="2534"/>
      <c r="L104" s="33"/>
      <c r="N104" s="2391" t="str">
        <f>SDÖ3!C47</f>
        <v>Mulchgerät 3 m</v>
      </c>
      <c r="P104" s="2534"/>
    </row>
    <row r="105" spans="3:16">
      <c r="C105" s="2528"/>
      <c r="G105" s="2391" t="str">
        <f>SDÖ3!C151</f>
        <v>Silomais Aussaat (im Lohn)</v>
      </c>
      <c r="I105" s="2534"/>
      <c r="L105" s="33"/>
      <c r="N105" s="2391" t="str">
        <f>SDÖ3!C48</f>
        <v>Präparatespritze 6 m</v>
      </c>
      <c r="P105" s="2534"/>
    </row>
    <row r="106" spans="3:16">
      <c r="C106" s="2527" t="s">
        <v>1705</v>
      </c>
      <c r="G106" s="2391" t="str">
        <f>SDÖ3!C152</f>
        <v>Silomais Häckseln (im Lohn)</v>
      </c>
      <c r="I106" s="2534"/>
      <c r="L106" s="33"/>
      <c r="N106" s="2391" t="str">
        <f>SDÖ3!C49</f>
        <v>Hackstriegel 9 m</v>
      </c>
      <c r="P106" s="2534"/>
    </row>
    <row r="107" spans="3:16">
      <c r="C107" s="2527" t="s">
        <v>897</v>
      </c>
      <c r="G107" s="2391" t="str">
        <f>SDÖ3!C153</f>
        <v>GPS Häckseln im Lohn</v>
      </c>
      <c r="I107" s="2534"/>
      <c r="L107" s="33"/>
      <c r="N107" s="2391" t="str">
        <f>SDÖ3!C51</f>
        <v>Reihenhackgerät 3 m</v>
      </c>
      <c r="P107" s="2534"/>
    </row>
    <row r="108" spans="3:16">
      <c r="C108" s="2527"/>
      <c r="G108" s="2391" t="str">
        <f>SDÖ3!C154</f>
        <v>GPS Häckseln/Festfahren im Lohn</v>
      </c>
      <c r="I108" s="2534"/>
      <c r="L108" s="33"/>
      <c r="N108" s="2391">
        <f>SDÖ3!C52</f>
        <v>0</v>
      </c>
      <c r="P108" s="2534"/>
    </row>
    <row r="109" spans="3:16">
      <c r="C109" s="2527"/>
      <c r="G109" s="2391" t="str">
        <f>SDÖ3!C155</f>
        <v>Nachsaatmaschine (¼ Betrag)</v>
      </c>
      <c r="I109" s="2534"/>
      <c r="L109" s="33"/>
      <c r="N109" s="2391" t="str">
        <f>SDÖ3!C53</f>
        <v>Mais/GPS Silage festwalzen, 50 t FM</v>
      </c>
      <c r="P109" s="2534"/>
    </row>
    <row r="110" spans="3:16">
      <c r="C110" s="2526"/>
      <c r="G110" s="2391">
        <f>SDÖ3!C156</f>
        <v>0</v>
      </c>
      <c r="I110" s="2534"/>
      <c r="L110" s="33"/>
      <c r="N110" s="2391" t="str">
        <f>SDÖ3!C54</f>
        <v>Bunkerroder Möhren 0,5 m Arbeitsbreite</v>
      </c>
      <c r="P110" s="2534"/>
    </row>
    <row r="111" spans="3:16">
      <c r="G111" s="2391" t="str">
        <f>SDÖ3!C157</f>
        <v>Stroh-Rundballen pressen je dt</v>
      </c>
      <c r="I111" s="2534"/>
      <c r="L111" s="33"/>
      <c r="N111" s="2391">
        <f>SDÖ3!C55</f>
        <v>0</v>
      </c>
      <c r="P111" s="2534"/>
    </row>
    <row r="112" spans="3:16">
      <c r="G112" s="2391" t="str">
        <f>SDÖ3!C158</f>
        <v>Stroh-Quaderballen pressen je dt</v>
      </c>
      <c r="I112" s="2534"/>
      <c r="L112" s="33"/>
      <c r="N112" s="2391" t="str">
        <f>SDÖ3!C56</f>
        <v>Transp. u. Abkip. Getr. 6 t/ha (5,7 t Ki.)</v>
      </c>
      <c r="P112" s="2534"/>
    </row>
    <row r="113" spans="2:16">
      <c r="G113" s="2391" t="str">
        <f>SDÖ3!C159</f>
        <v>Festmistausbringung (im Lohn) €/t</v>
      </c>
      <c r="I113" s="2534"/>
      <c r="L113" s="33"/>
      <c r="N113" s="2391" t="str">
        <f>SDÖ3!C57</f>
        <v>Transp. u. Abkip. Getr. 6 t/ha (13,5 t Ki.)</v>
      </c>
      <c r="P113" s="2534"/>
    </row>
    <row r="114" spans="2:16">
      <c r="G114" s="2391" t="str">
        <f>SDÖ3!C160</f>
        <v>Gülleausbringung (im Lohn); €/m³</v>
      </c>
      <c r="I114" s="2534"/>
      <c r="L114" s="33"/>
      <c r="N114" s="2391" t="str">
        <f>SDÖ3!C58</f>
        <v>Silagetransport Mais/GPS, 3S.Kip. (10t Nutzl.), 50 t FM</v>
      </c>
      <c r="P114" s="2534"/>
    </row>
    <row r="115" spans="2:16">
      <c r="G115" s="2391" t="str">
        <f>SDÖ3!C161</f>
        <v>Traktor75-92 kW inkl. Diesel + Fahrer je h</v>
      </c>
      <c r="I115" s="2534"/>
      <c r="L115" s="33"/>
      <c r="N115" s="2391" t="str">
        <f>SDÖ3!C59</f>
        <v>Stroh-Rundballen 4 t/ha laden, abfahren, stapeln, 3-S-Kipp.</v>
      </c>
      <c r="P115" s="2534"/>
    </row>
    <row r="116" spans="2:16">
      <c r="G116" s="2391" t="str">
        <f>SDÖ3!C162</f>
        <v>Kipper je t zul Gesamtgewicht je h</v>
      </c>
      <c r="I116" s="2534"/>
      <c r="L116" s="33"/>
      <c r="N116" s="2391">
        <f>SDÖ3!C60</f>
        <v>0</v>
      </c>
      <c r="P116" s="2534"/>
    </row>
    <row r="117" spans="2:16">
      <c r="G117" s="2391">
        <f>SDÖ3!C163</f>
        <v>0</v>
      </c>
      <c r="L117" s="33"/>
      <c r="N117" s="2391" t="str">
        <f>SDÖ3!C61</f>
        <v>Wiesenwalze 3 m</v>
      </c>
      <c r="P117" s="2534"/>
    </row>
    <row r="118" spans="2:16">
      <c r="G118" s="2391">
        <f>SDÖ3!C164</f>
        <v>0</v>
      </c>
      <c r="L118" s="33"/>
      <c r="N118" s="2391" t="str">
        <f>SDÖ3!C62</f>
        <v>Wiesenegge 6 m</v>
      </c>
      <c r="P118" s="2534"/>
    </row>
    <row r="119" spans="2:16">
      <c r="G119" s="2391">
        <f>SDÖ3!C165</f>
        <v>0</v>
      </c>
      <c r="L119" s="33"/>
      <c r="N119" s="2391" t="str">
        <f>SDÖ3!C63</f>
        <v>Mähkomb. Heck/Front (4,5m insges., ohne Aufb.)</v>
      </c>
      <c r="P119" s="2534"/>
    </row>
    <row r="120" spans="2:16">
      <c r="L120" s="33"/>
      <c r="N120" s="2391" t="str">
        <f>SDÖ3!C65</f>
        <v>Rotationsmähwerk (Heck) m. Aufb. 2,8 m</v>
      </c>
      <c r="P120" s="2534"/>
    </row>
    <row r="121" spans="2:16">
      <c r="L121" s="33"/>
      <c r="N121" s="2391" t="str">
        <f>SDÖ3!C66</f>
        <v>Kreiselwender 5,5m</v>
      </c>
      <c r="P121" s="2534"/>
    </row>
    <row r="122" spans="2:16">
      <c r="L122" s="33"/>
      <c r="N122" s="2391" t="str">
        <f>SDÖ3!C67</f>
        <v>Kreiselschwader 7,5m Seitenablage</v>
      </c>
      <c r="O122" s="2534"/>
    </row>
    <row r="123" spans="2:16">
      <c r="B123" s="622">
        <v>1</v>
      </c>
      <c r="C123" s="33" t="str">
        <f>SDÖ5!C6</f>
        <v>Bio-dyn-Präparate (je Anw.)</v>
      </c>
      <c r="E123" s="2533">
        <f>IF(ISNA(VLOOKUP(B123,SDÖ5!$U$26:$X$37,SDÖ5!$U$23,FALSE)),0,(VLOOKUP(B123,SDÖ5!$U$26:$X$37,SDÖ5!$U$23,FALSE)))</f>
        <v>0</v>
      </c>
      <c r="L123" s="33"/>
      <c r="N123" s="2391" t="str">
        <f>SDÖ3!C68</f>
        <v>LW Silage, o. Dosierwalzen; 12 t FM (28 m³, 4 t Nutzl.)</v>
      </c>
      <c r="P123" s="2534"/>
    </row>
    <row r="124" spans="2:16">
      <c r="B124" s="622">
        <v>2</v>
      </c>
      <c r="C124" s="33" t="str">
        <f>SDÖ5!C7</f>
        <v>Propangas (je Anw.)</v>
      </c>
      <c r="E124" s="2533">
        <f>IF(ISNA(VLOOKUP(B124,SDÖ5!$U$26:$X$37,SDÖ5!$U$23,FALSE)),0,(VLOOKUP(B124,SDÖ5!$U$26:$X$37,SDÖ5!$U$23,FALSE)))</f>
        <v>0</v>
      </c>
      <c r="L124" s="33"/>
      <c r="N124" s="2391" t="str">
        <f>SDÖ3!C69</f>
        <v>Grassilo festwalzen, 12 t FM</v>
      </c>
      <c r="P124" s="2534"/>
    </row>
    <row r="125" spans="2:16">
      <c r="B125" s="622">
        <v>3</v>
      </c>
      <c r="C125" s="33" t="str">
        <f>SDÖ5!C8</f>
        <v xml:space="preserve">Schutznetz (je Anw.) </v>
      </c>
      <c r="E125" s="2533">
        <f>IF(ISNA(VLOOKUP(B125,SDÖ5!$U$26:$X$37,SDÖ5!$U$23,FALSE)),0,(VLOOKUP(B125,SDÖ5!$U$26:$X$37,SDÖ5!$U$23,FALSE)))</f>
        <v>0</v>
      </c>
      <c r="L125" s="33"/>
      <c r="N125" s="2391">
        <f>SDÖ3!C70</f>
        <v>0</v>
      </c>
      <c r="P125" s="2534"/>
    </row>
    <row r="126" spans="2:16">
      <c r="B126" s="622">
        <v>4</v>
      </c>
      <c r="C126" s="33" t="str">
        <f>SDÖ5!C9</f>
        <v>Neempräparat (je Anw.)</v>
      </c>
      <c r="E126" s="2533">
        <f>IF(ISNA(VLOOKUP(B126,SDÖ5!$U$26:$X$37,SDÖ5!$U$23,FALSE)),0,(VLOOKUP(B126,SDÖ5!$U$26:$X$37,SDÖ5!$U$23,FALSE)))</f>
        <v>0</v>
      </c>
      <c r="L126" s="33"/>
      <c r="N126" s="2391" t="str">
        <f>SDÖ3!C71</f>
        <v>Kartoffeln vorkeimen</v>
      </c>
      <c r="P126" s="2534"/>
    </row>
    <row r="127" spans="2:16">
      <c r="B127" s="622">
        <v>5</v>
      </c>
      <c r="C127" s="33" t="str">
        <f>SDÖ5!C10</f>
        <v>Kupfer (je Anw.)</v>
      </c>
      <c r="E127" s="2533">
        <f>IF(ISNA(VLOOKUP(B127,SDÖ5!$U$26:$X$37,SDÖ5!$U$23,FALSE)),0,(VLOOKUP(B127,SDÖ5!$U$26:$X$37,SDÖ5!$U$23,FALSE)))</f>
        <v>0</v>
      </c>
      <c r="L127" s="33"/>
      <c r="N127" s="2391" t="str">
        <f>SDÖ3!C72</f>
        <v>Pflanzkartoffeltransport,-laden 2,5 t/ha</v>
      </c>
      <c r="P127" s="2534"/>
    </row>
    <row r="128" spans="2:16">
      <c r="B128" s="622">
        <v>6</v>
      </c>
      <c r="C128" s="33" t="str">
        <f>SDÖ5!C11</f>
        <v>Bac.thureng. kurstaki (je Anw.)</v>
      </c>
      <c r="E128" s="2533">
        <f>IF(ISNA(VLOOKUP(B128,SDÖ5!$U$26:$X$37,SDÖ5!$U$23,FALSE)),0,(VLOOKUP(B128,SDÖ5!$U$26:$X$37,SDÖ5!$U$23,FALSE)))</f>
        <v>0</v>
      </c>
      <c r="L128" s="33"/>
      <c r="N128" s="2391" t="str">
        <f>SDÖ3!C73</f>
        <v>Legemaschine mit starrem Bunker 4 r (Kartoffel)</v>
      </c>
      <c r="P128" s="2534"/>
    </row>
    <row r="129" spans="2:16">
      <c r="B129" s="622">
        <v>7</v>
      </c>
      <c r="C129" s="33" t="str">
        <f>SDÖ5!C12</f>
        <v>Bac.thureng. tenebrionis (je Anw.)</v>
      </c>
      <c r="E129" s="2533">
        <f>IF(ISNA(VLOOKUP(B129,SDÖ5!$U$26:$X$37,SDÖ5!$U$23,FALSE)),0,(VLOOKUP(B129,SDÖ5!$U$26:$X$37,SDÖ5!$U$23,FALSE)))</f>
        <v>0</v>
      </c>
      <c r="L129" s="33"/>
      <c r="N129" s="2391" t="str">
        <f>SDÖ3!C74</f>
        <v>Legemaschine mit Kippbunker 4 r (Kartoffel)</v>
      </c>
      <c r="P129" s="2534"/>
    </row>
    <row r="130" spans="2:16">
      <c r="B130" s="622">
        <v>8</v>
      </c>
      <c r="C130" s="33" t="str">
        <f>SDÖ5!C13</f>
        <v>Eisen-III-Phosphat</v>
      </c>
      <c r="E130" s="2533">
        <f>IF(ISNA(VLOOKUP(B130,SDÖ5!$U$26:$X$37,SDÖ5!$U$23,FALSE)),0,(VLOOKUP(B130,SDÖ5!$U$26:$X$37,SDÖ5!$U$23,FALSE)))</f>
        <v>0</v>
      </c>
      <c r="L130" s="33"/>
      <c r="N130" s="2391" t="str">
        <f>SDÖ3!C75</f>
        <v>Häufeln 4 r, Vorauflauf (Kartoffel)</v>
      </c>
      <c r="P130" s="2534"/>
    </row>
    <row r="131" spans="2:16">
      <c r="B131" s="622">
        <v>9</v>
      </c>
      <c r="C131" s="33">
        <f>SDÖ5!C14</f>
        <v>0</v>
      </c>
      <c r="E131" s="2533">
        <f>IF(ISNA(VLOOKUP(B131,SDÖ5!$U$26:$X$37,SDÖ5!$U$23,FALSE)),0,(VLOOKUP(B131,SDÖ5!$U$26:$X$37,SDÖ5!$U$23,FALSE)))</f>
        <v>0</v>
      </c>
      <c r="L131" s="33"/>
      <c r="N131" s="2391" t="str">
        <f>SDÖ3!C76</f>
        <v>Hacken Nachauflauf 4 r</v>
      </c>
      <c r="P131" s="2534"/>
    </row>
    <row r="132" spans="2:16">
      <c r="B132" s="622">
        <v>10</v>
      </c>
      <c r="C132" s="33">
        <f>SDÖ5!C15</f>
        <v>0</v>
      </c>
      <c r="E132" s="2533">
        <f>IF(ISNA(VLOOKUP(B132,SDÖ5!$U$26:$X$37,SDÖ5!$U$23,FALSE)),0,(VLOOKUP(B132,SDÖ5!$U$26:$X$37,SDÖ5!$U$23,FALSE)))</f>
        <v>0</v>
      </c>
      <c r="L132" s="33"/>
      <c r="N132" s="2391" t="e">
        <f>SDÖ3!#REF!</f>
        <v>#REF!</v>
      </c>
      <c r="P132" s="2534"/>
    </row>
    <row r="133" spans="2:16">
      <c r="B133" s="622">
        <v>11</v>
      </c>
      <c r="C133" s="33" t="str">
        <f>SDÖ5!C16</f>
        <v>Düngemittel</v>
      </c>
      <c r="E133" s="2533">
        <f>IF(ISNA(VLOOKUP(B133,SDÖ5!$U$26:$X$37,SDÖ5!$U$23,FALSE)),0,(VLOOKUP(B133,SDÖ5!$U$26:$X$37,SDÖ5!$U$23,FALSE)))</f>
        <v>0</v>
      </c>
      <c r="L133" s="33"/>
      <c r="N133" s="2391" t="str">
        <f>SDÖ3!C77</f>
        <v>Häufeln 4 r, Nachauflauf (Kartoffel)</v>
      </c>
      <c r="P133" s="2534"/>
    </row>
    <row r="134" spans="2:16">
      <c r="B134" s="622">
        <v>12</v>
      </c>
      <c r="C134" s="33" t="e">
        <f>SDÖ5!#REF!</f>
        <v>#REF!</v>
      </c>
      <c r="E134" s="2533">
        <f>IF(ISNA(VLOOKUP(B134,SDÖ5!$U$26:$X$37,SDÖ5!$U$23,FALSE)),0,(VLOOKUP(B134,SDÖ5!$U$26:$X$37,SDÖ5!$U$23,FALSE)))</f>
        <v>0</v>
      </c>
      <c r="L134" s="33"/>
      <c r="N134" s="2391" t="str">
        <f>SDÖ3!C91</f>
        <v>Hanfstroh Transport 15 km</v>
      </c>
    </row>
    <row r="135" spans="2:16">
      <c r="B135" s="622">
        <v>13</v>
      </c>
      <c r="C135" s="33" t="e">
        <f>SDÖ5!#REF!</f>
        <v>#REF!</v>
      </c>
      <c r="E135" s="2533">
        <f>IF(ISNA(VLOOKUP(B135,SDÖ5!$U$26:$X$37,SDÖ5!$U$23,FALSE)),0,(VLOOKUP(B135,SDÖ5!$U$26:$X$37,SDÖ5!$U$23,FALSE)))</f>
        <v>0</v>
      </c>
      <c r="L135" s="33"/>
      <c r="N135" s="2391" t="str">
        <f>SDÖ3!C92</f>
        <v>Hanfstroh Transport/ein-/auslag.</v>
      </c>
    </row>
    <row r="136" spans="2:16">
      <c r="B136" s="622">
        <v>14</v>
      </c>
      <c r="C136" s="33" t="e">
        <f>SDÖ5!#REF!</f>
        <v>#REF!</v>
      </c>
      <c r="E136" s="2533">
        <f>IF(ISNA(VLOOKUP(B136,SDÖ5!$U$26:$X$37,SDÖ5!$U$23,FALSE)),0,(VLOOKUP(B136,SDÖ5!$U$26:$X$37,SDÖ5!$U$23,FALSE)))</f>
        <v>0</v>
      </c>
      <c r="L136" s="33"/>
      <c r="N136" s="2391">
        <f>SDÖ3!C93</f>
        <v>0</v>
      </c>
    </row>
    <row r="137" spans="2:16">
      <c r="B137" s="622">
        <v>15</v>
      </c>
      <c r="C137" s="33"/>
      <c r="E137" s="2533">
        <f>IF(ISNA(VLOOKUP(B137,SDÖ5!$U$26:$X$37,SDÖ5!$U$23,FALSE)),0,(VLOOKUP(B137,SDÖ5!$U$26:$X$37,SDÖ5!$U$23,FALSE)))</f>
        <v>0</v>
      </c>
      <c r="L137" s="33"/>
      <c r="N137" s="2391" t="str">
        <f>SDÖ3!C94</f>
        <v>Handakh Feld Möhren</v>
      </c>
    </row>
    <row r="138" spans="2:16">
      <c r="B138" s="622">
        <v>16</v>
      </c>
      <c r="C138" s="33"/>
      <c r="E138" s="2533">
        <f>IF(ISNA(VLOOKUP(B138,SDÖ5!$U$26:$X$37,SDÖ5!$U$23,FALSE)),0,(VLOOKUP(B138,SDÖ5!$U$26:$X$37,SDÖ5!$U$23,FALSE)))</f>
        <v>0</v>
      </c>
      <c r="L138" s="33"/>
      <c r="N138" s="2391" t="str">
        <f>SDÖ3!C96</f>
        <v>Handakh Feld sonstige Kultur</v>
      </c>
    </row>
    <row r="139" spans="2:16">
      <c r="B139" s="622"/>
      <c r="C139" s="33"/>
      <c r="L139" s="33"/>
      <c r="N139" s="2391" t="str">
        <f>SDÖ3!C99</f>
        <v>Handakh Aufbereitung sonstige Kultur</v>
      </c>
    </row>
    <row r="140" spans="2:16">
      <c r="B140" s="622"/>
      <c r="C140" s="33"/>
      <c r="L140" s="33"/>
      <c r="N140" s="2391">
        <f>SDÖ3!C100</f>
        <v>0</v>
      </c>
    </row>
    <row r="141" spans="2:16">
      <c r="B141" s="622"/>
      <c r="C141" s="33"/>
      <c r="L141" s="33"/>
      <c r="N141" s="2391">
        <f>SDÖ3!C101</f>
        <v>0</v>
      </c>
    </row>
    <row r="142" spans="2:16">
      <c r="B142" s="622"/>
      <c r="C142" s="33" t="str">
        <f ca="1">MID(CELL("Dateiname",$A$1),FIND("]",CELL("Dateiname",$A$1))+1,31)</f>
        <v>TE5</v>
      </c>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c r="L149" s="33"/>
    </row>
    <row r="150" spans="2:12">
      <c r="B150" s="622"/>
      <c r="C150" s="33"/>
      <c r="L150" s="33"/>
    </row>
    <row r="151" spans="2:12">
      <c r="B151" s="622"/>
      <c r="C151" s="33"/>
      <c r="L151" s="33"/>
    </row>
    <row r="152" spans="2:12">
      <c r="B152" s="622"/>
      <c r="C152" s="33"/>
    </row>
    <row r="153" spans="2:12">
      <c r="B153" s="622"/>
      <c r="C153" s="33"/>
    </row>
    <row r="154" spans="2:12">
      <c r="B154" s="622"/>
      <c r="C154" s="33"/>
    </row>
    <row r="155" spans="2:12">
      <c r="B155" s="622"/>
      <c r="C155" s="33"/>
    </row>
    <row r="156" spans="2:12">
      <c r="B156" s="622"/>
      <c r="C156" s="33"/>
      <c r="H156" s="1929"/>
      <c r="J156" s="2389"/>
    </row>
    <row r="157" spans="2:12">
      <c r="B157" s="622"/>
      <c r="C157" s="33"/>
      <c r="H157" s="1929"/>
      <c r="J157" s="2389"/>
    </row>
    <row r="158" spans="2:12">
      <c r="B158" s="622"/>
      <c r="C158" s="33"/>
      <c r="H158" s="1929"/>
      <c r="J158" s="2389"/>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c r="H162" s="1929"/>
      <c r="J162" s="2389"/>
    </row>
    <row r="163" spans="2:11">
      <c r="B163" s="622"/>
      <c r="C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row r="211" spans="2:3">
      <c r="B211" s="622"/>
      <c r="C211" s="33"/>
    </row>
  </sheetData>
  <sheetProtection selectLockedCells="1"/>
  <mergeCells count="49">
    <mergeCell ref="W3:Y3"/>
    <mergeCell ref="E4:I4"/>
    <mergeCell ref="W4:Y4"/>
    <mergeCell ref="G1:I1"/>
    <mergeCell ref="H6:I6"/>
    <mergeCell ref="K6:L6"/>
    <mergeCell ref="N6:O6"/>
    <mergeCell ref="J3:L3"/>
    <mergeCell ref="J4:L4"/>
    <mergeCell ref="K1:L1"/>
    <mergeCell ref="D25:E25"/>
    <mergeCell ref="N1:O1"/>
    <mergeCell ref="K2:P2"/>
    <mergeCell ref="N3:O4"/>
    <mergeCell ref="E10:F10"/>
    <mergeCell ref="C14:F14"/>
    <mergeCell ref="C15:F15"/>
    <mergeCell ref="C16:F16"/>
    <mergeCell ref="C17:F17"/>
    <mergeCell ref="C20:F20"/>
    <mergeCell ref="C21:F21"/>
    <mergeCell ref="D22:G22"/>
    <mergeCell ref="C49:D49"/>
    <mergeCell ref="D26:E26"/>
    <mergeCell ref="C36:E36"/>
    <mergeCell ref="C37:E37"/>
    <mergeCell ref="C38:E38"/>
    <mergeCell ref="C39:E39"/>
    <mergeCell ref="C40:E40"/>
    <mergeCell ref="C41:E41"/>
    <mergeCell ref="C42:E42"/>
    <mergeCell ref="C46:D46"/>
    <mergeCell ref="C47:D47"/>
    <mergeCell ref="C48:D48"/>
    <mergeCell ref="C50:D50"/>
    <mergeCell ref="C51:D51"/>
    <mergeCell ref="C52:D52"/>
    <mergeCell ref="C53:D53"/>
    <mergeCell ref="C74:E74"/>
    <mergeCell ref="C54:D54"/>
    <mergeCell ref="C55:D55"/>
    <mergeCell ref="C56:D56"/>
    <mergeCell ref="C75:E75"/>
    <mergeCell ref="B76:C76"/>
    <mergeCell ref="C57:D57"/>
    <mergeCell ref="C65:E65"/>
    <mergeCell ref="C66:E66"/>
    <mergeCell ref="C67:E67"/>
    <mergeCell ref="C69:E69"/>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1"/>
  <headerFooter alignWithMargins="0">
    <oddFooter>&amp;L&amp;11LEL Schwäbisch Gmünd&amp;C70&amp;R&amp;11&amp;F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64" r:id="rId4" name="Check Box 16">
              <controlPr defaultSize="0" autoFill="0" autoLine="0" autoPict="0">
                <anchor moveWithCells="1">
                  <from>
                    <xdr:col>17</xdr:col>
                    <xdr:colOff>752475</xdr:colOff>
                    <xdr:row>1</xdr:row>
                    <xdr:rowOff>247650</xdr:rowOff>
                  </from>
                  <to>
                    <xdr:col>30</xdr:col>
                    <xdr:colOff>257175</xdr:colOff>
                    <xdr:row>2</xdr:row>
                    <xdr:rowOff>171450</xdr:rowOff>
                  </to>
                </anchor>
              </controlPr>
            </control>
          </mc:Choice>
        </mc:AlternateContent>
        <mc:AlternateContent xmlns:mc="http://schemas.openxmlformats.org/markup-compatibility/2006">
          <mc:Choice Requires="x14">
            <control shapeId="104465" r:id="rId5" name="Check Box 17">
              <controlPr defaultSize="0" autoFill="0" autoLine="0" autoPict="0">
                <anchor moveWithCells="1">
                  <from>
                    <xdr:col>17</xdr:col>
                    <xdr:colOff>752475</xdr:colOff>
                    <xdr:row>1</xdr:row>
                    <xdr:rowOff>57150</xdr:rowOff>
                  </from>
                  <to>
                    <xdr:col>30</xdr:col>
                    <xdr:colOff>257175</xdr:colOff>
                    <xdr:row>1</xdr:row>
                    <xdr:rowOff>285750</xdr:rowOff>
                  </to>
                </anchor>
              </controlPr>
            </control>
          </mc:Choice>
        </mc:AlternateContent>
        <mc:AlternateContent xmlns:mc="http://schemas.openxmlformats.org/markup-compatibility/2006">
          <mc:Choice Requires="x14">
            <control shapeId="104466"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4467"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4468"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4469"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4471"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4472"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4473"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4474"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4475"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4476"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4477"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4478"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4479"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9">
    <tabColor rgb="FF7030A0"/>
    <pageSetUpPr fitToPage="1"/>
  </sheetPr>
  <dimension ref="A1:AO211"/>
  <sheetViews>
    <sheetView workbookViewId="0">
      <selection activeCell="A5" sqref="A5"/>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9" width="7.25" style="2533" customWidth="1"/>
    <col min="10" max="10" width="9.5" style="2533" bestFit="1" customWidth="1"/>
    <col min="11" max="16" width="7.25" style="2533" customWidth="1"/>
    <col min="17" max="17" width="19.75" style="2533" customWidth="1"/>
    <col min="18"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#REF!</v>
      </c>
      <c r="K1" s="4859" t="e">
        <f>M1-J1</f>
        <v>#REF!</v>
      </c>
      <c r="L1" s="4859"/>
      <c r="M1" s="1906" t="e">
        <f>(M7+M13+M19+M22+L11+L12)-(M23+M27+M34+M43+M63+M59+M68+M70+M72+M76)</f>
        <v>#REF!</v>
      </c>
      <c r="N1" s="4859" t="e">
        <f>P1-M1</f>
        <v>#REF!</v>
      </c>
      <c r="O1" s="4859"/>
      <c r="P1" s="1906" t="e">
        <f>(P7+P13+P19+P22+O11+O12)-(P23+P27+P34+P43+P63+P59+P68+P70+P72+P76)</f>
        <v>#REF!</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1919" t="s">
        <v>1932</v>
      </c>
      <c r="G2" s="1891"/>
      <c r="H2" s="1902"/>
      <c r="K2" s="4898" t="s">
        <v>1935</v>
      </c>
      <c r="L2" s="4898"/>
      <c r="M2" s="4898"/>
      <c r="N2" s="4898"/>
      <c r="O2" s="4898"/>
      <c r="P2" s="4898"/>
      <c r="Q2" s="2507"/>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c r="W3" s="4866" t="s">
        <v>1262</v>
      </c>
      <c r="X3" s="4916"/>
      <c r="Y3" s="4916"/>
      <c r="Z3" s="1901"/>
    </row>
    <row r="4" spans="1:41" s="276" customFormat="1" ht="20.25" customHeight="1">
      <c r="A4" s="2507"/>
      <c r="B4" s="377" t="s">
        <v>1154</v>
      </c>
      <c r="C4" s="2537"/>
      <c r="D4" s="2537"/>
      <c r="E4" s="4830" t="s">
        <v>1706</v>
      </c>
      <c r="F4" s="4830"/>
      <c r="G4" s="4830"/>
      <c r="H4" s="4830"/>
      <c r="I4" s="4830"/>
      <c r="J4" s="4866" t="s">
        <v>1250</v>
      </c>
      <c r="K4" s="4916"/>
      <c r="L4" s="4916"/>
      <c r="M4" s="2522"/>
      <c r="N4" s="4872"/>
      <c r="O4" s="4872"/>
      <c r="P4" s="1896">
        <f>SDÖ1!O3</f>
        <v>0</v>
      </c>
      <c r="Q4" s="2507"/>
      <c r="T4" s="1918"/>
      <c r="W4" s="4866" t="s">
        <v>1250</v>
      </c>
      <c r="X4" s="4916"/>
      <c r="Y4" s="4916"/>
      <c r="Z4" s="2522"/>
    </row>
    <row r="5" spans="1:41" ht="6" customHeight="1" thickBot="1"/>
    <row r="6" spans="1:41" s="1885" customFormat="1" ht="24" customHeight="1">
      <c r="A6" s="48"/>
      <c r="B6" s="3013" t="s">
        <v>1207</v>
      </c>
      <c r="C6" s="3012"/>
      <c r="D6" s="3012"/>
      <c r="E6" s="3012"/>
      <c r="F6" s="3012"/>
      <c r="G6" s="3011" t="s">
        <v>1700</v>
      </c>
      <c r="H6" s="4972"/>
      <c r="I6" s="4973"/>
      <c r="J6" s="2504">
        <v>1</v>
      </c>
      <c r="K6" s="4974"/>
      <c r="L6" s="4975"/>
      <c r="M6" s="2504">
        <v>1</v>
      </c>
      <c r="N6" s="4976"/>
      <c r="O6" s="4977"/>
      <c r="P6" s="2503">
        <f>M6*1.25</f>
        <v>1.25</v>
      </c>
      <c r="Q6" s="70"/>
      <c r="R6" s="1885" t="s">
        <v>1934</v>
      </c>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c r="H9" s="1877">
        <f>J6-H10</f>
        <v>0.75</v>
      </c>
      <c r="I9" s="1873">
        <f>H9*G9</f>
        <v>0</v>
      </c>
      <c r="J9" s="43"/>
      <c r="K9" s="1876">
        <f>M6-K10</f>
        <v>0.75</v>
      </c>
      <c r="L9" s="1875">
        <f>K9*G9</f>
        <v>0</v>
      </c>
      <c r="M9" s="1854"/>
      <c r="N9" s="1874">
        <f>P6-N10</f>
        <v>0.9375</v>
      </c>
      <c r="O9" s="1873">
        <f>N9*G9</f>
        <v>0</v>
      </c>
      <c r="P9" s="273"/>
      <c r="Q9" s="2533"/>
      <c r="R9" s="935"/>
      <c r="S9" s="265" t="s">
        <v>1265</v>
      </c>
      <c r="T9" s="1872"/>
    </row>
    <row r="10" spans="1:41" s="1842" customFormat="1" ht="15" customHeight="1">
      <c r="A10" s="377"/>
      <c r="B10" s="2120"/>
      <c r="C10" s="281" t="s">
        <v>1689</v>
      </c>
      <c r="D10" s="1851"/>
      <c r="E10" s="4952" t="s">
        <v>1710</v>
      </c>
      <c r="F10" s="4953"/>
      <c r="G10" s="1871"/>
      <c r="H10" s="1866">
        <f>J6*0.25</f>
        <v>0.25</v>
      </c>
      <c r="I10" s="1865">
        <f>H10*G10</f>
        <v>0</v>
      </c>
      <c r="K10" s="1869">
        <f>M6*25%</f>
        <v>0.25</v>
      </c>
      <c r="L10" s="1868">
        <f>K10*G10</f>
        <v>0</v>
      </c>
      <c r="M10" s="1867"/>
      <c r="N10" s="1866">
        <f>P6*25%</f>
        <v>0.3125</v>
      </c>
      <c r="O10" s="1865">
        <f>N10*G10</f>
        <v>0</v>
      </c>
      <c r="P10" s="2500"/>
      <c r="Q10" s="38"/>
      <c r="R10" s="1863">
        <f>I10+I11+I12</f>
        <v>0</v>
      </c>
      <c r="S10" s="1862">
        <f>L10+L11+L12</f>
        <v>0</v>
      </c>
      <c r="T10" s="1861">
        <f>O10+O11+O12</f>
        <v>0</v>
      </c>
      <c r="W10" s="252" t="s">
        <v>1254</v>
      </c>
    </row>
    <row r="11" spans="1:41" s="1842" customFormat="1" ht="15" customHeight="1">
      <c r="A11" s="377"/>
      <c r="B11" s="275"/>
      <c r="C11" s="45" t="s">
        <v>1253</v>
      </c>
      <c r="D11" s="377"/>
      <c r="E11" s="2499">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38"/>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38"/>
    </row>
    <row r="13" spans="1:41" s="252" customFormat="1" ht="18.75" customHeight="1">
      <c r="A13" s="47"/>
      <c r="B13" s="2417" t="s">
        <v>1688</v>
      </c>
      <c r="C13" s="47"/>
      <c r="D13" s="2498"/>
      <c r="E13" s="2498"/>
      <c r="F13" s="2498"/>
      <c r="G13" s="2497" t="s">
        <v>171</v>
      </c>
      <c r="H13" s="1926"/>
      <c r="I13" s="1823"/>
      <c r="J13" s="1614" t="e">
        <f>SUM(I14:I18)</f>
        <v>#REF!</v>
      </c>
      <c r="K13" s="1927"/>
      <c r="L13" s="1825"/>
      <c r="M13" s="1617" t="e">
        <f>SUM(L14:L18)</f>
        <v>#REF!</v>
      </c>
      <c r="N13" s="1926"/>
      <c r="O13" s="1823"/>
      <c r="P13" s="2415" t="e">
        <f>SUM(O14:O18)</f>
        <v>#REF!</v>
      </c>
      <c r="Q13" s="2533"/>
      <c r="R13" s="136"/>
      <c r="W13" s="1840" t="s">
        <v>1247</v>
      </c>
      <c r="X13" s="1838" t="str">
        <f>IF(OR(T3=TRUE,T4=TRUE),J6*$E$11,"0")</f>
        <v>0</v>
      </c>
      <c r="Y13" s="1839" t="str">
        <f>IF(OR(T3=TRUE,T4=TRUE),M6*$E$11,"0")</f>
        <v>0</v>
      </c>
      <c r="Z13" s="1838" t="str">
        <f>IF(OR(T3=TRUE,T4=TRUE),P6*$E$11,"0")</f>
        <v>0</v>
      </c>
    </row>
    <row r="14" spans="1:41" s="42" customFormat="1" ht="15" customHeight="1">
      <c r="A14" s="45"/>
      <c r="B14" s="2495"/>
      <c r="C14" s="4944" t="s">
        <v>1422</v>
      </c>
      <c r="D14" s="4944"/>
      <c r="E14" s="4944"/>
      <c r="F14" s="4944"/>
      <c r="G14" s="1837"/>
      <c r="H14" s="2531"/>
      <c r="I14" s="1817" t="e">
        <f>IF(R14=TRUE,Q14,0)</f>
        <v>#REF!</v>
      </c>
      <c r="K14" s="2531"/>
      <c r="L14" s="1671" t="e">
        <f>IF(S14=TRUE,Q14,0)</f>
        <v>#REF!</v>
      </c>
      <c r="M14" s="2404"/>
      <c r="N14" s="2531"/>
      <c r="O14" s="1817" t="e">
        <f>IF(T14=TRUE,Q14,0)</f>
        <v>#REF!</v>
      </c>
      <c r="P14" s="2403"/>
      <c r="Q14" s="1835" t="e">
        <f>IF(C14=0,0,VLOOKUP(C14,#REF!,10,FALSE))</f>
        <v>#REF!</v>
      </c>
      <c r="R14" s="1925" t="b">
        <v>1</v>
      </c>
      <c r="S14" s="1924" t="b">
        <v>1</v>
      </c>
      <c r="T14" s="1923" t="b">
        <v>1</v>
      </c>
      <c r="W14" s="42" t="s">
        <v>246</v>
      </c>
      <c r="X14" s="1834">
        <f>$X$13*F30</f>
        <v>0</v>
      </c>
      <c r="Y14" s="1834">
        <f>$Y$13*F30</f>
        <v>0</v>
      </c>
      <c r="Z14" s="1834">
        <f>$Z$13*F30</f>
        <v>0</v>
      </c>
    </row>
    <row r="15" spans="1:41" s="42" customFormat="1" ht="15" customHeight="1">
      <c r="A15" s="45"/>
      <c r="B15" s="2495"/>
      <c r="C15" s="4944"/>
      <c r="D15" s="4944"/>
      <c r="E15" s="4944"/>
      <c r="F15" s="4944"/>
      <c r="G15" s="1837"/>
      <c r="H15" s="2531"/>
      <c r="I15" s="1817">
        <f>IF(R15=TRUE,Q15,0)</f>
        <v>0</v>
      </c>
      <c r="J15" s="64"/>
      <c r="K15" s="2531"/>
      <c r="L15" s="1671">
        <f>IF(S15=TRUE,Q15,0)</f>
        <v>0</v>
      </c>
      <c r="M15" s="2404"/>
      <c r="N15" s="2531"/>
      <c r="O15" s="1817">
        <f>IF(T15=TRUE,Q15,0)</f>
        <v>0</v>
      </c>
      <c r="P15" s="2403"/>
      <c r="Q15" s="1835">
        <f>IF(C15=0,0,VLOOKUP(C15,#REF!,10,FALSE))</f>
        <v>0</v>
      </c>
      <c r="R15" s="1922" t="b">
        <v>0</v>
      </c>
      <c r="S15" s="1918" t="b">
        <v>0</v>
      </c>
      <c r="T15" s="1921" t="b">
        <v>0</v>
      </c>
      <c r="W15" s="42" t="s">
        <v>1054</v>
      </c>
      <c r="X15" s="1834">
        <f>$X$13*F31</f>
        <v>0</v>
      </c>
      <c r="Y15" s="1834">
        <f>$Y$13*F31</f>
        <v>0</v>
      </c>
      <c r="Z15" s="1834">
        <f>$Z$13*F31</f>
        <v>0</v>
      </c>
    </row>
    <row r="16" spans="1:41" s="42" customFormat="1" ht="15" customHeight="1">
      <c r="A16" s="45"/>
      <c r="B16" s="2495">
        <v>0</v>
      </c>
      <c r="C16" s="4944">
        <v>0</v>
      </c>
      <c r="D16" s="4944"/>
      <c r="E16" s="4944"/>
      <c r="F16" s="4944"/>
      <c r="G16" s="1837"/>
      <c r="H16" s="2531"/>
      <c r="I16" s="1817">
        <f>IF(R16=TRUE,Q16,0)</f>
        <v>0</v>
      </c>
      <c r="K16" s="2531"/>
      <c r="L16" s="1671">
        <f>IF(S16=TRUE,Q16,0)</f>
        <v>0</v>
      </c>
      <c r="M16" s="2404"/>
      <c r="N16" s="2531"/>
      <c r="O16" s="1817">
        <f>IF(T16=TRUE,Q16,0)</f>
        <v>0</v>
      </c>
      <c r="P16" s="2403"/>
      <c r="Q16" s="1835">
        <f>IF(C16=0,0,VLOOKUP(C16,#REF!,10,FALSE))</f>
        <v>0</v>
      </c>
      <c r="R16" s="1922" t="b">
        <v>0</v>
      </c>
      <c r="S16" s="1918" t="b">
        <v>0</v>
      </c>
      <c r="T16" s="1921" t="b">
        <v>0</v>
      </c>
      <c r="W16" s="42" t="s">
        <v>1053</v>
      </c>
      <c r="X16" s="1834">
        <f>$X$13*F32</f>
        <v>0</v>
      </c>
      <c r="Y16" s="1834">
        <f>$Y$13*F32</f>
        <v>0</v>
      </c>
      <c r="Z16" s="1834">
        <f>$Z$13*F32</f>
        <v>0</v>
      </c>
    </row>
    <row r="17" spans="1:26" s="42" customFormat="1" ht="15" customHeight="1">
      <c r="A17" s="45"/>
      <c r="B17" s="2495"/>
      <c r="C17" s="4944">
        <v>0</v>
      </c>
      <c r="D17" s="4944"/>
      <c r="E17" s="4944"/>
      <c r="F17" s="4944"/>
      <c r="G17" s="1837"/>
      <c r="H17" s="2531"/>
      <c r="I17" s="1817">
        <f>IF(R17=TRUE,Q17,0)</f>
        <v>0</v>
      </c>
      <c r="K17" s="2531"/>
      <c r="L17" s="1671">
        <f>IF(S17=TRUE,Q17,0)</f>
        <v>0</v>
      </c>
      <c r="M17" s="2404"/>
      <c r="N17" s="2531"/>
      <c r="O17" s="1817">
        <f>IF(T17=TRUE,Q17,0)</f>
        <v>0</v>
      </c>
      <c r="P17" s="2403"/>
      <c r="Q17" s="1835">
        <f>IF(C17=0,0,VLOOKUP(C17,#REF!,10,FALSE))</f>
        <v>0</v>
      </c>
      <c r="R17" s="1922" t="b">
        <v>0</v>
      </c>
      <c r="S17" s="1918" t="b">
        <v>0</v>
      </c>
      <c r="T17" s="1921" t="b">
        <v>0</v>
      </c>
      <c r="W17" s="42" t="s">
        <v>240</v>
      </c>
      <c r="X17" s="1834">
        <f>$X$13*F33</f>
        <v>0</v>
      </c>
      <c r="Y17" s="1834">
        <f>$Y$13*F33</f>
        <v>0</v>
      </c>
      <c r="Z17" s="1834">
        <f>$Z$13*F33</f>
        <v>0</v>
      </c>
    </row>
    <row r="18" spans="1:26" s="42" customFormat="1" ht="15" customHeight="1">
      <c r="A18" s="45"/>
      <c r="B18" s="2429"/>
      <c r="C18" s="1833"/>
      <c r="D18" s="281"/>
      <c r="E18" s="281"/>
      <c r="F18" s="281"/>
      <c r="G18" s="1812"/>
      <c r="H18" s="1829"/>
      <c r="I18" s="1832">
        <f>IF($R18=TRUE,IF(G18=0,0,LOOKUP($G$18,#REF!)),0)</f>
        <v>0</v>
      </c>
      <c r="J18" s="281"/>
      <c r="K18" s="1829"/>
      <c r="L18" s="1831">
        <f>IF($S18=TRUE,IF(G18=0,0,LOOKUP($G$18,#REF!)),0)</f>
        <v>0</v>
      </c>
      <c r="M18" s="1830"/>
      <c r="N18" s="1829"/>
      <c r="O18" s="1828">
        <f>IF($T18=TRUE,IF(G18=0,0,LOOKUP($G$18,#REF!)),0)</f>
        <v>0</v>
      </c>
      <c r="P18" s="3010"/>
      <c r="Q18" s="1835">
        <f>IF(C18=0,0,VLOOKUP(C18,#REF!,10,FALSE))</f>
        <v>0</v>
      </c>
      <c r="R18" s="3009" t="b">
        <v>0</v>
      </c>
      <c r="S18" s="3008" t="b">
        <v>0</v>
      </c>
      <c r="T18" s="1893" t="b">
        <v>0</v>
      </c>
    </row>
    <row r="19" spans="1:26" s="2532" customFormat="1" ht="18.75" customHeight="1">
      <c r="A19" s="47"/>
      <c r="B19" s="2417" t="s">
        <v>1687</v>
      </c>
      <c r="C19" s="47"/>
      <c r="D19" s="47"/>
      <c r="E19" s="47"/>
      <c r="F19" s="47"/>
      <c r="G19" s="229" t="s">
        <v>171</v>
      </c>
      <c r="H19" s="1824"/>
      <c r="I19" s="1823"/>
      <c r="J19" s="1614" t="e">
        <f>SUM(I20:I21)</f>
        <v>#REF!</v>
      </c>
      <c r="K19" s="1826"/>
      <c r="L19" s="1825"/>
      <c r="M19" s="1617" t="e">
        <f>SUM(L20:L21)</f>
        <v>#REF!</v>
      </c>
      <c r="N19" s="1824"/>
      <c r="O19" s="1823"/>
      <c r="P19" s="2415" t="e">
        <f>SUM(O20:O21)</f>
        <v>#REF!</v>
      </c>
      <c r="Q19" s="2533"/>
      <c r="R19" s="715" t="s">
        <v>1245</v>
      </c>
      <c r="S19" s="376"/>
      <c r="T19" s="1822"/>
    </row>
    <row r="20" spans="1:26" s="42" customFormat="1" ht="15" customHeight="1">
      <c r="A20" s="45"/>
      <c r="B20" s="2495"/>
      <c r="C20" s="4944" t="s">
        <v>286</v>
      </c>
      <c r="D20" s="4944"/>
      <c r="E20" s="4944"/>
      <c r="F20" s="4944"/>
      <c r="G20" s="1820"/>
      <c r="H20" s="1818"/>
      <c r="I20" s="1817" t="e">
        <f>IF(OR($C20=0,$J$6=0),0,VLOOKUP($C20,#REF!,10,FALSE))</f>
        <v>#REF!</v>
      </c>
      <c r="K20" s="1819"/>
      <c r="L20" s="1671" t="e">
        <f>IF($C20=0,0,VLOOKUP($C20,#REF!,10,FALSE))</f>
        <v>#REF!</v>
      </c>
      <c r="M20" s="2404"/>
      <c r="N20" s="1818"/>
      <c r="O20" s="1817" t="e">
        <f>IF(OR($C20=0,$P$6=0),0,VLOOKUP($C20,#REF!,10,FALSE))</f>
        <v>#REF!</v>
      </c>
      <c r="P20" s="2403"/>
      <c r="Q20" s="2533"/>
      <c r="R20" s="1816" t="e">
        <f>J13+J19</f>
        <v>#REF!</v>
      </c>
      <c r="S20" s="1815" t="e">
        <f>M13+M19</f>
        <v>#REF!</v>
      </c>
      <c r="T20" s="1814" t="e">
        <f>P13+P19</f>
        <v>#REF!</v>
      </c>
    </row>
    <row r="21" spans="1:26" s="42" customFormat="1" ht="0.75" customHeight="1">
      <c r="A21" s="45"/>
      <c r="B21" s="2494"/>
      <c r="C21" s="4945"/>
      <c r="D21" s="4945"/>
      <c r="E21" s="4945"/>
      <c r="F21" s="4945"/>
      <c r="G21" s="1812"/>
      <c r="H21" s="1810"/>
      <c r="I21" s="1809">
        <f>IF(OR($C21=0,$J$6=0),0,VLOOKUP($C21,#REF!,10,FALSE))</f>
        <v>0</v>
      </c>
      <c r="K21" s="1811"/>
      <c r="L21" s="1653">
        <f>IF(OR($C21=0,$M$6=0),0,VLOOKUP($C21,#REF!,10,FALSE))</f>
        <v>0</v>
      </c>
      <c r="M21" s="2404"/>
      <c r="N21" s="1810"/>
      <c r="O21" s="1809">
        <f>IF(OR($C21=0,$P$6=0),0,VLOOKUP($C21,#REF!,10,FALSE))</f>
        <v>0</v>
      </c>
      <c r="P21" s="2427"/>
      <c r="Q21" s="2533"/>
    </row>
    <row r="22" spans="1:26" ht="16.5" customHeight="1">
      <c r="A22" s="377"/>
      <c r="B22" s="2417" t="s">
        <v>901</v>
      </c>
      <c r="C22" s="45"/>
      <c r="D22" s="4946"/>
      <c r="E22" s="4946"/>
      <c r="F22" s="4946"/>
      <c r="G22" s="4947"/>
      <c r="H22" s="1804"/>
      <c r="I22" s="1803"/>
      <c r="J22" s="1802"/>
      <c r="K22" s="1806"/>
      <c r="L22" s="1805"/>
      <c r="M22" s="1802"/>
      <c r="N22" s="1804"/>
      <c r="O22" s="1803"/>
      <c r="P22" s="2493"/>
      <c r="R22" s="2533"/>
      <c r="S22" s="2533"/>
      <c r="T22" s="2533"/>
    </row>
    <row r="23" spans="1:26" ht="18.75" customHeight="1">
      <c r="A23" s="377"/>
      <c r="B23" s="2492" t="s">
        <v>222</v>
      </c>
      <c r="C23" s="1801"/>
      <c r="D23" s="1801"/>
      <c r="G23" s="2476" t="s">
        <v>171</v>
      </c>
      <c r="H23" s="1616"/>
      <c r="I23" s="1615"/>
      <c r="J23" s="1599">
        <f>SUM(I25:I26)</f>
        <v>0</v>
      </c>
      <c r="K23" s="1619"/>
      <c r="L23" s="1618"/>
      <c r="M23" s="1800">
        <f>SUM(L25:L26)</f>
        <v>0</v>
      </c>
      <c r="N23" s="1616"/>
      <c r="O23" s="1615"/>
      <c r="P23" s="2406">
        <f>SUM(O25:O26)</f>
        <v>0</v>
      </c>
      <c r="Q23" s="38"/>
    </row>
    <row r="24" spans="1:26" ht="13.15" customHeight="1">
      <c r="A24" s="377"/>
      <c r="B24" s="2491"/>
      <c r="C24" s="1612" t="s">
        <v>1212</v>
      </c>
      <c r="D24" s="1683">
        <f>SDÖ1!$O$10</f>
        <v>0</v>
      </c>
      <c r="E24" s="2490"/>
      <c r="F24" s="2411" t="s">
        <v>249</v>
      </c>
      <c r="G24" s="2434" t="s">
        <v>1211</v>
      </c>
      <c r="H24" s="2481" t="s">
        <v>1232</v>
      </c>
      <c r="I24" s="2407" t="s">
        <v>171</v>
      </c>
      <c r="J24" s="2489"/>
      <c r="K24" s="2483" t="s">
        <v>1232</v>
      </c>
      <c r="L24" s="2409" t="s">
        <v>171</v>
      </c>
      <c r="M24" s="2488"/>
      <c r="N24" s="2481" t="s">
        <v>1232</v>
      </c>
      <c r="O24" s="2407" t="s">
        <v>171</v>
      </c>
      <c r="P24" s="2471"/>
    </row>
    <row r="25" spans="1:26" s="42" customFormat="1" ht="15" customHeight="1">
      <c r="A25" s="1306"/>
      <c r="B25" s="2487"/>
      <c r="C25" s="1306" t="s">
        <v>1241</v>
      </c>
      <c r="D25" s="4851"/>
      <c r="E25" s="4852"/>
      <c r="F25" s="1795"/>
      <c r="G25" s="1794">
        <f>F25*(100+$D$24)/100</f>
        <v>0</v>
      </c>
      <c r="H25" s="1793"/>
      <c r="I25" s="1754">
        <f>H25*$G25</f>
        <v>0</v>
      </c>
      <c r="K25" s="1793"/>
      <c r="L25" s="1596">
        <f>K25*$G25</f>
        <v>0</v>
      </c>
      <c r="M25" s="2404"/>
      <c r="N25" s="1793"/>
      <c r="O25" s="1754">
        <f>N25*$G25</f>
        <v>0</v>
      </c>
      <c r="P25" s="2449"/>
      <c r="Q25" s="2533"/>
    </row>
    <row r="26" spans="1:26" s="42" customFormat="1" ht="15" customHeight="1">
      <c r="A26" s="1306"/>
      <c r="B26" s="2419"/>
      <c r="C26" s="2508" t="s">
        <v>191</v>
      </c>
      <c r="D26" s="4853"/>
      <c r="E26" s="4854"/>
      <c r="F26" s="1791"/>
      <c r="G26" s="1790">
        <f>F26*(100+$D$24)/100</f>
        <v>0</v>
      </c>
      <c r="H26" s="1789"/>
      <c r="I26" s="1750">
        <f>H26*$G26</f>
        <v>0</v>
      </c>
      <c r="K26" s="1789"/>
      <c r="L26" s="1590">
        <f>K26*$G26</f>
        <v>0</v>
      </c>
      <c r="M26" s="2404"/>
      <c r="N26" s="1789"/>
      <c r="O26" s="1750">
        <f>N26*$G26</f>
        <v>0</v>
      </c>
      <c r="P26" s="2466"/>
      <c r="Q26" s="2533"/>
    </row>
    <row r="27" spans="1:26" s="2532" customFormat="1" ht="18.75" customHeight="1">
      <c r="A27" s="1270"/>
      <c r="B27" s="2465" t="s">
        <v>221</v>
      </c>
      <c r="C27" s="1270"/>
      <c r="D27" s="2486" t="str">
        <f>IF(SDÖ1!U17=FALSE,"(Nährstoffabfuhr nicht bewertet)","(Nährstoffabfuhr bewertet)")</f>
        <v>(Nährstoffabfuhr bewertet)</v>
      </c>
      <c r="E27" s="2533"/>
      <c r="F27" s="2533"/>
      <c r="G27" s="2476" t="s">
        <v>171</v>
      </c>
      <c r="H27" s="1746"/>
      <c r="I27" s="1745"/>
      <c r="J27" s="1614">
        <f>SUM(I30:I33)</f>
        <v>0</v>
      </c>
      <c r="K27" s="1748"/>
      <c r="L27" s="1747"/>
      <c r="M27" s="1617">
        <f>SUM(L30:L33)</f>
        <v>0</v>
      </c>
      <c r="N27" s="1746"/>
      <c r="O27" s="1745"/>
      <c r="P27" s="2415">
        <f>SUM(O30:O33)</f>
        <v>0</v>
      </c>
      <c r="Q27" s="2533"/>
    </row>
    <row r="28" spans="1:26" s="2532" customFormat="1" ht="13.7" customHeight="1">
      <c r="A28" s="1270"/>
      <c r="B28" s="2459"/>
      <c r="C28" s="2535"/>
      <c r="D28" s="1786" t="s">
        <v>1075</v>
      </c>
      <c r="E28" s="1786" t="s">
        <v>1239</v>
      </c>
      <c r="F28" s="1786" t="s">
        <v>1239</v>
      </c>
      <c r="G28" s="1785" t="s">
        <v>1238</v>
      </c>
      <c r="H28" s="1745"/>
      <c r="I28" s="1782"/>
      <c r="J28" s="2536"/>
      <c r="K28" s="1748"/>
      <c r="L28" s="1678"/>
      <c r="M28" s="1783"/>
      <c r="N28" s="1746"/>
      <c r="O28" s="1782"/>
      <c r="P28" s="2406"/>
      <c r="Q28" s="2533"/>
    </row>
    <row r="29" spans="1:26" s="2532" customFormat="1" ht="15" customHeight="1">
      <c r="A29" s="1270"/>
      <c r="B29" s="2485"/>
      <c r="C29" s="1307" t="s">
        <v>1237</v>
      </c>
      <c r="D29" s="2412" t="s">
        <v>908</v>
      </c>
      <c r="E29" s="2412" t="s">
        <v>1236</v>
      </c>
      <c r="F29" s="2412" t="s">
        <v>1235</v>
      </c>
      <c r="G29" s="2412" t="s">
        <v>909</v>
      </c>
      <c r="H29" s="2481" t="s">
        <v>909</v>
      </c>
      <c r="I29" s="2407" t="s">
        <v>171</v>
      </c>
      <c r="J29" s="2484"/>
      <c r="K29" s="2483" t="s">
        <v>909</v>
      </c>
      <c r="L29" s="2409" t="s">
        <v>171</v>
      </c>
      <c r="M29" s="2482"/>
      <c r="N29" s="2481" t="s">
        <v>909</v>
      </c>
      <c r="O29" s="2407" t="s">
        <v>171</v>
      </c>
      <c r="P29" s="2480"/>
      <c r="Q29" s="2533"/>
    </row>
    <row r="30" spans="1:26" s="42" customFormat="1" ht="15" customHeight="1">
      <c r="A30" s="1306"/>
      <c r="B30" s="2479"/>
      <c r="C30" s="1775" t="s">
        <v>246</v>
      </c>
      <c r="D30" s="1723">
        <f>IF(SDÖ1!$U$17=TRUE,SDÖ1!O55,0)</f>
        <v>4.5333333333333332</v>
      </c>
      <c r="E30" s="2478"/>
      <c r="F30" s="2478"/>
      <c r="G30" s="1773"/>
      <c r="H30" s="1771">
        <f>IF(J$6=0,0,(J$6*$E30+$G30+X14))</f>
        <v>0</v>
      </c>
      <c r="I30" s="1754">
        <f>H30*$D30</f>
        <v>0</v>
      </c>
      <c r="K30" s="1772">
        <f>IF(M$6=0,0,(M$6*$E30+$G30+Y14))</f>
        <v>0</v>
      </c>
      <c r="L30" s="1596">
        <f>K30*$D30</f>
        <v>0</v>
      </c>
      <c r="M30" s="2404"/>
      <c r="N30" s="1771">
        <f>IF(P$6=0,0,(P$6*$E30+$G30+Z14))</f>
        <v>0</v>
      </c>
      <c r="O30" s="1754">
        <f>N30*$D30</f>
        <v>0</v>
      </c>
      <c r="P30" s="2449"/>
      <c r="Q30" s="2533"/>
    </row>
    <row r="31" spans="1:26" s="42" customFormat="1" ht="15" customHeight="1">
      <c r="A31" s="1306"/>
      <c r="B31" s="275"/>
      <c r="C31" s="1306" t="s">
        <v>244</v>
      </c>
      <c r="D31" s="1723">
        <f>IF(SDÖ1!$U$17=TRUE,SDÖ1!O56,0)</f>
        <v>1.3999999999999997</v>
      </c>
      <c r="E31" s="2478"/>
      <c r="F31" s="2478"/>
      <c r="G31" s="1773"/>
      <c r="H31" s="1771">
        <f>IF(J$6=0,0,(J$6*$E31+$G31+X15))</f>
        <v>0</v>
      </c>
      <c r="I31" s="1754">
        <f>H31*$D31</f>
        <v>0</v>
      </c>
      <c r="K31" s="1772">
        <f>IF(M$6=0,0,(M$6*$E31+$G31+Y15))</f>
        <v>0</v>
      </c>
      <c r="L31" s="1596">
        <f>K31*$D31</f>
        <v>0</v>
      </c>
      <c r="M31" s="2404"/>
      <c r="N31" s="1771">
        <f>IF(P$6=0,0,(P$6*$E31+$G31+Z15))</f>
        <v>0</v>
      </c>
      <c r="O31" s="1754">
        <f>N31*$D31</f>
        <v>0</v>
      </c>
      <c r="P31" s="2449"/>
      <c r="Q31" s="2533"/>
    </row>
    <row r="32" spans="1:26" s="42" customFormat="1" ht="15" customHeight="1">
      <c r="A32" s="1306"/>
      <c r="B32" s="275"/>
      <c r="C32" s="1306" t="s">
        <v>242</v>
      </c>
      <c r="D32" s="1723">
        <f>IF(SDÖ1!$U$17=TRUE,SDÖ1!O57,0)</f>
        <v>1.3999999999999997</v>
      </c>
      <c r="E32" s="2478"/>
      <c r="F32" s="2478"/>
      <c r="G32" s="1773"/>
      <c r="H32" s="1771">
        <f>IF(J$6=0,0,(J$6*$E32+$G32+X16))</f>
        <v>0</v>
      </c>
      <c r="I32" s="1754">
        <f>H32*$D32</f>
        <v>0</v>
      </c>
      <c r="K32" s="1772">
        <f>IF(M$6=0,0,(M$6*$E32+$G32+Y16))</f>
        <v>0</v>
      </c>
      <c r="L32" s="1596">
        <f>K32*$D32</f>
        <v>0</v>
      </c>
      <c r="M32" s="2404"/>
      <c r="N32" s="1771">
        <f>IF(P$6=0,0,(P$6*$E32+$G32+Z16))</f>
        <v>0</v>
      </c>
      <c r="O32" s="1754">
        <f>N32*$D32</f>
        <v>0</v>
      </c>
      <c r="P32" s="2449"/>
      <c r="Q32" s="2533"/>
    </row>
    <row r="33" spans="1:17" s="42" customFormat="1" ht="15" customHeight="1">
      <c r="A33" s="1306"/>
      <c r="B33" s="2120"/>
      <c r="C33" s="1331" t="s">
        <v>240</v>
      </c>
      <c r="D33" s="1706">
        <f>IF(SDÖ1!$U$17=TRUE,SDÖ1!O58,0)</f>
        <v>0.5</v>
      </c>
      <c r="E33" s="2477"/>
      <c r="F33" s="2477"/>
      <c r="G33" s="1769"/>
      <c r="H33" s="1767">
        <f>IF(J$6=0,0,(J$6*$E33+$G33+X17))</f>
        <v>0</v>
      </c>
      <c r="I33" s="1750">
        <f>H33*$D33</f>
        <v>0</v>
      </c>
      <c r="K33" s="1768">
        <f>IF(M$6=0,0,(M$6*$E33+$G33+Y17))</f>
        <v>0</v>
      </c>
      <c r="L33" s="1590">
        <f>K33*$D33</f>
        <v>0</v>
      </c>
      <c r="M33" s="2404"/>
      <c r="N33" s="1767">
        <f>IF(P$6=0,0,(P$6*$E33+$G33+Z17))</f>
        <v>0</v>
      </c>
      <c r="O33" s="1750">
        <f>N33*$D33</f>
        <v>0</v>
      </c>
      <c r="P33" s="2466"/>
      <c r="Q33" s="2533"/>
    </row>
    <row r="34" spans="1:17" s="2532" customFormat="1" ht="18.75" customHeight="1">
      <c r="A34" s="1270"/>
      <c r="B34" s="2420" t="s">
        <v>220</v>
      </c>
      <c r="C34" s="1270"/>
      <c r="G34" s="2476" t="s">
        <v>171</v>
      </c>
      <c r="H34" s="1764"/>
      <c r="I34" s="1763"/>
      <c r="J34" s="1614">
        <f>SUM(I36:I42)</f>
        <v>0</v>
      </c>
      <c r="K34" s="1766"/>
      <c r="L34" s="1765"/>
      <c r="M34" s="1617">
        <f>SUM(L36:L42)</f>
        <v>0</v>
      </c>
      <c r="N34" s="1764"/>
      <c r="O34" s="1763"/>
      <c r="P34" s="2415">
        <f>SUM(O36:O42)</f>
        <v>0</v>
      </c>
      <c r="Q34" s="2533"/>
    </row>
    <row r="35" spans="1:17" s="2532" customFormat="1" ht="13.15" customHeight="1">
      <c r="A35" s="1270"/>
      <c r="B35" s="2414"/>
      <c r="C35" s="1612" t="s">
        <v>1212</v>
      </c>
      <c r="D35" s="1683">
        <f>SDÖ1!$O$11</f>
        <v>0</v>
      </c>
      <c r="E35" s="2413"/>
      <c r="F35" s="2411" t="s">
        <v>249</v>
      </c>
      <c r="G35" s="2434" t="s">
        <v>1211</v>
      </c>
      <c r="H35" s="2472" t="s">
        <v>1232</v>
      </c>
      <c r="I35" s="2407" t="s">
        <v>171</v>
      </c>
      <c r="J35" s="2475"/>
      <c r="K35" s="2474" t="s">
        <v>1232</v>
      </c>
      <c r="L35" s="2409" t="s">
        <v>171</v>
      </c>
      <c r="M35" s="2473"/>
      <c r="N35" s="2472" t="s">
        <v>1232</v>
      </c>
      <c r="O35" s="2407" t="s">
        <v>171</v>
      </c>
      <c r="P35" s="2406"/>
      <c r="Q35" s="2533"/>
    </row>
    <row r="36" spans="1:17" s="42" customFormat="1" ht="15" customHeight="1">
      <c r="A36" s="1306"/>
      <c r="B36" s="2405"/>
      <c r="C36" s="4958"/>
      <c r="D36" s="4958"/>
      <c r="E36" s="4959"/>
      <c r="F36" s="1756">
        <f>IF(C36=0,0,VLOOKUP(C36,SDÖ5!$C$6:$D$16,2,FALSE))</f>
        <v>0</v>
      </c>
      <c r="G36" s="1756">
        <f t="shared" ref="G36:G42" si="0">F36*(100+$D$35)/100</f>
        <v>0</v>
      </c>
      <c r="H36" s="2469"/>
      <c r="I36" s="1754">
        <f t="shared" ref="I36:I42" si="1">$G36*H36</f>
        <v>0</v>
      </c>
      <c r="K36" s="2469"/>
      <c r="L36" s="1596">
        <f t="shared" ref="L36:L42" si="2">$G36*K36</f>
        <v>0</v>
      </c>
      <c r="M36" s="2404"/>
      <c r="N36" s="2469"/>
      <c r="O36" s="1754">
        <f t="shared" ref="O36:O42" si="3">$G36*N36</f>
        <v>0</v>
      </c>
      <c r="P36" s="2471"/>
      <c r="Q36" s="2533"/>
    </row>
    <row r="37" spans="1:17" s="42" customFormat="1" ht="15" customHeight="1">
      <c r="A37" s="1306"/>
      <c r="B37" s="2405"/>
      <c r="C37" s="4956"/>
      <c r="D37" s="4956"/>
      <c r="E37" s="4957"/>
      <c r="F37" s="1756">
        <f>IF(C37=0,0,VLOOKUP(C37,SDÖ5!$C$6:$D$16,2,FALSE))</f>
        <v>0</v>
      </c>
      <c r="G37" s="1756">
        <f t="shared" si="0"/>
        <v>0</v>
      </c>
      <c r="H37" s="2469"/>
      <c r="I37" s="1754">
        <f t="shared" si="1"/>
        <v>0</v>
      </c>
      <c r="K37" s="2469"/>
      <c r="L37" s="1596">
        <f t="shared" si="2"/>
        <v>0</v>
      </c>
      <c r="M37" s="2404"/>
      <c r="N37" s="2469"/>
      <c r="O37" s="1754">
        <f t="shared" si="3"/>
        <v>0</v>
      </c>
      <c r="P37" s="2449"/>
      <c r="Q37" s="2533"/>
    </row>
    <row r="38" spans="1:17" s="42" customFormat="1" ht="15" customHeight="1">
      <c r="A38" s="1306"/>
      <c r="B38" s="2470"/>
      <c r="C38" s="4956"/>
      <c r="D38" s="4956"/>
      <c r="E38" s="4957"/>
      <c r="F38" s="1756">
        <f>IF(C38=0,0,VLOOKUP(C38,SDÖ5!$C$6:$D$16,2,FALSE))</f>
        <v>0</v>
      </c>
      <c r="G38" s="1756">
        <f t="shared" si="0"/>
        <v>0</v>
      </c>
      <c r="H38" s="2469"/>
      <c r="I38" s="1754">
        <f t="shared" si="1"/>
        <v>0</v>
      </c>
      <c r="K38" s="2469"/>
      <c r="L38" s="1596">
        <f t="shared" si="2"/>
        <v>0</v>
      </c>
      <c r="M38" s="2404"/>
      <c r="N38" s="2469"/>
      <c r="O38" s="1754">
        <f t="shared" si="3"/>
        <v>0</v>
      </c>
      <c r="P38" s="2449"/>
      <c r="Q38" s="2533"/>
    </row>
    <row r="39" spans="1:17" s="42" customFormat="1" ht="15" hidden="1" customHeight="1">
      <c r="A39" s="1306"/>
      <c r="B39" s="2405"/>
      <c r="C39" s="4956"/>
      <c r="D39" s="4956"/>
      <c r="E39" s="4957"/>
      <c r="F39" s="1756">
        <f>IF(C39=0,0,VLOOKUP(C39,SDÖ5!$C$6:$D$16,2,FALSE))</f>
        <v>0</v>
      </c>
      <c r="G39" s="1756">
        <f t="shared" si="0"/>
        <v>0</v>
      </c>
      <c r="H39" s="2469"/>
      <c r="I39" s="1754">
        <f t="shared" si="1"/>
        <v>0</v>
      </c>
      <c r="K39" s="2469"/>
      <c r="L39" s="1596">
        <f t="shared" si="2"/>
        <v>0</v>
      </c>
      <c r="M39" s="2404"/>
      <c r="N39" s="2469"/>
      <c r="O39" s="1754">
        <f t="shared" si="3"/>
        <v>0</v>
      </c>
      <c r="P39" s="2449"/>
      <c r="Q39" s="2533"/>
    </row>
    <row r="40" spans="1:17" s="42" customFormat="1" ht="15" hidden="1" customHeight="1">
      <c r="A40" s="1306"/>
      <c r="B40" s="2405"/>
      <c r="C40" s="4956"/>
      <c r="D40" s="4956"/>
      <c r="E40" s="4957"/>
      <c r="F40" s="1756">
        <f>IF(C40=0,0,VLOOKUP(C40,SDÖ5!$C$6:$D$16,2,FALSE))</f>
        <v>0</v>
      </c>
      <c r="G40" s="1756">
        <f t="shared" si="0"/>
        <v>0</v>
      </c>
      <c r="H40" s="2469"/>
      <c r="I40" s="1754">
        <f t="shared" si="1"/>
        <v>0</v>
      </c>
      <c r="K40" s="2469"/>
      <c r="L40" s="1596">
        <f t="shared" si="2"/>
        <v>0</v>
      </c>
      <c r="M40" s="2404"/>
      <c r="N40" s="2469"/>
      <c r="O40" s="1754">
        <f t="shared" si="3"/>
        <v>0</v>
      </c>
      <c r="P40" s="2449"/>
      <c r="Q40" s="2533"/>
    </row>
    <row r="41" spans="1:17" s="42" customFormat="1" ht="15" hidden="1" customHeight="1">
      <c r="A41" s="1306"/>
      <c r="B41" s="2405"/>
      <c r="C41" s="4956"/>
      <c r="D41" s="4956"/>
      <c r="E41" s="4957"/>
      <c r="F41" s="1756">
        <f>IF(C41=0,0,VLOOKUP(C41,SDÖ5!$C$6:$D$16,2,FALSE))</f>
        <v>0</v>
      </c>
      <c r="G41" s="1756">
        <f t="shared" si="0"/>
        <v>0</v>
      </c>
      <c r="H41" s="2469"/>
      <c r="I41" s="1754">
        <f t="shared" si="1"/>
        <v>0</v>
      </c>
      <c r="K41" s="2469"/>
      <c r="L41" s="1596">
        <f t="shared" si="2"/>
        <v>0</v>
      </c>
      <c r="M41" s="2404"/>
      <c r="N41" s="2469"/>
      <c r="O41" s="1754">
        <f t="shared" si="3"/>
        <v>0</v>
      </c>
      <c r="P41" s="2449"/>
      <c r="Q41" s="2533"/>
    </row>
    <row r="42" spans="1:17" s="42" customFormat="1" ht="15" hidden="1" customHeight="1">
      <c r="A42" s="1306"/>
      <c r="B42" s="2468"/>
      <c r="C42" s="4960"/>
      <c r="D42" s="4960"/>
      <c r="E42" s="4961"/>
      <c r="F42" s="1752">
        <f>IF(C42=0,0,VLOOKUP(C42,SDÖ5!$C$6:$D$16,2,FALSE))</f>
        <v>0</v>
      </c>
      <c r="G42" s="1752">
        <f t="shared" si="0"/>
        <v>0</v>
      </c>
      <c r="H42" s="2467"/>
      <c r="I42" s="1750">
        <f t="shared" si="1"/>
        <v>0</v>
      </c>
      <c r="K42" s="2467"/>
      <c r="L42" s="1590">
        <f t="shared" si="2"/>
        <v>0</v>
      </c>
      <c r="M42" s="2404"/>
      <c r="N42" s="2467"/>
      <c r="O42" s="1750">
        <f t="shared" si="3"/>
        <v>0</v>
      </c>
      <c r="P42" s="2466"/>
      <c r="Q42" s="2533"/>
    </row>
    <row r="43" spans="1:17" s="2532" customFormat="1" ht="18.75" customHeight="1">
      <c r="A43" s="1270"/>
      <c r="B43" s="2465" t="s">
        <v>1684</v>
      </c>
      <c r="C43" s="1376"/>
      <c r="D43" s="1376"/>
      <c r="E43" s="1376"/>
      <c r="F43" s="1376"/>
      <c r="G43" s="2464" t="s">
        <v>171</v>
      </c>
      <c r="H43" s="2461"/>
      <c r="I43" s="2460"/>
      <c r="J43" s="1614">
        <f>SUM(J46:J57)</f>
        <v>0</v>
      </c>
      <c r="K43" s="2463"/>
      <c r="L43" s="2462"/>
      <c r="M43" s="1617">
        <f>SUM(M46:M57)</f>
        <v>0</v>
      </c>
      <c r="N43" s="2461"/>
      <c r="O43" s="2460"/>
      <c r="P43" s="2415">
        <f>SUM(P46:P57)</f>
        <v>0</v>
      </c>
      <c r="Q43" s="2533"/>
    </row>
    <row r="44" spans="1:17" s="42" customFormat="1" ht="15" customHeight="1">
      <c r="A44" s="1306"/>
      <c r="B44" s="2459"/>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2458"/>
      <c r="Q44" s="2533"/>
    </row>
    <row r="45" spans="1:17" s="42" customFormat="1" ht="15" customHeight="1">
      <c r="A45" s="1306"/>
      <c r="B45" s="2457"/>
      <c r="C45" s="2456"/>
      <c r="D45" s="1736"/>
      <c r="E45" s="1607" t="s">
        <v>1683</v>
      </c>
      <c r="F45" s="2412" t="s">
        <v>1225</v>
      </c>
      <c r="G45" s="2412" t="s">
        <v>612</v>
      </c>
      <c r="H45" s="1732" t="s">
        <v>1224</v>
      </c>
      <c r="I45" s="2411" t="s">
        <v>114</v>
      </c>
      <c r="J45" s="2455" t="s">
        <v>171</v>
      </c>
      <c r="K45" s="1735" t="s">
        <v>1224</v>
      </c>
      <c r="L45" s="2454" t="s">
        <v>114</v>
      </c>
      <c r="M45" s="2453" t="s">
        <v>171</v>
      </c>
      <c r="N45" s="1732" t="s">
        <v>1224</v>
      </c>
      <c r="O45" s="2411" t="s">
        <v>114</v>
      </c>
      <c r="P45" s="2452" t="s">
        <v>171</v>
      </c>
      <c r="Q45" s="2533"/>
    </row>
    <row r="46" spans="1:17" s="42" customFormat="1" ht="15" customHeight="1">
      <c r="A46" s="1306"/>
      <c r="B46" s="2451"/>
      <c r="C46" s="4962"/>
      <c r="D46" s="4963"/>
      <c r="E46" s="1725">
        <f>IF($C46=0,0,VLOOKUP($C46,SDÖ3!$C$24:$N$101,4,FALSE))</f>
        <v>0</v>
      </c>
      <c r="F46" s="1724">
        <f>IF($C46=0,0,VLOOKUP($C46,SDÖ3!$C$24:$N$101,12,FALSE))</f>
        <v>0</v>
      </c>
      <c r="G46" s="1723">
        <f>IF($C46=0,0,VLOOKUP($C46,SDÖ3!$C$24:$N$101,13,FALSE))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2449">
        <f t="shared" ref="P46:P57" si="9">N46*$G46</f>
        <v>0</v>
      </c>
      <c r="Q46" s="2533"/>
    </row>
    <row r="47" spans="1:17" s="42" customFormat="1" ht="15" customHeight="1">
      <c r="A47" s="1306"/>
      <c r="B47" s="2450"/>
      <c r="C47" s="4954"/>
      <c r="D47" s="4955"/>
      <c r="E47" s="1725">
        <f>IF($C47=0,0,VLOOKUP($C47,SDÖ3!$C$24:$N$101,4,FALSE))</f>
        <v>0</v>
      </c>
      <c r="F47" s="1724">
        <f>IF($C47=0,0,VLOOKUP($C47,SDÖ3!$C$24:$N$101,12,FALSE))</f>
        <v>0</v>
      </c>
      <c r="G47" s="1723">
        <f>IF($C47=0,0,VLOOKUP($C47,SDÖ3!$C$24:$N$101,13,FALSE))</f>
        <v>0</v>
      </c>
      <c r="H47" s="1720"/>
      <c r="I47" s="1719">
        <f t="shared" si="4"/>
        <v>0</v>
      </c>
      <c r="J47" s="1718">
        <f t="shared" si="5"/>
        <v>0</v>
      </c>
      <c r="K47" s="1720"/>
      <c r="L47" s="1722">
        <f t="shared" si="6"/>
        <v>0</v>
      </c>
      <c r="M47" s="1721">
        <f t="shared" si="7"/>
        <v>0</v>
      </c>
      <c r="N47" s="1720"/>
      <c r="O47" s="1719">
        <f t="shared" si="8"/>
        <v>0</v>
      </c>
      <c r="P47" s="2449">
        <f t="shared" si="9"/>
        <v>0</v>
      </c>
      <c r="Q47" s="2533"/>
    </row>
    <row r="48" spans="1:17" s="42" customFormat="1" ht="15" customHeight="1">
      <c r="A48" s="1306"/>
      <c r="B48" s="2450"/>
      <c r="C48" s="4954"/>
      <c r="D48" s="4955"/>
      <c r="E48" s="1725">
        <f>IF($C48=0,0,VLOOKUP($C48,SDÖ3!$C$24:$N$101,4,FALSE))</f>
        <v>0</v>
      </c>
      <c r="F48" s="1724">
        <f>IF($C48=0,0,VLOOKUP($C48,SDÖ3!$C$24:$N$101,12,FALSE))</f>
        <v>0</v>
      </c>
      <c r="G48" s="1723">
        <f>IF($C48=0,0,VLOOKUP($C48,SDÖ3!$C$24:$N$101,13,FALSE))</f>
        <v>0</v>
      </c>
      <c r="H48" s="1720"/>
      <c r="I48" s="1719">
        <f t="shared" si="4"/>
        <v>0</v>
      </c>
      <c r="J48" s="1718">
        <f t="shared" si="5"/>
        <v>0</v>
      </c>
      <c r="K48" s="1720"/>
      <c r="L48" s="1722">
        <f t="shared" si="6"/>
        <v>0</v>
      </c>
      <c r="M48" s="1721">
        <f t="shared" si="7"/>
        <v>0</v>
      </c>
      <c r="N48" s="1720"/>
      <c r="O48" s="1719">
        <f t="shared" si="8"/>
        <v>0</v>
      </c>
      <c r="P48" s="2449">
        <f t="shared" si="9"/>
        <v>0</v>
      </c>
      <c r="Q48" s="2533"/>
    </row>
    <row r="49" spans="1:17" s="42" customFormat="1" ht="15" customHeight="1">
      <c r="A49" s="1306"/>
      <c r="B49" s="2450"/>
      <c r="C49" s="4954"/>
      <c r="D49" s="4955"/>
      <c r="E49" s="1725">
        <f>IF($C49=0,0,VLOOKUP($C49,SDÖ3!$C$24:$N$101,4,FALSE))</f>
        <v>0</v>
      </c>
      <c r="F49" s="1724">
        <f>IF($C49=0,0,VLOOKUP($C49,SDÖ3!$C$24:$N$101,12,FALSE))</f>
        <v>0</v>
      </c>
      <c r="G49" s="1723">
        <f>IF($C49=0,0,VLOOKUP($C49,SDÖ3!$C$24:$N$101,13,FALSE))</f>
        <v>0</v>
      </c>
      <c r="H49" s="1720"/>
      <c r="I49" s="1719">
        <f t="shared" si="4"/>
        <v>0</v>
      </c>
      <c r="J49" s="1718">
        <f t="shared" si="5"/>
        <v>0</v>
      </c>
      <c r="K49" s="1720"/>
      <c r="L49" s="1722">
        <f t="shared" si="6"/>
        <v>0</v>
      </c>
      <c r="M49" s="1721">
        <f t="shared" si="7"/>
        <v>0</v>
      </c>
      <c r="N49" s="1720"/>
      <c r="O49" s="1719">
        <f t="shared" si="8"/>
        <v>0</v>
      </c>
      <c r="P49" s="2449">
        <f t="shared" si="9"/>
        <v>0</v>
      </c>
      <c r="Q49" s="2533"/>
    </row>
    <row r="50" spans="1:17" s="42" customFormat="1" ht="15" customHeight="1">
      <c r="A50" s="1306"/>
      <c r="B50" s="2450"/>
      <c r="C50" s="4954"/>
      <c r="D50" s="4955"/>
      <c r="E50" s="1725">
        <f>IF($C50=0,0,VLOOKUP($C50,SDÖ3!$C$24:$N$101,4,FALSE))</f>
        <v>0</v>
      </c>
      <c r="F50" s="1724">
        <f>IF($C50=0,0,VLOOKUP($C50,SDÖ3!$C$24:$N$101,12,FALSE))</f>
        <v>0</v>
      </c>
      <c r="G50" s="1723">
        <f>IF($C50=0,0,VLOOKUP($C50,SDÖ3!$C$24:$N$101,13,FALSE))</f>
        <v>0</v>
      </c>
      <c r="H50" s="1720"/>
      <c r="I50" s="1719">
        <f t="shared" si="4"/>
        <v>0</v>
      </c>
      <c r="J50" s="1718">
        <f t="shared" si="5"/>
        <v>0</v>
      </c>
      <c r="K50" s="1720"/>
      <c r="L50" s="1722">
        <f t="shared" si="6"/>
        <v>0</v>
      </c>
      <c r="M50" s="1721">
        <f t="shared" si="7"/>
        <v>0</v>
      </c>
      <c r="N50" s="1720"/>
      <c r="O50" s="1719">
        <f t="shared" si="8"/>
        <v>0</v>
      </c>
      <c r="P50" s="2449">
        <f t="shared" si="9"/>
        <v>0</v>
      </c>
      <c r="Q50" s="2533"/>
    </row>
    <row r="51" spans="1:17"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17"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17" s="42" customFormat="1" ht="15" customHeight="1">
      <c r="A53" s="1306"/>
      <c r="B53" s="2450"/>
      <c r="C53" s="4954"/>
      <c r="D53" s="4955"/>
      <c r="E53" s="1725">
        <f>IF($C53=0,0,VLOOKUP($C53,SDÖ3!$C$24:$N$101,4,FALSE))</f>
        <v>0</v>
      </c>
      <c r="F53" s="1724">
        <f>IF($C53=0,0,VLOOKUP($C53,SDÖ3!$C$24:$N$101,12,FALSE))</f>
        <v>0</v>
      </c>
      <c r="G53" s="1723">
        <f>IF($C53=0,0,VLOOKUP($C53,SDÖ3!$C$24:$N$101,13,FALSE))</f>
        <v>0</v>
      </c>
      <c r="H53" s="1720"/>
      <c r="I53" s="1719">
        <f t="shared" si="4"/>
        <v>0</v>
      </c>
      <c r="J53" s="1718">
        <f t="shared" si="5"/>
        <v>0</v>
      </c>
      <c r="K53" s="1720"/>
      <c r="L53" s="1722">
        <f t="shared" si="6"/>
        <v>0</v>
      </c>
      <c r="M53" s="1721">
        <f t="shared" si="7"/>
        <v>0</v>
      </c>
      <c r="N53" s="1720"/>
      <c r="O53" s="1719">
        <f t="shared" si="8"/>
        <v>0</v>
      </c>
      <c r="P53" s="2449">
        <f t="shared" si="9"/>
        <v>0</v>
      </c>
      <c r="Q53" s="2533"/>
    </row>
    <row r="54" spans="1:17" s="42" customFormat="1" ht="15" customHeight="1">
      <c r="A54" s="1306"/>
      <c r="B54" s="2450"/>
      <c r="C54" s="4954"/>
      <c r="D54" s="4955"/>
      <c r="E54" s="1725">
        <f>IF($C54=0,0,VLOOKUP($C54,SDÖ3!$C$24:$N$101,4,FALSE))</f>
        <v>0</v>
      </c>
      <c r="F54" s="1724">
        <f>IF($C54=0,0,VLOOKUP($C54,SDÖ3!$C$24:$N$101,12,FALSE))</f>
        <v>0</v>
      </c>
      <c r="G54" s="1723">
        <f>IF($C54=0,0,VLOOKUP($C54,SDÖ3!$C$24:$N$101,13,FALSE))</f>
        <v>0</v>
      </c>
      <c r="H54" s="1720"/>
      <c r="I54" s="1719">
        <f t="shared" si="4"/>
        <v>0</v>
      </c>
      <c r="J54" s="1718">
        <f t="shared" si="5"/>
        <v>0</v>
      </c>
      <c r="K54" s="1720"/>
      <c r="L54" s="1722">
        <f t="shared" si="6"/>
        <v>0</v>
      </c>
      <c r="M54" s="1721">
        <f t="shared" si="7"/>
        <v>0</v>
      </c>
      <c r="N54" s="1720"/>
      <c r="O54" s="1719">
        <f t="shared" si="8"/>
        <v>0</v>
      </c>
      <c r="P54" s="2449">
        <f t="shared" si="9"/>
        <v>0</v>
      </c>
      <c r="Q54" s="38" t="s">
        <v>1933</v>
      </c>
    </row>
    <row r="55" spans="1:17"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2533"/>
    </row>
    <row r="56" spans="1:17" s="42" customFormat="1" ht="15" customHeight="1">
      <c r="A56" s="1306"/>
      <c r="B56" s="2450"/>
      <c r="C56" s="4954"/>
      <c r="D56" s="4955"/>
      <c r="E56" s="1725">
        <f>IF($C56=0,0,VLOOKUP($C56,SDÖ3!$C$24:$N$101,4,FALSE))</f>
        <v>0</v>
      </c>
      <c r="F56" s="1724">
        <f>IF($C56=0,0,VLOOKUP($C56,SDÖ3!$C$24:$N$101,12,FALSE))</f>
        <v>0</v>
      </c>
      <c r="G56" s="1723">
        <f>IF($C56=0,0,VLOOKUP($C56,SDÖ3!$C$24:$N$101,13,FALSE))</f>
        <v>0</v>
      </c>
      <c r="H56" s="1720"/>
      <c r="I56" s="1719">
        <f t="shared" si="4"/>
        <v>0</v>
      </c>
      <c r="J56" s="1718">
        <f t="shared" si="5"/>
        <v>0</v>
      </c>
      <c r="K56" s="1720"/>
      <c r="L56" s="1722">
        <f t="shared" si="6"/>
        <v>0</v>
      </c>
      <c r="M56" s="1721">
        <f t="shared" si="7"/>
        <v>0</v>
      </c>
      <c r="N56" s="1720"/>
      <c r="O56" s="1719">
        <f t="shared" si="8"/>
        <v>0</v>
      </c>
      <c r="P56" s="2449">
        <f t="shared" si="9"/>
        <v>0</v>
      </c>
      <c r="Q56" s="2533"/>
    </row>
    <row r="57" spans="1:17" s="42" customFormat="1" ht="24.75" customHeight="1">
      <c r="A57" s="1306"/>
      <c r="B57" s="2429"/>
      <c r="C57" s="4970">
        <v>0</v>
      </c>
      <c r="D57" s="4971"/>
      <c r="E57" s="1708">
        <f>IF($C57=0,0,VLOOKUP($C57,SDÖ3!$C$24:$N$101,4,FALSE))</f>
        <v>0</v>
      </c>
      <c r="F57" s="1707">
        <f>IF($C57=0,0,VLOOKUP($C57,SDÖ3!$C$24:$N$101,12,FALSE))</f>
        <v>0</v>
      </c>
      <c r="G57" s="1706">
        <f>IF($C57=0,0,VLOOKUP($C57,SDÖ3!$C$24:$N$101,13,FALSE))</f>
        <v>0</v>
      </c>
      <c r="H57" s="1704">
        <f>H11/50</f>
        <v>0</v>
      </c>
      <c r="I57" s="1703">
        <f t="shared" si="4"/>
        <v>0</v>
      </c>
      <c r="J57" s="1702">
        <f t="shared" si="5"/>
        <v>0</v>
      </c>
      <c r="K57" s="1704">
        <f>K11/50</f>
        <v>0</v>
      </c>
      <c r="L57" s="1705">
        <f t="shared" si="6"/>
        <v>0</v>
      </c>
      <c r="M57" s="1652">
        <f t="shared" si="7"/>
        <v>0</v>
      </c>
      <c r="N57" s="1704">
        <f>N11/50</f>
        <v>0</v>
      </c>
      <c r="O57" s="1703">
        <f t="shared" si="8"/>
        <v>0</v>
      </c>
      <c r="P57" s="2448">
        <f t="shared" si="9"/>
        <v>0</v>
      </c>
      <c r="Q57" s="2533"/>
    </row>
    <row r="58" spans="1:17" s="42" customFormat="1" ht="24.75" customHeight="1">
      <c r="A58" s="1306"/>
      <c r="B58" s="2447" t="s">
        <v>1682</v>
      </c>
      <c r="C58" s="2446"/>
      <c r="D58" s="2446"/>
      <c r="E58" s="2446"/>
      <c r="F58" s="2446"/>
      <c r="G58" s="2446"/>
      <c r="H58" s="2443"/>
      <c r="I58" s="2442">
        <f>SUM(I46:I57)</f>
        <v>0</v>
      </c>
      <c r="J58" s="2445"/>
      <c r="K58" s="2443"/>
      <c r="L58" s="2442">
        <f>SUM(L46:L57)</f>
        <v>0</v>
      </c>
      <c r="M58" s="2444"/>
      <c r="N58" s="2443"/>
      <c r="O58" s="2442">
        <f>SUM(O46:O57)</f>
        <v>0</v>
      </c>
      <c r="P58" s="2441"/>
      <c r="Q58" s="2533"/>
    </row>
    <row r="59" spans="1:17" s="2532" customFormat="1" ht="18.75" customHeight="1">
      <c r="A59" s="1270"/>
      <c r="B59" s="2420" t="s">
        <v>1681</v>
      </c>
      <c r="C59" s="1270"/>
      <c r="D59" s="1270"/>
      <c r="E59" s="1270"/>
      <c r="F59" s="2533"/>
      <c r="G59" s="2416" t="s">
        <v>171</v>
      </c>
      <c r="H59" s="73"/>
      <c r="I59" s="73"/>
      <c r="J59" s="1614">
        <f>H60*$E60</f>
        <v>0</v>
      </c>
      <c r="K59" s="1629"/>
      <c r="L59" s="1629"/>
      <c r="M59" s="1617">
        <f>K60*$E60</f>
        <v>0</v>
      </c>
      <c r="N59" s="73"/>
      <c r="O59" s="73"/>
      <c r="P59" s="2415">
        <f>N60*$E60</f>
        <v>0</v>
      </c>
      <c r="Q59" s="2533"/>
    </row>
    <row r="60" spans="1:17" s="2532" customFormat="1" ht="15" customHeight="1">
      <c r="A60" s="1270"/>
      <c r="B60" s="2440"/>
      <c r="C60" s="1377"/>
      <c r="D60" s="280" t="s">
        <v>1060</v>
      </c>
      <c r="E60" s="1647">
        <v>10</v>
      </c>
      <c r="F60" s="1622"/>
      <c r="G60" s="2439" t="s">
        <v>516</v>
      </c>
      <c r="H60" s="1588"/>
      <c r="I60" s="1643"/>
      <c r="J60" s="1632"/>
      <c r="K60" s="1588"/>
      <c r="L60" s="1645"/>
      <c r="M60" s="1635"/>
      <c r="N60" s="1588"/>
      <c r="O60" s="1643"/>
      <c r="P60" s="2421"/>
      <c r="Q60" s="2533"/>
    </row>
    <row r="61" spans="1:17" s="65" customFormat="1" ht="18.75" customHeight="1">
      <c r="A61" s="1373"/>
      <c r="B61" s="2420" t="s">
        <v>1680</v>
      </c>
      <c r="C61" s="1373"/>
      <c r="D61" s="1373"/>
      <c r="E61" s="1373"/>
      <c r="F61" s="2533"/>
      <c r="G61" s="2416" t="s">
        <v>516</v>
      </c>
      <c r="H61" s="1697"/>
      <c r="I61" s="1696">
        <f>I58-H60</f>
        <v>0</v>
      </c>
      <c r="J61" s="1701"/>
      <c r="K61" s="1700"/>
      <c r="L61" s="1699">
        <f>L58-K60</f>
        <v>0</v>
      </c>
      <c r="M61" s="1698"/>
      <c r="N61" s="1697"/>
      <c r="O61" s="1696">
        <f>O58-N60</f>
        <v>0</v>
      </c>
      <c r="P61" s="2438"/>
      <c r="Q61" s="2533"/>
    </row>
    <row r="62" spans="1:17" s="65" customFormat="1" ht="15" customHeight="1">
      <c r="A62" s="1373"/>
      <c r="B62" s="2437"/>
      <c r="C62" s="319"/>
      <c r="D62" s="280" t="s">
        <v>1222</v>
      </c>
      <c r="E62" s="1693">
        <v>80</v>
      </c>
      <c r="F62" s="319" t="s">
        <v>1221</v>
      </c>
      <c r="G62" s="142"/>
      <c r="H62" s="1688"/>
      <c r="I62" s="1687">
        <f>IF(I61+SUM($I$46:$I$57)*$E$62%&gt;I61+10,I61+10,I61+SUM($I$46:$I$57)*$E$62%)</f>
        <v>0</v>
      </c>
      <c r="J62" s="1686"/>
      <c r="K62" s="1691"/>
      <c r="L62" s="1690">
        <f>IF(L61+SUM($L$46:$L$57)*$E$62%&gt;L61+10,L61+10,L61+SUM($L$46:$L$57)*$E$62%)</f>
        <v>0</v>
      </c>
      <c r="M62" s="1689"/>
      <c r="N62" s="1688"/>
      <c r="O62" s="1687">
        <f>IF(O61+SUM($O$46:$O$57)*$E$62%&gt;O61+10,O61+10,O61+SUM($O$46:$O$57)*$E$62%)</f>
        <v>0</v>
      </c>
      <c r="P62" s="2436"/>
      <c r="Q62" s="2533"/>
    </row>
    <row r="63" spans="1:17" s="42" customFormat="1" ht="18.75" customHeight="1">
      <c r="A63" s="1306"/>
      <c r="B63" s="2420" t="s">
        <v>355</v>
      </c>
      <c r="C63" s="1373"/>
      <c r="D63" s="1373"/>
      <c r="G63" s="2435" t="s">
        <v>171</v>
      </c>
      <c r="H63" s="2433"/>
      <c r="I63" s="2432"/>
      <c r="J63" s="1614">
        <f>IF(J6=0,0,SUM(I65:I67))</f>
        <v>0</v>
      </c>
      <c r="K63" s="1680"/>
      <c r="L63" s="1679"/>
      <c r="M63" s="1617">
        <f>IF(M6=0,0,SUM(L65:L67))</f>
        <v>0</v>
      </c>
      <c r="N63" s="2433"/>
      <c r="O63" s="2432"/>
      <c r="P63" s="2415">
        <f>IF(P6=0,0,SUM(O65:O67))</f>
        <v>0</v>
      </c>
      <c r="Q63" s="2533"/>
    </row>
    <row r="64" spans="1:17" s="42" customFormat="1" ht="13.15" customHeight="1">
      <c r="A64" s="1306"/>
      <c r="B64" s="2414"/>
      <c r="C64" s="1612" t="s">
        <v>1212</v>
      </c>
      <c r="D64" s="1683">
        <f>SDÖ1!$O$11</f>
        <v>0</v>
      </c>
      <c r="E64" s="2413"/>
      <c r="F64" s="2411" t="s">
        <v>249</v>
      </c>
      <c r="G64" s="2434" t="s">
        <v>1211</v>
      </c>
      <c r="H64" s="2433"/>
      <c r="I64" s="2432"/>
      <c r="J64" s="1782"/>
      <c r="K64" s="1680"/>
      <c r="L64" s="1679"/>
      <c r="M64" s="1678"/>
      <c r="N64" s="2433"/>
      <c r="O64" s="2432"/>
      <c r="P64" s="2406"/>
      <c r="Q64" s="2533"/>
    </row>
    <row r="65" spans="1:20" s="42" customFormat="1" ht="15" customHeight="1">
      <c r="A65" s="1306"/>
      <c r="B65" s="2405"/>
      <c r="C65" s="4944"/>
      <c r="D65" s="4944"/>
      <c r="E65" s="4944"/>
      <c r="F65" s="1674">
        <f>IF($C65=0,0,VLOOKUP($C65,SDÖ3!$C$140:$D$162,2,FALSE))</f>
        <v>0</v>
      </c>
      <c r="G65" s="1673">
        <f>(100+$D$64)/100*F65</f>
        <v>0</v>
      </c>
      <c r="I65" s="1817">
        <f>$G$65</f>
        <v>0</v>
      </c>
      <c r="K65" s="1672"/>
      <c r="L65" s="1671">
        <f>$G$65</f>
        <v>0</v>
      </c>
      <c r="M65" s="2404"/>
      <c r="N65" s="2430"/>
      <c r="O65" s="1817">
        <f>$G$65</f>
        <v>0</v>
      </c>
      <c r="P65" s="2403"/>
      <c r="Q65" s="2533"/>
    </row>
    <row r="66" spans="1:20" s="42" customFormat="1" ht="15" customHeight="1">
      <c r="A66" s="1306"/>
      <c r="B66" s="2405"/>
      <c r="C66" s="4944"/>
      <c r="D66" s="4944"/>
      <c r="E66" s="4965"/>
      <c r="F66" s="2431">
        <f>IF($C66=0,0,VLOOKUP($C66,SDÖ3!$C$140:$D$162,2,FALSE))</f>
        <v>0</v>
      </c>
      <c r="G66" s="1586">
        <f>(100+$D$64)/100*F66</f>
        <v>0</v>
      </c>
      <c r="K66" s="1672"/>
      <c r="L66" s="1671"/>
      <c r="M66" s="2404"/>
      <c r="N66" s="2430"/>
      <c r="O66" s="1817"/>
      <c r="P66" s="2403"/>
      <c r="Q66" s="2533"/>
    </row>
    <row r="67" spans="1:20" s="42" customFormat="1" ht="15" customHeight="1">
      <c r="A67" s="1306"/>
      <c r="B67" s="2429"/>
      <c r="C67" s="4966" t="s">
        <v>322</v>
      </c>
      <c r="D67" s="4966"/>
      <c r="E67" s="4966"/>
      <c r="F67" s="1656">
        <f>IF($T$3=FALSE,0,VLOOKUP($C67,SDÖ3!$C$140:$D$162,2,FALSE))</f>
        <v>0</v>
      </c>
      <c r="G67" s="1655">
        <f>(100+$D$64)/100*F67</f>
        <v>0</v>
      </c>
      <c r="H67" s="2428"/>
      <c r="I67" s="1809">
        <f>H11*$G$67</f>
        <v>0</v>
      </c>
      <c r="K67" s="1654"/>
      <c r="L67" s="1653">
        <f>K11*$G$67</f>
        <v>0</v>
      </c>
      <c r="M67" s="1652"/>
      <c r="N67" s="2428"/>
      <c r="O67" s="1809">
        <f>N11*$G$67</f>
        <v>0</v>
      </c>
      <c r="P67" s="2427"/>
      <c r="Q67" s="2533"/>
    </row>
    <row r="68" spans="1:20" s="2532" customFormat="1" ht="22.9" customHeight="1">
      <c r="A68" s="1270"/>
      <c r="B68" s="2420" t="s">
        <v>1679</v>
      </c>
      <c r="C68" s="1270"/>
      <c r="D68" s="1270"/>
      <c r="E68" s="229"/>
      <c r="F68" s="1642"/>
      <c r="G68" s="2416" t="s">
        <v>171</v>
      </c>
      <c r="H68" s="2424" t="s">
        <v>1217</v>
      </c>
      <c r="I68" s="2423" t="s">
        <v>1216</v>
      </c>
      <c r="J68" s="1963">
        <f>IF($F$69=0,$R$69*H$9*I$69%,$F$69*H$9*I$69%)</f>
        <v>0</v>
      </c>
      <c r="K68" s="2426" t="s">
        <v>1217</v>
      </c>
      <c r="L68" s="2425" t="s">
        <v>1216</v>
      </c>
      <c r="M68" s="1963">
        <f>IF($F$69=0,$S$69*K$9*L$69%,$F$69*K$9*L$69%)</f>
        <v>0</v>
      </c>
      <c r="N68" s="2424" t="s">
        <v>1217</v>
      </c>
      <c r="O68" s="2423" t="s">
        <v>1216</v>
      </c>
      <c r="P68" s="3007">
        <f>IF($F$69=0,$T$69*N$9*O$69%,$F$69*N$9*O$69%)</f>
        <v>0</v>
      </c>
      <c r="Q68" s="2533"/>
    </row>
    <row r="69" spans="1:20" s="2532" customFormat="1" ht="15" customHeight="1">
      <c r="A69" s="1270"/>
      <c r="B69" s="2422"/>
      <c r="C69" s="4967" t="s">
        <v>1678</v>
      </c>
      <c r="D69" s="4967"/>
      <c r="E69" s="4967"/>
      <c r="F69" s="1636"/>
      <c r="G69" s="1627" t="s">
        <v>228</v>
      </c>
      <c r="H69" s="1634"/>
      <c r="I69" s="1633"/>
      <c r="J69" s="1632"/>
      <c r="K69" s="1634"/>
      <c r="L69" s="1633"/>
      <c r="M69" s="1635"/>
      <c r="N69" s="1634"/>
      <c r="O69" s="1633"/>
      <c r="P69" s="2421"/>
      <c r="Q69" s="2533"/>
      <c r="R69" s="1631">
        <f>IF($H$69=0,0,VLOOKUP($H$69,#REF!,#REF!,FALSE))*(1+SDÖ1!$O$11/100)</f>
        <v>0</v>
      </c>
      <c r="S69" s="1631">
        <f>IF($K$69=0,0,VLOOKUP($K$69,#REF!,#REF!,FALSE))*(1+SDÖ1!$O$11/100)</f>
        <v>0</v>
      </c>
      <c r="T69" s="1631">
        <f>IF($N$69=0,0,VLOOKUP($N$69,#REF!,#REF!,FALSE))*(1+SDÖ1!$O$11/100)</f>
        <v>0</v>
      </c>
    </row>
    <row r="70" spans="1:20" s="2532" customFormat="1" ht="18.75" customHeight="1">
      <c r="A70" s="1270"/>
      <c r="B70" s="2420" t="s">
        <v>1677</v>
      </c>
      <c r="C70" s="1270"/>
      <c r="D70" s="1270"/>
      <c r="E70" s="229"/>
      <c r="F70" s="229"/>
      <c r="G70" s="2416" t="s">
        <v>171</v>
      </c>
      <c r="H70" s="44"/>
      <c r="I70" s="73"/>
      <c r="J70" s="1614">
        <f>H71*$F71/1000</f>
        <v>0</v>
      </c>
      <c r="K70" s="1630"/>
      <c r="L70" s="1629"/>
      <c r="M70" s="1617">
        <f>K71*$F71/1000</f>
        <v>0</v>
      </c>
      <c r="N70" s="44"/>
      <c r="O70" s="73"/>
      <c r="P70" s="2415">
        <f>N71*$F71/1000</f>
        <v>0</v>
      </c>
      <c r="Q70" s="2533"/>
    </row>
    <row r="71" spans="1:20" s="2532" customFormat="1" ht="15" customHeight="1">
      <c r="A71" s="1270"/>
      <c r="B71" s="2419"/>
      <c r="C71" s="1331" t="s">
        <v>896</v>
      </c>
      <c r="D71" s="319"/>
      <c r="E71" s="280"/>
      <c r="F71" s="1962"/>
      <c r="G71" s="1627" t="s">
        <v>171</v>
      </c>
      <c r="H71" s="1623">
        <f>I9+I10</f>
        <v>0</v>
      </c>
      <c r="I71" s="1622"/>
      <c r="J71" s="1621"/>
      <c r="K71" s="1626">
        <f>L9+L10</f>
        <v>0</v>
      </c>
      <c r="L71" s="1625"/>
      <c r="M71" s="1624"/>
      <c r="N71" s="1623">
        <f>O9+O10</f>
        <v>0</v>
      </c>
      <c r="O71" s="1622"/>
      <c r="P71" s="2418"/>
      <c r="Q71" s="2533"/>
    </row>
    <row r="72" spans="1:20" ht="18.75" customHeight="1">
      <c r="A72" s="377"/>
      <c r="B72" s="2417" t="s">
        <v>218</v>
      </c>
      <c r="C72" s="377"/>
      <c r="D72" s="377"/>
      <c r="E72" s="229"/>
      <c r="F72" s="2537"/>
      <c r="G72" s="2416" t="s">
        <v>171</v>
      </c>
      <c r="H72" s="1616"/>
      <c r="I72" s="1615"/>
      <c r="J72" s="1614">
        <f>SUM(I74:I75)</f>
        <v>0</v>
      </c>
      <c r="K72" s="1619"/>
      <c r="L72" s="1618"/>
      <c r="M72" s="1617">
        <f>SUM(L74:L75)</f>
        <v>0</v>
      </c>
      <c r="N72" s="1616"/>
      <c r="O72" s="1615"/>
      <c r="P72" s="2415">
        <f>SUM(O74:O75)</f>
        <v>0</v>
      </c>
    </row>
    <row r="73" spans="1:20" ht="13.15" customHeight="1">
      <c r="A73" s="377"/>
      <c r="B73" s="2414"/>
      <c r="C73" s="1612" t="s">
        <v>1212</v>
      </c>
      <c r="D73" s="1611">
        <f>SDÖ1!$O$12</f>
        <v>0</v>
      </c>
      <c r="E73" s="2413"/>
      <c r="F73" s="1609"/>
      <c r="G73" s="1608"/>
      <c r="H73" s="2412" t="s">
        <v>249</v>
      </c>
      <c r="I73" s="2411" t="s">
        <v>1211</v>
      </c>
      <c r="J73" s="1605"/>
      <c r="K73" s="2410" t="s">
        <v>249</v>
      </c>
      <c r="L73" s="2409" t="s">
        <v>1211</v>
      </c>
      <c r="M73" s="1602"/>
      <c r="N73" s="2408" t="s">
        <v>249</v>
      </c>
      <c r="O73" s="2407" t="s">
        <v>1211</v>
      </c>
      <c r="P73" s="2406"/>
    </row>
    <row r="74" spans="1:20" s="42" customFormat="1" ht="15" customHeight="1">
      <c r="A74" s="1306"/>
      <c r="B74" s="2405"/>
      <c r="C74" s="4941" t="s">
        <v>1715</v>
      </c>
      <c r="D74" s="4941"/>
      <c r="E74" s="4941"/>
      <c r="F74" s="1598"/>
      <c r="G74" s="1597"/>
      <c r="H74" s="1591"/>
      <c r="I74" s="1595">
        <f>(100+$D$73)/100*H74</f>
        <v>0</v>
      </c>
      <c r="K74" s="1591"/>
      <c r="L74" s="1596">
        <f>(100+$D$73)/100*K74</f>
        <v>0</v>
      </c>
      <c r="M74" s="2404"/>
      <c r="N74" s="1591"/>
      <c r="O74" s="1595">
        <f>(100+$D$73)/100*N74</f>
        <v>0</v>
      </c>
      <c r="P74" s="2403"/>
      <c r="Q74" s="2533"/>
    </row>
    <row r="75" spans="1:20" s="42" customFormat="1" ht="15" customHeight="1">
      <c r="A75" s="1306"/>
      <c r="B75" s="2405"/>
      <c r="C75" s="4964"/>
      <c r="D75" s="4964"/>
      <c r="E75" s="4964"/>
      <c r="F75" s="1593"/>
      <c r="G75" s="1592"/>
      <c r="H75" s="1588"/>
      <c r="I75" s="1587">
        <f>(100+$D$73)/100*H75</f>
        <v>0</v>
      </c>
      <c r="K75" s="1591"/>
      <c r="L75" s="1590">
        <f>(100+$D$73)/100*K75</f>
        <v>0</v>
      </c>
      <c r="M75" s="2404"/>
      <c r="N75" s="1588"/>
      <c r="O75" s="1587">
        <f>(100+$D$73)/100*N75</f>
        <v>0</v>
      </c>
      <c r="P75" s="2403"/>
      <c r="Q75" s="2533"/>
    </row>
    <row r="76" spans="1:20" s="2532" customFormat="1" ht="30.2" customHeight="1" thickBot="1">
      <c r="A76" s="1270"/>
      <c r="B76" s="4942" t="s">
        <v>1210</v>
      </c>
      <c r="C76" s="4943"/>
      <c r="D76" s="2402" t="s">
        <v>1209</v>
      </c>
      <c r="E76" s="2401">
        <f>SDÖ1!$O$71/100</f>
        <v>1.4999999999999999E-2</v>
      </c>
      <c r="F76" s="2400" t="s">
        <v>1676</v>
      </c>
      <c r="G76" s="2399">
        <v>5</v>
      </c>
      <c r="H76" s="2395"/>
      <c r="I76" s="2398"/>
      <c r="J76" s="2393">
        <f>(J23+J27+J34+J43+J63+J59+J68+J70+J72)*(SDÖ1!$O$71%*$G$76/12)</f>
        <v>0</v>
      </c>
      <c r="K76" s="2397"/>
      <c r="L76" s="2396"/>
      <c r="M76" s="2393">
        <f>(M23+M27+M34+M43+M63+M59+M68+M70+M72)*(SDÖ1!$O$71%*$G$76/12)</f>
        <v>0</v>
      </c>
      <c r="N76" s="2395"/>
      <c r="O76" s="2394"/>
      <c r="P76" s="2393">
        <f>(P23+P27+P34+P43+P63+P59+P68+P70+P72)*(SDÖ1!$O$71%*$G$76/12)</f>
        <v>0</v>
      </c>
      <c r="Q76" s="2533"/>
    </row>
    <row r="81" spans="3:16">
      <c r="C81" s="2390" t="e">
        <f>#REF!</f>
        <v>#REF!</v>
      </c>
      <c r="D81" s="272"/>
      <c r="E81" s="721"/>
      <c r="G81" s="2390" t="e">
        <f>#REF!</f>
        <v>#REF!</v>
      </c>
      <c r="H81" s="272"/>
      <c r="I81" s="721"/>
      <c r="L81" s="33"/>
    </row>
    <row r="82" spans="3:16">
      <c r="C82" s="765" t="e">
        <f>#REF!</f>
        <v>#REF!</v>
      </c>
      <c r="E82" s="2534"/>
      <c r="G82" s="2391" t="e">
        <f>#REF!</f>
        <v>#REF!</v>
      </c>
      <c r="I82" s="2534"/>
      <c r="L82" s="33"/>
      <c r="N82" s="2390" t="str">
        <f>SDÖ3!C24</f>
        <v>Drehpflug 2,10 m</v>
      </c>
      <c r="O82" s="272"/>
      <c r="P82" s="721"/>
    </row>
    <row r="83" spans="3:16">
      <c r="C83" s="765" t="e">
        <f>#REF!</f>
        <v>#REF!</v>
      </c>
      <c r="E83" s="2534"/>
      <c r="G83" s="2392"/>
      <c r="H83" s="319"/>
      <c r="I83" s="709"/>
      <c r="L83" s="33"/>
      <c r="N83" s="2391" t="str">
        <f>SDÖ3!C25</f>
        <v>Schwergrubber 3 m</v>
      </c>
      <c r="P83" s="2534"/>
    </row>
    <row r="84" spans="3:16">
      <c r="C84" s="765" t="e">
        <f>#REF!</f>
        <v>#REF!</v>
      </c>
      <c r="E84" s="2534"/>
      <c r="G84" s="33"/>
      <c r="H84" s="33"/>
      <c r="I84" s="33"/>
      <c r="L84" s="33"/>
      <c r="N84" s="2391" t="str">
        <f>SDÖ3!C26</f>
        <v>Scheibenegge 5 m</v>
      </c>
      <c r="P84" s="2534"/>
    </row>
    <row r="85" spans="3:16">
      <c r="C85" s="765" t="e">
        <f>#REF!</f>
        <v>#REF!</v>
      </c>
      <c r="E85" s="2534"/>
      <c r="G85" s="33"/>
      <c r="H85" s="33"/>
      <c r="I85" s="33"/>
      <c r="L85" s="33"/>
      <c r="N85" s="2391" t="str">
        <f>SDÖ3!C28</f>
        <v>Kreiselegge 3 m</v>
      </c>
      <c r="P85" s="2534"/>
    </row>
    <row r="86" spans="3:16">
      <c r="C86" s="765" t="e">
        <f>#REF!</f>
        <v>#REF!</v>
      </c>
      <c r="E86" s="2534"/>
      <c r="G86" s="33" t="e">
        <f>#REF!</f>
        <v>#REF!</v>
      </c>
      <c r="H86" s="33"/>
      <c r="I86" s="33"/>
      <c r="L86" s="33"/>
      <c r="N86" s="2391" t="str">
        <f>SDÖ3!C29</f>
        <v>Cambridgewalze 4,5 m</v>
      </c>
      <c r="P86" s="2534"/>
    </row>
    <row r="87" spans="3:16">
      <c r="C87" s="765" t="e">
        <f>#REF!</f>
        <v>#REF!</v>
      </c>
      <c r="E87" s="2534"/>
      <c r="G87" s="33"/>
      <c r="H87" s="33"/>
      <c r="I87" s="33"/>
      <c r="L87" s="33"/>
      <c r="N87" s="2391">
        <f>SDÖ3!C30</f>
        <v>0</v>
      </c>
      <c r="P87" s="2534"/>
    </row>
    <row r="88" spans="3:16">
      <c r="C88" s="765" t="e">
        <f>#REF!</f>
        <v>#REF!</v>
      </c>
      <c r="E88" s="2534"/>
      <c r="G88" s="33" t="e">
        <f>#REF!</f>
        <v>#REF!</v>
      </c>
      <c r="H88" s="33"/>
      <c r="I88" s="33"/>
      <c r="L88" s="33"/>
      <c r="N88" s="2391" t="str">
        <f>SDÖ3!C31</f>
        <v>Kreiselegge-Säkomb. 3 m</v>
      </c>
      <c r="P88" s="2534"/>
    </row>
    <row r="89" spans="3:16">
      <c r="C89" s="765" t="e">
        <f>#REF!</f>
        <v>#REF!</v>
      </c>
      <c r="E89" s="2534"/>
      <c r="G89" s="33" t="e">
        <f>#REF!</f>
        <v>#REF!</v>
      </c>
      <c r="H89" s="33"/>
      <c r="I89" s="33"/>
      <c r="L89" s="33"/>
      <c r="N89" s="2391" t="str">
        <f>SDÖ3!C32</f>
        <v>Grubber-Kreiselegge-Säkomb. 3 m</v>
      </c>
      <c r="P89" s="2534"/>
    </row>
    <row r="90" spans="3:16">
      <c r="C90" s="765" t="e">
        <f>#REF!</f>
        <v>#REF!</v>
      </c>
      <c r="E90" s="2534"/>
      <c r="G90" s="33" t="e">
        <f>#REF!</f>
        <v>#REF!</v>
      </c>
      <c r="H90" s="33"/>
      <c r="I90" s="33"/>
      <c r="L90" s="33"/>
      <c r="N90" s="2391" t="str">
        <f>SDÖ3!C33</f>
        <v>Sämaschine 3m</v>
      </c>
      <c r="P90" s="2534"/>
    </row>
    <row r="91" spans="3:16">
      <c r="C91" s="765" t="e">
        <f>#REF!</f>
        <v>#REF!</v>
      </c>
      <c r="E91" s="2534"/>
      <c r="G91" s="33"/>
      <c r="H91" s="33"/>
      <c r="I91" s="33"/>
      <c r="L91" s="33"/>
      <c r="N91" s="2391" t="str">
        <f>SDÖ3!C34</f>
        <v>Einzelkornsaat 4 r (Mais, Sonnenblume)</v>
      </c>
      <c r="P91" s="2534"/>
    </row>
    <row r="92" spans="3:16">
      <c r="C92" s="765" t="e">
        <f>#REF!</f>
        <v>#REF!</v>
      </c>
      <c r="E92" s="2534"/>
      <c r="L92" s="33"/>
      <c r="N92" s="2391" t="str">
        <f>SDÖ3!C35</f>
        <v>Einzelkornsaat 6 r (Rüben)</v>
      </c>
      <c r="P92" s="2534"/>
    </row>
    <row r="93" spans="3:16">
      <c r="C93" s="765" t="e">
        <f>#REF!</f>
        <v>#REF!</v>
      </c>
      <c r="E93" s="2534"/>
      <c r="L93" s="33"/>
      <c r="N93" s="2391" t="str">
        <f>SDÖ3!C37</f>
        <v>Direktsämaschine 3 m</v>
      </c>
      <c r="P93" s="2534"/>
    </row>
    <row r="94" spans="3:16">
      <c r="C94" s="765" t="e">
        <f>#REF!</f>
        <v>#REF!</v>
      </c>
      <c r="E94" s="2534"/>
      <c r="G94" s="2390" t="str">
        <f>SDÖ3!C140</f>
        <v>Mähdrescher - Erbsen/Ackerbohnen</v>
      </c>
      <c r="H94" s="272"/>
      <c r="I94" s="721"/>
      <c r="L94" s="33"/>
      <c r="N94" s="2391" t="str">
        <f>SDÖ3!C38</f>
        <v>Dammkulturgerät mit Säeinheit(3m)</v>
      </c>
      <c r="P94" s="2534"/>
    </row>
    <row r="95" spans="3:16">
      <c r="C95" s="765" t="e">
        <f>#REF!</f>
        <v>#REF!</v>
      </c>
      <c r="E95" s="2534"/>
      <c r="G95" s="2391" t="str">
        <f>SDÖ3!C141</f>
        <v>Mähdrescher - Körnermais</v>
      </c>
      <c r="I95" s="2534"/>
      <c r="L95" s="33"/>
      <c r="N95" s="2391">
        <f>SDÖ3!C39</f>
        <v>0</v>
      </c>
      <c r="P95" s="2534"/>
    </row>
    <row r="96" spans="3:16">
      <c r="C96" s="765" t="e">
        <f>#REF!</f>
        <v>#REF!</v>
      </c>
      <c r="E96" s="2534"/>
      <c r="G96" s="2391" t="str">
        <f>SDÖ3!C142</f>
        <v>Mähdrescher - Getr. m. Strohhäcksler</v>
      </c>
      <c r="I96" s="2534"/>
      <c r="L96" s="33"/>
      <c r="N96" s="2391" t="str">
        <f>SDÖ3!C40</f>
        <v xml:space="preserve">Düngerstreuer ab Hof 12 m, 400 kg/ha </v>
      </c>
      <c r="P96" s="2534"/>
    </row>
    <row r="97" spans="3:16">
      <c r="C97" s="765" t="e">
        <f>#REF!</f>
        <v>#REF!</v>
      </c>
      <c r="E97" s="2534"/>
      <c r="G97" s="2391" t="str">
        <f>SDÖ3!C143</f>
        <v>ZR - Roden, 6-reihig</v>
      </c>
      <c r="I97" s="2534"/>
      <c r="L97" s="33"/>
      <c r="N97" s="2391" t="str">
        <f>SDÖ3!C41</f>
        <v>Mist/Kompost streuen 20 t/ha  (6 m, 10 t) inkl. Beladen</v>
      </c>
      <c r="P97" s="2534"/>
    </row>
    <row r="98" spans="3:16">
      <c r="C98" s="765" t="e">
        <f>#REF!</f>
        <v>#REF!</v>
      </c>
      <c r="E98" s="2534"/>
      <c r="G98" s="2391" t="str">
        <f>SDÖ3!C144</f>
        <v>KA - Vollernter mit Bunker, 2-reihig</v>
      </c>
      <c r="I98" s="2534"/>
      <c r="L98" s="33"/>
      <c r="N98" s="2391" t="e">
        <f>SDÖ3!#REF!</f>
        <v>#REF!</v>
      </c>
      <c r="P98" s="2534"/>
    </row>
    <row r="99" spans="3:16">
      <c r="C99" s="290" t="e">
        <f>#REF!</f>
        <v>#REF!</v>
      </c>
      <c r="D99" s="319"/>
      <c r="E99" s="709"/>
      <c r="G99" s="2391" t="str">
        <f>SDÖ3!C145</f>
        <v>KA - Schlägeln (m. Schl. + Fahrer)</v>
      </c>
      <c r="I99" s="2534"/>
      <c r="L99" s="33"/>
      <c r="N99" s="2391" t="e">
        <f>SDÖ3!#REF!</f>
        <v>#REF!</v>
      </c>
      <c r="P99" s="2534"/>
    </row>
    <row r="100" spans="3:16">
      <c r="C100" s="765"/>
      <c r="E100" s="2534"/>
      <c r="G100" s="2391" t="str">
        <f>SDÖ3!C146</f>
        <v>ZR - Laden, Abfuhr</v>
      </c>
      <c r="I100" s="2534"/>
      <c r="L100" s="33"/>
      <c r="N100" s="2391" t="str">
        <f>SDÖ3!C42</f>
        <v>Gülle ausbringen 20 m³/ha, (15 m³ Fass, Schleppschl. 7,5 m</v>
      </c>
      <c r="P100" s="2534"/>
    </row>
    <row r="101" spans="3:16">
      <c r="C101" s="765"/>
      <c r="E101" s="2534"/>
      <c r="G101" s="2391" t="str">
        <f>SDÖ3!C147</f>
        <v>Mulchen (Lohnunternehmer)</v>
      </c>
      <c r="I101" s="2534"/>
      <c r="L101" s="33"/>
      <c r="N101" s="2391" t="str">
        <f>SDÖ3!C44</f>
        <v>Kalkstreuer 6 m³,15 m, 2t/ha (ab Feld, mit Beladen)</v>
      </c>
      <c r="P101" s="2534"/>
    </row>
    <row r="102" spans="3:16">
      <c r="C102" s="272"/>
      <c r="D102" s="272"/>
      <c r="E102" s="272"/>
      <c r="G102" s="2391" t="str">
        <f>SDÖ3!C148</f>
        <v>Stroh-Rundballen pressen je ha</v>
      </c>
      <c r="I102" s="2534"/>
      <c r="L102" s="33"/>
      <c r="N102" s="2391">
        <f>SDÖ3!C45</f>
        <v>0</v>
      </c>
      <c r="P102" s="2534"/>
    </row>
    <row r="103" spans="3:16">
      <c r="G103" s="2391" t="str">
        <f>SDÖ3!C149</f>
        <v>Stroh-Quaderballen pressen je ha</v>
      </c>
      <c r="I103" s="2534"/>
      <c r="L103" s="33"/>
      <c r="N103" s="2391" t="str">
        <f>SDÖ3!C46</f>
        <v>Pflanzenschutzspritze 12 m, 300 l/ha</v>
      </c>
      <c r="P103" s="2534"/>
    </row>
    <row r="104" spans="3:16">
      <c r="G104" s="2391" t="str">
        <f>SDÖ3!C150</f>
        <v>Silomais Häckseln/Festfahren im Lohn</v>
      </c>
      <c r="I104" s="2534"/>
      <c r="L104" s="33"/>
      <c r="N104" s="2391" t="str">
        <f>SDÖ3!C47</f>
        <v>Mulchgerät 3 m</v>
      </c>
      <c r="P104" s="2534"/>
    </row>
    <row r="105" spans="3:16">
      <c r="C105" s="2528"/>
      <c r="G105" s="2391" t="str">
        <f>SDÖ3!C151</f>
        <v>Silomais Aussaat (im Lohn)</v>
      </c>
      <c r="I105" s="2534"/>
      <c r="L105" s="33"/>
      <c r="N105" s="2391" t="str">
        <f>SDÖ3!C48</f>
        <v>Präparatespritze 6 m</v>
      </c>
      <c r="P105" s="2534"/>
    </row>
    <row r="106" spans="3:16">
      <c r="C106" s="2527" t="s">
        <v>1705</v>
      </c>
      <c r="G106" s="2391" t="str">
        <f>SDÖ3!C152</f>
        <v>Silomais Häckseln (im Lohn)</v>
      </c>
      <c r="I106" s="2534"/>
      <c r="L106" s="33"/>
      <c r="N106" s="2391" t="str">
        <f>SDÖ3!C49</f>
        <v>Hackstriegel 9 m</v>
      </c>
      <c r="P106" s="2534"/>
    </row>
    <row r="107" spans="3:16">
      <c r="C107" s="2527" t="s">
        <v>897</v>
      </c>
      <c r="G107" s="2391" t="str">
        <f>SDÖ3!C153</f>
        <v>GPS Häckseln im Lohn</v>
      </c>
      <c r="I107" s="2534"/>
      <c r="L107" s="33"/>
      <c r="N107" s="2391" t="str">
        <f>SDÖ3!C51</f>
        <v>Reihenhackgerät 3 m</v>
      </c>
      <c r="P107" s="2534"/>
    </row>
    <row r="108" spans="3:16">
      <c r="C108" s="2527"/>
      <c r="G108" s="2391" t="str">
        <f>SDÖ3!C154</f>
        <v>GPS Häckseln/Festfahren im Lohn</v>
      </c>
      <c r="I108" s="2534"/>
      <c r="L108" s="33"/>
      <c r="N108" s="2391">
        <f>SDÖ3!C52</f>
        <v>0</v>
      </c>
      <c r="P108" s="2534"/>
    </row>
    <row r="109" spans="3:16">
      <c r="C109" s="2527"/>
      <c r="G109" s="2391" t="str">
        <f>SDÖ3!C155</f>
        <v>Nachsaatmaschine (¼ Betrag)</v>
      </c>
      <c r="I109" s="2534"/>
      <c r="L109" s="33"/>
      <c r="N109" s="2391" t="str">
        <f>SDÖ3!C53</f>
        <v>Mais/GPS Silage festwalzen, 50 t FM</v>
      </c>
      <c r="P109" s="2534"/>
    </row>
    <row r="110" spans="3:16">
      <c r="C110" s="2526"/>
      <c r="G110" s="2391">
        <f>SDÖ3!C156</f>
        <v>0</v>
      </c>
      <c r="I110" s="2534"/>
      <c r="L110" s="33"/>
      <c r="N110" s="2391" t="str">
        <f>SDÖ3!C54</f>
        <v>Bunkerroder Möhren 0,5 m Arbeitsbreite</v>
      </c>
      <c r="P110" s="2534"/>
    </row>
    <row r="111" spans="3:16">
      <c r="G111" s="2391" t="str">
        <f>SDÖ3!C157</f>
        <v>Stroh-Rundballen pressen je dt</v>
      </c>
      <c r="I111" s="2534"/>
      <c r="L111" s="33"/>
      <c r="N111" s="2391">
        <f>SDÖ3!C55</f>
        <v>0</v>
      </c>
      <c r="P111" s="2534"/>
    </row>
    <row r="112" spans="3:16">
      <c r="G112" s="2391" t="str">
        <f>SDÖ3!C158</f>
        <v>Stroh-Quaderballen pressen je dt</v>
      </c>
      <c r="I112" s="2534"/>
      <c r="L112" s="33"/>
      <c r="N112" s="2391" t="str">
        <f>SDÖ3!C56</f>
        <v>Transp. u. Abkip. Getr. 6 t/ha (5,7 t Ki.)</v>
      </c>
      <c r="P112" s="2534"/>
    </row>
    <row r="113" spans="2:16">
      <c r="G113" s="2391" t="str">
        <f>SDÖ3!C159</f>
        <v>Festmistausbringung (im Lohn) €/t</v>
      </c>
      <c r="I113" s="2534"/>
      <c r="L113" s="33"/>
      <c r="N113" s="2391" t="str">
        <f>SDÖ3!C57</f>
        <v>Transp. u. Abkip. Getr. 6 t/ha (13,5 t Ki.)</v>
      </c>
      <c r="P113" s="2534"/>
    </row>
    <row r="114" spans="2:16">
      <c r="G114" s="2391" t="str">
        <f>SDÖ3!C160</f>
        <v>Gülleausbringung (im Lohn); €/m³</v>
      </c>
      <c r="I114" s="2534"/>
      <c r="L114" s="33"/>
      <c r="N114" s="2391" t="str">
        <f>SDÖ3!C58</f>
        <v>Silagetransport Mais/GPS, 3S.Kip. (10t Nutzl.), 50 t FM</v>
      </c>
      <c r="P114" s="2534"/>
    </row>
    <row r="115" spans="2:16">
      <c r="G115" s="2391" t="str">
        <f>SDÖ3!C161</f>
        <v>Traktor75-92 kW inkl. Diesel + Fahrer je h</v>
      </c>
      <c r="I115" s="2534"/>
      <c r="L115" s="33"/>
      <c r="N115" s="2391" t="str">
        <f>SDÖ3!C59</f>
        <v>Stroh-Rundballen 4 t/ha laden, abfahren, stapeln, 3-S-Kipp.</v>
      </c>
      <c r="P115" s="2534"/>
    </row>
    <row r="116" spans="2:16">
      <c r="G116" s="2391" t="str">
        <f>SDÖ3!C162</f>
        <v>Kipper je t zul Gesamtgewicht je h</v>
      </c>
      <c r="I116" s="2534"/>
      <c r="L116" s="33"/>
      <c r="N116" s="2391">
        <f>SDÖ3!C60</f>
        <v>0</v>
      </c>
      <c r="P116" s="2534"/>
    </row>
    <row r="117" spans="2:16">
      <c r="G117" s="2391">
        <f>SDÖ3!C163</f>
        <v>0</v>
      </c>
      <c r="L117" s="33"/>
      <c r="N117" s="2391" t="str">
        <f>SDÖ3!C61</f>
        <v>Wiesenwalze 3 m</v>
      </c>
      <c r="P117" s="2534"/>
    </row>
    <row r="118" spans="2:16">
      <c r="G118" s="2391">
        <f>SDÖ3!C164</f>
        <v>0</v>
      </c>
      <c r="L118" s="33"/>
      <c r="N118" s="2391" t="str">
        <f>SDÖ3!C62</f>
        <v>Wiesenegge 6 m</v>
      </c>
      <c r="P118" s="2534"/>
    </row>
    <row r="119" spans="2:16">
      <c r="G119" s="2391">
        <f>SDÖ3!C165</f>
        <v>0</v>
      </c>
      <c r="L119" s="33"/>
      <c r="N119" s="2391" t="str">
        <f>SDÖ3!C63</f>
        <v>Mähkomb. Heck/Front (4,5m insges., ohne Aufb.)</v>
      </c>
      <c r="P119" s="2534"/>
    </row>
    <row r="120" spans="2:16">
      <c r="L120" s="33"/>
      <c r="N120" s="2391" t="str">
        <f>SDÖ3!C65</f>
        <v>Rotationsmähwerk (Heck) m. Aufb. 2,8 m</v>
      </c>
      <c r="P120" s="2534"/>
    </row>
    <row r="121" spans="2:16">
      <c r="L121" s="33"/>
      <c r="N121" s="2391" t="str">
        <f>SDÖ3!C66</f>
        <v>Kreiselwender 5,5m</v>
      </c>
      <c r="P121" s="2534"/>
    </row>
    <row r="122" spans="2:16">
      <c r="L122" s="33"/>
      <c r="N122" s="2391" t="str">
        <f>SDÖ3!C67</f>
        <v>Kreiselschwader 7,5m Seitenablage</v>
      </c>
      <c r="O122" s="2534"/>
    </row>
    <row r="123" spans="2:16">
      <c r="B123" s="622">
        <v>1</v>
      </c>
      <c r="C123" s="33" t="str">
        <f>SDÖ5!C6</f>
        <v>Bio-dyn-Präparate (je Anw.)</v>
      </c>
      <c r="E123" s="2533">
        <f>IF(ISNA(VLOOKUP(B123,SDÖ5!$U$26:$X$37,SDÖ5!$U$23,FALSE)),0,(VLOOKUP(B123,SDÖ5!$U$26:$X$37,SDÖ5!$U$23,FALSE)))</f>
        <v>0</v>
      </c>
      <c r="L123" s="33"/>
      <c r="N123" s="2391" t="str">
        <f>SDÖ3!C68</f>
        <v>LW Silage, o. Dosierwalzen; 12 t FM (28 m³, 4 t Nutzl.)</v>
      </c>
      <c r="P123" s="2534"/>
    </row>
    <row r="124" spans="2:16">
      <c r="B124" s="622">
        <v>2</v>
      </c>
      <c r="C124" s="33" t="str">
        <f>SDÖ5!C7</f>
        <v>Propangas (je Anw.)</v>
      </c>
      <c r="E124" s="2533">
        <f>IF(ISNA(VLOOKUP(B124,SDÖ5!$U$26:$X$37,SDÖ5!$U$23,FALSE)),0,(VLOOKUP(B124,SDÖ5!$U$26:$X$37,SDÖ5!$U$23,FALSE)))</f>
        <v>0</v>
      </c>
      <c r="L124" s="33"/>
      <c r="N124" s="2391" t="str">
        <f>SDÖ3!C69</f>
        <v>Grassilo festwalzen, 12 t FM</v>
      </c>
      <c r="P124" s="2534"/>
    </row>
    <row r="125" spans="2:16">
      <c r="B125" s="622">
        <v>3</v>
      </c>
      <c r="C125" s="33" t="str">
        <f>SDÖ5!C8</f>
        <v xml:space="preserve">Schutznetz (je Anw.) </v>
      </c>
      <c r="E125" s="2533">
        <f>IF(ISNA(VLOOKUP(B125,SDÖ5!$U$26:$X$37,SDÖ5!$U$23,FALSE)),0,(VLOOKUP(B125,SDÖ5!$U$26:$X$37,SDÖ5!$U$23,FALSE)))</f>
        <v>0</v>
      </c>
      <c r="L125" s="33"/>
      <c r="N125" s="2391">
        <f>SDÖ3!C70</f>
        <v>0</v>
      </c>
      <c r="P125" s="2534"/>
    </row>
    <row r="126" spans="2:16">
      <c r="B126" s="622">
        <v>4</v>
      </c>
      <c r="C126" s="33" t="str">
        <f>SDÖ5!C9</f>
        <v>Neempräparat (je Anw.)</v>
      </c>
      <c r="E126" s="2533">
        <f>IF(ISNA(VLOOKUP(B126,SDÖ5!$U$26:$X$37,SDÖ5!$U$23,FALSE)),0,(VLOOKUP(B126,SDÖ5!$U$26:$X$37,SDÖ5!$U$23,FALSE)))</f>
        <v>0</v>
      </c>
      <c r="L126" s="33"/>
      <c r="N126" s="2391" t="str">
        <f>SDÖ3!C71</f>
        <v>Kartoffeln vorkeimen</v>
      </c>
      <c r="P126" s="2534"/>
    </row>
    <row r="127" spans="2:16">
      <c r="B127" s="622">
        <v>5</v>
      </c>
      <c r="C127" s="33" t="str">
        <f>SDÖ5!C10</f>
        <v>Kupfer (je Anw.)</v>
      </c>
      <c r="E127" s="2533">
        <f>IF(ISNA(VLOOKUP(B127,SDÖ5!$U$26:$X$37,SDÖ5!$U$23,FALSE)),0,(VLOOKUP(B127,SDÖ5!$U$26:$X$37,SDÖ5!$U$23,FALSE)))</f>
        <v>0</v>
      </c>
      <c r="L127" s="33"/>
      <c r="N127" s="2391" t="str">
        <f>SDÖ3!C72</f>
        <v>Pflanzkartoffeltransport,-laden 2,5 t/ha</v>
      </c>
      <c r="P127" s="2534"/>
    </row>
    <row r="128" spans="2:16">
      <c r="B128" s="622">
        <v>6</v>
      </c>
      <c r="C128" s="33" t="str">
        <f>SDÖ5!C11</f>
        <v>Bac.thureng. kurstaki (je Anw.)</v>
      </c>
      <c r="E128" s="2533">
        <f>IF(ISNA(VLOOKUP(B128,SDÖ5!$U$26:$X$37,SDÖ5!$U$23,FALSE)),0,(VLOOKUP(B128,SDÖ5!$U$26:$X$37,SDÖ5!$U$23,FALSE)))</f>
        <v>0</v>
      </c>
      <c r="L128" s="33"/>
      <c r="N128" s="2391" t="str">
        <f>SDÖ3!C73</f>
        <v>Legemaschine mit starrem Bunker 4 r (Kartoffel)</v>
      </c>
      <c r="P128" s="2534"/>
    </row>
    <row r="129" spans="2:16">
      <c r="B129" s="622">
        <v>7</v>
      </c>
      <c r="C129" s="33" t="str">
        <f>SDÖ5!C12</f>
        <v>Bac.thureng. tenebrionis (je Anw.)</v>
      </c>
      <c r="E129" s="2533">
        <f>IF(ISNA(VLOOKUP(B129,SDÖ5!$U$26:$X$37,SDÖ5!$U$23,FALSE)),0,(VLOOKUP(B129,SDÖ5!$U$26:$X$37,SDÖ5!$U$23,FALSE)))</f>
        <v>0</v>
      </c>
      <c r="L129" s="33"/>
      <c r="N129" s="2391" t="str">
        <f>SDÖ3!C74</f>
        <v>Legemaschine mit Kippbunker 4 r (Kartoffel)</v>
      </c>
      <c r="P129" s="2534"/>
    </row>
    <row r="130" spans="2:16">
      <c r="B130" s="622">
        <v>8</v>
      </c>
      <c r="C130" s="33" t="str">
        <f>SDÖ5!C13</f>
        <v>Eisen-III-Phosphat</v>
      </c>
      <c r="E130" s="2533">
        <f>IF(ISNA(VLOOKUP(B130,SDÖ5!$U$26:$X$37,SDÖ5!$U$23,FALSE)),0,(VLOOKUP(B130,SDÖ5!$U$26:$X$37,SDÖ5!$U$23,FALSE)))</f>
        <v>0</v>
      </c>
      <c r="L130" s="33"/>
      <c r="N130" s="2391" t="str">
        <f>SDÖ3!C75</f>
        <v>Häufeln 4 r, Vorauflauf (Kartoffel)</v>
      </c>
      <c r="P130" s="2534"/>
    </row>
    <row r="131" spans="2:16">
      <c r="B131" s="622">
        <v>9</v>
      </c>
      <c r="C131" s="33">
        <f>SDÖ5!C14</f>
        <v>0</v>
      </c>
      <c r="E131" s="2533">
        <f>IF(ISNA(VLOOKUP(B131,SDÖ5!$U$26:$X$37,SDÖ5!$U$23,FALSE)),0,(VLOOKUP(B131,SDÖ5!$U$26:$X$37,SDÖ5!$U$23,FALSE)))</f>
        <v>0</v>
      </c>
      <c r="L131" s="33"/>
      <c r="N131" s="2391" t="str">
        <f>SDÖ3!C76</f>
        <v>Hacken Nachauflauf 4 r</v>
      </c>
      <c r="P131" s="2534"/>
    </row>
    <row r="132" spans="2:16">
      <c r="B132" s="622">
        <v>10</v>
      </c>
      <c r="C132" s="33">
        <f>SDÖ5!C15</f>
        <v>0</v>
      </c>
      <c r="E132" s="2533">
        <f>IF(ISNA(VLOOKUP(B132,SDÖ5!$U$26:$X$37,SDÖ5!$U$23,FALSE)),0,(VLOOKUP(B132,SDÖ5!$U$26:$X$37,SDÖ5!$U$23,FALSE)))</f>
        <v>0</v>
      </c>
      <c r="L132" s="33"/>
      <c r="N132" s="2391" t="e">
        <f>SDÖ3!#REF!</f>
        <v>#REF!</v>
      </c>
      <c r="P132" s="2534"/>
    </row>
    <row r="133" spans="2:16">
      <c r="B133" s="622">
        <v>11</v>
      </c>
      <c r="C133" s="33" t="str">
        <f>SDÖ5!C16</f>
        <v>Düngemittel</v>
      </c>
      <c r="E133" s="2533">
        <f>IF(ISNA(VLOOKUP(B133,SDÖ5!$U$26:$X$37,SDÖ5!$U$23,FALSE)),0,(VLOOKUP(B133,SDÖ5!$U$26:$X$37,SDÖ5!$U$23,FALSE)))</f>
        <v>0</v>
      </c>
      <c r="L133" s="33"/>
      <c r="N133" s="2391" t="str">
        <f>SDÖ3!C77</f>
        <v>Häufeln 4 r, Nachauflauf (Kartoffel)</v>
      </c>
      <c r="P133" s="2534"/>
    </row>
    <row r="134" spans="2:16">
      <c r="B134" s="622">
        <v>12</v>
      </c>
      <c r="C134" s="33" t="e">
        <f>SDÖ5!#REF!</f>
        <v>#REF!</v>
      </c>
      <c r="E134" s="2533">
        <f>IF(ISNA(VLOOKUP(B134,SDÖ5!$U$26:$X$37,SDÖ5!$U$23,FALSE)),0,(VLOOKUP(B134,SDÖ5!$U$26:$X$37,SDÖ5!$U$23,FALSE)))</f>
        <v>0</v>
      </c>
      <c r="L134" s="33"/>
      <c r="N134" s="2391" t="str">
        <f>SDÖ3!C91</f>
        <v>Hanfstroh Transport 15 km</v>
      </c>
    </row>
    <row r="135" spans="2:16">
      <c r="B135" s="622">
        <v>13</v>
      </c>
      <c r="C135" s="33" t="e">
        <f>SDÖ5!#REF!</f>
        <v>#REF!</v>
      </c>
      <c r="E135" s="2533">
        <f>IF(ISNA(VLOOKUP(B135,SDÖ5!$U$26:$X$37,SDÖ5!$U$23,FALSE)),0,(VLOOKUP(B135,SDÖ5!$U$26:$X$37,SDÖ5!$U$23,FALSE)))</f>
        <v>0</v>
      </c>
      <c r="L135" s="33"/>
      <c r="N135" s="2391" t="str">
        <f>SDÖ3!C92</f>
        <v>Hanfstroh Transport/ein-/auslag.</v>
      </c>
    </row>
    <row r="136" spans="2:16">
      <c r="B136" s="622">
        <v>14</v>
      </c>
      <c r="C136" s="33" t="e">
        <f>SDÖ5!#REF!</f>
        <v>#REF!</v>
      </c>
      <c r="E136" s="2533">
        <f>IF(ISNA(VLOOKUP(B136,SDÖ5!$U$26:$X$37,SDÖ5!$U$23,FALSE)),0,(VLOOKUP(B136,SDÖ5!$U$26:$X$37,SDÖ5!$U$23,FALSE)))</f>
        <v>0</v>
      </c>
      <c r="L136" s="33"/>
      <c r="N136" s="2391">
        <f>SDÖ3!C93</f>
        <v>0</v>
      </c>
    </row>
    <row r="137" spans="2:16">
      <c r="B137" s="622">
        <v>15</v>
      </c>
      <c r="C137" s="33"/>
      <c r="E137" s="2533">
        <f>IF(ISNA(VLOOKUP(B137,SDÖ5!$U$26:$X$37,SDÖ5!$U$23,FALSE)),0,(VLOOKUP(B137,SDÖ5!$U$26:$X$37,SDÖ5!$U$23,FALSE)))</f>
        <v>0</v>
      </c>
      <c r="L137" s="33"/>
      <c r="N137" s="2391" t="str">
        <f>SDÖ3!C94</f>
        <v>Handakh Feld Möhren</v>
      </c>
    </row>
    <row r="138" spans="2:16">
      <c r="B138" s="622">
        <v>16</v>
      </c>
      <c r="C138" s="33"/>
      <c r="E138" s="2533">
        <f>IF(ISNA(VLOOKUP(B138,SDÖ5!$U$26:$X$37,SDÖ5!$U$23,FALSE)),0,(VLOOKUP(B138,SDÖ5!$U$26:$X$37,SDÖ5!$U$23,FALSE)))</f>
        <v>0</v>
      </c>
      <c r="L138" s="33"/>
      <c r="N138" s="2391" t="str">
        <f>SDÖ3!C96</f>
        <v>Handakh Feld sonstige Kultur</v>
      </c>
    </row>
    <row r="139" spans="2:16">
      <c r="B139" s="622"/>
      <c r="C139" s="33"/>
      <c r="L139" s="33"/>
      <c r="N139" s="2391" t="str">
        <f>SDÖ3!C99</f>
        <v>Handakh Aufbereitung sonstige Kultur</v>
      </c>
    </row>
    <row r="140" spans="2:16">
      <c r="B140" s="622"/>
      <c r="C140" s="33"/>
      <c r="L140" s="33"/>
      <c r="N140" s="2391">
        <f>SDÖ3!C100</f>
        <v>0</v>
      </c>
    </row>
    <row r="141" spans="2:16">
      <c r="B141" s="622"/>
      <c r="C141" s="33"/>
      <c r="L141" s="33"/>
      <c r="N141" s="2391">
        <f>SDÖ3!C101</f>
        <v>0</v>
      </c>
    </row>
    <row r="142" spans="2:16">
      <c r="B142" s="622"/>
      <c r="C142" s="33" t="str">
        <f ca="1">MID(CELL("Dateiname",$A$1),FIND("]",CELL("Dateiname",$A$1))+1,31)</f>
        <v>TE6</v>
      </c>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c r="L149" s="33"/>
    </row>
    <row r="150" spans="2:12">
      <c r="B150" s="622"/>
      <c r="C150" s="33"/>
      <c r="L150" s="33"/>
    </row>
    <row r="151" spans="2:12">
      <c r="B151" s="622"/>
      <c r="C151" s="33"/>
      <c r="L151" s="33"/>
    </row>
    <row r="152" spans="2:12">
      <c r="B152" s="622"/>
      <c r="C152" s="33"/>
    </row>
    <row r="153" spans="2:12">
      <c r="B153" s="622"/>
      <c r="C153" s="33"/>
    </row>
    <row r="154" spans="2:12">
      <c r="B154" s="622"/>
      <c r="C154" s="33"/>
    </row>
    <row r="155" spans="2:12">
      <c r="B155" s="622"/>
      <c r="C155" s="33"/>
    </row>
    <row r="156" spans="2:12">
      <c r="B156" s="622"/>
      <c r="C156" s="33"/>
      <c r="H156" s="1929"/>
      <c r="J156" s="2389"/>
    </row>
    <row r="157" spans="2:12">
      <c r="B157" s="622"/>
      <c r="C157" s="33"/>
      <c r="H157" s="1929"/>
      <c r="J157" s="2389"/>
    </row>
    <row r="158" spans="2:12">
      <c r="B158" s="622"/>
      <c r="C158" s="33"/>
      <c r="H158" s="1929"/>
      <c r="J158" s="2389"/>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c r="D162" s="33"/>
      <c r="F162" s="33"/>
      <c r="G162" s="33"/>
      <c r="H162" s="33"/>
      <c r="I162" s="33"/>
      <c r="J162" s="33"/>
      <c r="K162" s="33"/>
    </row>
    <row r="163" spans="2:11">
      <c r="B163" s="622"/>
      <c r="C163" s="33"/>
      <c r="D163" s="33"/>
      <c r="F163" s="33"/>
      <c r="G163" s="33"/>
      <c r="H163" s="33"/>
      <c r="I163" s="33"/>
      <c r="J163" s="33"/>
      <c r="K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row r="211" spans="2:3">
      <c r="B211" s="622"/>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1"/>
  <headerFooter alignWithMargins="0">
    <oddFooter>&amp;L&amp;11LEL Schwäbisch Gmünd&amp;C52&amp;R&amp;11&amp;F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88" r:id="rId4" name="Check Box 16">
              <controlPr defaultSize="0" autoFill="0" autoLine="0" autoPict="0">
                <anchor moveWithCells="1">
                  <from>
                    <xdr:col>18</xdr:col>
                    <xdr:colOff>266700</xdr:colOff>
                    <xdr:row>1</xdr:row>
                    <xdr:rowOff>257175</xdr:rowOff>
                  </from>
                  <to>
                    <xdr:col>18</xdr:col>
                    <xdr:colOff>523875</xdr:colOff>
                    <xdr:row>2</xdr:row>
                    <xdr:rowOff>180975</xdr:rowOff>
                  </to>
                </anchor>
              </controlPr>
            </control>
          </mc:Choice>
        </mc:AlternateContent>
        <mc:AlternateContent xmlns:mc="http://schemas.openxmlformats.org/markup-compatibility/2006">
          <mc:Choice Requires="x14">
            <control shapeId="105489" r:id="rId5" name="Check Box 17">
              <controlPr defaultSize="0" autoFill="0" autoLine="0" autoPict="0">
                <anchor moveWithCells="1">
                  <from>
                    <xdr:col>18</xdr:col>
                    <xdr:colOff>247650</xdr:colOff>
                    <xdr:row>1</xdr:row>
                    <xdr:rowOff>57150</xdr:rowOff>
                  </from>
                  <to>
                    <xdr:col>18</xdr:col>
                    <xdr:colOff>514350</xdr:colOff>
                    <xdr:row>1</xdr:row>
                    <xdr:rowOff>295275</xdr:rowOff>
                  </to>
                </anchor>
              </controlPr>
            </control>
          </mc:Choice>
        </mc:AlternateContent>
        <mc:AlternateContent xmlns:mc="http://schemas.openxmlformats.org/markup-compatibility/2006">
          <mc:Choice Requires="x14">
            <control shapeId="105490"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5491"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5492"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5493"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5495"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5496"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5497"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5498"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5499"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5500"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5501"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5502"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5503"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0">
    <tabColor rgb="FF7030A0"/>
    <pageSetUpPr fitToPage="1"/>
  </sheetPr>
  <dimension ref="A1:AO211"/>
  <sheetViews>
    <sheetView workbookViewId="0">
      <selection activeCell="A5" sqref="A5"/>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8" width="7.25" style="2533" customWidth="1"/>
    <col min="9" max="9" width="8" style="2533" customWidth="1"/>
    <col min="10" max="11" width="7.25" style="2533" customWidth="1"/>
    <col min="12" max="12" width="7.75" style="2533" customWidth="1"/>
    <col min="13" max="14" width="7.25" style="2533" customWidth="1"/>
    <col min="15" max="15" width="8" style="2533" customWidth="1"/>
    <col min="16" max="16" width="7.25" style="2533" customWidth="1"/>
    <col min="17" max="17" width="19.75" style="2533" customWidth="1"/>
    <col min="18"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#REF!</v>
      </c>
      <c r="K1" s="4859" t="e">
        <f>M1-J1</f>
        <v>#REF!</v>
      </c>
      <c r="L1" s="4859"/>
      <c r="M1" s="1906" t="e">
        <f>(M7+M13+M19+M22+L11+L12)-(M23+M27+M34+M43+M63+M59+M68+M70+M72+M76)</f>
        <v>#REF!</v>
      </c>
      <c r="N1" s="4859" t="e">
        <f>P1-M1</f>
        <v>#REF!</v>
      </c>
      <c r="O1" s="4859"/>
      <c r="P1" s="1906" t="e">
        <f>(P7+P13+P19+P22+O11+O12)-(P23+P27+P34+P43+P63+P59+P68+P70+P72+P76)</f>
        <v>#REF!</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1919" t="s">
        <v>1932</v>
      </c>
      <c r="G2" s="1891"/>
      <c r="H2" s="1902"/>
      <c r="K2" s="4978" t="s">
        <v>1937</v>
      </c>
      <c r="L2" s="4978"/>
      <c r="M2" s="4978"/>
      <c r="N2" s="4978"/>
      <c r="O2" s="4978"/>
      <c r="P2" s="4978"/>
      <c r="Q2" s="2507"/>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c r="W3" s="4866" t="s">
        <v>1262</v>
      </c>
      <c r="X3" s="4916"/>
      <c r="Y3" s="4916"/>
      <c r="Z3" s="1901"/>
    </row>
    <row r="4" spans="1:41" s="276" customFormat="1" ht="20.25" customHeight="1">
      <c r="A4" s="2507"/>
      <c r="B4" s="377" t="s">
        <v>1154</v>
      </c>
      <c r="C4" s="2537"/>
      <c r="D4" s="2537"/>
      <c r="E4" s="4830" t="s">
        <v>1706</v>
      </c>
      <c r="F4" s="4830"/>
      <c r="G4" s="4830"/>
      <c r="H4" s="4830"/>
      <c r="I4" s="4830"/>
      <c r="J4" s="4866" t="s">
        <v>1250</v>
      </c>
      <c r="K4" s="4916"/>
      <c r="L4" s="4916"/>
      <c r="M4" s="2522"/>
      <c r="N4" s="4872"/>
      <c r="O4" s="4872"/>
      <c r="P4" s="1896">
        <f>SDÖ1!O3</f>
        <v>0</v>
      </c>
      <c r="Q4" s="2507"/>
      <c r="T4" s="1918" t="b">
        <v>0</v>
      </c>
      <c r="W4" s="4866" t="s">
        <v>1250</v>
      </c>
      <c r="X4" s="4916"/>
      <c r="Y4" s="4916"/>
      <c r="Z4" s="2522"/>
    </row>
    <row r="5" spans="1:41" ht="6" customHeight="1" thickBot="1"/>
    <row r="6" spans="1:41" s="1885" customFormat="1" ht="24" customHeight="1">
      <c r="A6" s="48"/>
      <c r="B6" s="3013" t="s">
        <v>1207</v>
      </c>
      <c r="C6" s="3012"/>
      <c r="D6" s="3012"/>
      <c r="E6" s="3012"/>
      <c r="F6" s="3012"/>
      <c r="G6" s="3011" t="s">
        <v>1700</v>
      </c>
      <c r="H6" s="4972"/>
      <c r="I6" s="4973"/>
      <c r="J6" s="2504">
        <v>1</v>
      </c>
      <c r="K6" s="4974"/>
      <c r="L6" s="4975"/>
      <c r="M6" s="2504">
        <v>1</v>
      </c>
      <c r="N6" s="4976"/>
      <c r="O6" s="4977"/>
      <c r="P6" s="2503">
        <f>M6*1.25</f>
        <v>1.25</v>
      </c>
      <c r="Q6" s="70"/>
      <c r="R6" s="1885" t="s">
        <v>1936</v>
      </c>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c r="H9" s="1877">
        <f>J6-H10</f>
        <v>0.75</v>
      </c>
      <c r="I9" s="1873">
        <f>H9*G9</f>
        <v>0</v>
      </c>
      <c r="J9" s="43"/>
      <c r="K9" s="1876">
        <f>M6-K10</f>
        <v>0.75</v>
      </c>
      <c r="L9" s="1875">
        <f>K9*G9</f>
        <v>0</v>
      </c>
      <c r="M9" s="1854"/>
      <c r="N9" s="1874">
        <f>P6-N10</f>
        <v>0.9375</v>
      </c>
      <c r="O9" s="1873">
        <f>N9*G9</f>
        <v>0</v>
      </c>
      <c r="P9" s="273"/>
      <c r="Q9" s="2533"/>
      <c r="R9" s="935"/>
      <c r="S9" s="265" t="s">
        <v>1265</v>
      </c>
      <c r="T9" s="1872"/>
    </row>
    <row r="10" spans="1:41" s="1842" customFormat="1" ht="15" customHeight="1">
      <c r="A10" s="377"/>
      <c r="B10" s="2120"/>
      <c r="C10" s="281" t="s">
        <v>1689</v>
      </c>
      <c r="D10" s="1851"/>
      <c r="E10" s="4952" t="s">
        <v>1710</v>
      </c>
      <c r="F10" s="4953"/>
      <c r="G10" s="1871"/>
      <c r="H10" s="1866">
        <f>J6*0.25</f>
        <v>0.25</v>
      </c>
      <c r="I10" s="1865">
        <f>H10*G10</f>
        <v>0</v>
      </c>
      <c r="K10" s="1869">
        <f>M6*25%</f>
        <v>0.25</v>
      </c>
      <c r="L10" s="1868">
        <f>K10*G10</f>
        <v>0</v>
      </c>
      <c r="M10" s="1867"/>
      <c r="N10" s="1866">
        <f>P6*25%</f>
        <v>0.3125</v>
      </c>
      <c r="O10" s="1865">
        <f>N10*G10</f>
        <v>0</v>
      </c>
      <c r="P10" s="2500"/>
      <c r="Q10" s="38"/>
      <c r="R10" s="1863">
        <f>I10+I11+I12</f>
        <v>0</v>
      </c>
      <c r="S10" s="1862">
        <f>L10+L11+L12</f>
        <v>0</v>
      </c>
      <c r="T10" s="1861">
        <f>O10+O11+O12</f>
        <v>0</v>
      </c>
      <c r="W10" s="252" t="s">
        <v>1254</v>
      </c>
    </row>
    <row r="11" spans="1:41" s="1842" customFormat="1" ht="15" customHeight="1">
      <c r="A11" s="377"/>
      <c r="B11" s="275"/>
      <c r="C11" s="45" t="s">
        <v>1253</v>
      </c>
      <c r="D11" s="377"/>
      <c r="E11" s="2499">
        <v>0</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38"/>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38"/>
    </row>
    <row r="13" spans="1:41" s="252" customFormat="1" ht="18.75" customHeight="1">
      <c r="A13" s="47"/>
      <c r="B13" s="2417" t="s">
        <v>1688</v>
      </c>
      <c r="C13" s="47"/>
      <c r="D13" s="2498"/>
      <c r="E13" s="2498"/>
      <c r="F13" s="2498"/>
      <c r="G13" s="2497" t="s">
        <v>171</v>
      </c>
      <c r="H13" s="1926"/>
      <c r="I13" s="1823"/>
      <c r="J13" s="1614" t="e">
        <f>SUM(I14:I18)</f>
        <v>#REF!</v>
      </c>
      <c r="K13" s="1927"/>
      <c r="L13" s="1825"/>
      <c r="M13" s="1617" t="e">
        <f>SUM(L14:L18)</f>
        <v>#REF!</v>
      </c>
      <c r="N13" s="1926"/>
      <c r="O13" s="1823"/>
      <c r="P13" s="2415" t="e">
        <f>SUM(O14:O18)</f>
        <v>#REF!</v>
      </c>
      <c r="Q13" s="2533"/>
      <c r="R13" s="136"/>
      <c r="W13" s="1840" t="s">
        <v>1247</v>
      </c>
      <c r="X13" s="1838" t="str">
        <f>IF(OR(T3=TRUE,T4=TRUE),J6*$E$11,"0")</f>
        <v>0</v>
      </c>
      <c r="Y13" s="1839" t="str">
        <f>IF(OR(T3=TRUE,T4=TRUE),M6*$E$11,"0")</f>
        <v>0</v>
      </c>
      <c r="Z13" s="1838" t="str">
        <f>IF(OR(T3=TRUE,T4=TRUE),P6*$E$11,"0")</f>
        <v>0</v>
      </c>
    </row>
    <row r="14" spans="1:41" s="42" customFormat="1" ht="15" customHeight="1">
      <c r="A14" s="45"/>
      <c r="B14" s="2495"/>
      <c r="C14" s="4944" t="s">
        <v>1422</v>
      </c>
      <c r="D14" s="4944"/>
      <c r="E14" s="4944"/>
      <c r="F14" s="4944"/>
      <c r="G14" s="1837"/>
      <c r="H14" s="2531"/>
      <c r="I14" s="1817" t="e">
        <f>IF(R14=TRUE,Q14,0)</f>
        <v>#REF!</v>
      </c>
      <c r="K14" s="2531"/>
      <c r="L14" s="1671" t="e">
        <f>IF(S14=TRUE,Q14,0)</f>
        <v>#REF!</v>
      </c>
      <c r="M14" s="2404"/>
      <c r="N14" s="2531"/>
      <c r="O14" s="1817" t="e">
        <f>IF(T14=TRUE,Q14,0)</f>
        <v>#REF!</v>
      </c>
      <c r="P14" s="2403"/>
      <c r="Q14" s="1835" t="e">
        <f>IF(C14=0,0,VLOOKUP(C14,#REF!,10,FALSE))</f>
        <v>#REF!</v>
      </c>
      <c r="R14" s="1925" t="b">
        <v>1</v>
      </c>
      <c r="S14" s="1924" t="b">
        <v>1</v>
      </c>
      <c r="T14" s="1923" t="b">
        <v>1</v>
      </c>
      <c r="W14" s="42" t="s">
        <v>246</v>
      </c>
      <c r="X14" s="1834">
        <f>$X$13*F30</f>
        <v>0</v>
      </c>
      <c r="Y14" s="1834">
        <f>$Y$13*F30</f>
        <v>0</v>
      </c>
      <c r="Z14" s="1834">
        <f>$Z$13*F30</f>
        <v>0</v>
      </c>
    </row>
    <row r="15" spans="1:41" s="42" customFormat="1" ht="15" customHeight="1">
      <c r="A15" s="45"/>
      <c r="B15" s="2495"/>
      <c r="C15" s="4944"/>
      <c r="D15" s="4944"/>
      <c r="E15" s="4944"/>
      <c r="F15" s="4944"/>
      <c r="G15" s="1837"/>
      <c r="H15" s="2531"/>
      <c r="I15" s="1817">
        <f>IF(R15=TRUE,Q15,0)</f>
        <v>0</v>
      </c>
      <c r="J15" s="64"/>
      <c r="K15" s="2531"/>
      <c r="L15" s="1671">
        <f>IF(S15=TRUE,Q15,0)</f>
        <v>0</v>
      </c>
      <c r="M15" s="2404"/>
      <c r="N15" s="2531"/>
      <c r="O15" s="1817">
        <f>IF(T15=TRUE,Q15,0)</f>
        <v>0</v>
      </c>
      <c r="P15" s="2403"/>
      <c r="Q15" s="1835">
        <f>IF(C15=0,0,VLOOKUP(C15,#REF!,10,FALSE))</f>
        <v>0</v>
      </c>
      <c r="R15" s="1922" t="b">
        <v>0</v>
      </c>
      <c r="S15" s="1918" t="b">
        <v>0</v>
      </c>
      <c r="T15" s="1921" t="b">
        <v>0</v>
      </c>
      <c r="W15" s="42" t="s">
        <v>1054</v>
      </c>
      <c r="X15" s="1834">
        <f>$X$13*F31</f>
        <v>0</v>
      </c>
      <c r="Y15" s="1834">
        <f>$Y$13*F31</f>
        <v>0</v>
      </c>
      <c r="Z15" s="1834">
        <f>$Z$13*F31</f>
        <v>0</v>
      </c>
    </row>
    <row r="16" spans="1:41" s="42" customFormat="1" ht="15" customHeight="1">
      <c r="A16" s="45"/>
      <c r="B16" s="2495">
        <v>0</v>
      </c>
      <c r="C16" s="4944">
        <v>0</v>
      </c>
      <c r="D16" s="4944"/>
      <c r="E16" s="4944"/>
      <c r="F16" s="4944"/>
      <c r="G16" s="1837"/>
      <c r="H16" s="2531"/>
      <c r="I16" s="1817">
        <f>IF(R16=TRUE,Q16,0)</f>
        <v>0</v>
      </c>
      <c r="K16" s="2531"/>
      <c r="L16" s="1671">
        <f>IF(S16=TRUE,Q16,0)</f>
        <v>0</v>
      </c>
      <c r="M16" s="2404"/>
      <c r="N16" s="2531"/>
      <c r="O16" s="1817">
        <f>IF(T16=TRUE,Q16,0)</f>
        <v>0</v>
      </c>
      <c r="P16" s="2403"/>
      <c r="Q16" s="1835">
        <f>IF(C16=0,0,VLOOKUP(C16,#REF!,10,FALSE))</f>
        <v>0</v>
      </c>
      <c r="R16" s="1922" t="b">
        <v>0</v>
      </c>
      <c r="S16" s="1918" t="b">
        <v>0</v>
      </c>
      <c r="T16" s="1921" t="b">
        <v>0</v>
      </c>
      <c r="W16" s="42" t="s">
        <v>1053</v>
      </c>
      <c r="X16" s="1834">
        <f>$X$13*F32</f>
        <v>0</v>
      </c>
      <c r="Y16" s="1834">
        <f>$Y$13*F32</f>
        <v>0</v>
      </c>
      <c r="Z16" s="1834">
        <f>$Z$13*F32</f>
        <v>0</v>
      </c>
    </row>
    <row r="17" spans="1:26" s="42" customFormat="1" ht="15" customHeight="1">
      <c r="A17" s="45"/>
      <c r="B17" s="2495"/>
      <c r="C17" s="4944">
        <v>0</v>
      </c>
      <c r="D17" s="4944"/>
      <c r="E17" s="4944"/>
      <c r="F17" s="4944"/>
      <c r="G17" s="1837"/>
      <c r="H17" s="2531"/>
      <c r="I17" s="1817">
        <f>IF(R17=TRUE,Q17,0)</f>
        <v>0</v>
      </c>
      <c r="K17" s="2531"/>
      <c r="L17" s="1671">
        <f>IF(S17=TRUE,Q17,0)</f>
        <v>0</v>
      </c>
      <c r="M17" s="2404"/>
      <c r="N17" s="2531"/>
      <c r="O17" s="1817">
        <f>IF(T17=TRUE,Q17,0)</f>
        <v>0</v>
      </c>
      <c r="P17" s="2403"/>
      <c r="Q17" s="1835">
        <f>IF(C17=0,0,VLOOKUP(C17,#REF!,10,FALSE))</f>
        <v>0</v>
      </c>
      <c r="R17" s="1922" t="b">
        <v>0</v>
      </c>
      <c r="S17" s="1918" t="b">
        <v>0</v>
      </c>
      <c r="T17" s="1921" t="b">
        <v>0</v>
      </c>
      <c r="W17" s="42" t="s">
        <v>240</v>
      </c>
      <c r="X17" s="1834">
        <f>$X$13*F33</f>
        <v>0</v>
      </c>
      <c r="Y17" s="1834">
        <f>$Y$13*F33</f>
        <v>0</v>
      </c>
      <c r="Z17" s="1834">
        <f>$Z$13*F33</f>
        <v>0</v>
      </c>
    </row>
    <row r="18" spans="1:26" s="42" customFormat="1" ht="15" customHeight="1">
      <c r="A18" s="45"/>
      <c r="B18" s="2429"/>
      <c r="C18" s="1833"/>
      <c r="D18" s="281"/>
      <c r="E18" s="281"/>
      <c r="F18" s="281"/>
      <c r="G18" s="1812"/>
      <c r="H18" s="1829"/>
      <c r="I18" s="1832">
        <f>IF($R18=TRUE,IF(G18=0,0,LOOKUP($G$18,#REF!)),0)</f>
        <v>0</v>
      </c>
      <c r="J18" s="281"/>
      <c r="K18" s="1829"/>
      <c r="L18" s="1831">
        <f>IF($S18=TRUE,IF(G18=0,0,LOOKUP($G$18,#REF!)),0)</f>
        <v>0</v>
      </c>
      <c r="M18" s="1830"/>
      <c r="N18" s="1829"/>
      <c r="O18" s="1828">
        <f>IF($T18=TRUE,IF(G18=0,0,LOOKUP($G$18,#REF!)),0)</f>
        <v>0</v>
      </c>
      <c r="P18" s="3010"/>
      <c r="Q18" s="1835">
        <f>IF(C18=0,0,VLOOKUP(C18,#REF!,10,FALSE))</f>
        <v>0</v>
      </c>
      <c r="R18" s="3009" t="b">
        <v>0</v>
      </c>
      <c r="S18" s="3008" t="b">
        <v>0</v>
      </c>
      <c r="T18" s="1893" t="b">
        <v>0</v>
      </c>
    </row>
    <row r="19" spans="1:26" s="2532" customFormat="1" ht="18.75" customHeight="1">
      <c r="A19" s="47"/>
      <c r="B19" s="2417" t="s">
        <v>1687</v>
      </c>
      <c r="C19" s="47"/>
      <c r="D19" s="47"/>
      <c r="E19" s="47"/>
      <c r="F19" s="47"/>
      <c r="G19" s="229" t="s">
        <v>171</v>
      </c>
      <c r="H19" s="1824"/>
      <c r="I19" s="1823"/>
      <c r="J19" s="1614" t="e">
        <f>SUM(I20:I21)</f>
        <v>#REF!</v>
      </c>
      <c r="K19" s="1826"/>
      <c r="L19" s="1825"/>
      <c r="M19" s="1617" t="e">
        <f>SUM(L20:L21)</f>
        <v>#REF!</v>
      </c>
      <c r="N19" s="1824"/>
      <c r="O19" s="1823"/>
      <c r="P19" s="2415" t="e">
        <f>SUM(O20:O21)</f>
        <v>#REF!</v>
      </c>
      <c r="Q19" s="2533"/>
      <c r="R19" s="715" t="s">
        <v>1245</v>
      </c>
      <c r="S19" s="376"/>
      <c r="T19" s="1822"/>
    </row>
    <row r="20" spans="1:26" s="42" customFormat="1" ht="15" customHeight="1">
      <c r="A20" s="45"/>
      <c r="B20" s="2495"/>
      <c r="C20" s="4944" t="s">
        <v>286</v>
      </c>
      <c r="D20" s="4944"/>
      <c r="E20" s="4944"/>
      <c r="F20" s="4944"/>
      <c r="G20" s="1820"/>
      <c r="H20" s="1818"/>
      <c r="I20" s="1817" t="e">
        <f>IF(OR($C20=0,$J$6=0),0,VLOOKUP($C20,#REF!,10,FALSE))</f>
        <v>#REF!</v>
      </c>
      <c r="K20" s="1819"/>
      <c r="L20" s="1671" t="e">
        <f>IF($C20=0,0,VLOOKUP($C20,#REF!,10,FALSE))</f>
        <v>#REF!</v>
      </c>
      <c r="M20" s="2404"/>
      <c r="N20" s="1818"/>
      <c r="O20" s="1817" t="e">
        <f>IF(OR($C20=0,$P$6=0),0,VLOOKUP($C20,#REF!,10,FALSE))</f>
        <v>#REF!</v>
      </c>
      <c r="P20" s="2403"/>
      <c r="Q20" s="2533"/>
      <c r="R20" s="1816" t="e">
        <f>J13+J19</f>
        <v>#REF!</v>
      </c>
      <c r="S20" s="1815" t="e">
        <f>M13+M19</f>
        <v>#REF!</v>
      </c>
      <c r="T20" s="1814" t="e">
        <f>P13+P19</f>
        <v>#REF!</v>
      </c>
    </row>
    <row r="21" spans="1:26" s="42" customFormat="1" ht="0.75" customHeight="1">
      <c r="A21" s="45"/>
      <c r="B21" s="2494"/>
      <c r="C21" s="4945"/>
      <c r="D21" s="4945"/>
      <c r="E21" s="4945"/>
      <c r="F21" s="4945"/>
      <c r="G21" s="1812"/>
      <c r="H21" s="1810"/>
      <c r="I21" s="1809">
        <f>IF(OR($C21=0,$J$6=0),0,VLOOKUP($C21,#REF!,10,FALSE))</f>
        <v>0</v>
      </c>
      <c r="K21" s="1811"/>
      <c r="L21" s="1653">
        <f>IF(OR($C21=0,$M$6=0),0,VLOOKUP($C21,#REF!,10,FALSE))</f>
        <v>0</v>
      </c>
      <c r="M21" s="2404"/>
      <c r="N21" s="1810"/>
      <c r="O21" s="1809">
        <f>IF(OR($C21=0,$P$6=0),0,VLOOKUP($C21,#REF!,10,FALSE))</f>
        <v>0</v>
      </c>
      <c r="P21" s="2427"/>
      <c r="Q21" s="2533"/>
    </row>
    <row r="22" spans="1:26" ht="16.5" customHeight="1">
      <c r="A22" s="377"/>
      <c r="B22" s="2417" t="s">
        <v>901</v>
      </c>
      <c r="C22" s="45"/>
      <c r="D22" s="4946"/>
      <c r="E22" s="4946"/>
      <c r="F22" s="4946"/>
      <c r="G22" s="4947"/>
      <c r="H22" s="1804"/>
      <c r="I22" s="1803"/>
      <c r="J22" s="1802"/>
      <c r="K22" s="1806"/>
      <c r="L22" s="1805"/>
      <c r="M22" s="1802"/>
      <c r="N22" s="1804"/>
      <c r="O22" s="1803"/>
      <c r="P22" s="2493"/>
      <c r="R22" s="2533"/>
      <c r="S22" s="2533"/>
      <c r="T22" s="2533"/>
    </row>
    <row r="23" spans="1:26" ht="18.75" customHeight="1">
      <c r="A23" s="377"/>
      <c r="B23" s="2492" t="s">
        <v>222</v>
      </c>
      <c r="C23" s="1801"/>
      <c r="D23" s="1801"/>
      <c r="G23" s="2476" t="s">
        <v>171</v>
      </c>
      <c r="H23" s="1616"/>
      <c r="I23" s="1615"/>
      <c r="J23" s="1599">
        <f>SUM(I25:I26)</f>
        <v>0</v>
      </c>
      <c r="K23" s="1619"/>
      <c r="L23" s="1618"/>
      <c r="M23" s="1800">
        <f>SUM(L25:L26)</f>
        <v>0</v>
      </c>
      <c r="N23" s="1616"/>
      <c r="O23" s="1615"/>
      <c r="P23" s="2406">
        <f>SUM(O25:O26)</f>
        <v>0</v>
      </c>
    </row>
    <row r="24" spans="1:26" ht="13.15" customHeight="1">
      <c r="A24" s="377"/>
      <c r="B24" s="2491"/>
      <c r="C24" s="1612" t="s">
        <v>1212</v>
      </c>
      <c r="D24" s="1683">
        <f>SDÖ1!$O$10</f>
        <v>0</v>
      </c>
      <c r="E24" s="2490"/>
      <c r="F24" s="2411" t="s">
        <v>249</v>
      </c>
      <c r="G24" s="2434" t="s">
        <v>1211</v>
      </c>
      <c r="H24" s="2481" t="s">
        <v>1232</v>
      </c>
      <c r="I24" s="2407" t="s">
        <v>171</v>
      </c>
      <c r="J24" s="2489"/>
      <c r="K24" s="2483" t="s">
        <v>1232</v>
      </c>
      <c r="L24" s="2409" t="s">
        <v>171</v>
      </c>
      <c r="M24" s="2488"/>
      <c r="N24" s="2481" t="s">
        <v>1232</v>
      </c>
      <c r="O24" s="2407" t="s">
        <v>171</v>
      </c>
      <c r="P24" s="2471"/>
    </row>
    <row r="25" spans="1:26" s="42" customFormat="1" ht="15" customHeight="1">
      <c r="A25" s="1306"/>
      <c r="B25" s="2487"/>
      <c r="C25" s="1306" t="s">
        <v>1241</v>
      </c>
      <c r="D25" s="4851"/>
      <c r="E25" s="4852"/>
      <c r="F25" s="1795"/>
      <c r="G25" s="1794">
        <f>F25*(100+$D$24)/100</f>
        <v>0</v>
      </c>
      <c r="H25" s="1793"/>
      <c r="I25" s="1754">
        <f>H25*$G25</f>
        <v>0</v>
      </c>
      <c r="K25" s="1793"/>
      <c r="L25" s="1596">
        <f>K25*$G25</f>
        <v>0</v>
      </c>
      <c r="M25" s="2404"/>
      <c r="N25" s="1793"/>
      <c r="O25" s="1754">
        <f>N25*$G25</f>
        <v>0</v>
      </c>
      <c r="P25" s="2449"/>
      <c r="Q25" s="2533"/>
    </row>
    <row r="26" spans="1:26" s="42" customFormat="1" ht="15" customHeight="1">
      <c r="A26" s="1306"/>
      <c r="B26" s="2419"/>
      <c r="C26" s="2508" t="s">
        <v>191</v>
      </c>
      <c r="D26" s="4853"/>
      <c r="E26" s="4854"/>
      <c r="F26" s="1791"/>
      <c r="G26" s="1790">
        <f>F26*(100+$D$24)/100</f>
        <v>0</v>
      </c>
      <c r="H26" s="1789"/>
      <c r="I26" s="1750">
        <f>H26*$G26</f>
        <v>0</v>
      </c>
      <c r="K26" s="1789"/>
      <c r="L26" s="1590">
        <f>K26*$G26</f>
        <v>0</v>
      </c>
      <c r="M26" s="2404"/>
      <c r="N26" s="1789"/>
      <c r="O26" s="1750">
        <f>N26*$G26</f>
        <v>0</v>
      </c>
      <c r="P26" s="2466"/>
      <c r="Q26" s="2533"/>
    </row>
    <row r="27" spans="1:26" s="2532" customFormat="1" ht="18.75" customHeight="1">
      <c r="A27" s="1270"/>
      <c r="B27" s="2465" t="s">
        <v>221</v>
      </c>
      <c r="C27" s="1270"/>
      <c r="D27" s="2486" t="str">
        <f>IF(SDÖ1!U17=FALSE,"(Nährstoffabfuhr nicht bewertet)","(Nährstoffabfuhr bewertet)")</f>
        <v>(Nährstoffabfuhr bewertet)</v>
      </c>
      <c r="E27" s="2533"/>
      <c r="F27" s="2533"/>
      <c r="G27" s="2476" t="s">
        <v>171</v>
      </c>
      <c r="H27" s="1746"/>
      <c r="I27" s="1745"/>
      <c r="J27" s="1614">
        <f>SUM(I30:I33)</f>
        <v>0</v>
      </c>
      <c r="K27" s="1748"/>
      <c r="L27" s="1747"/>
      <c r="M27" s="1617">
        <f>SUM(L30:L33)</f>
        <v>0</v>
      </c>
      <c r="N27" s="1746"/>
      <c r="O27" s="1745"/>
      <c r="P27" s="2415">
        <f>SUM(O30:O33)</f>
        <v>0</v>
      </c>
      <c r="Q27" s="2533"/>
    </row>
    <row r="28" spans="1:26" s="2532" customFormat="1" ht="13.7" customHeight="1">
      <c r="A28" s="1270"/>
      <c r="B28" s="2459"/>
      <c r="C28" s="2535"/>
      <c r="D28" s="1786" t="s">
        <v>1075</v>
      </c>
      <c r="E28" s="1786" t="s">
        <v>1239</v>
      </c>
      <c r="F28" s="1786" t="s">
        <v>1239</v>
      </c>
      <c r="G28" s="1785" t="s">
        <v>1238</v>
      </c>
      <c r="H28" s="1745"/>
      <c r="I28" s="1782"/>
      <c r="J28" s="2536"/>
      <c r="K28" s="1748"/>
      <c r="L28" s="1678"/>
      <c r="M28" s="1783"/>
      <c r="N28" s="1746"/>
      <c r="O28" s="1782"/>
      <c r="P28" s="2406"/>
      <c r="Q28" s="2533"/>
    </row>
    <row r="29" spans="1:26" s="2532" customFormat="1" ht="15" customHeight="1">
      <c r="A29" s="1270"/>
      <c r="B29" s="2485"/>
      <c r="C29" s="1307" t="s">
        <v>1237</v>
      </c>
      <c r="D29" s="2412" t="s">
        <v>908</v>
      </c>
      <c r="E29" s="2412" t="s">
        <v>1236</v>
      </c>
      <c r="F29" s="2412" t="s">
        <v>1235</v>
      </c>
      <c r="G29" s="2412" t="s">
        <v>909</v>
      </c>
      <c r="H29" s="2481" t="s">
        <v>909</v>
      </c>
      <c r="I29" s="2407" t="s">
        <v>171</v>
      </c>
      <c r="J29" s="2484"/>
      <c r="K29" s="2483" t="s">
        <v>909</v>
      </c>
      <c r="L29" s="2409" t="s">
        <v>171</v>
      </c>
      <c r="M29" s="2482"/>
      <c r="N29" s="2481" t="s">
        <v>909</v>
      </c>
      <c r="O29" s="2407" t="s">
        <v>171</v>
      </c>
      <c r="P29" s="2480"/>
      <c r="Q29" s="2533"/>
    </row>
    <row r="30" spans="1:26" s="42" customFormat="1" ht="15" customHeight="1">
      <c r="A30" s="1306"/>
      <c r="B30" s="2479"/>
      <c r="C30" s="1775" t="s">
        <v>246</v>
      </c>
      <c r="D30" s="1723">
        <f>IF(SDÖ1!$U$17=TRUE,SDÖ1!O55,0)</f>
        <v>4.5333333333333332</v>
      </c>
      <c r="E30" s="2478"/>
      <c r="F30" s="2478"/>
      <c r="G30" s="1773"/>
      <c r="H30" s="1771">
        <f>IF(J$6=0,0,(J$6*$E30+$G30+X14))</f>
        <v>0</v>
      </c>
      <c r="I30" s="1754">
        <f>H30*$D30</f>
        <v>0</v>
      </c>
      <c r="K30" s="1772">
        <f>IF(M$6=0,0,(M$6*$E30+$G30+Y14))</f>
        <v>0</v>
      </c>
      <c r="L30" s="1596">
        <f>K30*$D30</f>
        <v>0</v>
      </c>
      <c r="M30" s="2404"/>
      <c r="N30" s="1771">
        <f>IF(P$6=0,0,(P$6*$E30+$G30+Z14))</f>
        <v>0</v>
      </c>
      <c r="O30" s="1754">
        <f>N30*$D30</f>
        <v>0</v>
      </c>
      <c r="P30" s="2449"/>
      <c r="Q30" s="2533"/>
    </row>
    <row r="31" spans="1:26" s="42" customFormat="1" ht="15" customHeight="1">
      <c r="A31" s="1306"/>
      <c r="B31" s="275"/>
      <c r="C31" s="1306" t="s">
        <v>244</v>
      </c>
      <c r="D31" s="1723">
        <f>IF(SDÖ1!$U$17=TRUE,SDÖ1!O56,0)</f>
        <v>1.3999999999999997</v>
      </c>
      <c r="E31" s="2478"/>
      <c r="F31" s="2478"/>
      <c r="G31" s="1773"/>
      <c r="H31" s="1771">
        <f>IF(J$6=0,0,(J$6*$E31+$G31+X15))</f>
        <v>0</v>
      </c>
      <c r="I31" s="1754">
        <f>H31*$D31</f>
        <v>0</v>
      </c>
      <c r="K31" s="1772">
        <f>IF(M$6=0,0,(M$6*$E31+$G31+Y15))</f>
        <v>0</v>
      </c>
      <c r="L31" s="1596">
        <f>K31*$D31</f>
        <v>0</v>
      </c>
      <c r="M31" s="2404"/>
      <c r="N31" s="1771">
        <f>IF(P$6=0,0,(P$6*$E31+$G31+Z15))</f>
        <v>0</v>
      </c>
      <c r="O31" s="1754">
        <f>N31*$D31</f>
        <v>0</v>
      </c>
      <c r="P31" s="2449"/>
      <c r="Q31" s="2533"/>
    </row>
    <row r="32" spans="1:26" s="42" customFormat="1" ht="15" customHeight="1">
      <c r="A32" s="1306"/>
      <c r="B32" s="275"/>
      <c r="C32" s="1306" t="s">
        <v>242</v>
      </c>
      <c r="D32" s="1723">
        <f>IF(SDÖ1!$U$17=TRUE,SDÖ1!O57,0)</f>
        <v>1.3999999999999997</v>
      </c>
      <c r="E32" s="2478"/>
      <c r="F32" s="2478"/>
      <c r="G32" s="1773"/>
      <c r="H32" s="1771">
        <f>IF(J$6=0,0,(J$6*$E32+$G32+X16))</f>
        <v>0</v>
      </c>
      <c r="I32" s="1754">
        <f>H32*$D32</f>
        <v>0</v>
      </c>
      <c r="K32" s="1772">
        <f>IF(M$6=0,0,(M$6*$E32+$G32+Y16))</f>
        <v>0</v>
      </c>
      <c r="L32" s="1596">
        <f>K32*$D32</f>
        <v>0</v>
      </c>
      <c r="M32" s="2404"/>
      <c r="N32" s="1771">
        <f>IF(P$6=0,0,(P$6*$E32+$G32+Z16))</f>
        <v>0</v>
      </c>
      <c r="O32" s="1754">
        <f>N32*$D32</f>
        <v>0</v>
      </c>
      <c r="P32" s="2449"/>
      <c r="Q32" s="2533"/>
    </row>
    <row r="33" spans="1:17" s="42" customFormat="1" ht="15" customHeight="1">
      <c r="A33" s="1306"/>
      <c r="B33" s="2120"/>
      <c r="C33" s="1331" t="s">
        <v>240</v>
      </c>
      <c r="D33" s="1706">
        <f>IF(SDÖ1!$U$17=TRUE,SDÖ1!O58,0)</f>
        <v>0.5</v>
      </c>
      <c r="E33" s="2477"/>
      <c r="F33" s="2477"/>
      <c r="G33" s="1769"/>
      <c r="H33" s="1767">
        <f>IF(J$6=0,0,(J$6*$E33+$G33+X17))</f>
        <v>0</v>
      </c>
      <c r="I33" s="1750">
        <f>H33*$D33</f>
        <v>0</v>
      </c>
      <c r="K33" s="1768">
        <f>IF(M$6=0,0,(M$6*$E33+$G33+Y17))</f>
        <v>0</v>
      </c>
      <c r="L33" s="1590">
        <f>K33*$D33</f>
        <v>0</v>
      </c>
      <c r="M33" s="2404"/>
      <c r="N33" s="1767">
        <f>IF(P$6=0,0,(P$6*$E33+$G33+Z17))</f>
        <v>0</v>
      </c>
      <c r="O33" s="1750">
        <f>N33*$D33</f>
        <v>0</v>
      </c>
      <c r="P33" s="2466"/>
      <c r="Q33" s="2533"/>
    </row>
    <row r="34" spans="1:17" s="2532" customFormat="1" ht="18.75" customHeight="1">
      <c r="A34" s="1270"/>
      <c r="B34" s="2420" t="s">
        <v>220</v>
      </c>
      <c r="C34" s="1270"/>
      <c r="G34" s="2476" t="s">
        <v>171</v>
      </c>
      <c r="H34" s="1764"/>
      <c r="I34" s="1763"/>
      <c r="J34" s="1614">
        <f>SUM(I36:I42)</f>
        <v>0</v>
      </c>
      <c r="K34" s="1766"/>
      <c r="L34" s="1765"/>
      <c r="M34" s="1617">
        <f>SUM(L36:L42)</f>
        <v>0</v>
      </c>
      <c r="N34" s="1764"/>
      <c r="O34" s="1763"/>
      <c r="P34" s="2415">
        <f>SUM(O36:O42)</f>
        <v>0</v>
      </c>
      <c r="Q34" s="2533"/>
    </row>
    <row r="35" spans="1:17" s="2532" customFormat="1" ht="13.15" customHeight="1">
      <c r="A35" s="1270"/>
      <c r="B35" s="2414"/>
      <c r="C35" s="1612" t="s">
        <v>1212</v>
      </c>
      <c r="D35" s="1683">
        <f>SDÖ1!$O$11</f>
        <v>0</v>
      </c>
      <c r="E35" s="2413"/>
      <c r="F35" s="2411" t="s">
        <v>249</v>
      </c>
      <c r="G35" s="2434" t="s">
        <v>1211</v>
      </c>
      <c r="H35" s="2472" t="s">
        <v>1232</v>
      </c>
      <c r="I35" s="2407" t="s">
        <v>171</v>
      </c>
      <c r="J35" s="2475"/>
      <c r="K35" s="2474" t="s">
        <v>1232</v>
      </c>
      <c r="L35" s="2409" t="s">
        <v>171</v>
      </c>
      <c r="M35" s="2473"/>
      <c r="N35" s="2472" t="s">
        <v>1232</v>
      </c>
      <c r="O35" s="2407" t="s">
        <v>171</v>
      </c>
      <c r="P35" s="2406"/>
      <c r="Q35" s="2533"/>
    </row>
    <row r="36" spans="1:17" s="42" customFormat="1" ht="15" customHeight="1">
      <c r="A36" s="1306"/>
      <c r="B36" s="2405"/>
      <c r="C36" s="4958"/>
      <c r="D36" s="4958"/>
      <c r="E36" s="4959"/>
      <c r="F36" s="1756">
        <f>IF(C36=0,0,VLOOKUP(C36,SDÖ5!$C$6:$D$16,2,FALSE))</f>
        <v>0</v>
      </c>
      <c r="G36" s="1756">
        <f t="shared" ref="G36:G42" si="0">F36*(100+$D$35)/100</f>
        <v>0</v>
      </c>
      <c r="H36" s="2469"/>
      <c r="I36" s="1754">
        <f t="shared" ref="I36:I42" si="1">$G36*H36</f>
        <v>0</v>
      </c>
      <c r="K36" s="2469"/>
      <c r="L36" s="1596">
        <f t="shared" ref="L36:L42" si="2">$G36*K36</f>
        <v>0</v>
      </c>
      <c r="M36" s="2404"/>
      <c r="N36" s="2469"/>
      <c r="O36" s="1754">
        <f t="shared" ref="O36:O42" si="3">$G36*N36</f>
        <v>0</v>
      </c>
      <c r="P36" s="2471"/>
      <c r="Q36" s="2533"/>
    </row>
    <row r="37" spans="1:17" s="42" customFormat="1" ht="15" customHeight="1">
      <c r="A37" s="1306"/>
      <c r="B37" s="2405"/>
      <c r="C37" s="4956"/>
      <c r="D37" s="4956"/>
      <c r="E37" s="4957"/>
      <c r="F37" s="1756">
        <f>IF(C37=0,0,VLOOKUP(C37,SDÖ5!$C$6:$D$16,2,FALSE))</f>
        <v>0</v>
      </c>
      <c r="G37" s="1756">
        <f t="shared" si="0"/>
        <v>0</v>
      </c>
      <c r="H37" s="2469"/>
      <c r="I37" s="1754">
        <f t="shared" si="1"/>
        <v>0</v>
      </c>
      <c r="K37" s="2469"/>
      <c r="L37" s="1596">
        <f t="shared" si="2"/>
        <v>0</v>
      </c>
      <c r="M37" s="2404"/>
      <c r="N37" s="2469"/>
      <c r="O37" s="1754">
        <f t="shared" si="3"/>
        <v>0</v>
      </c>
      <c r="P37" s="2449"/>
      <c r="Q37" s="2533"/>
    </row>
    <row r="38" spans="1:17" s="42" customFormat="1" ht="15" customHeight="1">
      <c r="A38" s="1306"/>
      <c r="B38" s="2470"/>
      <c r="C38" s="4956"/>
      <c r="D38" s="4956"/>
      <c r="E38" s="4957"/>
      <c r="F38" s="1756">
        <f>IF(C38=0,0,VLOOKUP(C38,SDÖ5!$C$6:$D$16,2,FALSE))</f>
        <v>0</v>
      </c>
      <c r="G38" s="1756">
        <f t="shared" si="0"/>
        <v>0</v>
      </c>
      <c r="H38" s="2469"/>
      <c r="I38" s="1754">
        <f t="shared" si="1"/>
        <v>0</v>
      </c>
      <c r="K38" s="2469"/>
      <c r="L38" s="1596">
        <f t="shared" si="2"/>
        <v>0</v>
      </c>
      <c r="M38" s="2404"/>
      <c r="N38" s="2469"/>
      <c r="O38" s="1754">
        <f t="shared" si="3"/>
        <v>0</v>
      </c>
      <c r="P38" s="2449"/>
      <c r="Q38" s="2533"/>
    </row>
    <row r="39" spans="1:17" s="42" customFormat="1" ht="15" hidden="1" customHeight="1">
      <c r="A39" s="1306"/>
      <c r="B39" s="2405"/>
      <c r="C39" s="4956"/>
      <c r="D39" s="4956"/>
      <c r="E39" s="4957"/>
      <c r="F39" s="1756">
        <f>IF(C39=0,0,VLOOKUP(C39,SDÖ5!$C$6:$D$16,2,FALSE))</f>
        <v>0</v>
      </c>
      <c r="G39" s="1756">
        <f t="shared" si="0"/>
        <v>0</v>
      </c>
      <c r="H39" s="2469"/>
      <c r="I39" s="1754">
        <f t="shared" si="1"/>
        <v>0</v>
      </c>
      <c r="K39" s="2469"/>
      <c r="L39" s="1596">
        <f t="shared" si="2"/>
        <v>0</v>
      </c>
      <c r="M39" s="2404"/>
      <c r="N39" s="2469"/>
      <c r="O39" s="1754">
        <f t="shared" si="3"/>
        <v>0</v>
      </c>
      <c r="P39" s="2449"/>
      <c r="Q39" s="2533"/>
    </row>
    <row r="40" spans="1:17" s="42" customFormat="1" ht="15" hidden="1" customHeight="1">
      <c r="A40" s="1306"/>
      <c r="B40" s="2405"/>
      <c r="C40" s="4956"/>
      <c r="D40" s="4956"/>
      <c r="E40" s="4957"/>
      <c r="F40" s="1756">
        <f>IF(C40=0,0,VLOOKUP(C40,SDÖ5!$C$6:$D$16,2,FALSE))</f>
        <v>0</v>
      </c>
      <c r="G40" s="1756">
        <f t="shared" si="0"/>
        <v>0</v>
      </c>
      <c r="H40" s="2469"/>
      <c r="I40" s="1754">
        <f t="shared" si="1"/>
        <v>0</v>
      </c>
      <c r="K40" s="2469"/>
      <c r="L40" s="1596">
        <f t="shared" si="2"/>
        <v>0</v>
      </c>
      <c r="M40" s="2404"/>
      <c r="N40" s="2469"/>
      <c r="O40" s="1754">
        <f t="shared" si="3"/>
        <v>0</v>
      </c>
      <c r="P40" s="2449"/>
      <c r="Q40" s="2533"/>
    </row>
    <row r="41" spans="1:17" s="42" customFormat="1" ht="15" hidden="1" customHeight="1">
      <c r="A41" s="1306"/>
      <c r="B41" s="2405"/>
      <c r="C41" s="4956"/>
      <c r="D41" s="4956"/>
      <c r="E41" s="4957"/>
      <c r="F41" s="1756">
        <f>IF(C41=0,0,VLOOKUP(C41,SDÖ5!$C$6:$D$16,2,FALSE))</f>
        <v>0</v>
      </c>
      <c r="G41" s="1756">
        <f t="shared" si="0"/>
        <v>0</v>
      </c>
      <c r="H41" s="2469"/>
      <c r="I41" s="1754">
        <f t="shared" si="1"/>
        <v>0</v>
      </c>
      <c r="K41" s="2469"/>
      <c r="L41" s="1596">
        <f t="shared" si="2"/>
        <v>0</v>
      </c>
      <c r="M41" s="2404"/>
      <c r="N41" s="2469"/>
      <c r="O41" s="1754">
        <f t="shared" si="3"/>
        <v>0</v>
      </c>
      <c r="P41" s="2449"/>
      <c r="Q41" s="2533"/>
    </row>
    <row r="42" spans="1:17" s="42" customFormat="1" ht="15" hidden="1" customHeight="1">
      <c r="A42" s="1306"/>
      <c r="B42" s="2468"/>
      <c r="C42" s="4960"/>
      <c r="D42" s="4960"/>
      <c r="E42" s="4961"/>
      <c r="F42" s="1752">
        <f>IF(C42=0,0,VLOOKUP(C42,SDÖ5!$C$6:$D$16,2,FALSE))</f>
        <v>0</v>
      </c>
      <c r="G42" s="1752">
        <f t="shared" si="0"/>
        <v>0</v>
      </c>
      <c r="H42" s="2467"/>
      <c r="I42" s="1750">
        <f t="shared" si="1"/>
        <v>0</v>
      </c>
      <c r="K42" s="2467"/>
      <c r="L42" s="1590">
        <f t="shared" si="2"/>
        <v>0</v>
      </c>
      <c r="M42" s="2404"/>
      <c r="N42" s="2467"/>
      <c r="O42" s="1750">
        <f t="shared" si="3"/>
        <v>0</v>
      </c>
      <c r="P42" s="2466"/>
      <c r="Q42" s="2533"/>
    </row>
    <row r="43" spans="1:17" s="2532" customFormat="1" ht="18.75" customHeight="1">
      <c r="A43" s="1270"/>
      <c r="B43" s="2465" t="s">
        <v>1684</v>
      </c>
      <c r="C43" s="1376"/>
      <c r="D43" s="1376"/>
      <c r="E43" s="1376"/>
      <c r="F43" s="1376"/>
      <c r="G43" s="2464" t="s">
        <v>171</v>
      </c>
      <c r="H43" s="2461"/>
      <c r="I43" s="2460"/>
      <c r="J43" s="1614">
        <f>SUM(J46:J57)</f>
        <v>0</v>
      </c>
      <c r="K43" s="2463"/>
      <c r="L43" s="2462"/>
      <c r="M43" s="1617">
        <f>SUM(M46:M57)</f>
        <v>0</v>
      </c>
      <c r="N43" s="2461"/>
      <c r="O43" s="2460"/>
      <c r="P43" s="2415">
        <f>SUM(P46:P57)</f>
        <v>0</v>
      </c>
      <c r="Q43" s="2533"/>
    </row>
    <row r="44" spans="1:17" s="42" customFormat="1" ht="15" customHeight="1">
      <c r="A44" s="1306"/>
      <c r="B44" s="2459"/>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2458"/>
      <c r="Q44" s="2533"/>
    </row>
    <row r="45" spans="1:17" s="42" customFormat="1" ht="15" customHeight="1">
      <c r="A45" s="1306"/>
      <c r="B45" s="2457"/>
      <c r="C45" s="2456"/>
      <c r="D45" s="1736"/>
      <c r="E45" s="1607" t="s">
        <v>1683</v>
      </c>
      <c r="F45" s="2412" t="s">
        <v>1225</v>
      </c>
      <c r="G45" s="2412" t="s">
        <v>612</v>
      </c>
      <c r="H45" s="1732" t="s">
        <v>1224</v>
      </c>
      <c r="I45" s="2411" t="s">
        <v>114</v>
      </c>
      <c r="J45" s="2455" t="s">
        <v>171</v>
      </c>
      <c r="K45" s="1735" t="s">
        <v>1224</v>
      </c>
      <c r="L45" s="2454" t="s">
        <v>114</v>
      </c>
      <c r="M45" s="2453" t="s">
        <v>171</v>
      </c>
      <c r="N45" s="1732" t="s">
        <v>1224</v>
      </c>
      <c r="O45" s="2411" t="s">
        <v>114</v>
      </c>
      <c r="P45" s="2452" t="s">
        <v>171</v>
      </c>
      <c r="Q45" s="2533"/>
    </row>
    <row r="46" spans="1:17" s="42" customFormat="1" ht="15" customHeight="1">
      <c r="A46" s="1306"/>
      <c r="B46" s="2451"/>
      <c r="C46" s="4962"/>
      <c r="D46" s="4963"/>
      <c r="E46" s="1725">
        <f>IF($C46=0,0,VLOOKUP($C46,SDÖ3!$C$24:$N$101,4,FALSE))</f>
        <v>0</v>
      </c>
      <c r="F46" s="1724">
        <f>IF($C46=0,0,VLOOKUP($C46,SDÖ3!$C$24:$N$101,12,FALSE))</f>
        <v>0</v>
      </c>
      <c r="G46" s="1723">
        <f>IF($C46=0,0,VLOOKUP($C46,SDÖ3!$C$24:$N$101,13,FALSE))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2449">
        <f t="shared" ref="P46:P57" si="9">N46*$G46</f>
        <v>0</v>
      </c>
      <c r="Q46" s="2533"/>
    </row>
    <row r="47" spans="1:17" s="42" customFormat="1" ht="15" customHeight="1">
      <c r="A47" s="1306"/>
      <c r="B47" s="2450"/>
      <c r="C47" s="4954"/>
      <c r="D47" s="4955"/>
      <c r="E47" s="1725">
        <f>IF($C47=0,0,VLOOKUP($C47,SDÖ3!$C$24:$N$101,4,FALSE))</f>
        <v>0</v>
      </c>
      <c r="F47" s="1724">
        <f>IF($C47=0,0,VLOOKUP($C47,SDÖ3!$C$24:$N$101,12,FALSE))</f>
        <v>0</v>
      </c>
      <c r="G47" s="1723">
        <f>IF($C47=0,0,VLOOKUP($C47,SDÖ3!$C$24:$N$101,13,FALSE))</f>
        <v>0</v>
      </c>
      <c r="H47" s="1720"/>
      <c r="I47" s="1719">
        <f t="shared" si="4"/>
        <v>0</v>
      </c>
      <c r="J47" s="1718">
        <f t="shared" si="5"/>
        <v>0</v>
      </c>
      <c r="K47" s="1720"/>
      <c r="L47" s="1722">
        <f t="shared" si="6"/>
        <v>0</v>
      </c>
      <c r="M47" s="1721">
        <f t="shared" si="7"/>
        <v>0</v>
      </c>
      <c r="N47" s="1720"/>
      <c r="O47" s="1719">
        <f t="shared" si="8"/>
        <v>0</v>
      </c>
      <c r="P47" s="2449">
        <f t="shared" si="9"/>
        <v>0</v>
      </c>
      <c r="Q47" s="2533"/>
    </row>
    <row r="48" spans="1:17" s="42" customFormat="1" ht="15" customHeight="1">
      <c r="A48" s="1306"/>
      <c r="B48" s="2450"/>
      <c r="C48" s="4954"/>
      <c r="D48" s="4955"/>
      <c r="E48" s="1725">
        <f>IF($C48=0,0,VLOOKUP($C48,SDÖ3!$C$24:$N$101,4,FALSE))</f>
        <v>0</v>
      </c>
      <c r="F48" s="1724">
        <f>IF($C48=0,0,VLOOKUP($C48,SDÖ3!$C$24:$N$101,12,FALSE))</f>
        <v>0</v>
      </c>
      <c r="G48" s="1723">
        <f>IF($C48=0,0,VLOOKUP($C48,SDÖ3!$C$24:$N$101,13,FALSE))</f>
        <v>0</v>
      </c>
      <c r="H48" s="1720"/>
      <c r="I48" s="1719">
        <f t="shared" si="4"/>
        <v>0</v>
      </c>
      <c r="J48" s="1718">
        <f t="shared" si="5"/>
        <v>0</v>
      </c>
      <c r="K48" s="1720"/>
      <c r="L48" s="1722">
        <f t="shared" si="6"/>
        <v>0</v>
      </c>
      <c r="M48" s="1721">
        <f t="shared" si="7"/>
        <v>0</v>
      </c>
      <c r="N48" s="1720"/>
      <c r="O48" s="1719">
        <f t="shared" si="8"/>
        <v>0</v>
      </c>
      <c r="P48" s="2449">
        <f t="shared" si="9"/>
        <v>0</v>
      </c>
      <c r="Q48" s="2533"/>
    </row>
    <row r="49" spans="1:17" s="42" customFormat="1" ht="15" customHeight="1">
      <c r="A49" s="1306"/>
      <c r="B49" s="2450"/>
      <c r="C49" s="4954"/>
      <c r="D49" s="4955"/>
      <c r="E49" s="1725">
        <f>IF($C49=0,0,VLOOKUP($C49,SDÖ3!$C$24:$N$101,4,FALSE))</f>
        <v>0</v>
      </c>
      <c r="F49" s="1724">
        <f>IF($C49=0,0,VLOOKUP($C49,SDÖ3!$C$24:$N$101,12,FALSE))</f>
        <v>0</v>
      </c>
      <c r="G49" s="1723">
        <f>IF($C49=0,0,VLOOKUP($C49,SDÖ3!$C$24:$N$101,13,FALSE))</f>
        <v>0</v>
      </c>
      <c r="H49" s="1720"/>
      <c r="I49" s="1719">
        <f t="shared" si="4"/>
        <v>0</v>
      </c>
      <c r="J49" s="1718">
        <f t="shared" si="5"/>
        <v>0</v>
      </c>
      <c r="K49" s="1720"/>
      <c r="L49" s="1722">
        <f t="shared" si="6"/>
        <v>0</v>
      </c>
      <c r="M49" s="1721">
        <f t="shared" si="7"/>
        <v>0</v>
      </c>
      <c r="N49" s="1720"/>
      <c r="O49" s="1719">
        <f t="shared" si="8"/>
        <v>0</v>
      </c>
      <c r="P49" s="2449">
        <f t="shared" si="9"/>
        <v>0</v>
      </c>
      <c r="Q49" s="2533"/>
    </row>
    <row r="50" spans="1:17" s="42" customFormat="1" ht="15" customHeight="1">
      <c r="A50" s="1306"/>
      <c r="B50" s="2450"/>
      <c r="C50" s="4954"/>
      <c r="D50" s="4955"/>
      <c r="E50" s="1725">
        <f>IF($C50=0,0,VLOOKUP($C50,SDÖ3!$C$24:$N$101,4,FALSE))</f>
        <v>0</v>
      </c>
      <c r="F50" s="1724">
        <f>IF($C50=0,0,VLOOKUP($C50,SDÖ3!$C$24:$N$101,12,FALSE))</f>
        <v>0</v>
      </c>
      <c r="G50" s="1723">
        <f>IF($C50=0,0,VLOOKUP($C50,SDÖ3!$C$24:$N$101,13,FALSE))</f>
        <v>0</v>
      </c>
      <c r="H50" s="1720"/>
      <c r="I50" s="1719">
        <f t="shared" si="4"/>
        <v>0</v>
      </c>
      <c r="J50" s="1718">
        <f t="shared" si="5"/>
        <v>0</v>
      </c>
      <c r="K50" s="1720"/>
      <c r="L50" s="1722">
        <f t="shared" si="6"/>
        <v>0</v>
      </c>
      <c r="M50" s="1721">
        <f t="shared" si="7"/>
        <v>0</v>
      </c>
      <c r="N50" s="1720"/>
      <c r="O50" s="1719">
        <f t="shared" si="8"/>
        <v>0</v>
      </c>
      <c r="P50" s="2449">
        <f t="shared" si="9"/>
        <v>0</v>
      </c>
      <c r="Q50" s="2533"/>
    </row>
    <row r="51" spans="1:17"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17"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17" s="42" customFormat="1" ht="15" customHeight="1">
      <c r="A53" s="1306"/>
      <c r="B53" s="2450"/>
      <c r="C53" s="4954"/>
      <c r="D53" s="4955"/>
      <c r="E53" s="1725">
        <f>IF($C53=0,0,VLOOKUP($C53,SDÖ3!$C$24:$N$101,4,FALSE))</f>
        <v>0</v>
      </c>
      <c r="F53" s="1724">
        <f>IF($C53=0,0,VLOOKUP($C53,SDÖ3!$C$24:$N$101,12,FALSE))</f>
        <v>0</v>
      </c>
      <c r="G53" s="1723">
        <f>IF($C53=0,0,VLOOKUP($C53,SDÖ3!$C$24:$N$101,13,FALSE))</f>
        <v>0</v>
      </c>
      <c r="H53" s="1720"/>
      <c r="I53" s="1719">
        <f t="shared" si="4"/>
        <v>0</v>
      </c>
      <c r="J53" s="1718">
        <f t="shared" si="5"/>
        <v>0</v>
      </c>
      <c r="K53" s="1720"/>
      <c r="L53" s="1722">
        <f t="shared" si="6"/>
        <v>0</v>
      </c>
      <c r="M53" s="1721">
        <f t="shared" si="7"/>
        <v>0</v>
      </c>
      <c r="N53" s="1720"/>
      <c r="O53" s="1719">
        <f t="shared" si="8"/>
        <v>0</v>
      </c>
      <c r="P53" s="2449">
        <f t="shared" si="9"/>
        <v>0</v>
      </c>
      <c r="Q53" s="2533"/>
    </row>
    <row r="54" spans="1:17" s="42" customFormat="1" ht="15" customHeight="1">
      <c r="A54" s="1306"/>
      <c r="B54" s="2450"/>
      <c r="C54" s="4954"/>
      <c r="D54" s="4955"/>
      <c r="E54" s="1725">
        <f>IF($C54=0,0,VLOOKUP($C54,SDÖ3!$C$24:$N$101,4,FALSE))</f>
        <v>0</v>
      </c>
      <c r="F54" s="1724">
        <f>IF($C54=0,0,VLOOKUP($C54,SDÖ3!$C$24:$N$101,12,FALSE))</f>
        <v>0</v>
      </c>
      <c r="G54" s="1723">
        <f>IF($C54=0,0,VLOOKUP($C54,SDÖ3!$C$24:$N$101,13,FALSE))</f>
        <v>0</v>
      </c>
      <c r="H54" s="1720"/>
      <c r="I54" s="1719">
        <f t="shared" si="4"/>
        <v>0</v>
      </c>
      <c r="J54" s="1718">
        <f t="shared" si="5"/>
        <v>0</v>
      </c>
      <c r="K54" s="1720"/>
      <c r="L54" s="1722">
        <f t="shared" si="6"/>
        <v>0</v>
      </c>
      <c r="M54" s="1721">
        <f t="shared" si="7"/>
        <v>0</v>
      </c>
      <c r="N54" s="1720"/>
      <c r="O54" s="1719">
        <f t="shared" si="8"/>
        <v>0</v>
      </c>
      <c r="P54" s="2449">
        <f t="shared" si="9"/>
        <v>0</v>
      </c>
      <c r="Q54" s="2533"/>
    </row>
    <row r="55" spans="1:17"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2533"/>
    </row>
    <row r="56" spans="1:17" s="42" customFormat="1" ht="15" customHeight="1">
      <c r="A56" s="1306"/>
      <c r="B56" s="2450"/>
      <c r="C56" s="4954"/>
      <c r="D56" s="4955"/>
      <c r="E56" s="1725">
        <f>IF($C56=0,0,VLOOKUP($C56,SDÖ3!$C$24:$N$101,4,FALSE))</f>
        <v>0</v>
      </c>
      <c r="F56" s="1724">
        <f>IF($C56=0,0,VLOOKUP($C56,SDÖ3!$C$24:$N$101,12,FALSE))</f>
        <v>0</v>
      </c>
      <c r="G56" s="1723">
        <f>IF($C56=0,0,VLOOKUP($C56,SDÖ3!$C$24:$N$101,13,FALSE))</f>
        <v>0</v>
      </c>
      <c r="H56" s="1720"/>
      <c r="I56" s="1719">
        <f t="shared" si="4"/>
        <v>0</v>
      </c>
      <c r="J56" s="1718">
        <f t="shared" si="5"/>
        <v>0</v>
      </c>
      <c r="K56" s="1720"/>
      <c r="L56" s="1722">
        <f t="shared" si="6"/>
        <v>0</v>
      </c>
      <c r="M56" s="1721">
        <f t="shared" si="7"/>
        <v>0</v>
      </c>
      <c r="N56" s="1720"/>
      <c r="O56" s="1719">
        <f t="shared" si="8"/>
        <v>0</v>
      </c>
      <c r="P56" s="2449">
        <f t="shared" si="9"/>
        <v>0</v>
      </c>
      <c r="Q56" s="2533"/>
    </row>
    <row r="57" spans="1:17" s="42" customFormat="1" ht="24.75" customHeight="1">
      <c r="A57" s="1306"/>
      <c r="B57" s="2429"/>
      <c r="C57" s="4970">
        <v>0</v>
      </c>
      <c r="D57" s="4971"/>
      <c r="E57" s="1708">
        <f>IF($C57=0,0,VLOOKUP($C57,SDÖ3!$C$24:$N$101,4,FALSE))</f>
        <v>0</v>
      </c>
      <c r="F57" s="1707">
        <f>IF($C57=0,0,VLOOKUP($C57,SDÖ3!$C$24:$N$101,12,FALSE))</f>
        <v>0</v>
      </c>
      <c r="G57" s="1706">
        <f>IF($C57=0,0,VLOOKUP($C57,SDÖ3!$C$24:$N$101,13,FALSE))</f>
        <v>0</v>
      </c>
      <c r="H57" s="1704">
        <f>H11/50</f>
        <v>0</v>
      </c>
      <c r="I57" s="1703">
        <f t="shared" si="4"/>
        <v>0</v>
      </c>
      <c r="J57" s="1702">
        <f t="shared" si="5"/>
        <v>0</v>
      </c>
      <c r="K57" s="1704">
        <f>K11/50</f>
        <v>0</v>
      </c>
      <c r="L57" s="1705">
        <f t="shared" si="6"/>
        <v>0</v>
      </c>
      <c r="M57" s="1652">
        <f t="shared" si="7"/>
        <v>0</v>
      </c>
      <c r="N57" s="1704">
        <f>N11/50</f>
        <v>0</v>
      </c>
      <c r="O57" s="1703">
        <f t="shared" si="8"/>
        <v>0</v>
      </c>
      <c r="P57" s="2448">
        <f t="shared" si="9"/>
        <v>0</v>
      </c>
      <c r="Q57" s="2533"/>
    </row>
    <row r="58" spans="1:17" s="42" customFormat="1" ht="24.75" customHeight="1">
      <c r="A58" s="1306"/>
      <c r="B58" s="2447" t="s">
        <v>1682</v>
      </c>
      <c r="C58" s="2446"/>
      <c r="D58" s="2446"/>
      <c r="E58" s="2446"/>
      <c r="F58" s="2446"/>
      <c r="G58" s="2446"/>
      <c r="H58" s="2443"/>
      <c r="I58" s="2442">
        <f>SUM(I46:I57)</f>
        <v>0</v>
      </c>
      <c r="J58" s="2445"/>
      <c r="K58" s="2443"/>
      <c r="L58" s="2442">
        <f>SUM(L46:L57)</f>
        <v>0</v>
      </c>
      <c r="M58" s="2444"/>
      <c r="N58" s="2443"/>
      <c r="O58" s="2442">
        <f>SUM(O46:O57)</f>
        <v>0</v>
      </c>
      <c r="P58" s="2441"/>
      <c r="Q58" s="2533"/>
    </row>
    <row r="59" spans="1:17" s="2532" customFormat="1" ht="18.75" customHeight="1">
      <c r="A59" s="1270"/>
      <c r="B59" s="2420" t="s">
        <v>1681</v>
      </c>
      <c r="C59" s="1270"/>
      <c r="D59" s="1270"/>
      <c r="E59" s="1270"/>
      <c r="F59" s="2533"/>
      <c r="G59" s="2416" t="s">
        <v>171</v>
      </c>
      <c r="H59" s="73"/>
      <c r="I59" s="73"/>
      <c r="J59" s="1614">
        <f>H60*$E60</f>
        <v>0</v>
      </c>
      <c r="K59" s="1629"/>
      <c r="L59" s="1629"/>
      <c r="M59" s="1617">
        <f>K60*$E60</f>
        <v>0</v>
      </c>
      <c r="N59" s="73"/>
      <c r="O59" s="73"/>
      <c r="P59" s="2415">
        <f>N60*$E60</f>
        <v>0</v>
      </c>
      <c r="Q59" s="2533"/>
    </row>
    <row r="60" spans="1:17" s="2532" customFormat="1" ht="15" customHeight="1">
      <c r="A60" s="1270"/>
      <c r="B60" s="2440"/>
      <c r="C60" s="1377"/>
      <c r="D60" s="280" t="s">
        <v>1060</v>
      </c>
      <c r="E60" s="1647">
        <v>10</v>
      </c>
      <c r="F60" s="1622"/>
      <c r="G60" s="2439" t="s">
        <v>516</v>
      </c>
      <c r="H60" s="1588"/>
      <c r="I60" s="1643"/>
      <c r="J60" s="1632"/>
      <c r="K60" s="1588"/>
      <c r="L60" s="1645"/>
      <c r="M60" s="1635"/>
      <c r="N60" s="1588"/>
      <c r="O60" s="1643"/>
      <c r="P60" s="2421"/>
      <c r="Q60" s="2533"/>
    </row>
    <row r="61" spans="1:17" s="65" customFormat="1" ht="18.75" customHeight="1">
      <c r="A61" s="1373"/>
      <c r="B61" s="2420" t="s">
        <v>1680</v>
      </c>
      <c r="C61" s="1373"/>
      <c r="D61" s="1373"/>
      <c r="E61" s="1373"/>
      <c r="F61" s="2533"/>
      <c r="G61" s="2416" t="s">
        <v>516</v>
      </c>
      <c r="H61" s="1697"/>
      <c r="I61" s="1696">
        <f>I58-H60</f>
        <v>0</v>
      </c>
      <c r="J61" s="1701"/>
      <c r="K61" s="1700"/>
      <c r="L61" s="1699">
        <f>L58-K60</f>
        <v>0</v>
      </c>
      <c r="M61" s="1698"/>
      <c r="N61" s="1697"/>
      <c r="O61" s="1696">
        <f>O58-N60</f>
        <v>0</v>
      </c>
      <c r="P61" s="2438"/>
      <c r="Q61" s="2533"/>
    </row>
    <row r="62" spans="1:17" s="65" customFormat="1" ht="15" customHeight="1">
      <c r="A62" s="1373"/>
      <c r="B62" s="2437"/>
      <c r="C62" s="319"/>
      <c r="D62" s="280" t="s">
        <v>1222</v>
      </c>
      <c r="E62" s="1693">
        <v>80</v>
      </c>
      <c r="F62" s="319" t="s">
        <v>1221</v>
      </c>
      <c r="G62" s="142"/>
      <c r="H62" s="1688"/>
      <c r="I62" s="1687">
        <f>IF(I61+SUM($I$46:$I$57)*$E$62%&gt;I61+10,I61+10,I61+SUM($I$46:$I$57)*$E$62%)</f>
        <v>0</v>
      </c>
      <c r="J62" s="1686"/>
      <c r="K62" s="1691"/>
      <c r="L62" s="1690">
        <f>IF(L61+SUM($L$46:$L$57)*$E$62%&gt;L61+10,L61+10,L61+SUM($L$46:$L$57)*$E$62%)</f>
        <v>0</v>
      </c>
      <c r="M62" s="1689"/>
      <c r="N62" s="1688"/>
      <c r="O62" s="1687">
        <f>IF(O61+SUM($O$46:$O$57)*$E$62%&gt;O61+10,O61+10,O61+SUM($O$46:$O$57)*$E$62%)</f>
        <v>0</v>
      </c>
      <c r="P62" s="2436"/>
      <c r="Q62" s="2533"/>
    </row>
    <row r="63" spans="1:17" s="42" customFormat="1" ht="18.75" customHeight="1">
      <c r="A63" s="1306"/>
      <c r="B63" s="2420" t="s">
        <v>355</v>
      </c>
      <c r="C63" s="1373"/>
      <c r="D63" s="1373"/>
      <c r="G63" s="2435" t="s">
        <v>171</v>
      </c>
      <c r="H63" s="2433"/>
      <c r="I63" s="2432"/>
      <c r="J63" s="1614">
        <f>IF(J6=0,0,SUM(I65:I67))</f>
        <v>0</v>
      </c>
      <c r="K63" s="1680"/>
      <c r="L63" s="1679"/>
      <c r="M63" s="1617">
        <f>IF(M6=0,0,SUM(L65:L67))</f>
        <v>0</v>
      </c>
      <c r="N63" s="2433"/>
      <c r="O63" s="2432"/>
      <c r="P63" s="2415">
        <f>IF(P6=0,0,SUM(O65:O67))</f>
        <v>0</v>
      </c>
      <c r="Q63" s="2533"/>
    </row>
    <row r="64" spans="1:17" s="42" customFormat="1" ht="13.15" customHeight="1">
      <c r="A64" s="1306"/>
      <c r="B64" s="2414"/>
      <c r="C64" s="1612" t="s">
        <v>1212</v>
      </c>
      <c r="D64" s="1683">
        <f>SDÖ1!$O$11</f>
        <v>0</v>
      </c>
      <c r="E64" s="2413"/>
      <c r="F64" s="2411" t="s">
        <v>249</v>
      </c>
      <c r="G64" s="2434" t="s">
        <v>1211</v>
      </c>
      <c r="H64" s="2433"/>
      <c r="I64" s="2432"/>
      <c r="J64" s="1782"/>
      <c r="K64" s="1680"/>
      <c r="L64" s="1679"/>
      <c r="M64" s="1678"/>
      <c r="N64" s="2433"/>
      <c r="O64" s="2432"/>
      <c r="P64" s="2406"/>
      <c r="Q64" s="2533"/>
    </row>
    <row r="65" spans="1:20" s="42" customFormat="1" ht="15" customHeight="1">
      <c r="A65" s="1306"/>
      <c r="B65" s="2405"/>
      <c r="C65" s="4944"/>
      <c r="D65" s="4944"/>
      <c r="E65" s="4944"/>
      <c r="F65" s="1674">
        <f>IF($C65=0,0,VLOOKUP($C65,SDÖ3!$C$140:$D$162,2,FALSE))</f>
        <v>0</v>
      </c>
      <c r="G65" s="1673">
        <f>(100+$D$64)/100*F65</f>
        <v>0</v>
      </c>
      <c r="I65" s="1817">
        <f>$G$65</f>
        <v>0</v>
      </c>
      <c r="K65" s="1672"/>
      <c r="L65" s="1671">
        <f>$G$65</f>
        <v>0</v>
      </c>
      <c r="M65" s="2404"/>
      <c r="N65" s="2430"/>
      <c r="O65" s="1817">
        <f>$G$65</f>
        <v>0</v>
      </c>
      <c r="P65" s="2403"/>
      <c r="Q65" s="2533"/>
    </row>
    <row r="66" spans="1:20" s="42" customFormat="1" ht="15" customHeight="1">
      <c r="A66" s="1306"/>
      <c r="B66" s="2405"/>
      <c r="C66" s="4944"/>
      <c r="D66" s="4944"/>
      <c r="E66" s="4965"/>
      <c r="F66" s="2431">
        <f>IF($C66=0,0,VLOOKUP($C66,SDÖ3!$C$140:$D$162,2,FALSE))</f>
        <v>0</v>
      </c>
      <c r="G66" s="1586">
        <f>(100+$D$64)/100*F66</f>
        <v>0</v>
      </c>
      <c r="K66" s="1672"/>
      <c r="L66" s="1671"/>
      <c r="M66" s="2404"/>
      <c r="N66" s="2430"/>
      <c r="O66" s="1817"/>
      <c r="P66" s="2403"/>
      <c r="Q66" s="2533"/>
    </row>
    <row r="67" spans="1:20" s="42" customFormat="1" ht="15" customHeight="1">
      <c r="A67" s="1306"/>
      <c r="B67" s="2429"/>
      <c r="C67" s="4966" t="s">
        <v>322</v>
      </c>
      <c r="D67" s="4966"/>
      <c r="E67" s="4966"/>
      <c r="F67" s="1656">
        <f>IF($T$3=FALSE,0,VLOOKUP($C67,SDÖ3!$C$140:$D$162,2,FALSE))</f>
        <v>0</v>
      </c>
      <c r="G67" s="1655">
        <f>(100+$D$64)/100*F67</f>
        <v>0</v>
      </c>
      <c r="H67" s="2428"/>
      <c r="I67" s="1809">
        <f>H11*$G$67</f>
        <v>0</v>
      </c>
      <c r="K67" s="1654"/>
      <c r="L67" s="1653">
        <f>K11*$G$67</f>
        <v>0</v>
      </c>
      <c r="M67" s="1652"/>
      <c r="N67" s="2428"/>
      <c r="O67" s="1809">
        <f>N11*$G$67</f>
        <v>0</v>
      </c>
      <c r="P67" s="2427"/>
      <c r="Q67" s="2533"/>
    </row>
    <row r="68" spans="1:20" s="2532" customFormat="1" ht="22.9" customHeight="1">
      <c r="A68" s="1270"/>
      <c r="B68" s="2420" t="s">
        <v>1679</v>
      </c>
      <c r="C68" s="1270"/>
      <c r="D68" s="1270"/>
      <c r="E68" s="229"/>
      <c r="F68" s="1642"/>
      <c r="G68" s="2416" t="s">
        <v>171</v>
      </c>
      <c r="H68" s="2424" t="s">
        <v>1217</v>
      </c>
      <c r="I68" s="2423" t="s">
        <v>1216</v>
      </c>
      <c r="J68" s="1963">
        <f>IF($F$69=0,$R$69*H$9*I$69%,$F$69*H$9*I$69%)</f>
        <v>0</v>
      </c>
      <c r="K68" s="2426" t="s">
        <v>1217</v>
      </c>
      <c r="L68" s="2425" t="s">
        <v>1216</v>
      </c>
      <c r="M68" s="1963">
        <f>IF($F$69=0,$S$69*K$9*L$69%,$F$69*K$9*L$69%)</f>
        <v>0</v>
      </c>
      <c r="N68" s="2424" t="s">
        <v>1217</v>
      </c>
      <c r="O68" s="2423" t="s">
        <v>1216</v>
      </c>
      <c r="P68" s="3007">
        <f>IF($F$69=0,$T$69*N$9*O$69%,$F$69*N$9*O$69%)</f>
        <v>0</v>
      </c>
      <c r="Q68" s="2533"/>
    </row>
    <row r="69" spans="1:20" s="2532" customFormat="1" ht="15" customHeight="1">
      <c r="A69" s="1270"/>
      <c r="B69" s="2422"/>
      <c r="C69" s="4967" t="s">
        <v>1678</v>
      </c>
      <c r="D69" s="4967"/>
      <c r="E69" s="4967"/>
      <c r="F69" s="1636"/>
      <c r="G69" s="1627" t="s">
        <v>228</v>
      </c>
      <c r="H69" s="1634"/>
      <c r="I69" s="1633"/>
      <c r="J69" s="1632"/>
      <c r="K69" s="1634"/>
      <c r="L69" s="1633"/>
      <c r="M69" s="1635"/>
      <c r="N69" s="1634"/>
      <c r="O69" s="1633"/>
      <c r="P69" s="2421"/>
      <c r="Q69" s="2533"/>
      <c r="R69" s="1944">
        <f>IF($H$69=0,0,VLOOKUP($H$69,#REF!,2,FALSE))*(1+SDÖ1!$O$11/100)</f>
        <v>0</v>
      </c>
      <c r="S69" s="1631">
        <f>IF($K$69=0,0,VLOOKUP($K$69,#REF!,2,FALSE))*(1+SDÖ1!$O$11/100)</f>
        <v>0</v>
      </c>
      <c r="T69" s="1944">
        <f>IF($N$69=0,0,VLOOKUP($N$69,#REF!,2,FALSE))*(1+SDÖ1!$O$11/100)</f>
        <v>0</v>
      </c>
    </row>
    <row r="70" spans="1:20" s="2532" customFormat="1" ht="18.75" customHeight="1">
      <c r="A70" s="1270"/>
      <c r="B70" s="2420" t="s">
        <v>1677</v>
      </c>
      <c r="C70" s="1270"/>
      <c r="D70" s="1270"/>
      <c r="E70" s="229"/>
      <c r="F70" s="229"/>
      <c r="G70" s="2416" t="s">
        <v>171</v>
      </c>
      <c r="H70" s="44"/>
      <c r="I70" s="73"/>
      <c r="J70" s="1614">
        <f>H71*$F71/1000</f>
        <v>0</v>
      </c>
      <c r="K70" s="1630"/>
      <c r="L70" s="1629"/>
      <c r="M70" s="1617">
        <f>K71*$F71/1000</f>
        <v>0</v>
      </c>
      <c r="N70" s="44"/>
      <c r="O70" s="73"/>
      <c r="P70" s="2415">
        <f>N71*$F71/1000</f>
        <v>0</v>
      </c>
      <c r="Q70" s="2533"/>
    </row>
    <row r="71" spans="1:20" s="2532" customFormat="1" ht="15" customHeight="1">
      <c r="A71" s="1270"/>
      <c r="B71" s="2419"/>
      <c r="C71" s="1331" t="s">
        <v>896</v>
      </c>
      <c r="D71" s="319"/>
      <c r="E71" s="280"/>
      <c r="F71" s="1962"/>
      <c r="G71" s="1627" t="s">
        <v>171</v>
      </c>
      <c r="H71" s="1623">
        <f>I9+I10</f>
        <v>0</v>
      </c>
      <c r="I71" s="1622"/>
      <c r="J71" s="1621"/>
      <c r="K71" s="1626">
        <f>L9+L10</f>
        <v>0</v>
      </c>
      <c r="L71" s="1625"/>
      <c r="M71" s="1624"/>
      <c r="N71" s="1623">
        <f>O9+O10</f>
        <v>0</v>
      </c>
      <c r="O71" s="1622"/>
      <c r="P71" s="2418"/>
      <c r="Q71" s="2533"/>
    </row>
    <row r="72" spans="1:20" ht="18.75" customHeight="1">
      <c r="A72" s="377"/>
      <c r="B72" s="2417" t="s">
        <v>218</v>
      </c>
      <c r="C72" s="377"/>
      <c r="D72" s="377"/>
      <c r="E72" s="229"/>
      <c r="F72" s="2537"/>
      <c r="G72" s="2416" t="s">
        <v>171</v>
      </c>
      <c r="H72" s="1616"/>
      <c r="I72" s="1615"/>
      <c r="J72" s="1614">
        <f>SUM(I74:I75)</f>
        <v>0</v>
      </c>
      <c r="K72" s="1619"/>
      <c r="L72" s="1618"/>
      <c r="M72" s="1617">
        <f>SUM(L74:L75)</f>
        <v>0</v>
      </c>
      <c r="N72" s="1616"/>
      <c r="O72" s="1615"/>
      <c r="P72" s="2415">
        <f>SUM(O74:O75)</f>
        <v>0</v>
      </c>
    </row>
    <row r="73" spans="1:20" ht="13.15" customHeight="1">
      <c r="A73" s="377"/>
      <c r="B73" s="2414"/>
      <c r="C73" s="1612" t="s">
        <v>1212</v>
      </c>
      <c r="D73" s="1611">
        <f>SDÖ1!$O$12</f>
        <v>0</v>
      </c>
      <c r="E73" s="2413"/>
      <c r="F73" s="1609"/>
      <c r="G73" s="1608"/>
      <c r="H73" s="2412" t="s">
        <v>249</v>
      </c>
      <c r="I73" s="2411" t="s">
        <v>1211</v>
      </c>
      <c r="J73" s="1605"/>
      <c r="K73" s="2410" t="s">
        <v>249</v>
      </c>
      <c r="L73" s="2409" t="s">
        <v>1211</v>
      </c>
      <c r="M73" s="1602"/>
      <c r="N73" s="2408" t="s">
        <v>249</v>
      </c>
      <c r="O73" s="2407" t="s">
        <v>1211</v>
      </c>
      <c r="P73" s="2406"/>
    </row>
    <row r="74" spans="1:20" s="42" customFormat="1" ht="15" customHeight="1">
      <c r="A74" s="1306"/>
      <c r="B74" s="2405"/>
      <c r="C74" s="4941" t="s">
        <v>1715</v>
      </c>
      <c r="D74" s="4941"/>
      <c r="E74" s="4941"/>
      <c r="F74" s="1598"/>
      <c r="G74" s="1597"/>
      <c r="H74" s="1591"/>
      <c r="I74" s="1595">
        <f>(100+$D$73)/100*H74</f>
        <v>0</v>
      </c>
      <c r="K74" s="1591"/>
      <c r="L74" s="1596">
        <f>(100+$D$73)/100*K74</f>
        <v>0</v>
      </c>
      <c r="M74" s="2404"/>
      <c r="N74" s="1591"/>
      <c r="O74" s="1595">
        <f>(100+$D$73)/100*N74</f>
        <v>0</v>
      </c>
      <c r="P74" s="2403"/>
      <c r="Q74" s="2533"/>
    </row>
    <row r="75" spans="1:20" s="42" customFormat="1" ht="15" customHeight="1">
      <c r="A75" s="1306"/>
      <c r="B75" s="2405"/>
      <c r="C75" s="4964"/>
      <c r="D75" s="4964"/>
      <c r="E75" s="4964"/>
      <c r="F75" s="1593"/>
      <c r="G75" s="1592"/>
      <c r="H75" s="1588"/>
      <c r="I75" s="1587">
        <f>(100+$D$73)/100*H75</f>
        <v>0</v>
      </c>
      <c r="K75" s="1591"/>
      <c r="L75" s="1590">
        <f>(100+$D$73)/100*K75</f>
        <v>0</v>
      </c>
      <c r="M75" s="2404"/>
      <c r="N75" s="1588"/>
      <c r="O75" s="1587">
        <f>(100+$D$73)/100*N75</f>
        <v>0</v>
      </c>
      <c r="P75" s="2403"/>
      <c r="Q75" s="2533"/>
    </row>
    <row r="76" spans="1:20" s="2532" customFormat="1" ht="30.2" customHeight="1" thickBot="1">
      <c r="A76" s="1270"/>
      <c r="B76" s="4942" t="s">
        <v>1210</v>
      </c>
      <c r="C76" s="4943"/>
      <c r="D76" s="2402" t="s">
        <v>1209</v>
      </c>
      <c r="E76" s="2401">
        <f>SDÖ1!$O$71/100</f>
        <v>1.4999999999999999E-2</v>
      </c>
      <c r="F76" s="2400" t="s">
        <v>1676</v>
      </c>
      <c r="G76" s="2399">
        <v>5</v>
      </c>
      <c r="H76" s="2395"/>
      <c r="I76" s="2398"/>
      <c r="J76" s="2393">
        <f>(J23+J27+J34+J43+J63+J59+J68+J70+J72)*(SDÖ1!$O$71%*$G$76/12)</f>
        <v>0</v>
      </c>
      <c r="K76" s="2397"/>
      <c r="L76" s="2396"/>
      <c r="M76" s="2393">
        <f>(M23+M27+M34+M43+M63+M59+M68+M70+M72)*(SDÖ1!$O$71%*$G$76/12)</f>
        <v>0</v>
      </c>
      <c r="N76" s="2395"/>
      <c r="O76" s="2394"/>
      <c r="P76" s="2393">
        <f>(P23+P27+P34+P43+P63+P59+P68+P70+P72)*(SDÖ1!$O$71%*$G$76/12)</f>
        <v>0</v>
      </c>
      <c r="Q76" s="2533"/>
    </row>
    <row r="81" spans="3:16">
      <c r="C81" s="2390" t="e">
        <f>#REF!</f>
        <v>#REF!</v>
      </c>
      <c r="D81" s="272"/>
      <c r="E81" s="721"/>
      <c r="G81" s="2390" t="e">
        <f>#REF!</f>
        <v>#REF!</v>
      </c>
      <c r="H81" s="272"/>
      <c r="I81" s="721"/>
      <c r="L81" s="33"/>
    </row>
    <row r="82" spans="3:16">
      <c r="C82" s="765" t="e">
        <f>#REF!</f>
        <v>#REF!</v>
      </c>
      <c r="E82" s="2534"/>
      <c r="G82" s="2391" t="e">
        <f>#REF!</f>
        <v>#REF!</v>
      </c>
      <c r="I82" s="2534"/>
      <c r="L82" s="33"/>
      <c r="N82" s="2390" t="str">
        <f>SDÖ3!C24</f>
        <v>Drehpflug 2,10 m</v>
      </c>
      <c r="O82" s="272"/>
      <c r="P82" s="721"/>
    </row>
    <row r="83" spans="3:16">
      <c r="C83" s="765" t="e">
        <f>#REF!</f>
        <v>#REF!</v>
      </c>
      <c r="E83" s="2534"/>
      <c r="G83" s="2392"/>
      <c r="H83" s="319"/>
      <c r="I83" s="709"/>
      <c r="L83" s="33"/>
      <c r="N83" s="2391" t="str">
        <f>SDÖ3!C25</f>
        <v>Schwergrubber 3 m</v>
      </c>
      <c r="P83" s="2534"/>
    </row>
    <row r="84" spans="3:16">
      <c r="C84" s="765" t="e">
        <f>#REF!</f>
        <v>#REF!</v>
      </c>
      <c r="E84" s="2534"/>
      <c r="G84" s="33"/>
      <c r="H84" s="33"/>
      <c r="I84" s="33"/>
      <c r="L84" s="33"/>
      <c r="N84" s="2391" t="str">
        <f>SDÖ3!C26</f>
        <v>Scheibenegge 5 m</v>
      </c>
      <c r="P84" s="2534"/>
    </row>
    <row r="85" spans="3:16">
      <c r="C85" s="765" t="e">
        <f>#REF!</f>
        <v>#REF!</v>
      </c>
      <c r="E85" s="2534"/>
      <c r="G85" s="33"/>
      <c r="H85" s="33"/>
      <c r="I85" s="33"/>
      <c r="L85" s="33"/>
      <c r="N85" s="2391" t="str">
        <f>SDÖ3!C28</f>
        <v>Kreiselegge 3 m</v>
      </c>
      <c r="P85" s="2534"/>
    </row>
    <row r="86" spans="3:16">
      <c r="C86" s="765" t="e">
        <f>#REF!</f>
        <v>#REF!</v>
      </c>
      <c r="E86" s="2534"/>
      <c r="G86" s="33" t="e">
        <f>#REF!</f>
        <v>#REF!</v>
      </c>
      <c r="H86" s="33"/>
      <c r="I86" s="33"/>
      <c r="L86" s="33"/>
      <c r="N86" s="2391" t="str">
        <f>SDÖ3!C29</f>
        <v>Cambridgewalze 4,5 m</v>
      </c>
      <c r="P86" s="2534"/>
    </row>
    <row r="87" spans="3:16">
      <c r="C87" s="765" t="e">
        <f>#REF!</f>
        <v>#REF!</v>
      </c>
      <c r="E87" s="2534"/>
      <c r="G87" s="33"/>
      <c r="H87" s="33"/>
      <c r="I87" s="33"/>
      <c r="L87" s="33"/>
      <c r="N87" s="2391">
        <f>SDÖ3!C30</f>
        <v>0</v>
      </c>
      <c r="P87" s="2534"/>
    </row>
    <row r="88" spans="3:16">
      <c r="C88" s="765" t="e">
        <f>#REF!</f>
        <v>#REF!</v>
      </c>
      <c r="E88" s="2534"/>
      <c r="G88" s="33" t="e">
        <f>#REF!</f>
        <v>#REF!</v>
      </c>
      <c r="H88" s="33"/>
      <c r="I88" s="33"/>
      <c r="L88" s="33"/>
      <c r="N88" s="2391" t="str">
        <f>SDÖ3!C31</f>
        <v>Kreiselegge-Säkomb. 3 m</v>
      </c>
      <c r="P88" s="2534"/>
    </row>
    <row r="89" spans="3:16">
      <c r="C89" s="765" t="e">
        <f>#REF!</f>
        <v>#REF!</v>
      </c>
      <c r="E89" s="2534"/>
      <c r="G89" s="33" t="e">
        <f>#REF!</f>
        <v>#REF!</v>
      </c>
      <c r="H89" s="33"/>
      <c r="I89" s="33"/>
      <c r="L89" s="33"/>
      <c r="N89" s="2391" t="str">
        <f>SDÖ3!C32</f>
        <v>Grubber-Kreiselegge-Säkomb. 3 m</v>
      </c>
      <c r="P89" s="2534"/>
    </row>
    <row r="90" spans="3:16">
      <c r="C90" s="765" t="e">
        <f>#REF!</f>
        <v>#REF!</v>
      </c>
      <c r="E90" s="2534"/>
      <c r="G90" s="33" t="e">
        <f>#REF!</f>
        <v>#REF!</v>
      </c>
      <c r="H90" s="33"/>
      <c r="I90" s="33"/>
      <c r="L90" s="33"/>
      <c r="N90" s="2391" t="str">
        <f>SDÖ3!C33</f>
        <v>Sämaschine 3m</v>
      </c>
      <c r="P90" s="2534"/>
    </row>
    <row r="91" spans="3:16">
      <c r="C91" s="765" t="e">
        <f>#REF!</f>
        <v>#REF!</v>
      </c>
      <c r="E91" s="2534"/>
      <c r="G91" s="33"/>
      <c r="H91" s="33"/>
      <c r="I91" s="33"/>
      <c r="L91" s="33"/>
      <c r="N91" s="2391" t="str">
        <f>SDÖ3!C34</f>
        <v>Einzelkornsaat 4 r (Mais, Sonnenblume)</v>
      </c>
      <c r="P91" s="2534"/>
    </row>
    <row r="92" spans="3:16">
      <c r="C92" s="765" t="e">
        <f>#REF!</f>
        <v>#REF!</v>
      </c>
      <c r="E92" s="2534"/>
      <c r="L92" s="33"/>
      <c r="N92" s="2391" t="str">
        <f>SDÖ3!C35</f>
        <v>Einzelkornsaat 6 r (Rüben)</v>
      </c>
      <c r="P92" s="2534"/>
    </row>
    <row r="93" spans="3:16">
      <c r="C93" s="765" t="e">
        <f>#REF!</f>
        <v>#REF!</v>
      </c>
      <c r="E93" s="2534"/>
      <c r="L93" s="33"/>
      <c r="N93" s="2391" t="str">
        <f>SDÖ3!C37</f>
        <v>Direktsämaschine 3 m</v>
      </c>
      <c r="P93" s="2534"/>
    </row>
    <row r="94" spans="3:16">
      <c r="C94" s="765" t="e">
        <f>#REF!</f>
        <v>#REF!</v>
      </c>
      <c r="E94" s="2534"/>
      <c r="G94" s="2390" t="str">
        <f>SDÖ3!C140</f>
        <v>Mähdrescher - Erbsen/Ackerbohnen</v>
      </c>
      <c r="H94" s="272"/>
      <c r="I94" s="721"/>
      <c r="L94" s="33"/>
      <c r="N94" s="2391" t="str">
        <f>SDÖ3!C38</f>
        <v>Dammkulturgerät mit Säeinheit(3m)</v>
      </c>
      <c r="P94" s="2534"/>
    </row>
    <row r="95" spans="3:16">
      <c r="C95" s="765" t="e">
        <f>#REF!</f>
        <v>#REF!</v>
      </c>
      <c r="E95" s="2534"/>
      <c r="G95" s="2391" t="str">
        <f>SDÖ3!C141</f>
        <v>Mähdrescher - Körnermais</v>
      </c>
      <c r="I95" s="2534"/>
      <c r="L95" s="33"/>
      <c r="N95" s="2391">
        <f>SDÖ3!C39</f>
        <v>0</v>
      </c>
      <c r="P95" s="2534"/>
    </row>
    <row r="96" spans="3:16">
      <c r="C96" s="765" t="e">
        <f>#REF!</f>
        <v>#REF!</v>
      </c>
      <c r="E96" s="2534"/>
      <c r="G96" s="2391" t="str">
        <f>SDÖ3!C142</f>
        <v>Mähdrescher - Getr. m. Strohhäcksler</v>
      </c>
      <c r="I96" s="2534"/>
      <c r="L96" s="33"/>
      <c r="N96" s="2391" t="str">
        <f>SDÖ3!C40</f>
        <v xml:space="preserve">Düngerstreuer ab Hof 12 m, 400 kg/ha </v>
      </c>
      <c r="P96" s="2534"/>
    </row>
    <row r="97" spans="3:16">
      <c r="C97" s="765" t="e">
        <f>#REF!</f>
        <v>#REF!</v>
      </c>
      <c r="E97" s="2534"/>
      <c r="G97" s="2391" t="str">
        <f>SDÖ3!C143</f>
        <v>ZR - Roden, 6-reihig</v>
      </c>
      <c r="I97" s="2534"/>
      <c r="L97" s="33"/>
      <c r="N97" s="2391" t="str">
        <f>SDÖ3!C41</f>
        <v>Mist/Kompost streuen 20 t/ha  (6 m, 10 t) inkl. Beladen</v>
      </c>
      <c r="P97" s="2534"/>
    </row>
    <row r="98" spans="3:16">
      <c r="C98" s="765" t="e">
        <f>#REF!</f>
        <v>#REF!</v>
      </c>
      <c r="E98" s="2534"/>
      <c r="G98" s="2391" t="str">
        <f>SDÖ3!C144</f>
        <v>KA - Vollernter mit Bunker, 2-reihig</v>
      </c>
      <c r="I98" s="2534"/>
      <c r="L98" s="33"/>
      <c r="N98" s="2391" t="e">
        <f>SDÖ3!#REF!</f>
        <v>#REF!</v>
      </c>
      <c r="P98" s="2534"/>
    </row>
    <row r="99" spans="3:16">
      <c r="C99" s="290" t="e">
        <f>#REF!</f>
        <v>#REF!</v>
      </c>
      <c r="D99" s="319"/>
      <c r="E99" s="709"/>
      <c r="G99" s="2391" t="str">
        <f>SDÖ3!C145</f>
        <v>KA - Schlägeln (m. Schl. + Fahrer)</v>
      </c>
      <c r="I99" s="2534"/>
      <c r="L99" s="33"/>
      <c r="N99" s="2391" t="e">
        <f>SDÖ3!#REF!</f>
        <v>#REF!</v>
      </c>
      <c r="P99" s="2534"/>
    </row>
    <row r="100" spans="3:16">
      <c r="C100" s="765"/>
      <c r="E100" s="2534"/>
      <c r="G100" s="2391" t="str">
        <f>SDÖ3!C146</f>
        <v>ZR - Laden, Abfuhr</v>
      </c>
      <c r="I100" s="2534"/>
      <c r="L100" s="33"/>
      <c r="N100" s="2391" t="str">
        <f>SDÖ3!C42</f>
        <v>Gülle ausbringen 20 m³/ha, (15 m³ Fass, Schleppschl. 7,5 m</v>
      </c>
      <c r="P100" s="2534"/>
    </row>
    <row r="101" spans="3:16">
      <c r="C101" s="765"/>
      <c r="E101" s="2534"/>
      <c r="G101" s="2391" t="str">
        <f>SDÖ3!C147</f>
        <v>Mulchen (Lohnunternehmer)</v>
      </c>
      <c r="I101" s="2534"/>
      <c r="L101" s="33"/>
      <c r="N101" s="2391" t="str">
        <f>SDÖ3!C44</f>
        <v>Kalkstreuer 6 m³,15 m, 2t/ha (ab Feld, mit Beladen)</v>
      </c>
      <c r="P101" s="2534"/>
    </row>
    <row r="102" spans="3:16">
      <c r="C102" s="272"/>
      <c r="D102" s="272"/>
      <c r="E102" s="272"/>
      <c r="G102" s="2391" t="str">
        <f>SDÖ3!C148</f>
        <v>Stroh-Rundballen pressen je ha</v>
      </c>
      <c r="I102" s="2534"/>
      <c r="L102" s="33"/>
      <c r="N102" s="2391">
        <f>SDÖ3!C45</f>
        <v>0</v>
      </c>
      <c r="P102" s="2534"/>
    </row>
    <row r="103" spans="3:16">
      <c r="G103" s="2391" t="str">
        <f>SDÖ3!C149</f>
        <v>Stroh-Quaderballen pressen je ha</v>
      </c>
      <c r="I103" s="2534"/>
      <c r="L103" s="33"/>
      <c r="N103" s="2391" t="str">
        <f>SDÖ3!C46</f>
        <v>Pflanzenschutzspritze 12 m, 300 l/ha</v>
      </c>
      <c r="P103" s="2534"/>
    </row>
    <row r="104" spans="3:16">
      <c r="G104" s="2391" t="str">
        <f>SDÖ3!C150</f>
        <v>Silomais Häckseln/Festfahren im Lohn</v>
      </c>
      <c r="I104" s="2534"/>
      <c r="L104" s="33"/>
      <c r="N104" s="2391" t="str">
        <f>SDÖ3!C47</f>
        <v>Mulchgerät 3 m</v>
      </c>
      <c r="P104" s="2534"/>
    </row>
    <row r="105" spans="3:16">
      <c r="C105" s="2528"/>
      <c r="G105" s="2391" t="str">
        <f>SDÖ3!C151</f>
        <v>Silomais Aussaat (im Lohn)</v>
      </c>
      <c r="I105" s="2534"/>
      <c r="L105" s="33"/>
      <c r="N105" s="2391" t="str">
        <f>SDÖ3!C48</f>
        <v>Präparatespritze 6 m</v>
      </c>
      <c r="P105" s="2534"/>
    </row>
    <row r="106" spans="3:16">
      <c r="C106" s="2527" t="s">
        <v>1705</v>
      </c>
      <c r="G106" s="2391" t="str">
        <f>SDÖ3!C152</f>
        <v>Silomais Häckseln (im Lohn)</v>
      </c>
      <c r="I106" s="2534"/>
      <c r="L106" s="33"/>
      <c r="N106" s="2391" t="str">
        <f>SDÖ3!C49</f>
        <v>Hackstriegel 9 m</v>
      </c>
      <c r="P106" s="2534"/>
    </row>
    <row r="107" spans="3:16">
      <c r="C107" s="2527" t="s">
        <v>897</v>
      </c>
      <c r="G107" s="2391" t="str">
        <f>SDÖ3!C153</f>
        <v>GPS Häckseln im Lohn</v>
      </c>
      <c r="I107" s="2534"/>
      <c r="L107" s="33"/>
      <c r="N107" s="2391" t="str">
        <f>SDÖ3!C51</f>
        <v>Reihenhackgerät 3 m</v>
      </c>
      <c r="P107" s="2534"/>
    </row>
    <row r="108" spans="3:16">
      <c r="C108" s="2527"/>
      <c r="G108" s="2391" t="str">
        <f>SDÖ3!C154</f>
        <v>GPS Häckseln/Festfahren im Lohn</v>
      </c>
      <c r="I108" s="2534"/>
      <c r="L108" s="33"/>
      <c r="N108" s="2391">
        <f>SDÖ3!C52</f>
        <v>0</v>
      </c>
      <c r="P108" s="2534"/>
    </row>
    <row r="109" spans="3:16">
      <c r="C109" s="2527"/>
      <c r="G109" s="2391" t="str">
        <f>SDÖ3!C155</f>
        <v>Nachsaatmaschine (¼ Betrag)</v>
      </c>
      <c r="I109" s="2534"/>
      <c r="L109" s="33"/>
      <c r="N109" s="2391" t="str">
        <f>SDÖ3!C53</f>
        <v>Mais/GPS Silage festwalzen, 50 t FM</v>
      </c>
      <c r="P109" s="2534"/>
    </row>
    <row r="110" spans="3:16">
      <c r="C110" s="2526"/>
      <c r="G110" s="2391">
        <f>SDÖ3!C156</f>
        <v>0</v>
      </c>
      <c r="I110" s="2534"/>
      <c r="L110" s="33"/>
      <c r="N110" s="2391" t="str">
        <f>SDÖ3!C54</f>
        <v>Bunkerroder Möhren 0,5 m Arbeitsbreite</v>
      </c>
      <c r="P110" s="2534"/>
    </row>
    <row r="111" spans="3:16">
      <c r="G111" s="2391" t="str">
        <f>SDÖ3!C157</f>
        <v>Stroh-Rundballen pressen je dt</v>
      </c>
      <c r="I111" s="2534"/>
      <c r="L111" s="33"/>
      <c r="N111" s="2391">
        <f>SDÖ3!C55</f>
        <v>0</v>
      </c>
      <c r="P111" s="2534"/>
    </row>
    <row r="112" spans="3:16">
      <c r="G112" s="2391" t="str">
        <f>SDÖ3!C158</f>
        <v>Stroh-Quaderballen pressen je dt</v>
      </c>
      <c r="I112" s="2534"/>
      <c r="L112" s="33"/>
      <c r="N112" s="2391" t="str">
        <f>SDÖ3!C56</f>
        <v>Transp. u. Abkip. Getr. 6 t/ha (5,7 t Ki.)</v>
      </c>
      <c r="P112" s="2534"/>
    </row>
    <row r="113" spans="2:16">
      <c r="G113" s="2391" t="str">
        <f>SDÖ3!C159</f>
        <v>Festmistausbringung (im Lohn) €/t</v>
      </c>
      <c r="I113" s="2534"/>
      <c r="L113" s="33"/>
      <c r="N113" s="2391" t="str">
        <f>SDÖ3!C57</f>
        <v>Transp. u. Abkip. Getr. 6 t/ha (13,5 t Ki.)</v>
      </c>
      <c r="P113" s="2534"/>
    </row>
    <row r="114" spans="2:16">
      <c r="G114" s="2391" t="str">
        <f>SDÖ3!C160</f>
        <v>Gülleausbringung (im Lohn); €/m³</v>
      </c>
      <c r="I114" s="2534"/>
      <c r="L114" s="33"/>
      <c r="N114" s="2391" t="str">
        <f>SDÖ3!C58</f>
        <v>Silagetransport Mais/GPS, 3S.Kip. (10t Nutzl.), 50 t FM</v>
      </c>
      <c r="P114" s="2534"/>
    </row>
    <row r="115" spans="2:16">
      <c r="G115" s="2391" t="str">
        <f>SDÖ3!C161</f>
        <v>Traktor75-92 kW inkl. Diesel + Fahrer je h</v>
      </c>
      <c r="I115" s="2534"/>
      <c r="L115" s="33"/>
      <c r="N115" s="2391" t="str">
        <f>SDÖ3!C59</f>
        <v>Stroh-Rundballen 4 t/ha laden, abfahren, stapeln, 3-S-Kipp.</v>
      </c>
      <c r="P115" s="2534"/>
    </row>
    <row r="116" spans="2:16">
      <c r="G116" s="2391" t="str">
        <f>SDÖ3!C162</f>
        <v>Kipper je t zul Gesamtgewicht je h</v>
      </c>
      <c r="I116" s="2534"/>
      <c r="L116" s="33"/>
      <c r="N116" s="2391">
        <f>SDÖ3!C60</f>
        <v>0</v>
      </c>
      <c r="P116" s="2534"/>
    </row>
    <row r="117" spans="2:16">
      <c r="G117" s="2391">
        <f>SDÖ3!C163</f>
        <v>0</v>
      </c>
      <c r="L117" s="33"/>
      <c r="N117" s="2391" t="str">
        <f>SDÖ3!C61</f>
        <v>Wiesenwalze 3 m</v>
      </c>
      <c r="P117" s="2534"/>
    </row>
    <row r="118" spans="2:16">
      <c r="G118" s="2391">
        <f>SDÖ3!C164</f>
        <v>0</v>
      </c>
      <c r="L118" s="33"/>
      <c r="N118" s="2391" t="str">
        <f>SDÖ3!C62</f>
        <v>Wiesenegge 6 m</v>
      </c>
      <c r="P118" s="2534"/>
    </row>
    <row r="119" spans="2:16">
      <c r="G119" s="2391">
        <f>SDÖ3!C165</f>
        <v>0</v>
      </c>
      <c r="L119" s="33"/>
      <c r="N119" s="2391" t="str">
        <f>SDÖ3!C63</f>
        <v>Mähkomb. Heck/Front (4,5m insges., ohne Aufb.)</v>
      </c>
      <c r="P119" s="2534"/>
    </row>
    <row r="120" spans="2:16">
      <c r="L120" s="33"/>
      <c r="N120" s="2391" t="str">
        <f>SDÖ3!C65</f>
        <v>Rotationsmähwerk (Heck) m. Aufb. 2,8 m</v>
      </c>
      <c r="P120" s="2534"/>
    </row>
    <row r="121" spans="2:16">
      <c r="L121" s="33"/>
      <c r="N121" s="2391" t="str">
        <f>SDÖ3!C66</f>
        <v>Kreiselwender 5,5m</v>
      </c>
      <c r="P121" s="2534"/>
    </row>
    <row r="122" spans="2:16">
      <c r="L122" s="33"/>
      <c r="N122" s="2391" t="str">
        <f>SDÖ3!C67</f>
        <v>Kreiselschwader 7,5m Seitenablage</v>
      </c>
      <c r="O122" s="2534"/>
    </row>
    <row r="123" spans="2:16">
      <c r="B123" s="622">
        <v>1</v>
      </c>
      <c r="C123" s="33" t="str">
        <f>SDÖ5!C6</f>
        <v>Bio-dyn-Präparate (je Anw.)</v>
      </c>
      <c r="E123" s="2533">
        <f>IF(ISNA(VLOOKUP(B123,SDÖ5!$U$26:$X$37,SDÖ5!$U$23,FALSE)),0,(VLOOKUP(B123,SDÖ5!$U$26:$X$37,SDÖ5!$U$23,FALSE)))</f>
        <v>0</v>
      </c>
      <c r="L123" s="33"/>
      <c r="N123" s="2391" t="str">
        <f>SDÖ3!C68</f>
        <v>LW Silage, o. Dosierwalzen; 12 t FM (28 m³, 4 t Nutzl.)</v>
      </c>
      <c r="P123" s="2534"/>
    </row>
    <row r="124" spans="2:16">
      <c r="B124" s="622">
        <v>2</v>
      </c>
      <c r="C124" s="33" t="str">
        <f>SDÖ5!C7</f>
        <v>Propangas (je Anw.)</v>
      </c>
      <c r="E124" s="2533">
        <f>IF(ISNA(VLOOKUP(B124,SDÖ5!$U$26:$X$37,SDÖ5!$U$23,FALSE)),0,(VLOOKUP(B124,SDÖ5!$U$26:$X$37,SDÖ5!$U$23,FALSE)))</f>
        <v>0</v>
      </c>
      <c r="L124" s="33"/>
      <c r="N124" s="2391" t="str">
        <f>SDÖ3!C69</f>
        <v>Grassilo festwalzen, 12 t FM</v>
      </c>
      <c r="P124" s="2534"/>
    </row>
    <row r="125" spans="2:16">
      <c r="B125" s="622">
        <v>3</v>
      </c>
      <c r="C125" s="33" t="str">
        <f>SDÖ5!C8</f>
        <v xml:space="preserve">Schutznetz (je Anw.) </v>
      </c>
      <c r="E125" s="2533">
        <f>IF(ISNA(VLOOKUP(B125,SDÖ5!$U$26:$X$37,SDÖ5!$U$23,FALSE)),0,(VLOOKUP(B125,SDÖ5!$U$26:$X$37,SDÖ5!$U$23,FALSE)))</f>
        <v>0</v>
      </c>
      <c r="L125" s="33"/>
      <c r="N125" s="2391">
        <f>SDÖ3!C70</f>
        <v>0</v>
      </c>
      <c r="P125" s="2534"/>
    </row>
    <row r="126" spans="2:16">
      <c r="B126" s="622">
        <v>4</v>
      </c>
      <c r="C126" s="33" t="str">
        <f>SDÖ5!C9</f>
        <v>Neempräparat (je Anw.)</v>
      </c>
      <c r="E126" s="2533">
        <f>IF(ISNA(VLOOKUP(B126,SDÖ5!$U$26:$X$37,SDÖ5!$U$23,FALSE)),0,(VLOOKUP(B126,SDÖ5!$U$26:$X$37,SDÖ5!$U$23,FALSE)))</f>
        <v>0</v>
      </c>
      <c r="L126" s="33"/>
      <c r="N126" s="2391" t="str">
        <f>SDÖ3!C71</f>
        <v>Kartoffeln vorkeimen</v>
      </c>
      <c r="P126" s="2534"/>
    </row>
    <row r="127" spans="2:16">
      <c r="B127" s="622">
        <v>5</v>
      </c>
      <c r="C127" s="33" t="str">
        <f>SDÖ5!C10</f>
        <v>Kupfer (je Anw.)</v>
      </c>
      <c r="E127" s="2533">
        <f>IF(ISNA(VLOOKUP(B127,SDÖ5!$U$26:$X$37,SDÖ5!$U$23,FALSE)),0,(VLOOKUP(B127,SDÖ5!$U$26:$X$37,SDÖ5!$U$23,FALSE)))</f>
        <v>0</v>
      </c>
      <c r="L127" s="33"/>
      <c r="N127" s="2391" t="str">
        <f>SDÖ3!C72</f>
        <v>Pflanzkartoffeltransport,-laden 2,5 t/ha</v>
      </c>
      <c r="P127" s="2534"/>
    </row>
    <row r="128" spans="2:16">
      <c r="B128" s="622">
        <v>6</v>
      </c>
      <c r="C128" s="33" t="str">
        <f>SDÖ5!C11</f>
        <v>Bac.thureng. kurstaki (je Anw.)</v>
      </c>
      <c r="E128" s="2533">
        <f>IF(ISNA(VLOOKUP(B128,SDÖ5!$U$26:$X$37,SDÖ5!$U$23,FALSE)),0,(VLOOKUP(B128,SDÖ5!$U$26:$X$37,SDÖ5!$U$23,FALSE)))</f>
        <v>0</v>
      </c>
      <c r="L128" s="33"/>
      <c r="N128" s="2391" t="str">
        <f>SDÖ3!C73</f>
        <v>Legemaschine mit starrem Bunker 4 r (Kartoffel)</v>
      </c>
      <c r="P128" s="2534"/>
    </row>
    <row r="129" spans="2:16">
      <c r="B129" s="622">
        <v>7</v>
      </c>
      <c r="C129" s="33" t="str">
        <f>SDÖ5!C12</f>
        <v>Bac.thureng. tenebrionis (je Anw.)</v>
      </c>
      <c r="E129" s="2533">
        <f>IF(ISNA(VLOOKUP(B129,SDÖ5!$U$26:$X$37,SDÖ5!$U$23,FALSE)),0,(VLOOKUP(B129,SDÖ5!$U$26:$X$37,SDÖ5!$U$23,FALSE)))</f>
        <v>0</v>
      </c>
      <c r="L129" s="33"/>
      <c r="N129" s="2391" t="str">
        <f>SDÖ3!C74</f>
        <v>Legemaschine mit Kippbunker 4 r (Kartoffel)</v>
      </c>
      <c r="P129" s="2534"/>
    </row>
    <row r="130" spans="2:16">
      <c r="B130" s="622">
        <v>8</v>
      </c>
      <c r="C130" s="33" t="str">
        <f>SDÖ5!C13</f>
        <v>Eisen-III-Phosphat</v>
      </c>
      <c r="E130" s="2533">
        <f>IF(ISNA(VLOOKUP(B130,SDÖ5!$U$26:$X$37,SDÖ5!$U$23,FALSE)),0,(VLOOKUP(B130,SDÖ5!$U$26:$X$37,SDÖ5!$U$23,FALSE)))</f>
        <v>0</v>
      </c>
      <c r="L130" s="33"/>
      <c r="N130" s="2391" t="str">
        <f>SDÖ3!C75</f>
        <v>Häufeln 4 r, Vorauflauf (Kartoffel)</v>
      </c>
      <c r="P130" s="2534"/>
    </row>
    <row r="131" spans="2:16">
      <c r="B131" s="622">
        <v>9</v>
      </c>
      <c r="C131" s="33">
        <f>SDÖ5!C14</f>
        <v>0</v>
      </c>
      <c r="E131" s="2533">
        <f>IF(ISNA(VLOOKUP(B131,SDÖ5!$U$26:$X$37,SDÖ5!$U$23,FALSE)),0,(VLOOKUP(B131,SDÖ5!$U$26:$X$37,SDÖ5!$U$23,FALSE)))</f>
        <v>0</v>
      </c>
      <c r="L131" s="33"/>
      <c r="N131" s="2391" t="str">
        <f>SDÖ3!C76</f>
        <v>Hacken Nachauflauf 4 r</v>
      </c>
      <c r="P131" s="2534"/>
    </row>
    <row r="132" spans="2:16">
      <c r="B132" s="622">
        <v>10</v>
      </c>
      <c r="C132" s="33">
        <f>SDÖ5!C15</f>
        <v>0</v>
      </c>
      <c r="E132" s="2533">
        <f>IF(ISNA(VLOOKUP(B132,SDÖ5!$U$26:$X$37,SDÖ5!$U$23,FALSE)),0,(VLOOKUP(B132,SDÖ5!$U$26:$X$37,SDÖ5!$U$23,FALSE)))</f>
        <v>0</v>
      </c>
      <c r="L132" s="33"/>
      <c r="N132" s="2391" t="e">
        <f>SDÖ3!#REF!</f>
        <v>#REF!</v>
      </c>
      <c r="P132" s="2534"/>
    </row>
    <row r="133" spans="2:16">
      <c r="B133" s="622">
        <v>11</v>
      </c>
      <c r="C133" s="33" t="str">
        <f>SDÖ5!C16</f>
        <v>Düngemittel</v>
      </c>
      <c r="E133" s="2533">
        <f>IF(ISNA(VLOOKUP(B133,SDÖ5!$U$26:$X$37,SDÖ5!$U$23,FALSE)),0,(VLOOKUP(B133,SDÖ5!$U$26:$X$37,SDÖ5!$U$23,FALSE)))</f>
        <v>0</v>
      </c>
      <c r="L133" s="33"/>
      <c r="N133" s="2391" t="str">
        <f>SDÖ3!C77</f>
        <v>Häufeln 4 r, Nachauflauf (Kartoffel)</v>
      </c>
      <c r="P133" s="2534"/>
    </row>
    <row r="134" spans="2:16">
      <c r="B134" s="622">
        <v>12</v>
      </c>
      <c r="C134" s="33" t="e">
        <f>SDÖ5!#REF!</f>
        <v>#REF!</v>
      </c>
      <c r="E134" s="2533">
        <f>IF(ISNA(VLOOKUP(B134,SDÖ5!$U$26:$X$37,SDÖ5!$U$23,FALSE)),0,(VLOOKUP(B134,SDÖ5!$U$26:$X$37,SDÖ5!$U$23,FALSE)))</f>
        <v>0</v>
      </c>
      <c r="L134" s="33"/>
      <c r="N134" s="2391" t="str">
        <f>SDÖ3!C91</f>
        <v>Hanfstroh Transport 15 km</v>
      </c>
    </row>
    <row r="135" spans="2:16">
      <c r="B135" s="622">
        <v>13</v>
      </c>
      <c r="C135" s="33" t="e">
        <f>SDÖ5!#REF!</f>
        <v>#REF!</v>
      </c>
      <c r="E135" s="2533">
        <f>IF(ISNA(VLOOKUP(B135,SDÖ5!$U$26:$X$37,SDÖ5!$U$23,FALSE)),0,(VLOOKUP(B135,SDÖ5!$U$26:$X$37,SDÖ5!$U$23,FALSE)))</f>
        <v>0</v>
      </c>
      <c r="L135" s="33"/>
      <c r="N135" s="2391" t="str">
        <f>SDÖ3!C92</f>
        <v>Hanfstroh Transport/ein-/auslag.</v>
      </c>
    </row>
    <row r="136" spans="2:16">
      <c r="B136" s="622">
        <v>14</v>
      </c>
      <c r="C136" s="33" t="e">
        <f>SDÖ5!#REF!</f>
        <v>#REF!</v>
      </c>
      <c r="E136" s="2533">
        <f>IF(ISNA(VLOOKUP(B136,SDÖ5!$U$26:$X$37,SDÖ5!$U$23,FALSE)),0,(VLOOKUP(B136,SDÖ5!$U$26:$X$37,SDÖ5!$U$23,FALSE)))</f>
        <v>0</v>
      </c>
      <c r="L136" s="33"/>
      <c r="N136" s="2391">
        <f>SDÖ3!C93</f>
        <v>0</v>
      </c>
    </row>
    <row r="137" spans="2:16">
      <c r="B137" s="622">
        <v>15</v>
      </c>
      <c r="C137" s="33"/>
      <c r="E137" s="2533">
        <f>IF(ISNA(VLOOKUP(B137,SDÖ5!$U$26:$X$37,SDÖ5!$U$23,FALSE)),0,(VLOOKUP(B137,SDÖ5!$U$26:$X$37,SDÖ5!$U$23,FALSE)))</f>
        <v>0</v>
      </c>
      <c r="L137" s="33"/>
      <c r="N137" s="2391" t="str">
        <f>SDÖ3!C94</f>
        <v>Handakh Feld Möhren</v>
      </c>
    </row>
    <row r="138" spans="2:16">
      <c r="B138" s="622">
        <v>16</v>
      </c>
      <c r="C138" s="33"/>
      <c r="E138" s="2533">
        <f>IF(ISNA(VLOOKUP(B138,SDÖ5!$U$26:$X$37,SDÖ5!$U$23,FALSE)),0,(VLOOKUP(B138,SDÖ5!$U$26:$X$37,SDÖ5!$U$23,FALSE)))</f>
        <v>0</v>
      </c>
      <c r="L138" s="33"/>
      <c r="N138" s="2391" t="str">
        <f>SDÖ3!C96</f>
        <v>Handakh Feld sonstige Kultur</v>
      </c>
    </row>
    <row r="139" spans="2:16">
      <c r="B139" s="622"/>
      <c r="C139" s="33"/>
      <c r="L139" s="33"/>
      <c r="N139" s="2391" t="str">
        <f>SDÖ3!C99</f>
        <v>Handakh Aufbereitung sonstige Kultur</v>
      </c>
    </row>
    <row r="140" spans="2:16">
      <c r="B140" s="622"/>
      <c r="C140" s="33"/>
      <c r="L140" s="33"/>
      <c r="N140" s="2391">
        <f>SDÖ3!C100</f>
        <v>0</v>
      </c>
    </row>
    <row r="141" spans="2:16">
      <c r="B141" s="622"/>
      <c r="C141" s="33"/>
      <c r="L141" s="33"/>
      <c r="N141" s="2391">
        <f>SDÖ3!C101</f>
        <v>0</v>
      </c>
    </row>
    <row r="142" spans="2:16">
      <c r="B142" s="622"/>
      <c r="C142" s="33" t="str">
        <f ca="1">MID(CELL("Dateiname",$A$1),FIND("]",CELL("Dateiname",$A$1))+1,31)</f>
        <v>TE7</v>
      </c>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c r="L149" s="33"/>
    </row>
    <row r="150" spans="2:12">
      <c r="B150" s="622"/>
      <c r="C150" s="33"/>
      <c r="L150" s="33"/>
    </row>
    <row r="151" spans="2:12">
      <c r="B151" s="622"/>
      <c r="C151" s="33"/>
      <c r="L151" s="33"/>
    </row>
    <row r="152" spans="2:12">
      <c r="B152" s="622"/>
      <c r="C152" s="33"/>
    </row>
    <row r="153" spans="2:12">
      <c r="B153" s="622"/>
      <c r="C153" s="33"/>
      <c r="H153" s="1929"/>
      <c r="J153" s="2389"/>
    </row>
    <row r="154" spans="2:12">
      <c r="B154" s="622"/>
      <c r="C154" s="33"/>
      <c r="H154" s="1929"/>
      <c r="J154" s="2389"/>
    </row>
    <row r="155" spans="2:12">
      <c r="B155" s="622"/>
      <c r="C155" s="33"/>
      <c r="H155" s="1929"/>
      <c r="J155" s="2389"/>
    </row>
    <row r="156" spans="2:12">
      <c r="B156" s="622"/>
      <c r="C156" s="33"/>
      <c r="H156" s="1929"/>
      <c r="J156" s="2389"/>
    </row>
    <row r="157" spans="2:12">
      <c r="B157" s="622"/>
      <c r="C157" s="33"/>
      <c r="H157" s="1929"/>
      <c r="J157" s="2389"/>
    </row>
    <row r="158" spans="2:12">
      <c r="B158" s="622"/>
      <c r="C158" s="33"/>
      <c r="D158" s="33"/>
      <c r="F158" s="33"/>
      <c r="H158" s="33"/>
      <c r="I158" s="33"/>
      <c r="J158" s="33"/>
      <c r="K158" s="33"/>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row>
    <row r="163" spans="2:11">
      <c r="B163" s="622"/>
      <c r="C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row r="211" spans="2:3">
      <c r="B211" s="622"/>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12"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6513"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6514"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6515"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6516"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6517"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6519"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6520"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6521"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6522"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6523"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6524"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6525"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6526"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6527"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00B0F0"/>
    <pageSetUpPr fitToPage="1"/>
  </sheetPr>
  <dimension ref="A1:AP121"/>
  <sheetViews>
    <sheetView showZeros="0" topLeftCell="A3" zoomScaleNormal="100" workbookViewId="0">
      <pane ySplit="4" topLeftCell="A7" activePane="bottomLeft" state="frozen"/>
      <selection activeCell="AF19" sqref="AF19"/>
      <selection pane="bottomLeft"/>
    </sheetView>
  </sheetViews>
  <sheetFormatPr baseColWidth="10" defaultColWidth="10.25" defaultRowHeight="12.75"/>
  <cols>
    <col min="1" max="1" width="3.375" style="31" customWidth="1"/>
    <col min="2" max="3" width="3.375" style="32" customWidth="1"/>
    <col min="4" max="4" width="11.75" style="32" customWidth="1"/>
    <col min="5" max="5" width="8.75" style="32" customWidth="1"/>
    <col min="6" max="6" width="8.75" style="224" customWidth="1"/>
    <col min="7" max="8" width="9.625" style="32" customWidth="1"/>
    <col min="9" max="11" width="9.625" style="39" customWidth="1"/>
    <col min="12" max="14" width="9.625" style="223" customWidth="1"/>
    <col min="15" max="16" width="9.625" style="32" customWidth="1"/>
    <col min="17" max="17" width="10.75" style="222" customWidth="1"/>
    <col min="18" max="18" width="26.625" style="136" hidden="1" customWidth="1"/>
    <col min="19" max="19" width="3.625" style="136" hidden="1" customWidth="1"/>
    <col min="20" max="20" width="30.125" style="136" hidden="1" customWidth="1"/>
    <col min="21" max="21" width="12.125" style="136" hidden="1" customWidth="1"/>
    <col min="22" max="22" width="19.625" style="136" hidden="1" customWidth="1"/>
    <col min="23" max="23" width="4.375" style="136" hidden="1" customWidth="1"/>
    <col min="24" max="24" width="25.375" style="136" hidden="1" customWidth="1"/>
    <col min="25" max="25" width="24.875" style="136" hidden="1" customWidth="1"/>
    <col min="26" max="26" width="10.75" style="136" hidden="1" customWidth="1"/>
    <col min="27" max="27" width="10.25" style="136" hidden="1" customWidth="1"/>
    <col min="28" max="41" width="10.25" style="136" customWidth="1"/>
    <col min="42" max="16384" width="10.25" style="136"/>
  </cols>
  <sheetData>
    <row r="1" spans="1:42" s="31" customFormat="1" ht="14.25">
      <c r="B1" s="32"/>
      <c r="C1" s="32"/>
      <c r="D1" s="32"/>
      <c r="E1" s="32"/>
      <c r="F1" s="224"/>
      <c r="G1" s="32"/>
      <c r="H1" s="32"/>
      <c r="I1" s="39"/>
      <c r="J1" s="39"/>
      <c r="K1" s="39"/>
      <c r="L1" s="223"/>
      <c r="M1" s="223"/>
      <c r="N1" s="223"/>
      <c r="O1" s="32"/>
      <c r="P1" s="307"/>
      <c r="Q1" s="71"/>
      <c r="R1" s="136"/>
      <c r="S1" s="136"/>
      <c r="T1" s="136"/>
    </row>
    <row r="2" spans="1:42" s="31" customFormat="1" ht="22.15" customHeight="1">
      <c r="A2" s="320"/>
      <c r="B2" s="328" t="s">
        <v>285</v>
      </c>
      <c r="C2" s="276"/>
      <c r="D2" s="276"/>
      <c r="E2" s="276"/>
      <c r="F2" s="278"/>
      <c r="G2" s="276"/>
      <c r="H2" s="276"/>
      <c r="I2" s="322"/>
      <c r="J2" s="136"/>
      <c r="K2" s="136"/>
      <c r="L2" s="277"/>
      <c r="M2" s="277"/>
      <c r="N2" s="277"/>
      <c r="O2" s="327" t="s">
        <v>2037</v>
      </c>
      <c r="P2" s="307"/>
      <c r="Q2" s="71"/>
    </row>
    <row r="3" spans="1:42" s="31" customFormat="1" ht="31.5" customHeight="1">
      <c r="A3" s="320"/>
      <c r="B3" s="326"/>
      <c r="C3" s="276"/>
      <c r="D3" s="325"/>
      <c r="E3" s="323"/>
      <c r="F3" s="324"/>
      <c r="G3" s="323"/>
      <c r="H3" s="323"/>
      <c r="I3" s="322"/>
      <c r="J3" s="136"/>
      <c r="K3" s="136"/>
      <c r="L3" s="321"/>
      <c r="M3" s="321"/>
      <c r="N3" s="4142" t="s">
        <v>2187</v>
      </c>
      <c r="O3" s="3491"/>
      <c r="P3" s="307"/>
      <c r="Q3" s="71"/>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row>
    <row r="4" spans="1:42" s="31" customFormat="1" ht="9" customHeight="1">
      <c r="A4" s="320"/>
      <c r="C4" s="276"/>
      <c r="D4" s="276"/>
      <c r="E4" s="276"/>
      <c r="F4" s="278"/>
      <c r="G4" s="276"/>
      <c r="H4" s="276"/>
      <c r="I4" s="276"/>
      <c r="J4" s="276"/>
      <c r="K4" s="276"/>
      <c r="L4" s="277"/>
      <c r="M4" s="277"/>
      <c r="N4" s="4143"/>
      <c r="O4" s="276"/>
      <c r="P4" s="307"/>
      <c r="Q4" s="71"/>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row>
    <row r="5" spans="1:42" s="31" customFormat="1" ht="15.6" customHeight="1">
      <c r="A5" s="320"/>
      <c r="B5" s="48"/>
      <c r="C5" s="3234" t="s">
        <v>116</v>
      </c>
      <c r="D5" s="3274">
        <v>44917</v>
      </c>
      <c r="E5" s="3234"/>
      <c r="F5" s="224"/>
      <c r="G5" s="3275" t="s">
        <v>284</v>
      </c>
      <c r="H5" s="271"/>
      <c r="I5" s="271"/>
      <c r="J5" s="271"/>
      <c r="K5" s="271"/>
      <c r="L5" s="3276"/>
      <c r="M5" s="3276"/>
      <c r="N5" s="4143"/>
      <c r="O5" s="3294" t="s">
        <v>283</v>
      </c>
      <c r="P5" s="307"/>
      <c r="Q5" s="71"/>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row>
    <row r="6" spans="1:42" s="31" customFormat="1" ht="15.6" customHeight="1">
      <c r="A6" s="240">
        <f>ROWS($A$6:A6)</f>
        <v>1</v>
      </c>
      <c r="B6" s="48"/>
      <c r="C6" s="3234"/>
      <c r="D6" s="3234"/>
      <c r="E6" s="3234"/>
      <c r="F6" s="224"/>
      <c r="G6" s="3277">
        <v>2016</v>
      </c>
      <c r="H6" s="318">
        <v>2017</v>
      </c>
      <c r="I6" s="3278">
        <v>2018</v>
      </c>
      <c r="J6" s="3278">
        <v>2019</v>
      </c>
      <c r="K6" s="3278">
        <v>2020</v>
      </c>
      <c r="L6" s="3279">
        <v>2021</v>
      </c>
      <c r="M6" s="2971">
        <v>2022</v>
      </c>
      <c r="N6" s="2971" t="s">
        <v>2094</v>
      </c>
      <c r="O6" s="4075" t="s">
        <v>2094</v>
      </c>
      <c r="P6" s="307"/>
      <c r="Q6" s="71"/>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row>
    <row r="7" spans="1:42" s="31" customFormat="1" ht="31.15" customHeight="1">
      <c r="A7" s="240">
        <f>ROWS($A$6:A7)</f>
        <v>2</v>
      </c>
      <c r="B7" s="48"/>
      <c r="C7" s="32"/>
      <c r="D7" s="32"/>
      <c r="E7" s="32"/>
      <c r="F7" s="224"/>
      <c r="G7" s="318"/>
      <c r="H7" s="318"/>
      <c r="I7" s="318"/>
      <c r="J7" s="317"/>
      <c r="K7" s="3345"/>
      <c r="L7" s="3345"/>
      <c r="M7" s="3345"/>
      <c r="N7" s="3345"/>
      <c r="O7" s="3345"/>
      <c r="P7" s="307"/>
      <c r="Q7" s="71"/>
      <c r="R7" s="257"/>
      <c r="S7" s="257"/>
      <c r="T7" s="313" t="s">
        <v>282</v>
      </c>
      <c r="V7" s="35" t="s">
        <v>281</v>
      </c>
      <c r="W7" s="3406">
        <v>2</v>
      </c>
      <c r="X7" s="316" t="str">
        <f>VLOOKUP(W7,T8:U9,2,FALSE)</f>
        <v>ohne Mehrwertsteuer (Option)</v>
      </c>
      <c r="Y7" s="316"/>
      <c r="Z7" s="316"/>
      <c r="AA7" s="316"/>
      <c r="AB7" s="257"/>
      <c r="AC7" s="257"/>
      <c r="AD7" s="257"/>
      <c r="AE7" s="257"/>
      <c r="AF7" s="257"/>
      <c r="AG7" s="257"/>
      <c r="AH7" s="257"/>
      <c r="AI7" s="257"/>
      <c r="AJ7" s="257"/>
      <c r="AK7" s="257"/>
      <c r="AL7" s="257"/>
      <c r="AM7" s="257"/>
      <c r="AN7" s="257"/>
      <c r="AO7" s="257"/>
      <c r="AP7" s="257"/>
    </row>
    <row r="8" spans="1:42" s="31" customFormat="1" ht="19.899999999999999" customHeight="1">
      <c r="A8" s="240">
        <f>ROWS($A$6:A8)</f>
        <v>3</v>
      </c>
      <c r="B8" s="3295" t="s">
        <v>280</v>
      </c>
      <c r="C8" s="319"/>
      <c r="D8" s="319"/>
      <c r="E8" s="319"/>
      <c r="F8" s="270"/>
      <c r="G8" s="3296"/>
      <c r="H8" s="269"/>
      <c r="I8" s="269"/>
      <c r="J8" s="269"/>
      <c r="K8" s="269"/>
      <c r="L8" s="268"/>
      <c r="M8" s="268"/>
      <c r="N8" s="268"/>
      <c r="O8" s="3282" t="str">
        <f>IF(W7=2,"ohne MwSt.","mit MwSt.")</f>
        <v>ohne MwSt.</v>
      </c>
      <c r="P8" s="307"/>
      <c r="Q8" s="71"/>
      <c r="R8" s="257"/>
      <c r="S8" s="257"/>
      <c r="T8" s="314">
        <v>1</v>
      </c>
      <c r="U8" s="313" t="s">
        <v>279</v>
      </c>
      <c r="V8" s="257"/>
      <c r="W8" s="257"/>
      <c r="X8" s="257"/>
      <c r="Y8" s="257"/>
      <c r="Z8" s="257"/>
      <c r="AA8" s="257"/>
      <c r="AB8" s="257"/>
      <c r="AC8" s="257"/>
      <c r="AD8" s="257"/>
      <c r="AE8" s="257"/>
      <c r="AF8" s="257"/>
      <c r="AG8" s="257"/>
      <c r="AH8" s="257"/>
      <c r="AI8" s="257"/>
      <c r="AJ8" s="257"/>
      <c r="AK8" s="257"/>
      <c r="AL8" s="257"/>
      <c r="AM8" s="257"/>
      <c r="AN8" s="257"/>
      <c r="AO8" s="257"/>
      <c r="AP8" s="257"/>
    </row>
    <row r="9" spans="1:42" s="252" customFormat="1" ht="15.6" customHeight="1">
      <c r="A9" s="240">
        <f>ROWS($A$6:A9)</f>
        <v>4</v>
      </c>
      <c r="B9" s="47"/>
      <c r="C9" s="45" t="s">
        <v>278</v>
      </c>
      <c r="D9" s="45"/>
      <c r="E9" s="45"/>
      <c r="F9" s="310"/>
      <c r="G9" s="312">
        <v>10.7</v>
      </c>
      <c r="H9" s="308">
        <v>10.7</v>
      </c>
      <c r="I9" s="308">
        <v>10.7</v>
      </c>
      <c r="J9" s="308">
        <v>10.7</v>
      </c>
      <c r="K9" s="308">
        <v>10.7</v>
      </c>
      <c r="L9" s="308">
        <v>10.7</v>
      </c>
      <c r="M9" s="308">
        <v>9.5</v>
      </c>
      <c r="N9" s="4020">
        <v>9</v>
      </c>
      <c r="O9" s="3297">
        <f>IF($W$7=2,0,HLOOKUP($O$6,$I$6:$N$12,A9))</f>
        <v>0</v>
      </c>
      <c r="P9" s="307"/>
      <c r="T9" s="314">
        <v>2</v>
      </c>
      <c r="U9" s="313" t="s">
        <v>277</v>
      </c>
      <c r="V9" s="257"/>
      <c r="W9" s="257"/>
      <c r="X9" s="257"/>
      <c r="Y9" s="257"/>
      <c r="Z9" s="257"/>
      <c r="AA9" s="257"/>
    </row>
    <row r="10" spans="1:42" s="252" customFormat="1" ht="15.6" customHeight="1">
      <c r="A10" s="240">
        <f>ROWS($A$6:A10)</f>
        <v>5</v>
      </c>
      <c r="B10" s="47"/>
      <c r="C10" s="45" t="s">
        <v>276</v>
      </c>
      <c r="D10" s="45"/>
      <c r="E10" s="45"/>
      <c r="F10" s="310"/>
      <c r="G10" s="312">
        <v>7</v>
      </c>
      <c r="H10" s="308">
        <v>7</v>
      </c>
      <c r="I10" s="308">
        <v>7</v>
      </c>
      <c r="J10" s="308">
        <v>7</v>
      </c>
      <c r="K10" s="308">
        <v>7</v>
      </c>
      <c r="L10" s="308">
        <v>7</v>
      </c>
      <c r="M10" s="308">
        <v>7</v>
      </c>
      <c r="N10" s="308">
        <v>7</v>
      </c>
      <c r="O10" s="3298">
        <f>IF($W$7=2,0,HLOOKUP($O$6,$I$6:$N$12,A10))</f>
        <v>0</v>
      </c>
      <c r="P10" s="307"/>
    </row>
    <row r="11" spans="1:42" s="252" customFormat="1" ht="15.6" customHeight="1">
      <c r="A11" s="240">
        <f>ROWS($A$6:A11)</f>
        <v>6</v>
      </c>
      <c r="B11" s="47"/>
      <c r="C11" s="45" t="s">
        <v>275</v>
      </c>
      <c r="D11" s="45"/>
      <c r="E11" s="45"/>
      <c r="F11" s="310"/>
      <c r="G11" s="309">
        <v>19</v>
      </c>
      <c r="H11" s="308">
        <v>19</v>
      </c>
      <c r="I11" s="308">
        <v>19</v>
      </c>
      <c r="J11" s="308">
        <v>19</v>
      </c>
      <c r="K11" s="308">
        <v>19</v>
      </c>
      <c r="L11" s="308">
        <v>19</v>
      </c>
      <c r="M11" s="308">
        <v>19</v>
      </c>
      <c r="N11" s="308">
        <v>19</v>
      </c>
      <c r="O11" s="3298">
        <f>IF($W$7=2,0,HLOOKUP($O$6,$I$6:$N$12,A11))</f>
        <v>0</v>
      </c>
      <c r="P11" s="307"/>
    </row>
    <row r="12" spans="1:42" s="252" customFormat="1" ht="15.6" customHeight="1">
      <c r="A12" s="240">
        <f>ROWS($A$6:A12)</f>
        <v>7</v>
      </c>
      <c r="B12" s="47"/>
      <c r="C12" s="45" t="s">
        <v>274</v>
      </c>
      <c r="D12" s="45"/>
      <c r="E12" s="45"/>
      <c r="F12" s="310"/>
      <c r="G12" s="309">
        <v>12</v>
      </c>
      <c r="H12" s="308">
        <v>12</v>
      </c>
      <c r="I12" s="308">
        <v>12</v>
      </c>
      <c r="J12" s="308">
        <v>12</v>
      </c>
      <c r="K12" s="308">
        <v>12</v>
      </c>
      <c r="L12" s="308">
        <v>12</v>
      </c>
      <c r="M12" s="308">
        <v>12</v>
      </c>
      <c r="N12" s="308">
        <v>12</v>
      </c>
      <c r="O12" s="3298">
        <f>IF($W$7=2,0,HLOOKUP($O$6,$I$6:$N$12,A12))</f>
        <v>0</v>
      </c>
      <c r="P12" s="307"/>
    </row>
    <row r="13" spans="1:42" s="31" customFormat="1" ht="15.6" customHeight="1">
      <c r="A13" s="240">
        <f>ROWS($A$6:A13)</f>
        <v>8</v>
      </c>
      <c r="C13" s="276"/>
      <c r="D13" s="276"/>
      <c r="E13" s="276"/>
      <c r="F13" s="278"/>
      <c r="G13" s="276"/>
      <c r="H13" s="276"/>
      <c r="I13" s="276"/>
      <c r="J13" s="276"/>
      <c r="K13" s="276"/>
      <c r="L13" s="276"/>
      <c r="M13" s="276"/>
      <c r="N13" s="276"/>
      <c r="P13" s="307"/>
      <c r="Q13" s="71"/>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row>
    <row r="14" spans="1:42" s="31" customFormat="1" ht="19.899999999999999" customHeight="1" thickBot="1">
      <c r="A14" s="240">
        <f>ROWS($A$6:A14)</f>
        <v>9</v>
      </c>
      <c r="B14" s="3299" t="s">
        <v>273</v>
      </c>
      <c r="C14" s="3234"/>
      <c r="D14" s="45"/>
      <c r="E14" s="45"/>
      <c r="F14" s="3300"/>
      <c r="G14" s="3301"/>
      <c r="H14" s="3302" t="s">
        <v>249</v>
      </c>
      <c r="I14" s="3303"/>
      <c r="J14" s="3303"/>
      <c r="K14" s="3303"/>
      <c r="L14" s="3304"/>
      <c r="M14" s="3304"/>
      <c r="N14" s="3304"/>
      <c r="O14" s="3314" t="str">
        <f>O8</f>
        <v>ohne MwSt.</v>
      </c>
      <c r="P14" s="307"/>
      <c r="Q14" s="71"/>
      <c r="W14" s="257"/>
      <c r="X14" s="257"/>
      <c r="Y14" s="257"/>
      <c r="Z14" s="257"/>
      <c r="AA14" s="257"/>
      <c r="AB14" s="257"/>
      <c r="AC14" s="257"/>
      <c r="AD14" s="257"/>
      <c r="AE14" s="257"/>
      <c r="AF14" s="257"/>
      <c r="AG14" s="257"/>
      <c r="AH14" s="257"/>
      <c r="AI14" s="257"/>
      <c r="AJ14" s="257"/>
      <c r="AK14" s="257"/>
      <c r="AL14" s="257"/>
      <c r="AM14" s="257"/>
      <c r="AN14" s="257"/>
      <c r="AO14" s="257"/>
      <c r="AP14" s="257"/>
    </row>
    <row r="15" spans="1:42" s="31" customFormat="1" ht="15.6" customHeight="1" thickBot="1">
      <c r="A15" s="240">
        <f>ROWS($A$6:A15)</f>
        <v>10</v>
      </c>
      <c r="B15" s="48"/>
      <c r="C15" s="306" t="s">
        <v>272</v>
      </c>
      <c r="D15" s="45"/>
      <c r="E15" s="45"/>
      <c r="F15" s="229"/>
      <c r="G15" s="286"/>
      <c r="H15" s="285"/>
      <c r="I15" s="285"/>
      <c r="J15" s="285"/>
      <c r="K15" s="305"/>
      <c r="L15" s="285"/>
      <c r="M15" s="284"/>
      <c r="N15" s="285"/>
      <c r="O15" s="3289">
        <f>O9/100</f>
        <v>0</v>
      </c>
      <c r="P15" s="307"/>
      <c r="Q15" s="71"/>
      <c r="R15" s="304" t="s">
        <v>2097</v>
      </c>
      <c r="S15" s="303"/>
      <c r="T15" s="303" t="s">
        <v>2098</v>
      </c>
      <c r="U15" s="303"/>
      <c r="V15" s="302" t="s">
        <v>1991</v>
      </c>
      <c r="W15" s="301"/>
      <c r="X15" s="4019" t="s">
        <v>2096</v>
      </c>
      <c r="Y15" s="303" t="s">
        <v>2069</v>
      </c>
      <c r="Z15" s="257"/>
      <c r="AA15" s="257"/>
      <c r="AB15" s="257"/>
      <c r="AC15" s="257"/>
      <c r="AD15" s="257"/>
      <c r="AE15" s="257"/>
      <c r="AF15" s="257"/>
      <c r="AG15" s="257"/>
      <c r="AH15" s="257"/>
      <c r="AI15" s="257"/>
      <c r="AJ15" s="257"/>
      <c r="AK15" s="257"/>
      <c r="AL15" s="257"/>
      <c r="AM15" s="257"/>
      <c r="AN15" s="257"/>
      <c r="AO15" s="257"/>
      <c r="AP15" s="257"/>
    </row>
    <row r="16" spans="1:42" s="252" customFormat="1" ht="15.6" customHeight="1">
      <c r="A16" s="240">
        <f>ROWS($A$6:A16)</f>
        <v>11</v>
      </c>
      <c r="B16" s="3306"/>
      <c r="C16" s="3307" t="s">
        <v>269</v>
      </c>
      <c r="D16" s="3307"/>
      <c r="E16" s="3307" t="s">
        <v>266</v>
      </c>
      <c r="F16" s="3308"/>
      <c r="G16" s="292">
        <v>13</v>
      </c>
      <c r="H16" s="292">
        <v>14</v>
      </c>
      <c r="I16" s="292">
        <v>15.3</v>
      </c>
      <c r="J16" s="292">
        <v>14.7</v>
      </c>
      <c r="K16" s="292">
        <v>14.5</v>
      </c>
      <c r="L16" s="4002">
        <v>20.7</v>
      </c>
      <c r="M16" s="4001">
        <f>(28+28.5+28+28+28.5)/5</f>
        <v>28.2</v>
      </c>
      <c r="N16" s="245">
        <f>AVERAGE(K16:M16)</f>
        <v>21.133333333333336</v>
      </c>
      <c r="O16" s="3309">
        <f t="shared" ref="O16:O48" si="0">HLOOKUP($O$6,$G$6:$N$48,A16)*(100+$O$9)/100</f>
        <v>21.133333333333336</v>
      </c>
      <c r="P16" s="44"/>
      <c r="Q16" s="71"/>
      <c r="R16" s="289" t="s">
        <v>255</v>
      </c>
      <c r="S16" s="299"/>
      <c r="T16" s="255" t="s">
        <v>2070</v>
      </c>
      <c r="U16" s="255"/>
      <c r="V16" s="298" t="s">
        <v>2078</v>
      </c>
      <c r="W16" s="253"/>
      <c r="X16" s="289" t="s">
        <v>255</v>
      </c>
    </row>
    <row r="17" spans="1:25" s="231" customFormat="1" ht="15.6" customHeight="1">
      <c r="A17" s="240">
        <f>ROWS($A$6:A17)</f>
        <v>12</v>
      </c>
      <c r="B17" s="68"/>
      <c r="C17" s="45" t="s">
        <v>269</v>
      </c>
      <c r="D17" s="45"/>
      <c r="E17" s="45" t="s">
        <v>271</v>
      </c>
      <c r="F17" s="3886"/>
      <c r="G17" s="292">
        <v>13.6</v>
      </c>
      <c r="H17" s="292">
        <v>14.4</v>
      </c>
      <c r="I17" s="292">
        <v>17.600000000000001</v>
      </c>
      <c r="J17" s="292">
        <v>15.1</v>
      </c>
      <c r="K17" s="292">
        <v>15</v>
      </c>
      <c r="L17" s="4001">
        <v>20.2</v>
      </c>
      <c r="M17" s="4001">
        <v>29.8</v>
      </c>
      <c r="N17" s="4005">
        <f t="shared" ref="N17:N47" si="1">AVERAGE(K17:M17)</f>
        <v>21.666666666666668</v>
      </c>
      <c r="O17" s="3310">
        <f t="shared" si="0"/>
        <v>21.666666666666671</v>
      </c>
      <c r="P17" s="44"/>
      <c r="R17" s="289" t="s">
        <v>255</v>
      </c>
      <c r="S17" s="299"/>
      <c r="T17" s="243" t="s">
        <v>2071</v>
      </c>
      <c r="U17" s="243"/>
      <c r="V17" s="298" t="s">
        <v>2078</v>
      </c>
      <c r="W17" s="241"/>
      <c r="X17" s="289" t="s">
        <v>255</v>
      </c>
    </row>
    <row r="18" spans="1:25" s="231" customFormat="1" ht="15.6" customHeight="1">
      <c r="A18" s="240">
        <f>ROWS($A$6:A18)</f>
        <v>13</v>
      </c>
      <c r="B18" s="68"/>
      <c r="C18" s="45" t="s">
        <v>269</v>
      </c>
      <c r="D18" s="45"/>
      <c r="E18" s="45" t="s">
        <v>270</v>
      </c>
      <c r="F18" s="3233"/>
      <c r="G18" s="292">
        <v>15</v>
      </c>
      <c r="H18" s="292">
        <v>15</v>
      </c>
      <c r="I18" s="292">
        <v>15</v>
      </c>
      <c r="J18" s="292">
        <v>15.4</v>
      </c>
      <c r="K18" s="292">
        <v>15.5</v>
      </c>
      <c r="L18" s="4001">
        <v>21.1</v>
      </c>
      <c r="M18" s="4001">
        <f>(31+32+31.5+31.5+32)/5</f>
        <v>31.6</v>
      </c>
      <c r="N18" s="4005">
        <f t="shared" si="1"/>
        <v>22.733333333333334</v>
      </c>
      <c r="O18" s="3310">
        <f t="shared" si="0"/>
        <v>22.733333333333334</v>
      </c>
      <c r="P18" s="44"/>
      <c r="R18" s="289" t="s">
        <v>255</v>
      </c>
      <c r="S18" s="299"/>
      <c r="T18" s="243" t="s">
        <v>2072</v>
      </c>
      <c r="U18" s="243"/>
      <c r="V18" s="298" t="s">
        <v>2078</v>
      </c>
      <c r="W18" s="241"/>
      <c r="X18" s="289" t="s">
        <v>255</v>
      </c>
      <c r="Y18" s="252"/>
    </row>
    <row r="19" spans="1:25" s="231" customFormat="1" ht="15.6" customHeight="1">
      <c r="A19" s="240">
        <f>ROWS($A$6:A19)</f>
        <v>14</v>
      </c>
      <c r="B19" s="68"/>
      <c r="C19" s="45" t="s">
        <v>269</v>
      </c>
      <c r="D19" s="45"/>
      <c r="E19" s="45" t="s">
        <v>268</v>
      </c>
      <c r="F19" s="3886"/>
      <c r="G19" s="292">
        <v>16</v>
      </c>
      <c r="H19" s="292">
        <v>16</v>
      </c>
      <c r="I19" s="292">
        <v>16.600000000000001</v>
      </c>
      <c r="J19" s="292">
        <v>16</v>
      </c>
      <c r="K19" s="292">
        <v>17</v>
      </c>
      <c r="L19" s="4001">
        <v>20.9</v>
      </c>
      <c r="M19" s="4001">
        <f>(34.98+35.03+35.06+34.8+34.65)/5</f>
        <v>34.904000000000003</v>
      </c>
      <c r="N19" s="4005">
        <f t="shared" si="1"/>
        <v>24.268000000000001</v>
      </c>
      <c r="O19" s="3310">
        <f t="shared" si="0"/>
        <v>24.268000000000001</v>
      </c>
      <c r="P19" s="44"/>
      <c r="R19" s="289" t="s">
        <v>255</v>
      </c>
      <c r="S19" s="299"/>
      <c r="T19" s="243" t="s">
        <v>2073</v>
      </c>
      <c r="U19" s="243"/>
      <c r="V19" s="298" t="s">
        <v>2078</v>
      </c>
      <c r="W19" s="241"/>
      <c r="X19" s="289" t="s">
        <v>255</v>
      </c>
      <c r="Y19" s="252"/>
    </row>
    <row r="20" spans="1:25" s="231" customFormat="1" ht="15.6" customHeight="1">
      <c r="A20" s="240">
        <f>ROWS($A$6:A20)</f>
        <v>15</v>
      </c>
      <c r="B20" s="68"/>
      <c r="C20" s="45" t="s">
        <v>90</v>
      </c>
      <c r="D20" s="45"/>
      <c r="E20" s="45"/>
      <c r="F20" s="3886"/>
      <c r="G20" s="292">
        <v>12.3</v>
      </c>
      <c r="H20" s="292">
        <v>13.9</v>
      </c>
      <c r="I20" s="292">
        <v>15.75</v>
      </c>
      <c r="J20" s="292">
        <v>14</v>
      </c>
      <c r="K20" s="292">
        <v>13.5</v>
      </c>
      <c r="L20" s="4001">
        <v>16.899999999999999</v>
      </c>
      <c r="M20" s="4001">
        <f>(28+28+28+28+28)/5</f>
        <v>28</v>
      </c>
      <c r="N20" s="4005">
        <f t="shared" si="1"/>
        <v>19.466666666666665</v>
      </c>
      <c r="O20" s="3310">
        <f t="shared" si="0"/>
        <v>19.466666666666665</v>
      </c>
      <c r="P20" s="44"/>
      <c r="R20" s="289" t="s">
        <v>255</v>
      </c>
      <c r="S20" s="299"/>
      <c r="T20" s="243" t="s">
        <v>2074</v>
      </c>
      <c r="U20" s="243"/>
      <c r="V20" s="298" t="s">
        <v>2078</v>
      </c>
      <c r="W20" s="241"/>
      <c r="X20" s="289" t="s">
        <v>255</v>
      </c>
    </row>
    <row r="21" spans="1:25" s="231" customFormat="1" ht="15.6" customHeight="1">
      <c r="A21" s="240">
        <f>ROWS($A$6:A21)</f>
        <v>16</v>
      </c>
      <c r="B21" s="68"/>
      <c r="C21" s="45" t="s">
        <v>88</v>
      </c>
      <c r="D21" s="45"/>
      <c r="E21" s="45"/>
      <c r="F21" s="3886"/>
      <c r="G21" s="292">
        <v>12</v>
      </c>
      <c r="H21" s="292">
        <v>13</v>
      </c>
      <c r="I21" s="292">
        <v>15.75</v>
      </c>
      <c r="J21" s="292">
        <v>13.5</v>
      </c>
      <c r="K21" s="292">
        <v>14.7</v>
      </c>
      <c r="L21" s="4001">
        <v>18.7</v>
      </c>
      <c r="M21" s="4001">
        <f>(24.5+24.5+25+26+26)/5</f>
        <v>25.2</v>
      </c>
      <c r="N21" s="4005">
        <f t="shared" si="1"/>
        <v>19.533333333333331</v>
      </c>
      <c r="O21" s="3310">
        <f t="shared" si="0"/>
        <v>19.533333333333331</v>
      </c>
      <c r="P21" s="44"/>
      <c r="R21" s="289" t="s">
        <v>255</v>
      </c>
      <c r="S21" s="299"/>
      <c r="T21" s="243"/>
      <c r="U21" s="243"/>
      <c r="V21" s="298" t="s">
        <v>2078</v>
      </c>
      <c r="W21" s="241"/>
      <c r="X21" s="289" t="s">
        <v>255</v>
      </c>
    </row>
    <row r="22" spans="1:25" s="231" customFormat="1" ht="15.6" customHeight="1">
      <c r="A22" s="240">
        <f>ROWS($A$6:A22)</f>
        <v>17</v>
      </c>
      <c r="B22" s="68"/>
      <c r="C22" s="45" t="s">
        <v>86</v>
      </c>
      <c r="D22" s="45"/>
      <c r="E22" s="45"/>
      <c r="F22" s="3886"/>
      <c r="G22" s="292">
        <v>11.5</v>
      </c>
      <c r="H22" s="292">
        <v>12.6</v>
      </c>
      <c r="I22" s="292">
        <v>16.899999999999999</v>
      </c>
      <c r="J22" s="292">
        <v>14</v>
      </c>
      <c r="K22" s="292">
        <v>13.5</v>
      </c>
      <c r="L22" s="4001">
        <v>17.100000000000001</v>
      </c>
      <c r="M22" s="4001">
        <v>25.4</v>
      </c>
      <c r="N22" s="4005">
        <f t="shared" si="1"/>
        <v>18.666666666666668</v>
      </c>
      <c r="O22" s="3310">
        <f t="shared" si="0"/>
        <v>18.666666666666668</v>
      </c>
      <c r="P22" s="44"/>
      <c r="R22" s="289" t="s">
        <v>255</v>
      </c>
      <c r="S22" s="299"/>
      <c r="T22" s="243" t="s">
        <v>2072</v>
      </c>
      <c r="U22" s="243"/>
      <c r="V22" s="298" t="s">
        <v>2078</v>
      </c>
      <c r="W22" s="241"/>
      <c r="X22" s="289" t="s">
        <v>255</v>
      </c>
    </row>
    <row r="23" spans="1:25" s="231" customFormat="1" ht="15.6" customHeight="1">
      <c r="A23" s="240">
        <f>ROWS($A$6:A23)</f>
        <v>18</v>
      </c>
      <c r="B23" s="68"/>
      <c r="C23" s="45" t="s">
        <v>84</v>
      </c>
      <c r="D23" s="45"/>
      <c r="E23" s="45"/>
      <c r="F23" s="3886"/>
      <c r="G23" s="292">
        <v>16</v>
      </c>
      <c r="H23" s="292">
        <v>17</v>
      </c>
      <c r="I23" s="292">
        <v>19</v>
      </c>
      <c r="J23" s="292">
        <v>20</v>
      </c>
      <c r="K23" s="292">
        <v>22</v>
      </c>
      <c r="L23" s="4001">
        <v>20.5</v>
      </c>
      <c r="M23" s="4001">
        <v>22.5</v>
      </c>
      <c r="N23" s="4005">
        <f t="shared" si="1"/>
        <v>21.666666666666668</v>
      </c>
      <c r="O23" s="3310">
        <f t="shared" si="0"/>
        <v>21.666666666666671</v>
      </c>
      <c r="P23" s="237"/>
      <c r="R23" s="289" t="s">
        <v>255</v>
      </c>
      <c r="S23" s="299"/>
      <c r="T23" s="243" t="s">
        <v>2072</v>
      </c>
      <c r="U23" s="243"/>
      <c r="V23" s="298" t="s">
        <v>2078</v>
      </c>
      <c r="W23" s="241"/>
      <c r="X23" s="289" t="s">
        <v>255</v>
      </c>
    </row>
    <row r="24" spans="1:25" s="231" customFormat="1" ht="15.6" customHeight="1">
      <c r="A24" s="240">
        <f>ROWS($A$6:A24)</f>
        <v>19</v>
      </c>
      <c r="B24" s="68"/>
      <c r="C24" s="45" t="s">
        <v>81</v>
      </c>
      <c r="D24" s="45"/>
      <c r="E24" s="45"/>
      <c r="F24" s="3886"/>
      <c r="G24" s="292">
        <v>13.6</v>
      </c>
      <c r="H24" s="292">
        <v>14.4</v>
      </c>
      <c r="I24" s="292">
        <v>17.600000000000001</v>
      </c>
      <c r="J24" s="292">
        <v>15.1</v>
      </c>
      <c r="K24" s="292">
        <v>15</v>
      </c>
      <c r="L24" s="4001">
        <v>20.2</v>
      </c>
      <c r="M24" s="4001">
        <v>29.8</v>
      </c>
      <c r="N24" s="4005">
        <f t="shared" si="1"/>
        <v>21.666666666666668</v>
      </c>
      <c r="O24" s="3310">
        <f t="shared" si="0"/>
        <v>21.666666666666671</v>
      </c>
      <c r="P24" s="237"/>
      <c r="R24" s="289" t="s">
        <v>255</v>
      </c>
      <c r="S24" s="299"/>
      <c r="T24" s="243" t="s">
        <v>2072</v>
      </c>
      <c r="U24" s="243"/>
      <c r="V24" s="298" t="s">
        <v>2078</v>
      </c>
      <c r="W24" s="241"/>
      <c r="X24" s="289" t="s">
        <v>255</v>
      </c>
    </row>
    <row r="25" spans="1:25" s="231" customFormat="1" ht="15.6" customHeight="1">
      <c r="A25" s="240">
        <f>ROWS($A$6:A25)</f>
        <v>20</v>
      </c>
      <c r="B25" s="68"/>
      <c r="C25" s="45" t="s">
        <v>267</v>
      </c>
      <c r="D25" s="45"/>
      <c r="E25" s="45" t="s">
        <v>266</v>
      </c>
      <c r="F25" s="3886"/>
      <c r="G25" s="292">
        <v>11.5</v>
      </c>
      <c r="H25" s="292">
        <v>12.6</v>
      </c>
      <c r="I25" s="292">
        <v>16.899999999999999</v>
      </c>
      <c r="J25" s="292">
        <v>14</v>
      </c>
      <c r="K25" s="292">
        <v>13.5</v>
      </c>
      <c r="L25" s="4001">
        <v>17.100000000000001</v>
      </c>
      <c r="M25" s="4001">
        <f>(24.5+25.5+25.5+25.5+26)/5</f>
        <v>25.4</v>
      </c>
      <c r="N25" s="4005">
        <f t="shared" si="1"/>
        <v>18.666666666666668</v>
      </c>
      <c r="O25" s="3310">
        <f t="shared" si="0"/>
        <v>18.666666666666668</v>
      </c>
      <c r="P25" s="44"/>
      <c r="R25" s="289" t="s">
        <v>255</v>
      </c>
      <c r="S25" s="299"/>
      <c r="T25" s="243" t="s">
        <v>2072</v>
      </c>
      <c r="U25" s="243"/>
      <c r="V25" s="298" t="s">
        <v>2078</v>
      </c>
      <c r="W25" s="241"/>
      <c r="X25" s="289" t="s">
        <v>255</v>
      </c>
    </row>
    <row r="26" spans="1:25" s="231" customFormat="1" ht="15.6" customHeight="1">
      <c r="A26" s="240">
        <f>ROWS($A$6:A26)</f>
        <v>21</v>
      </c>
      <c r="B26" s="68"/>
      <c r="C26" s="45" t="s">
        <v>77</v>
      </c>
      <c r="D26" s="45"/>
      <c r="E26" s="45"/>
      <c r="F26" s="3886"/>
      <c r="G26" s="292">
        <v>16.8</v>
      </c>
      <c r="H26" s="292">
        <v>17.899999999999999</v>
      </c>
      <c r="I26" s="292">
        <v>20.399999999999999</v>
      </c>
      <c r="J26" s="292">
        <v>18.399999999999999</v>
      </c>
      <c r="K26" s="292">
        <v>16</v>
      </c>
      <c r="L26" s="4001">
        <v>22.2</v>
      </c>
      <c r="M26" s="4001">
        <v>37</v>
      </c>
      <c r="N26" s="4005">
        <f t="shared" si="1"/>
        <v>25.066666666666666</v>
      </c>
      <c r="O26" s="3310">
        <f t="shared" si="0"/>
        <v>25.066666666666666</v>
      </c>
      <c r="P26" s="44"/>
      <c r="R26" s="289" t="s">
        <v>255</v>
      </c>
      <c r="S26" s="299"/>
      <c r="T26" s="243" t="s">
        <v>2072</v>
      </c>
      <c r="U26" s="243"/>
      <c r="V26" s="298" t="s">
        <v>2078</v>
      </c>
      <c r="W26" s="241"/>
      <c r="X26" s="289" t="s">
        <v>255</v>
      </c>
    </row>
    <row r="27" spans="1:25" s="231" customFormat="1" ht="15.6" customHeight="1">
      <c r="A27" s="240">
        <f>ROWS($A$6:A27)</f>
        <v>22</v>
      </c>
      <c r="B27" s="68"/>
      <c r="C27" s="45" t="s">
        <v>75</v>
      </c>
      <c r="D27" s="45"/>
      <c r="E27" s="45"/>
      <c r="F27" s="3886"/>
      <c r="G27" s="292">
        <v>14.25</v>
      </c>
      <c r="H27" s="292">
        <v>14</v>
      </c>
      <c r="I27" s="292">
        <v>15.5</v>
      </c>
      <c r="J27" s="292">
        <v>14.5</v>
      </c>
      <c r="K27" s="292">
        <v>15</v>
      </c>
      <c r="L27" s="4001">
        <v>16</v>
      </c>
      <c r="M27" s="4001">
        <v>26.5</v>
      </c>
      <c r="N27" s="4005">
        <f t="shared" si="1"/>
        <v>19.166666666666668</v>
      </c>
      <c r="O27" s="3310">
        <f t="shared" si="0"/>
        <v>19.166666666666668</v>
      </c>
      <c r="P27" s="237"/>
      <c r="R27" s="289" t="s">
        <v>255</v>
      </c>
      <c r="S27" s="299"/>
      <c r="T27" s="243" t="s">
        <v>2072</v>
      </c>
      <c r="U27" s="243"/>
      <c r="V27" s="298" t="s">
        <v>2078</v>
      </c>
      <c r="W27" s="241"/>
      <c r="X27" s="289" t="s">
        <v>255</v>
      </c>
    </row>
    <row r="28" spans="1:25" s="231" customFormat="1" ht="15.6" customHeight="1">
      <c r="A28" s="240">
        <f>ROWS($A$6:A28)</f>
        <v>23</v>
      </c>
      <c r="B28" s="68"/>
      <c r="C28" s="45" t="s">
        <v>73</v>
      </c>
      <c r="D28" s="45"/>
      <c r="E28" s="45"/>
      <c r="F28" s="3886"/>
      <c r="G28" s="292">
        <v>25</v>
      </c>
      <c r="H28" s="292">
        <v>23.75</v>
      </c>
      <c r="I28" s="292">
        <v>22</v>
      </c>
      <c r="J28" s="292">
        <v>22.5</v>
      </c>
      <c r="K28" s="292">
        <v>25</v>
      </c>
      <c r="L28" s="4001">
        <v>27.5</v>
      </c>
      <c r="M28" s="4001">
        <v>41</v>
      </c>
      <c r="N28" s="4005">
        <f t="shared" si="1"/>
        <v>31.166666666666668</v>
      </c>
      <c r="O28" s="3310">
        <f t="shared" si="0"/>
        <v>31.166666666666671</v>
      </c>
      <c r="P28" s="237"/>
      <c r="R28" s="289" t="s">
        <v>255</v>
      </c>
      <c r="S28" s="299"/>
      <c r="T28" s="243" t="s">
        <v>2072</v>
      </c>
      <c r="U28" s="243"/>
      <c r="V28" s="298" t="s">
        <v>2078</v>
      </c>
      <c r="W28" s="241"/>
      <c r="X28" s="289" t="s">
        <v>255</v>
      </c>
    </row>
    <row r="29" spans="1:25" s="231" customFormat="1" ht="15.6" customHeight="1">
      <c r="A29" s="240">
        <f>ROWS($A$6:A29)</f>
        <v>24</v>
      </c>
      <c r="B29" s="68"/>
      <c r="C29" s="45" t="s">
        <v>70</v>
      </c>
      <c r="D29" s="45"/>
      <c r="E29" s="45"/>
      <c r="F29" s="3886"/>
      <c r="G29" s="292">
        <v>15</v>
      </c>
      <c r="H29" s="292">
        <v>14.2</v>
      </c>
      <c r="I29" s="292">
        <v>16.600000000000001</v>
      </c>
      <c r="J29" s="292">
        <v>14.4</v>
      </c>
      <c r="K29" s="292">
        <v>17.350000000000001</v>
      </c>
      <c r="L29" s="4001">
        <v>22.8</v>
      </c>
      <c r="M29" s="4001">
        <v>32.200000000000003</v>
      </c>
      <c r="N29" s="4005">
        <f t="shared" si="1"/>
        <v>24.116666666666671</v>
      </c>
      <c r="O29" s="3310">
        <f t="shared" si="0"/>
        <v>24.116666666666671</v>
      </c>
      <c r="P29" s="237"/>
      <c r="R29" s="289" t="s">
        <v>255</v>
      </c>
      <c r="S29" s="299"/>
      <c r="T29" s="243" t="s">
        <v>2072</v>
      </c>
      <c r="U29" s="243"/>
      <c r="V29" s="298" t="s">
        <v>2078</v>
      </c>
      <c r="W29" s="241"/>
      <c r="X29" s="289" t="s">
        <v>255</v>
      </c>
    </row>
    <row r="30" spans="1:25" s="231" customFormat="1" ht="15.6" customHeight="1">
      <c r="A30" s="240">
        <f>ROWS($A$6:A30)</f>
        <v>25</v>
      </c>
      <c r="B30" s="68"/>
      <c r="C30" s="45" t="s">
        <v>67</v>
      </c>
      <c r="D30" s="45"/>
      <c r="E30" s="45"/>
      <c r="F30" s="3886"/>
      <c r="G30" s="292">
        <f>G29-1</f>
        <v>14</v>
      </c>
      <c r="H30" s="292">
        <f>H29-1</f>
        <v>13.2</v>
      </c>
      <c r="I30" s="292">
        <f>I29-1</f>
        <v>15.600000000000001</v>
      </c>
      <c r="J30" s="292">
        <v>15.6</v>
      </c>
      <c r="K30" s="292">
        <v>15.6</v>
      </c>
      <c r="L30" s="4001">
        <v>18.5</v>
      </c>
      <c r="M30" s="4001" t="s">
        <v>2168</v>
      </c>
      <c r="N30" s="4005">
        <f>AVERAGE(K30:M30)</f>
        <v>17.05</v>
      </c>
      <c r="O30" s="3310">
        <f t="shared" si="0"/>
        <v>17.05</v>
      </c>
      <c r="P30" s="237"/>
      <c r="R30" s="289"/>
      <c r="S30" s="299"/>
      <c r="T30" s="243" t="s">
        <v>2072</v>
      </c>
      <c r="U30" s="243"/>
      <c r="V30" s="298" t="s">
        <v>2078</v>
      </c>
      <c r="W30" s="241"/>
      <c r="X30" s="289" t="s">
        <v>255</v>
      </c>
    </row>
    <row r="31" spans="1:25" s="231" customFormat="1" ht="15.6" customHeight="1">
      <c r="A31" s="240">
        <f>ROWS($A$6:A31)</f>
        <v>26</v>
      </c>
      <c r="B31" s="68"/>
      <c r="C31" s="45" t="s">
        <v>265</v>
      </c>
      <c r="D31" s="45"/>
      <c r="E31" s="45" t="s">
        <v>264</v>
      </c>
      <c r="F31" s="3886"/>
      <c r="G31" s="292">
        <v>33.700000000000003</v>
      </c>
      <c r="H31" s="292">
        <v>34.1</v>
      </c>
      <c r="I31" s="292">
        <v>35.200000000000003</v>
      </c>
      <c r="J31" s="292">
        <v>35.299999999999997</v>
      </c>
      <c r="K31" s="292">
        <v>35.5</v>
      </c>
      <c r="L31" s="4001">
        <v>52.7</v>
      </c>
      <c r="M31" s="4001">
        <v>61.2</v>
      </c>
      <c r="N31" s="4005">
        <f t="shared" si="1"/>
        <v>49.800000000000004</v>
      </c>
      <c r="O31" s="3310">
        <f t="shared" si="0"/>
        <v>49.8</v>
      </c>
      <c r="P31" s="237"/>
      <c r="R31" s="289" t="s">
        <v>255</v>
      </c>
      <c r="S31" s="299"/>
      <c r="T31" s="243" t="s">
        <v>2072</v>
      </c>
      <c r="U31" s="243"/>
      <c r="V31" s="298" t="s">
        <v>2078</v>
      </c>
      <c r="W31" s="241"/>
      <c r="X31" s="289" t="s">
        <v>255</v>
      </c>
    </row>
    <row r="32" spans="1:25" s="231" customFormat="1" ht="15.6" customHeight="1">
      <c r="A32" s="240">
        <f>ROWS($A$6:A32)</f>
        <v>27</v>
      </c>
      <c r="B32" s="68"/>
      <c r="C32" s="45" t="s">
        <v>60</v>
      </c>
      <c r="D32" s="45"/>
      <c r="E32" s="45"/>
      <c r="F32" s="3886"/>
      <c r="G32" s="292">
        <v>35.700000000000003</v>
      </c>
      <c r="H32" s="292">
        <v>37</v>
      </c>
      <c r="I32" s="292">
        <v>31</v>
      </c>
      <c r="J32" s="292">
        <v>38</v>
      </c>
      <c r="K32" s="292">
        <v>38.5</v>
      </c>
      <c r="L32" s="4001">
        <v>44</v>
      </c>
      <c r="M32" s="4001">
        <v>59</v>
      </c>
      <c r="N32" s="4005">
        <f t="shared" si="1"/>
        <v>47.166666666666664</v>
      </c>
      <c r="O32" s="3310">
        <f t="shared" si="0"/>
        <v>47.166666666666657</v>
      </c>
      <c r="P32" s="237"/>
      <c r="R32" s="289" t="s">
        <v>255</v>
      </c>
      <c r="S32" s="299"/>
      <c r="T32" s="243" t="s">
        <v>2072</v>
      </c>
      <c r="U32" s="243"/>
      <c r="V32" s="298" t="s">
        <v>2078</v>
      </c>
      <c r="W32" s="241"/>
      <c r="X32" s="289" t="s">
        <v>255</v>
      </c>
    </row>
    <row r="33" spans="1:42" s="231" customFormat="1" ht="15.6" customHeight="1">
      <c r="A33" s="240">
        <f>ROWS($A$6:A33)</f>
        <v>28</v>
      </c>
      <c r="B33" s="68"/>
      <c r="C33" s="45" t="s">
        <v>263</v>
      </c>
      <c r="D33" s="45"/>
      <c r="E33" s="45"/>
      <c r="F33" s="3886"/>
      <c r="G33" s="292">
        <v>33</v>
      </c>
      <c r="H33" s="292">
        <v>35.700000000000003</v>
      </c>
      <c r="I33" s="292">
        <v>34.299999999999997</v>
      </c>
      <c r="J33" s="292">
        <v>34.299999999999997</v>
      </c>
      <c r="K33" s="292">
        <v>36.5</v>
      </c>
      <c r="L33" s="4001">
        <v>55</v>
      </c>
      <c r="M33" s="4001">
        <v>62</v>
      </c>
      <c r="N33" s="4005">
        <f t="shared" si="1"/>
        <v>51.166666666666664</v>
      </c>
      <c r="O33" s="3310">
        <f t="shared" si="0"/>
        <v>51.166666666666657</v>
      </c>
      <c r="P33" s="237"/>
      <c r="R33" s="289" t="s">
        <v>255</v>
      </c>
      <c r="S33" s="299"/>
      <c r="T33" s="243" t="s">
        <v>2072</v>
      </c>
      <c r="U33" s="243"/>
      <c r="V33" s="298" t="s">
        <v>2078</v>
      </c>
      <c r="W33" s="241"/>
      <c r="X33" s="289" t="s">
        <v>255</v>
      </c>
    </row>
    <row r="34" spans="1:42" s="231" customFormat="1" ht="15.6" customHeight="1">
      <c r="A34" s="240">
        <f>ROWS($A$6:A34)</f>
        <v>29</v>
      </c>
      <c r="B34" s="68"/>
      <c r="C34" s="45" t="s">
        <v>262</v>
      </c>
      <c r="D34" s="45"/>
      <c r="E34" s="45"/>
      <c r="F34" s="3886"/>
      <c r="G34" s="292">
        <v>28</v>
      </c>
      <c r="H34" s="292">
        <v>30</v>
      </c>
      <c r="I34" s="292">
        <v>29.3</v>
      </c>
      <c r="J34" s="292">
        <v>29.3</v>
      </c>
      <c r="K34" s="292">
        <v>29.3</v>
      </c>
      <c r="L34" s="4001">
        <v>30</v>
      </c>
      <c r="M34" s="4001" t="s">
        <v>2168</v>
      </c>
      <c r="N34" s="4005">
        <f t="shared" si="1"/>
        <v>29.65</v>
      </c>
      <c r="O34" s="3310">
        <f t="shared" si="0"/>
        <v>29.65</v>
      </c>
      <c r="P34" s="237"/>
      <c r="R34" s="289"/>
      <c r="S34" s="299"/>
      <c r="T34" s="243"/>
      <c r="U34" s="243"/>
      <c r="V34" s="298" t="s">
        <v>2078</v>
      </c>
      <c r="W34" s="241"/>
      <c r="X34" s="289" t="s">
        <v>255</v>
      </c>
    </row>
    <row r="35" spans="1:42" s="231" customFormat="1" ht="15.6" customHeight="1">
      <c r="A35" s="240">
        <f>ROWS($A$6:A35)</f>
        <v>30</v>
      </c>
      <c r="B35" s="68"/>
      <c r="C35" s="45" t="s">
        <v>54</v>
      </c>
      <c r="D35" s="45"/>
      <c r="E35" s="45"/>
      <c r="F35" s="3886"/>
      <c r="G35" s="292">
        <v>18</v>
      </c>
      <c r="H35" s="292">
        <v>19.2</v>
      </c>
      <c r="I35" s="292">
        <v>18.7</v>
      </c>
      <c r="J35" s="292">
        <v>19</v>
      </c>
      <c r="K35" s="292">
        <v>19.399999999999999</v>
      </c>
      <c r="L35" s="4001">
        <v>23.8</v>
      </c>
      <c r="M35" s="4001">
        <v>32</v>
      </c>
      <c r="N35" s="4005">
        <f t="shared" si="1"/>
        <v>25.066666666666666</v>
      </c>
      <c r="O35" s="3310">
        <f t="shared" si="0"/>
        <v>25.066666666666666</v>
      </c>
      <c r="P35" s="237"/>
      <c r="R35" s="289" t="s">
        <v>255</v>
      </c>
      <c r="S35" s="299"/>
      <c r="T35" s="243" t="s">
        <v>2072</v>
      </c>
      <c r="U35" s="243"/>
      <c r="V35" s="298" t="s">
        <v>2078</v>
      </c>
      <c r="W35" s="241"/>
      <c r="X35" s="289" t="s">
        <v>255</v>
      </c>
    </row>
    <row r="36" spans="1:42" s="231" customFormat="1" ht="15.6" customHeight="1">
      <c r="A36" s="240">
        <f>ROWS($A$6:A36)</f>
        <v>31</v>
      </c>
      <c r="B36" s="68"/>
      <c r="C36" s="45" t="s">
        <v>52</v>
      </c>
      <c r="D36" s="45"/>
      <c r="E36" s="45"/>
      <c r="F36" s="3886"/>
      <c r="G36" s="292">
        <v>14.7</v>
      </c>
      <c r="H36" s="292">
        <v>15.8</v>
      </c>
      <c r="I36" s="292">
        <v>17.399999999999999</v>
      </c>
      <c r="J36" s="292">
        <v>19.5</v>
      </c>
      <c r="K36" s="292">
        <v>20</v>
      </c>
      <c r="L36" s="4001">
        <v>22.6</v>
      </c>
      <c r="M36" s="4001">
        <v>34</v>
      </c>
      <c r="N36" s="4005">
        <f t="shared" si="1"/>
        <v>25.533333333333331</v>
      </c>
      <c r="O36" s="3310">
        <f t="shared" si="0"/>
        <v>25.533333333333331</v>
      </c>
      <c r="P36" s="237"/>
      <c r="R36" s="289" t="s">
        <v>255</v>
      </c>
      <c r="S36" s="299"/>
      <c r="T36" s="243" t="s">
        <v>2072</v>
      </c>
      <c r="U36" s="243"/>
      <c r="V36" s="298" t="s">
        <v>2078</v>
      </c>
      <c r="W36" s="241"/>
      <c r="X36" s="289" t="s">
        <v>255</v>
      </c>
    </row>
    <row r="37" spans="1:42" s="231" customFormat="1" ht="15.6" customHeight="1">
      <c r="A37" s="240">
        <f>ROWS($A$6:A37)</f>
        <v>32</v>
      </c>
      <c r="B37" s="68"/>
      <c r="C37" s="45" t="s">
        <v>50</v>
      </c>
      <c r="D37" s="45"/>
      <c r="E37" s="45"/>
      <c r="F37" s="3886"/>
      <c r="G37" s="292">
        <v>16</v>
      </c>
      <c r="H37" s="292">
        <v>21</v>
      </c>
      <c r="I37" s="292">
        <v>20.2</v>
      </c>
      <c r="J37" s="292">
        <v>20</v>
      </c>
      <c r="K37" s="292">
        <v>20</v>
      </c>
      <c r="L37" s="4001">
        <v>20</v>
      </c>
      <c r="M37" s="4001">
        <v>33.799999999999997</v>
      </c>
      <c r="N37" s="4005">
        <f t="shared" si="1"/>
        <v>24.599999999999998</v>
      </c>
      <c r="O37" s="3310">
        <f t="shared" si="0"/>
        <v>24.6</v>
      </c>
      <c r="P37" s="237"/>
      <c r="R37" s="289"/>
      <c r="S37" s="299"/>
      <c r="T37" s="243" t="s">
        <v>2075</v>
      </c>
      <c r="U37" s="243"/>
      <c r="V37" s="298" t="s">
        <v>2078</v>
      </c>
      <c r="W37" s="241"/>
      <c r="X37" s="289" t="s">
        <v>255</v>
      </c>
    </row>
    <row r="38" spans="1:42" s="231" customFormat="1" ht="15.6" customHeight="1">
      <c r="A38" s="240">
        <f>ROWS($A$6:A38)</f>
        <v>33</v>
      </c>
      <c r="B38" s="68"/>
      <c r="C38" s="45" t="s">
        <v>45</v>
      </c>
      <c r="D38" s="45"/>
      <c r="E38" s="45"/>
      <c r="F38" s="3886"/>
      <c r="G38" s="292">
        <v>3.53</v>
      </c>
      <c r="H38" s="292">
        <v>3</v>
      </c>
      <c r="I38" s="292">
        <v>2.8</v>
      </c>
      <c r="J38" s="292">
        <v>2.65</v>
      </c>
      <c r="K38" s="292">
        <v>2.65</v>
      </c>
      <c r="L38" s="4001">
        <v>2.75</v>
      </c>
      <c r="M38" s="4001">
        <v>3.09</v>
      </c>
      <c r="N38" s="4005">
        <f t="shared" si="1"/>
        <v>2.83</v>
      </c>
      <c r="O38" s="3310">
        <f t="shared" si="0"/>
        <v>2.83</v>
      </c>
      <c r="P38" s="237"/>
      <c r="Q38" s="3893"/>
      <c r="R38" s="289" t="s">
        <v>255</v>
      </c>
      <c r="S38" s="299"/>
      <c r="T38" s="243"/>
      <c r="U38" s="243"/>
      <c r="V38" s="298" t="s">
        <v>2078</v>
      </c>
      <c r="W38" s="241"/>
      <c r="X38" s="289" t="s">
        <v>255</v>
      </c>
    </row>
    <row r="39" spans="1:42" s="231" customFormat="1" ht="15.6" customHeight="1">
      <c r="A39" s="240">
        <f>ROWS($A$6:A39)</f>
        <v>34</v>
      </c>
      <c r="B39" s="68"/>
      <c r="C39" s="227" t="s">
        <v>45</v>
      </c>
      <c r="D39" s="45"/>
      <c r="E39" s="297" t="s">
        <v>261</v>
      </c>
      <c r="F39" s="296" t="s">
        <v>259</v>
      </c>
      <c r="G39" s="292">
        <v>3</v>
      </c>
      <c r="H39" s="292">
        <v>1.9</v>
      </c>
      <c r="I39" s="292">
        <v>1.9</v>
      </c>
      <c r="J39" s="292">
        <v>1.4</v>
      </c>
      <c r="K39" s="292">
        <v>1.4</v>
      </c>
      <c r="L39" s="4001">
        <v>1.6</v>
      </c>
      <c r="M39" s="4001">
        <v>1.96</v>
      </c>
      <c r="N39" s="4005">
        <f t="shared" si="1"/>
        <v>1.6533333333333333</v>
      </c>
      <c r="O39" s="3310">
        <f t="shared" si="0"/>
        <v>1.6533333333333333</v>
      </c>
      <c r="P39" s="237"/>
      <c r="Q39" s="3893"/>
      <c r="R39" s="289" t="s">
        <v>255</v>
      </c>
      <c r="S39" s="243"/>
      <c r="T39" s="243" t="s">
        <v>2076</v>
      </c>
      <c r="U39" s="243"/>
      <c r="V39" s="298" t="s">
        <v>2078</v>
      </c>
      <c r="W39" s="241"/>
      <c r="X39" s="289" t="s">
        <v>255</v>
      </c>
    </row>
    <row r="40" spans="1:42" s="231" customFormat="1" ht="15.6" customHeight="1">
      <c r="A40" s="240">
        <f>ROWS($A$6:A40)</f>
        <v>35</v>
      </c>
      <c r="B40" s="68"/>
      <c r="C40" s="45" t="s">
        <v>43</v>
      </c>
      <c r="D40" s="45"/>
      <c r="E40" s="297" t="s">
        <v>260</v>
      </c>
      <c r="F40" s="296" t="s">
        <v>259</v>
      </c>
      <c r="G40" s="292">
        <v>42</v>
      </c>
      <c r="H40" s="292">
        <v>31</v>
      </c>
      <c r="I40" s="292">
        <v>32</v>
      </c>
      <c r="J40" s="292">
        <v>31</v>
      </c>
      <c r="K40" s="292">
        <v>29</v>
      </c>
      <c r="L40" s="4001">
        <v>34</v>
      </c>
      <c r="M40" s="4001">
        <v>38</v>
      </c>
      <c r="N40" s="4005">
        <f t="shared" si="1"/>
        <v>33.666666666666664</v>
      </c>
      <c r="O40" s="3310">
        <f t="shared" si="0"/>
        <v>33.666666666666664</v>
      </c>
      <c r="P40" s="237"/>
      <c r="R40" s="289" t="s">
        <v>255</v>
      </c>
      <c r="S40" s="243"/>
      <c r="T40" s="243" t="s">
        <v>2076</v>
      </c>
      <c r="U40" s="243"/>
      <c r="V40" s="298" t="s">
        <v>2078</v>
      </c>
      <c r="W40" s="241"/>
      <c r="X40" s="289" t="s">
        <v>255</v>
      </c>
    </row>
    <row r="41" spans="1:42" s="231" customFormat="1" ht="15.6" customHeight="1">
      <c r="A41" s="240">
        <f>ROWS($A$6:A41)</f>
        <v>36</v>
      </c>
      <c r="B41" s="68"/>
      <c r="C41" s="45" t="s">
        <v>43</v>
      </c>
      <c r="D41" s="45"/>
      <c r="E41" s="45" t="s">
        <v>258</v>
      </c>
      <c r="F41" s="3233"/>
      <c r="G41" s="292">
        <v>45</v>
      </c>
      <c r="H41" s="292">
        <v>34</v>
      </c>
      <c r="I41" s="292">
        <v>35</v>
      </c>
      <c r="J41" s="292">
        <v>31</v>
      </c>
      <c r="K41" s="292">
        <v>29</v>
      </c>
      <c r="L41" s="4001">
        <v>34</v>
      </c>
      <c r="M41" s="4001">
        <v>38</v>
      </c>
      <c r="N41" s="4005">
        <f t="shared" si="1"/>
        <v>33.666666666666664</v>
      </c>
      <c r="O41" s="3310">
        <f t="shared" si="0"/>
        <v>33.666666666666664</v>
      </c>
      <c r="P41" s="237"/>
      <c r="R41" s="289" t="s">
        <v>255</v>
      </c>
      <c r="S41" s="243"/>
      <c r="T41" s="243"/>
      <c r="U41" s="243"/>
      <c r="V41" s="298" t="s">
        <v>2078</v>
      </c>
      <c r="W41" s="241"/>
      <c r="X41" s="289" t="s">
        <v>255</v>
      </c>
    </row>
    <row r="42" spans="1:42" s="231" customFormat="1" ht="15">
      <c r="A42" s="240">
        <f>ROWS($A$6:A42)</f>
        <v>37</v>
      </c>
      <c r="B42" s="68"/>
      <c r="C42" s="45" t="s">
        <v>257</v>
      </c>
      <c r="D42" s="45"/>
      <c r="E42" s="45" t="s">
        <v>256</v>
      </c>
      <c r="F42" s="3233"/>
      <c r="G42" s="292">
        <v>18</v>
      </c>
      <c r="H42" s="292">
        <v>13.5</v>
      </c>
      <c r="I42" s="292">
        <v>24</v>
      </c>
      <c r="J42" s="292">
        <v>18</v>
      </c>
      <c r="K42" s="292">
        <v>10</v>
      </c>
      <c r="L42" s="4001">
        <v>18</v>
      </c>
      <c r="M42" s="4001">
        <v>29</v>
      </c>
      <c r="N42" s="4005">
        <f t="shared" si="1"/>
        <v>19</v>
      </c>
      <c r="O42" s="3310">
        <f t="shared" si="0"/>
        <v>19</v>
      </c>
      <c r="P42" s="237"/>
      <c r="R42" s="289" t="s">
        <v>255</v>
      </c>
      <c r="S42" s="243"/>
      <c r="T42" s="243" t="s">
        <v>2077</v>
      </c>
      <c r="U42" s="243"/>
      <c r="V42" s="298" t="s">
        <v>2078</v>
      </c>
      <c r="W42" s="241"/>
      <c r="X42" s="289" t="s">
        <v>255</v>
      </c>
    </row>
    <row r="43" spans="1:42" s="231" customFormat="1" ht="14.1" hidden="1" customHeight="1">
      <c r="A43" s="240">
        <f>ROWS($A$6:A43)</f>
        <v>38</v>
      </c>
      <c r="B43" s="68"/>
      <c r="C43" s="227" t="s">
        <v>254</v>
      </c>
      <c r="D43" s="45"/>
      <c r="E43" s="45"/>
      <c r="F43" s="3233"/>
      <c r="G43" s="292">
        <v>15</v>
      </c>
      <c r="H43" s="291"/>
      <c r="I43" s="295"/>
      <c r="J43" s="295"/>
      <c r="K43" s="295"/>
      <c r="L43" s="4004"/>
      <c r="M43" s="4001">
        <v>29</v>
      </c>
      <c r="N43" s="4005">
        <f t="shared" si="1"/>
        <v>29</v>
      </c>
      <c r="O43" s="3310">
        <f t="shared" si="0"/>
        <v>29</v>
      </c>
      <c r="P43" s="237"/>
      <c r="R43" s="289" t="s">
        <v>255</v>
      </c>
      <c r="S43" s="243"/>
      <c r="T43" s="243" t="s">
        <v>2077</v>
      </c>
      <c r="U43" s="243"/>
      <c r="V43" s="242"/>
      <c r="W43" s="241"/>
      <c r="X43" s="289" t="s">
        <v>255</v>
      </c>
    </row>
    <row r="44" spans="1:42" s="42" customFormat="1" ht="14.1" hidden="1" customHeight="1">
      <c r="A44" s="240">
        <f>ROWS($A$6:A44)</f>
        <v>39</v>
      </c>
      <c r="B44" s="68"/>
      <c r="C44" s="227" t="s">
        <v>253</v>
      </c>
      <c r="D44" s="45"/>
      <c r="E44" s="45"/>
      <c r="F44" s="3233"/>
      <c r="G44" s="292">
        <v>12.5</v>
      </c>
      <c r="H44" s="291"/>
      <c r="I44" s="295"/>
      <c r="J44" s="295"/>
      <c r="K44" s="295"/>
      <c r="L44" s="4004"/>
      <c r="M44" s="4001">
        <v>9.9</v>
      </c>
      <c r="N44" s="4005">
        <f t="shared" si="1"/>
        <v>9.9</v>
      </c>
      <c r="O44" s="3310">
        <f t="shared" si="0"/>
        <v>9.9</v>
      </c>
      <c r="P44" s="237"/>
      <c r="R44" s="289" t="s">
        <v>255</v>
      </c>
      <c r="S44" s="45"/>
      <c r="T44" s="45" t="s">
        <v>2072</v>
      </c>
      <c r="U44" s="45"/>
      <c r="V44" s="274"/>
      <c r="W44" s="273"/>
      <c r="X44" s="289" t="s">
        <v>255</v>
      </c>
    </row>
    <row r="45" spans="1:42" s="42" customFormat="1" ht="14.1" hidden="1" customHeight="1">
      <c r="A45" s="240">
        <f>ROWS($A$6:A45)</f>
        <v>40</v>
      </c>
      <c r="B45" s="68"/>
      <c r="C45" s="294"/>
      <c r="D45" s="294"/>
      <c r="E45" s="294"/>
      <c r="F45" s="294"/>
      <c r="G45" s="294"/>
      <c r="H45" s="294"/>
      <c r="I45" s="294"/>
      <c r="J45" s="294"/>
      <c r="K45" s="294"/>
      <c r="L45" s="3998"/>
      <c r="M45" s="4001"/>
      <c r="N45" s="4005" t="e">
        <f t="shared" si="1"/>
        <v>#DIV/0!</v>
      </c>
      <c r="O45" s="3310" t="e">
        <f t="shared" si="0"/>
        <v>#DIV/0!</v>
      </c>
      <c r="P45" s="237"/>
      <c r="R45" s="289" t="s">
        <v>255</v>
      </c>
      <c r="S45" s="45"/>
      <c r="T45" s="45" t="s">
        <v>2072</v>
      </c>
      <c r="U45" s="45"/>
      <c r="V45" s="274" t="s">
        <v>252</v>
      </c>
      <c r="W45" s="273"/>
      <c r="X45" s="289" t="s">
        <v>255</v>
      </c>
    </row>
    <row r="46" spans="1:42" s="42" customFormat="1" ht="15.6" hidden="1" customHeight="1">
      <c r="A46" s="240">
        <f>ROWS($A$6:A46)</f>
        <v>41</v>
      </c>
      <c r="B46" s="68"/>
      <c r="C46" s="294"/>
      <c r="D46" s="294"/>
      <c r="E46" s="294"/>
      <c r="F46" s="294"/>
      <c r="G46" s="294"/>
      <c r="H46" s="294"/>
      <c r="I46" s="294"/>
      <c r="J46" s="294"/>
      <c r="K46" s="294"/>
      <c r="L46" s="3998"/>
      <c r="M46" s="4001"/>
      <c r="N46" s="4005" t="e">
        <f t="shared" si="1"/>
        <v>#DIV/0!</v>
      </c>
      <c r="O46" s="3310" t="e">
        <f t="shared" si="0"/>
        <v>#DIV/0!</v>
      </c>
      <c r="P46" s="237"/>
      <c r="R46" s="289" t="s">
        <v>255</v>
      </c>
      <c r="S46" s="45"/>
      <c r="T46" s="45" t="s">
        <v>2072</v>
      </c>
      <c r="U46" s="45"/>
      <c r="V46" s="274"/>
      <c r="W46" s="273"/>
      <c r="X46" s="289" t="s">
        <v>255</v>
      </c>
    </row>
    <row r="47" spans="1:42" s="42" customFormat="1" ht="15.6" hidden="1" customHeight="1">
      <c r="A47" s="240">
        <f>ROWS($A$6:A47)</f>
        <v>42</v>
      </c>
      <c r="B47" s="68"/>
      <c r="C47" s="294"/>
      <c r="D47" s="294"/>
      <c r="E47" s="294"/>
      <c r="F47" s="294"/>
      <c r="G47" s="294"/>
      <c r="H47" s="294"/>
      <c r="I47" s="294"/>
      <c r="J47" s="294"/>
      <c r="K47" s="294"/>
      <c r="L47" s="3998"/>
      <c r="M47" s="4001"/>
      <c r="N47" s="4005" t="e">
        <f t="shared" si="1"/>
        <v>#DIV/0!</v>
      </c>
      <c r="O47" s="3310" t="e">
        <f t="shared" si="0"/>
        <v>#DIV/0!</v>
      </c>
      <c r="P47" s="237"/>
      <c r="R47" s="289" t="s">
        <v>255</v>
      </c>
      <c r="S47" s="45"/>
      <c r="T47" s="45"/>
      <c r="U47" s="45"/>
      <c r="V47" s="274"/>
      <c r="W47" s="273"/>
      <c r="X47" s="289" t="s">
        <v>255</v>
      </c>
    </row>
    <row r="48" spans="1:42" s="31" customFormat="1" ht="15.6" customHeight="1">
      <c r="A48" s="240">
        <f>ROWS($A$6:A48)</f>
        <v>43</v>
      </c>
      <c r="B48" s="319"/>
      <c r="C48" s="281" t="s">
        <v>251</v>
      </c>
      <c r="D48" s="238"/>
      <c r="E48" s="238"/>
      <c r="F48" s="3992"/>
      <c r="G48" s="3993">
        <v>7.5</v>
      </c>
      <c r="H48" s="3993">
        <v>7.5</v>
      </c>
      <c r="I48" s="3993">
        <v>7.5</v>
      </c>
      <c r="J48" s="3993">
        <v>7.5</v>
      </c>
      <c r="K48" s="3991">
        <v>7.5</v>
      </c>
      <c r="L48" s="4000">
        <v>7.5</v>
      </c>
      <c r="M48" s="4001">
        <v>9.9</v>
      </c>
      <c r="N48" s="4005">
        <f>AVERAGE(K48:M48)</f>
        <v>8.2999999999999989</v>
      </c>
      <c r="O48" s="3994">
        <f t="shared" si="0"/>
        <v>8.2999999999999989</v>
      </c>
      <c r="P48" s="4003"/>
      <c r="Q48" s="3999"/>
      <c r="R48" s="289"/>
      <c r="S48" s="260"/>
      <c r="T48" s="260"/>
      <c r="U48" s="260"/>
      <c r="V48" s="259"/>
      <c r="W48" s="258"/>
      <c r="X48" s="289" t="s">
        <v>255</v>
      </c>
      <c r="Y48" s="257"/>
      <c r="Z48" s="257"/>
      <c r="AA48" s="257"/>
      <c r="AB48" s="257"/>
      <c r="AC48" s="257"/>
      <c r="AD48" s="257"/>
      <c r="AE48" s="257"/>
      <c r="AF48" s="257"/>
      <c r="AG48" s="257"/>
      <c r="AH48" s="257"/>
      <c r="AI48" s="257"/>
      <c r="AJ48" s="257"/>
      <c r="AK48" s="257"/>
      <c r="AL48" s="257"/>
      <c r="AM48" s="257"/>
      <c r="AN48" s="257"/>
      <c r="AO48" s="257"/>
      <c r="AP48" s="257"/>
    </row>
    <row r="49" spans="1:42" s="31" customFormat="1" ht="19.899999999999999" customHeight="1">
      <c r="A49" s="240">
        <f>ROWS($A$6:A49)</f>
        <v>44</v>
      </c>
      <c r="L49" s="3969"/>
      <c r="M49" s="288"/>
      <c r="N49" s="288"/>
      <c r="Q49" s="71"/>
      <c r="R49" s="261"/>
      <c r="S49" s="260"/>
      <c r="T49" s="260"/>
      <c r="U49" s="260"/>
      <c r="V49" s="259"/>
      <c r="W49" s="258"/>
      <c r="X49" s="257"/>
      <c r="Y49" s="257"/>
      <c r="Z49" s="257"/>
      <c r="AA49" s="257"/>
      <c r="AB49" s="257"/>
      <c r="AC49" s="257"/>
      <c r="AD49" s="257"/>
      <c r="AE49" s="257"/>
      <c r="AF49" s="257"/>
      <c r="AG49" s="257"/>
      <c r="AH49" s="257"/>
      <c r="AI49" s="257"/>
      <c r="AJ49" s="257"/>
      <c r="AK49" s="257"/>
      <c r="AL49" s="257"/>
      <c r="AM49" s="257"/>
      <c r="AN49" s="257"/>
      <c r="AO49" s="257"/>
      <c r="AP49" s="257"/>
    </row>
    <row r="50" spans="1:42" s="31" customFormat="1" ht="15.6" customHeight="1">
      <c r="A50" s="240">
        <f>ROWS($A$6:A50)</f>
        <v>45</v>
      </c>
      <c r="B50" s="3299" t="s">
        <v>250</v>
      </c>
      <c r="C50" s="3234"/>
      <c r="D50" s="45"/>
      <c r="E50" s="45"/>
      <c r="F50" s="229"/>
      <c r="G50" s="3312"/>
      <c r="H50" s="74" t="s">
        <v>249</v>
      </c>
      <c r="I50" s="3303"/>
      <c r="J50" s="3303"/>
      <c r="K50" s="3303"/>
      <c r="L50" s="3969"/>
      <c r="M50" s="3313"/>
      <c r="N50" s="575"/>
      <c r="O50" s="3314" t="str">
        <f>O8</f>
        <v>ohne MwSt.</v>
      </c>
      <c r="P50" s="73"/>
      <c r="Q50" s="71"/>
      <c r="R50" s="261"/>
      <c r="S50" s="260"/>
      <c r="T50" s="260"/>
      <c r="U50" s="260"/>
      <c r="V50" s="259"/>
      <c r="W50" s="258"/>
      <c r="X50" s="257"/>
      <c r="Y50" s="257"/>
      <c r="Z50" s="257"/>
      <c r="AA50" s="257"/>
      <c r="AB50" s="257"/>
      <c r="AC50" s="257"/>
      <c r="AD50" s="257"/>
      <c r="AE50" s="257"/>
      <c r="AF50" s="257"/>
      <c r="AG50" s="257"/>
      <c r="AH50" s="257"/>
      <c r="AI50" s="257"/>
      <c r="AJ50" s="257"/>
      <c r="AK50" s="257"/>
      <c r="AL50" s="257"/>
      <c r="AM50" s="257"/>
      <c r="AN50" s="257"/>
      <c r="AO50" s="257"/>
      <c r="AP50" s="257"/>
    </row>
    <row r="51" spans="1:42" s="31" customFormat="1" ht="15.6" customHeight="1">
      <c r="A51" s="240">
        <f>ROWS($A$6:A51)</f>
        <v>46</v>
      </c>
      <c r="B51" s="48"/>
      <c r="C51" s="68" t="s">
        <v>248</v>
      </c>
      <c r="D51" s="45"/>
      <c r="E51" s="45"/>
      <c r="F51" s="229"/>
      <c r="G51" s="286"/>
      <c r="H51" s="285"/>
      <c r="I51" s="285"/>
      <c r="J51" s="285"/>
      <c r="K51" s="285"/>
      <c r="L51" s="3969"/>
      <c r="M51" s="285"/>
      <c r="N51" s="285"/>
      <c r="O51" s="3315"/>
      <c r="P51" s="267"/>
      <c r="Q51" s="71"/>
      <c r="R51" s="3981"/>
      <c r="S51" s="260"/>
      <c r="T51" s="260"/>
      <c r="U51" s="260"/>
      <c r="V51" s="259"/>
      <c r="W51" s="258"/>
      <c r="X51" s="257"/>
      <c r="Y51" s="257"/>
      <c r="Z51" s="257"/>
      <c r="AA51" s="257"/>
      <c r="AB51" s="257"/>
      <c r="AC51" s="257"/>
      <c r="AD51" s="257"/>
      <c r="AE51" s="257"/>
      <c r="AF51" s="257"/>
      <c r="AG51" s="257"/>
      <c r="AH51" s="257"/>
      <c r="AI51" s="257"/>
      <c r="AJ51" s="257"/>
      <c r="AK51" s="257"/>
      <c r="AL51" s="257"/>
      <c r="AM51" s="257"/>
      <c r="AN51" s="257"/>
      <c r="AO51" s="257"/>
      <c r="AP51" s="257"/>
    </row>
    <row r="52" spans="1:42" s="31" customFormat="1" ht="15.6" customHeight="1">
      <c r="A52" s="240">
        <f>ROWS($A$6:A52)</f>
        <v>47</v>
      </c>
      <c r="B52" s="3306"/>
      <c r="C52" s="3307" t="s">
        <v>247</v>
      </c>
      <c r="D52" s="3307"/>
      <c r="E52" s="3307" t="s">
        <v>246</v>
      </c>
      <c r="F52" s="3316"/>
      <c r="G52" s="264">
        <v>1</v>
      </c>
      <c r="H52" s="263">
        <v>1</v>
      </c>
      <c r="I52" s="3317">
        <v>1</v>
      </c>
      <c r="J52" s="262">
        <v>1</v>
      </c>
      <c r="K52" s="263">
        <v>0.9</v>
      </c>
      <c r="L52" s="263">
        <v>1.1299999999999999</v>
      </c>
      <c r="M52" s="4007">
        <v>2.78</v>
      </c>
      <c r="N52" s="245">
        <f>AVERAGE(K52:M52)</f>
        <v>1.6033333333333333</v>
      </c>
      <c r="O52" s="3310">
        <f>HLOOKUP($O$6,$H$6:$N$55,A52)*(100+$O$11)/100</f>
        <v>1.6033333333333331</v>
      </c>
      <c r="P52" s="237"/>
      <c r="R52" s="283"/>
      <c r="S52" s="3971"/>
      <c r="T52" s="3971"/>
      <c r="U52" s="3971"/>
      <c r="V52" s="3972"/>
      <c r="W52" s="258"/>
      <c r="X52" s="257"/>
      <c r="Y52" s="257"/>
      <c r="Z52" s="257"/>
      <c r="AA52" s="257"/>
      <c r="AB52" s="257"/>
      <c r="AC52" s="257"/>
      <c r="AD52" s="257"/>
      <c r="AE52" s="257"/>
      <c r="AF52" s="257"/>
      <c r="AG52" s="257"/>
      <c r="AH52" s="257"/>
      <c r="AI52" s="257"/>
      <c r="AJ52" s="257"/>
      <c r="AK52" s="257"/>
      <c r="AL52" s="257"/>
      <c r="AM52" s="257"/>
      <c r="AN52" s="257"/>
      <c r="AO52" s="257"/>
      <c r="AP52" s="257"/>
    </row>
    <row r="53" spans="1:42" s="252" customFormat="1" ht="15.6" customHeight="1">
      <c r="A53" s="240">
        <f>ROWS($A$6:A53)</f>
        <v>48</v>
      </c>
      <c r="B53" s="68"/>
      <c r="C53" s="45" t="s">
        <v>245</v>
      </c>
      <c r="D53" s="45"/>
      <c r="E53" s="45" t="s">
        <v>244</v>
      </c>
      <c r="F53" s="229"/>
      <c r="G53" s="249">
        <v>0.8</v>
      </c>
      <c r="H53" s="248">
        <v>0.8</v>
      </c>
      <c r="I53" s="247">
        <v>0.8</v>
      </c>
      <c r="J53" s="246">
        <v>0.8</v>
      </c>
      <c r="K53" s="248">
        <v>0.75</v>
      </c>
      <c r="L53" s="248">
        <v>0.9</v>
      </c>
      <c r="M53" s="4006">
        <v>1.65</v>
      </c>
      <c r="N53" s="4005">
        <f>AVERAGE(K53:M53)</f>
        <v>1.0999999999999999</v>
      </c>
      <c r="O53" s="3310">
        <f>HLOOKUP($O$6,$G$6:$N$55,A53)*(100+$O$11)/100</f>
        <v>1.0999999999999999</v>
      </c>
      <c r="P53" s="237"/>
      <c r="Q53" s="282"/>
      <c r="R53" s="3887"/>
      <c r="S53" s="3973"/>
      <c r="T53" s="3974"/>
      <c r="U53" s="3974"/>
      <c r="V53" s="3975"/>
      <c r="W53" s="253"/>
    </row>
    <row r="54" spans="1:42" s="231" customFormat="1" ht="15.6" customHeight="1">
      <c r="A54" s="240">
        <f>ROWS($A$6:A54)</f>
        <v>49</v>
      </c>
      <c r="B54" s="68"/>
      <c r="C54" s="45" t="s">
        <v>243</v>
      </c>
      <c r="D54" s="45"/>
      <c r="E54" s="45" t="s">
        <v>242</v>
      </c>
      <c r="F54" s="229"/>
      <c r="G54" s="249">
        <v>0.6</v>
      </c>
      <c r="H54" s="248">
        <v>0.6</v>
      </c>
      <c r="I54" s="247">
        <v>0.6</v>
      </c>
      <c r="J54" s="246">
        <v>0.6</v>
      </c>
      <c r="K54" s="248">
        <v>0.7</v>
      </c>
      <c r="L54" s="248">
        <v>0.75</v>
      </c>
      <c r="M54" s="4006">
        <v>1.61</v>
      </c>
      <c r="N54" s="4005">
        <f>AVERAGE(K54:M54)</f>
        <v>1.02</v>
      </c>
      <c r="O54" s="3310">
        <f>HLOOKUP($O$6,$G$6:$N$55,A54)*(100+$O$11)/100</f>
        <v>1.02</v>
      </c>
      <c r="P54" s="237"/>
      <c r="Q54" s="44"/>
      <c r="R54" s="3887"/>
      <c r="S54" s="3973"/>
      <c r="T54" s="3974"/>
      <c r="U54" s="3976"/>
      <c r="V54" s="3975"/>
      <c r="W54" s="3970"/>
    </row>
    <row r="55" spans="1:42" s="231" customFormat="1" ht="15.6" customHeight="1">
      <c r="A55" s="240">
        <f>ROWS($A$6:A55)</f>
        <v>50</v>
      </c>
      <c r="B55" s="45"/>
      <c r="C55" s="45" t="s">
        <v>241</v>
      </c>
      <c r="D55" s="45"/>
      <c r="E55" s="45" t="s">
        <v>240</v>
      </c>
      <c r="F55" s="229"/>
      <c r="G55" s="249">
        <v>0.5</v>
      </c>
      <c r="H55" s="248">
        <v>0.5</v>
      </c>
      <c r="I55" s="247">
        <v>0.5</v>
      </c>
      <c r="J55" s="248">
        <v>0.5</v>
      </c>
      <c r="K55" s="248">
        <v>0.5</v>
      </c>
      <c r="L55" s="248">
        <v>0.5</v>
      </c>
      <c r="M55" s="4006">
        <v>1.06</v>
      </c>
      <c r="N55" s="4005">
        <f>AVERAGE(K55:M55)</f>
        <v>0.68666666666666665</v>
      </c>
      <c r="O55" s="3311">
        <f>HLOOKUP($O$6,$G$6:$N$55,A55)*(100+$O$11)/100</f>
        <v>0.68666666666666676</v>
      </c>
      <c r="P55" s="279"/>
      <c r="Q55" s="44"/>
      <c r="R55" s="3887"/>
      <c r="S55" s="3973"/>
      <c r="T55" s="3974"/>
      <c r="U55" s="3976"/>
      <c r="V55" s="3975"/>
      <c r="W55" s="3970"/>
    </row>
    <row r="56" spans="1:42" s="42" customFormat="1" ht="15.6" customHeight="1">
      <c r="A56" s="240">
        <f>ROWS($A$6:A56)</f>
        <v>51</v>
      </c>
      <c r="B56" s="31"/>
      <c r="C56" s="276"/>
      <c r="D56" s="276"/>
      <c r="E56" s="276"/>
      <c r="F56" s="278"/>
      <c r="G56" s="276"/>
      <c r="H56" s="276"/>
      <c r="I56" s="276"/>
      <c r="J56" s="276"/>
      <c r="K56" s="276"/>
      <c r="L56" s="277"/>
      <c r="M56" s="277"/>
      <c r="N56" s="277"/>
      <c r="O56" s="276"/>
      <c r="P56" s="276"/>
      <c r="Q56" s="44"/>
      <c r="R56" s="3887"/>
      <c r="S56" s="3973"/>
      <c r="T56" s="3974"/>
      <c r="U56" s="3977"/>
      <c r="V56" s="3975"/>
      <c r="W56" s="3970"/>
    </row>
    <row r="57" spans="1:42" s="31" customFormat="1" ht="17.45" customHeight="1">
      <c r="A57" s="240">
        <f>ROWS($A$6:A57)</f>
        <v>52</v>
      </c>
      <c r="B57" s="3299" t="s">
        <v>239</v>
      </c>
      <c r="C57" s="3234"/>
      <c r="D57" s="3234"/>
      <c r="E57" s="3234"/>
      <c r="F57" s="224"/>
      <c r="G57" s="271"/>
      <c r="H57" s="271"/>
      <c r="I57" s="74"/>
      <c r="J57" s="74"/>
      <c r="K57" s="74"/>
      <c r="L57" s="3318"/>
      <c r="M57" s="3318"/>
      <c r="N57" s="3318"/>
      <c r="O57" s="271"/>
      <c r="P57" s="271"/>
      <c r="Q57" s="71"/>
      <c r="R57" s="2234"/>
      <c r="S57" s="3978"/>
      <c r="T57" s="3979"/>
      <c r="U57" s="3971"/>
      <c r="V57" s="3980"/>
      <c r="W57" s="3970"/>
      <c r="X57" s="257"/>
      <c r="Y57" s="257"/>
      <c r="Z57" s="257"/>
      <c r="AA57" s="257"/>
      <c r="AB57" s="257"/>
      <c r="AC57" s="257"/>
      <c r="AD57" s="257"/>
      <c r="AE57" s="257"/>
      <c r="AF57" s="257"/>
      <c r="AG57" s="257"/>
      <c r="AH57" s="257"/>
      <c r="AI57" s="257"/>
      <c r="AJ57" s="257"/>
      <c r="AK57" s="257"/>
      <c r="AL57" s="257"/>
      <c r="AM57" s="257"/>
      <c r="AN57" s="257"/>
      <c r="AO57" s="257"/>
      <c r="AP57" s="257"/>
    </row>
    <row r="58" spans="1:42" s="31" customFormat="1" ht="19.899999999999999" customHeight="1">
      <c r="A58" s="240">
        <f>ROWS($A$6:A58)</f>
        <v>53</v>
      </c>
      <c r="B58" s="48"/>
      <c r="C58" s="3234"/>
      <c r="D58" s="3234"/>
      <c r="E58" s="3234"/>
      <c r="F58" s="270"/>
      <c r="G58" s="269"/>
      <c r="H58" s="269"/>
      <c r="I58" s="269"/>
      <c r="J58" s="269"/>
      <c r="K58" s="269"/>
      <c r="L58" s="268"/>
      <c r="M58" s="268"/>
      <c r="N58" s="268"/>
      <c r="O58" s="3305"/>
      <c r="P58" s="267"/>
      <c r="Q58" s="71"/>
      <c r="R58" s="261"/>
      <c r="S58" s="260"/>
      <c r="T58" s="260"/>
      <c r="U58" s="260"/>
      <c r="V58" s="259"/>
      <c r="W58" s="258"/>
      <c r="X58" s="257"/>
      <c r="Y58" s="257"/>
      <c r="Z58" s="257"/>
      <c r="AA58" s="257"/>
      <c r="AB58" s="257"/>
      <c r="AC58" s="257"/>
      <c r="AD58" s="257"/>
      <c r="AE58" s="257"/>
      <c r="AF58" s="257"/>
      <c r="AG58" s="257"/>
      <c r="AH58" s="257"/>
      <c r="AI58" s="257"/>
      <c r="AJ58" s="257"/>
      <c r="AK58" s="257"/>
      <c r="AL58" s="257"/>
      <c r="AM58" s="257"/>
      <c r="AN58" s="257"/>
      <c r="AO58" s="257"/>
      <c r="AP58" s="257"/>
    </row>
    <row r="59" spans="1:42" s="31" customFormat="1" ht="15.6" customHeight="1">
      <c r="A59" s="240">
        <f>ROWS($A$6:A59)</f>
        <v>54</v>
      </c>
      <c r="B59" s="3306"/>
      <c r="C59" s="3307" t="s">
        <v>238</v>
      </c>
      <c r="D59" s="3307"/>
      <c r="E59" s="3307"/>
      <c r="F59" s="3316"/>
      <c r="G59" s="264">
        <v>2</v>
      </c>
      <c r="H59" s="263">
        <v>2</v>
      </c>
      <c r="I59" s="262">
        <v>1.5</v>
      </c>
      <c r="J59" s="262">
        <v>1.5</v>
      </c>
      <c r="K59" s="262">
        <v>1.5</v>
      </c>
      <c r="L59" s="263">
        <v>1.5</v>
      </c>
      <c r="M59" s="245">
        <v>1.5</v>
      </c>
      <c r="N59" s="245">
        <f>AVERAGE(K59:M59)</f>
        <v>1.5</v>
      </c>
      <c r="O59" s="3310">
        <f t="shared" ref="O59:O64" si="2">HLOOKUP($O$6,$G$6:$N$64,A59)</f>
        <v>1.5</v>
      </c>
      <c r="P59" s="237"/>
      <c r="Q59" s="71"/>
      <c r="R59" s="261"/>
      <c r="S59" s="260"/>
      <c r="T59" s="260"/>
      <c r="U59" s="260"/>
      <c r="V59" s="259"/>
      <c r="W59" s="258"/>
      <c r="X59" s="257"/>
      <c r="Y59" s="257"/>
      <c r="Z59" s="257"/>
      <c r="AA59" s="257"/>
      <c r="AB59" s="257"/>
      <c r="AC59" s="257"/>
      <c r="AD59" s="257"/>
      <c r="AE59" s="257"/>
      <c r="AF59" s="257"/>
      <c r="AG59" s="257"/>
      <c r="AH59" s="257"/>
      <c r="AI59" s="257"/>
      <c r="AJ59" s="257"/>
      <c r="AK59" s="257"/>
      <c r="AL59" s="257"/>
      <c r="AM59" s="257"/>
      <c r="AN59" s="257"/>
      <c r="AO59" s="257"/>
      <c r="AP59" s="257"/>
    </row>
    <row r="60" spans="1:42" s="252" customFormat="1" ht="15.6" customHeight="1">
      <c r="A60" s="240">
        <f>ROWS($A$6:A60)</f>
        <v>55</v>
      </c>
      <c r="B60" s="68"/>
      <c r="C60" s="45" t="s">
        <v>237</v>
      </c>
      <c r="D60" s="45"/>
      <c r="E60" s="45"/>
      <c r="F60" s="229"/>
      <c r="G60" s="249">
        <v>2</v>
      </c>
      <c r="H60" s="248">
        <v>2</v>
      </c>
      <c r="I60" s="246">
        <v>1.5</v>
      </c>
      <c r="J60" s="246">
        <v>1.5</v>
      </c>
      <c r="K60" s="246">
        <v>1.5</v>
      </c>
      <c r="L60" s="248">
        <v>1.5</v>
      </c>
      <c r="M60" s="245">
        <v>1.5</v>
      </c>
      <c r="N60" s="245">
        <f>M60</f>
        <v>1.5</v>
      </c>
      <c r="O60" s="3310">
        <f t="shared" si="2"/>
        <v>1.5</v>
      </c>
      <c r="P60" s="237"/>
      <c r="Q60" s="71"/>
      <c r="R60" s="256"/>
      <c r="S60" s="255"/>
      <c r="T60" s="255"/>
      <c r="U60" s="255"/>
      <c r="V60" s="254"/>
      <c r="W60" s="253"/>
    </row>
    <row r="61" spans="1:42" s="231" customFormat="1" ht="15.6" customHeight="1">
      <c r="A61" s="240">
        <f>ROWS($A$6:A61)</f>
        <v>56</v>
      </c>
      <c r="B61" s="68"/>
      <c r="C61" s="251" t="s">
        <v>236</v>
      </c>
      <c r="D61" s="45"/>
      <c r="E61" s="45"/>
      <c r="F61" s="229"/>
      <c r="G61" s="249">
        <v>3</v>
      </c>
      <c r="H61" s="248">
        <v>3</v>
      </c>
      <c r="I61" s="246">
        <v>2.5</v>
      </c>
      <c r="J61" s="246">
        <v>2.5</v>
      </c>
      <c r="K61" s="246">
        <v>2.5</v>
      </c>
      <c r="L61" s="248">
        <v>2.5</v>
      </c>
      <c r="M61" s="245">
        <v>2.5</v>
      </c>
      <c r="N61" s="245">
        <f>M61</f>
        <v>2.5</v>
      </c>
      <c r="O61" s="3310">
        <f t="shared" si="2"/>
        <v>2.5</v>
      </c>
      <c r="P61" s="237"/>
      <c r="Q61" s="44"/>
      <c r="R61" s="244"/>
      <c r="S61" s="243"/>
      <c r="T61" s="243"/>
      <c r="U61" s="243"/>
      <c r="V61" s="242"/>
      <c r="W61" s="241"/>
    </row>
    <row r="62" spans="1:42" s="231" customFormat="1" ht="15.6" hidden="1" customHeight="1">
      <c r="A62" s="240">
        <f>ROWS($A$6:A62)</f>
        <v>57</v>
      </c>
      <c r="B62" s="68"/>
      <c r="C62" s="45" t="s">
        <v>235</v>
      </c>
      <c r="D62" s="45"/>
      <c r="E62" s="45"/>
      <c r="F62" s="229"/>
      <c r="G62" s="249">
        <v>3</v>
      </c>
      <c r="H62" s="248">
        <v>3</v>
      </c>
      <c r="I62" s="247"/>
      <c r="J62" s="246"/>
      <c r="K62" s="262"/>
      <c r="L62" s="248"/>
      <c r="M62" s="245"/>
      <c r="N62" s="245"/>
      <c r="O62" s="3310">
        <f t="shared" si="2"/>
        <v>0</v>
      </c>
      <c r="P62" s="237"/>
      <c r="Q62" s="44"/>
      <c r="R62" s="244"/>
      <c r="S62" s="243"/>
      <c r="T62" s="243"/>
      <c r="U62" s="243"/>
      <c r="V62" s="242"/>
      <c r="W62" s="241"/>
    </row>
    <row r="63" spans="1:42" s="231" customFormat="1" ht="15.6" customHeight="1" thickBot="1">
      <c r="A63" s="240">
        <f>ROWS($A$6:A63)</f>
        <v>58</v>
      </c>
      <c r="B63" s="45"/>
      <c r="C63" s="232"/>
      <c r="D63" s="227"/>
      <c r="E63" s="227"/>
      <c r="F63" s="3319"/>
      <c r="G63" s="3320"/>
      <c r="H63" s="3321"/>
      <c r="I63" s="1075"/>
      <c r="J63" s="3322"/>
      <c r="K63" s="246"/>
      <c r="L63" s="3321"/>
      <c r="M63" s="3321"/>
      <c r="N63" s="3321"/>
      <c r="O63" s="3310">
        <f t="shared" si="2"/>
        <v>0</v>
      </c>
      <c r="P63" s="237"/>
      <c r="Q63" s="44"/>
      <c r="R63" s="236"/>
      <c r="S63" s="235"/>
      <c r="T63" s="235"/>
      <c r="U63" s="235"/>
      <c r="V63" s="234"/>
      <c r="W63" s="233"/>
    </row>
    <row r="64" spans="1:42" s="231" customFormat="1" ht="15.6" customHeight="1" thickBot="1">
      <c r="A64" s="240">
        <f>ROWS($A$6:A64)</f>
        <v>59</v>
      </c>
      <c r="B64" s="4011" t="s">
        <v>2095</v>
      </c>
      <c r="C64" s="4015"/>
      <c r="D64" s="4012"/>
      <c r="E64" s="4012"/>
      <c r="F64" s="4016"/>
      <c r="G64" s="4012"/>
      <c r="H64" s="4012"/>
      <c r="I64" s="4012"/>
      <c r="J64" s="4012"/>
      <c r="K64" s="4012">
        <v>1.2</v>
      </c>
      <c r="L64" s="4012">
        <v>1.4</v>
      </c>
      <c r="M64" s="4017">
        <v>1.96</v>
      </c>
      <c r="N64" s="4013">
        <f>AVERAGE(K64:M64)</f>
        <v>1.5199999999999998</v>
      </c>
      <c r="O64" s="4014">
        <f t="shared" si="2"/>
        <v>1.5199999999999998</v>
      </c>
      <c r="Q64" s="44"/>
    </row>
    <row r="65" spans="1:16" ht="7.15" customHeight="1">
      <c r="A65" s="42"/>
      <c r="B65" s="45"/>
      <c r="C65" s="45"/>
      <c r="D65" s="230"/>
      <c r="E65" s="228"/>
      <c r="F65" s="229"/>
      <c r="G65" s="228"/>
      <c r="H65" s="228"/>
      <c r="I65" s="45"/>
      <c r="J65" s="45"/>
      <c r="K65" s="45"/>
      <c r="L65" s="227"/>
      <c r="M65" s="227"/>
      <c r="N65" s="227"/>
      <c r="O65" s="45"/>
      <c r="P65" s="45"/>
    </row>
    <row r="66" spans="1:16" ht="16.149999999999999" customHeight="1">
      <c r="A66" s="136"/>
    </row>
    <row r="67" spans="1:16" ht="14.25">
      <c r="A67" s="42"/>
      <c r="B67" s="42"/>
      <c r="C67" s="42"/>
    </row>
    <row r="68" spans="1:16" ht="14.25">
      <c r="A68" s="42"/>
      <c r="B68" s="42"/>
      <c r="C68" s="42"/>
    </row>
    <row r="69" spans="1:16" ht="14.25">
      <c r="A69" s="42"/>
      <c r="B69" s="42"/>
      <c r="C69" s="42"/>
    </row>
    <row r="70" spans="1:16" ht="14.25">
      <c r="A70" s="42"/>
      <c r="B70" s="42"/>
      <c r="C70" s="42"/>
    </row>
    <row r="71" spans="1:16" ht="14.25">
      <c r="A71" s="42"/>
      <c r="B71" s="42"/>
      <c r="C71" s="42"/>
    </row>
    <row r="72" spans="1:16" ht="14.25">
      <c r="A72" s="42"/>
      <c r="B72" s="42"/>
      <c r="C72" s="42"/>
    </row>
    <row r="73" spans="1:16" ht="14.25">
      <c r="A73" s="42"/>
      <c r="B73" s="42"/>
      <c r="C73" s="42"/>
    </row>
    <row r="74" spans="1:16" ht="14.25">
      <c r="A74" s="42"/>
      <c r="B74" s="42"/>
      <c r="C74" s="42"/>
    </row>
    <row r="75" spans="1:16" ht="14.25">
      <c r="A75" s="42"/>
      <c r="B75" s="42"/>
      <c r="C75" s="42"/>
    </row>
    <row r="76" spans="1:16" ht="14.25">
      <c r="A76" s="42"/>
      <c r="B76" s="42"/>
      <c r="C76" s="42"/>
    </row>
    <row r="77" spans="1:16" ht="14.25">
      <c r="A77" s="42"/>
      <c r="B77" s="42"/>
      <c r="C77" s="42"/>
    </row>
    <row r="78" spans="1:16" ht="14.25">
      <c r="A78" s="42"/>
      <c r="B78" s="42"/>
      <c r="C78" s="42"/>
    </row>
    <row r="79" spans="1:16" ht="14.25">
      <c r="A79" s="42"/>
      <c r="B79" s="42"/>
      <c r="C79" s="42"/>
    </row>
    <row r="80" spans="1:16" ht="14.25">
      <c r="A80" s="42"/>
      <c r="B80" s="42"/>
      <c r="C80" s="42"/>
    </row>
    <row r="81" spans="1:3" ht="14.25">
      <c r="A81" s="42"/>
      <c r="B81" s="42"/>
      <c r="C81" s="42"/>
    </row>
    <row r="82" spans="1:3" ht="14.25">
      <c r="A82" s="42"/>
      <c r="B82" s="42"/>
      <c r="C82" s="42"/>
    </row>
    <row r="83" spans="1:3" ht="14.25">
      <c r="A83" s="42"/>
      <c r="B83" s="42"/>
      <c r="C83" s="42"/>
    </row>
    <row r="84" spans="1:3" ht="14.25">
      <c r="A84" s="42"/>
      <c r="B84" s="42"/>
      <c r="C84" s="42"/>
    </row>
    <row r="85" spans="1:3" ht="14.25">
      <c r="A85" s="42"/>
      <c r="B85" s="42"/>
      <c r="C85" s="42"/>
    </row>
    <row r="86" spans="1:3" ht="14.25">
      <c r="A86" s="42"/>
      <c r="B86" s="42"/>
      <c r="C86" s="42"/>
    </row>
    <row r="87" spans="1:3" ht="14.25">
      <c r="A87" s="42"/>
      <c r="B87" s="42"/>
      <c r="C87" s="42"/>
    </row>
    <row r="88" spans="1:3" ht="14.25">
      <c r="A88" s="42"/>
      <c r="B88" s="42"/>
      <c r="C88" s="42"/>
    </row>
    <row r="89" spans="1:3" ht="14.25">
      <c r="A89" s="42"/>
      <c r="B89" s="42"/>
      <c r="C89" s="42"/>
    </row>
    <row r="90" spans="1:3" ht="14.25">
      <c r="A90" s="42"/>
      <c r="B90" s="42"/>
      <c r="C90" s="42"/>
    </row>
    <row r="91" spans="1:3" ht="14.25">
      <c r="A91" s="42"/>
      <c r="B91" s="42"/>
      <c r="C91" s="42"/>
    </row>
    <row r="92" spans="1:3" ht="14.25">
      <c r="A92" s="42"/>
      <c r="B92" s="42"/>
      <c r="C92" s="42"/>
    </row>
    <row r="93" spans="1:3" ht="14.25">
      <c r="A93" s="42"/>
      <c r="B93" s="42"/>
      <c r="C93" s="42"/>
    </row>
    <row r="94" spans="1:3" ht="14.25">
      <c r="A94" s="42"/>
      <c r="B94" s="42"/>
      <c r="C94" s="42"/>
    </row>
    <row r="95" spans="1:3" ht="14.25">
      <c r="A95" s="42"/>
      <c r="B95" s="42"/>
      <c r="C95" s="42"/>
    </row>
    <row r="96" spans="1:3" ht="14.25">
      <c r="A96" s="42"/>
      <c r="B96" s="42"/>
      <c r="C96" s="42"/>
    </row>
    <row r="97" spans="1:16" ht="14.25">
      <c r="A97" s="42"/>
      <c r="B97" s="42"/>
      <c r="C97" s="42"/>
    </row>
    <row r="98" spans="1:16" ht="14.25">
      <c r="A98" s="42"/>
      <c r="B98" s="42"/>
      <c r="C98" s="42"/>
    </row>
    <row r="99" spans="1:16" ht="14.25">
      <c r="A99" s="42"/>
      <c r="B99" s="42"/>
      <c r="C99" s="42"/>
    </row>
    <row r="100" spans="1:16" ht="14.25">
      <c r="A100" s="42"/>
      <c r="B100" s="42"/>
      <c r="C100" s="42"/>
    </row>
    <row r="101" spans="1:16" ht="14.25">
      <c r="A101" s="42"/>
      <c r="B101" s="42"/>
      <c r="C101" s="42"/>
    </row>
    <row r="102" spans="1:16" ht="14.25">
      <c r="A102" s="42"/>
      <c r="B102" s="42"/>
      <c r="C102" s="42"/>
    </row>
    <row r="103" spans="1:16" ht="14.25">
      <c r="A103" s="42"/>
      <c r="B103" s="42"/>
      <c r="C103" s="42"/>
    </row>
    <row r="104" spans="1:16" ht="14.25">
      <c r="A104" s="42"/>
      <c r="B104" s="42"/>
      <c r="C104" s="42"/>
    </row>
    <row r="105" spans="1:16" ht="14.25">
      <c r="A105" s="42"/>
      <c r="B105" s="42"/>
      <c r="C105" s="42"/>
    </row>
    <row r="106" spans="1:16" ht="14.25">
      <c r="A106" s="42"/>
      <c r="B106" s="42"/>
      <c r="C106" s="42"/>
    </row>
    <row r="107" spans="1:16" ht="14.25">
      <c r="A107" s="42"/>
      <c r="B107" s="42"/>
      <c r="C107" s="42"/>
      <c r="D107" s="42"/>
      <c r="E107" s="42"/>
      <c r="F107" s="226"/>
      <c r="G107" s="42"/>
      <c r="H107" s="42"/>
      <c r="I107" s="42"/>
      <c r="J107" s="42"/>
      <c r="K107" s="42"/>
      <c r="L107" s="225"/>
      <c r="M107" s="225"/>
      <c r="N107" s="225"/>
      <c r="O107" s="42"/>
      <c r="P107" s="42"/>
    </row>
    <row r="108" spans="1:16" ht="14.25">
      <c r="A108" s="42"/>
      <c r="B108" s="42"/>
      <c r="C108" s="42"/>
      <c r="D108" s="42"/>
      <c r="E108" s="42"/>
      <c r="F108" s="226"/>
      <c r="G108" s="42"/>
      <c r="H108" s="42"/>
      <c r="I108" s="42"/>
      <c r="J108" s="42"/>
      <c r="K108" s="42"/>
      <c r="L108" s="225"/>
      <c r="M108" s="225"/>
      <c r="N108" s="225"/>
      <c r="O108" s="42"/>
      <c r="P108" s="42"/>
    </row>
    <row r="109" spans="1:16" ht="14.25">
      <c r="A109" s="42"/>
      <c r="B109" s="42"/>
      <c r="C109" s="42"/>
      <c r="D109" s="42"/>
      <c r="E109" s="42"/>
      <c r="F109" s="226"/>
      <c r="G109" s="42"/>
      <c r="H109" s="42"/>
      <c r="I109" s="42"/>
      <c r="J109" s="42"/>
      <c r="K109" s="42"/>
      <c r="L109" s="225"/>
      <c r="M109" s="225"/>
      <c r="N109" s="225"/>
      <c r="O109" s="42"/>
      <c r="P109" s="42"/>
    </row>
    <row r="110" spans="1:16" ht="14.25">
      <c r="A110" s="42"/>
      <c r="B110" s="42"/>
      <c r="C110" s="42"/>
      <c r="D110" s="42"/>
      <c r="E110" s="42"/>
      <c r="F110" s="226"/>
      <c r="G110" s="42"/>
      <c r="H110" s="42"/>
      <c r="I110" s="42"/>
      <c r="J110" s="42"/>
      <c r="K110" s="42"/>
      <c r="L110" s="225"/>
      <c r="M110" s="225"/>
      <c r="N110" s="225"/>
      <c r="O110" s="42"/>
      <c r="P110" s="42"/>
    </row>
    <row r="111" spans="1:16" ht="14.25">
      <c r="A111" s="42"/>
      <c r="B111" s="42"/>
      <c r="C111" s="42"/>
      <c r="D111" s="42"/>
      <c r="E111" s="42"/>
      <c r="F111" s="226"/>
      <c r="G111" s="42"/>
      <c r="H111" s="42"/>
      <c r="I111" s="42"/>
      <c r="J111" s="42"/>
      <c r="K111" s="42"/>
      <c r="L111" s="225"/>
      <c r="M111" s="225"/>
      <c r="N111" s="225"/>
      <c r="O111" s="42"/>
      <c r="P111" s="42"/>
    </row>
    <row r="112" spans="1:16" ht="14.25">
      <c r="A112" s="42"/>
      <c r="B112" s="42"/>
      <c r="C112" s="42"/>
      <c r="D112" s="42"/>
      <c r="E112" s="42"/>
      <c r="F112" s="226"/>
      <c r="G112" s="42"/>
      <c r="H112" s="42"/>
      <c r="I112" s="42"/>
      <c r="J112" s="42"/>
      <c r="K112" s="42"/>
      <c r="L112" s="225"/>
      <c r="M112" s="225"/>
      <c r="N112" s="225"/>
      <c r="O112" s="42"/>
      <c r="P112" s="42"/>
    </row>
    <row r="113" spans="1:16" ht="14.25">
      <c r="A113" s="42"/>
      <c r="B113" s="42"/>
      <c r="C113" s="42"/>
      <c r="D113" s="42"/>
      <c r="E113" s="42"/>
      <c r="F113" s="226"/>
      <c r="G113" s="42"/>
      <c r="H113" s="42"/>
      <c r="I113" s="42"/>
      <c r="J113" s="42"/>
      <c r="K113" s="42"/>
      <c r="L113" s="225"/>
      <c r="M113" s="225"/>
      <c r="N113" s="225"/>
      <c r="O113" s="42"/>
      <c r="P113" s="42"/>
    </row>
    <row r="114" spans="1:16" ht="14.25">
      <c r="A114" s="42"/>
      <c r="B114" s="42"/>
      <c r="C114" s="42"/>
      <c r="D114" s="42"/>
      <c r="E114" s="42"/>
      <c r="F114" s="226"/>
      <c r="G114" s="42"/>
      <c r="H114" s="42"/>
      <c r="I114" s="42"/>
      <c r="J114" s="42"/>
      <c r="K114" s="42"/>
      <c r="L114" s="225"/>
      <c r="M114" s="225"/>
      <c r="N114" s="225"/>
      <c r="O114" s="42"/>
      <c r="P114" s="42"/>
    </row>
    <row r="115" spans="1:16" ht="14.25">
      <c r="A115" s="42"/>
      <c r="B115" s="42"/>
      <c r="C115" s="42"/>
      <c r="D115" s="42"/>
      <c r="E115" s="42"/>
      <c r="F115" s="226"/>
      <c r="G115" s="42"/>
      <c r="H115" s="42"/>
      <c r="I115" s="42"/>
      <c r="J115" s="42"/>
      <c r="K115" s="42"/>
      <c r="L115" s="225"/>
      <c r="M115" s="225"/>
      <c r="N115" s="225"/>
      <c r="O115" s="42"/>
      <c r="P115" s="42"/>
    </row>
    <row r="116" spans="1:16" ht="14.25">
      <c r="A116" s="42"/>
      <c r="B116" s="42"/>
      <c r="C116" s="42"/>
      <c r="D116" s="42"/>
      <c r="E116" s="42"/>
      <c r="F116" s="226"/>
      <c r="G116" s="42"/>
      <c r="H116" s="42"/>
      <c r="I116" s="42"/>
      <c r="J116" s="42"/>
      <c r="K116" s="42"/>
      <c r="L116" s="225"/>
      <c r="M116" s="225"/>
      <c r="N116" s="225"/>
      <c r="O116" s="42"/>
      <c r="P116" s="42"/>
    </row>
    <row r="117" spans="1:16" ht="14.25">
      <c r="A117" s="42"/>
      <c r="B117" s="42"/>
      <c r="C117" s="42"/>
      <c r="D117" s="42"/>
      <c r="E117" s="42"/>
      <c r="F117" s="226"/>
      <c r="G117" s="42"/>
      <c r="H117" s="42"/>
      <c r="I117" s="42"/>
      <c r="J117" s="42"/>
      <c r="K117" s="42"/>
      <c r="L117" s="225"/>
      <c r="M117" s="225"/>
      <c r="N117" s="225"/>
      <c r="O117" s="42"/>
      <c r="P117" s="42"/>
    </row>
    <row r="118" spans="1:16" ht="14.25">
      <c r="A118" s="42"/>
      <c r="B118" s="42"/>
      <c r="C118" s="42"/>
      <c r="D118" s="42"/>
      <c r="E118" s="42"/>
      <c r="F118" s="226"/>
      <c r="G118" s="42"/>
      <c r="H118" s="42"/>
      <c r="I118" s="42"/>
      <c r="J118" s="42"/>
      <c r="K118" s="42"/>
      <c r="L118" s="225"/>
      <c r="M118" s="225"/>
      <c r="N118" s="225"/>
      <c r="O118" s="42"/>
      <c r="P118" s="42"/>
    </row>
    <row r="119" spans="1:16" ht="14.25">
      <c r="A119" s="42"/>
      <c r="B119" s="42"/>
      <c r="C119" s="42"/>
      <c r="D119" s="42"/>
      <c r="E119" s="42"/>
      <c r="F119" s="226"/>
      <c r="G119" s="42"/>
      <c r="H119" s="42"/>
      <c r="I119" s="42"/>
      <c r="J119" s="42"/>
      <c r="K119" s="42"/>
      <c r="L119" s="225"/>
      <c r="M119" s="225"/>
      <c r="N119" s="225"/>
      <c r="O119" s="42"/>
      <c r="P119" s="42"/>
    </row>
    <row r="120" spans="1:16" ht="14.25">
      <c r="A120" s="42"/>
      <c r="B120" s="42"/>
      <c r="C120" s="42"/>
      <c r="D120" s="42"/>
      <c r="E120" s="42"/>
      <c r="F120" s="226"/>
      <c r="G120" s="42"/>
      <c r="H120" s="42"/>
      <c r="I120" s="42"/>
      <c r="J120" s="42"/>
      <c r="K120" s="42"/>
      <c r="L120" s="225"/>
      <c r="M120" s="225"/>
      <c r="N120" s="225"/>
      <c r="O120" s="42"/>
      <c r="P120" s="42"/>
    </row>
    <row r="121" spans="1:16" ht="14.25">
      <c r="A121" s="42"/>
      <c r="B121" s="42"/>
      <c r="C121" s="42"/>
      <c r="D121" s="42"/>
      <c r="E121" s="42"/>
      <c r="F121" s="226"/>
      <c r="G121" s="42"/>
      <c r="H121" s="42"/>
      <c r="I121" s="42"/>
      <c r="J121" s="42"/>
      <c r="K121" s="42"/>
      <c r="L121" s="225"/>
      <c r="M121" s="225"/>
      <c r="N121" s="225"/>
      <c r="O121" s="42"/>
      <c r="P121" s="42"/>
    </row>
  </sheetData>
  <sheetProtection sheet="1" objects="1" scenarios="1"/>
  <mergeCells count="1">
    <mergeCell ref="N3:N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74" firstPageNumber="6" orientation="portrait" useFirstPageNumber="1" r:id="rId1"/>
  <headerFooter alignWithMargins="0">
    <oddFooter>&amp;L&amp;11LEL Schwäbisch Gmünd&amp;C&amp;11&amp;P+8&amp;R&amp;11&amp;F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10</xdr:col>
                    <xdr:colOff>180975</xdr:colOff>
                    <xdr:row>6</xdr:row>
                    <xdr:rowOff>76200</xdr:rowOff>
                  </from>
                  <to>
                    <xdr:col>13</xdr:col>
                    <xdr:colOff>19050</xdr:colOff>
                    <xdr:row>6</xdr:row>
                    <xdr:rowOff>323850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1">
    <tabColor rgb="FF7030A0"/>
    <pageSetUpPr fitToPage="1"/>
  </sheetPr>
  <dimension ref="A1:AO211"/>
  <sheetViews>
    <sheetView workbookViewId="0">
      <selection activeCell="A5" sqref="A5"/>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8" width="7.25" style="2533" customWidth="1"/>
    <col min="9" max="9" width="8.125" style="2533" customWidth="1"/>
    <col min="10" max="11" width="7.25" style="2533" customWidth="1"/>
    <col min="12" max="12" width="7.75" style="2533" customWidth="1"/>
    <col min="13" max="14" width="7.25" style="2533" customWidth="1"/>
    <col min="15" max="15" width="7.75" style="2533" customWidth="1"/>
    <col min="16" max="16" width="7.25" style="2533" customWidth="1"/>
    <col min="17" max="17" width="19.75" style="2533" customWidth="1"/>
    <col min="18"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#REF!</v>
      </c>
      <c r="K1" s="4859" t="e">
        <f>M1-J1</f>
        <v>#REF!</v>
      </c>
      <c r="L1" s="4859"/>
      <c r="M1" s="1906" t="e">
        <f>(M7+M13+M19+M22+L11+L12)-(M23+M27+M34+M43+M63+M59+M68+M70+M72+M76)</f>
        <v>#REF!</v>
      </c>
      <c r="N1" s="4859" t="e">
        <f>P1-M1</f>
        <v>#REF!</v>
      </c>
      <c r="O1" s="4859"/>
      <c r="P1" s="1906" t="e">
        <f>(P7+P13+P19+P22+O11+O12)-(P23+P27+P34+P43+P63+P59+P68+P70+P72+P76)</f>
        <v>#REF!</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1919" t="s">
        <v>1932</v>
      </c>
      <c r="G2" s="1891"/>
      <c r="H2" s="1902"/>
      <c r="K2" s="4978" t="s">
        <v>1939</v>
      </c>
      <c r="L2" s="4978"/>
      <c r="M2" s="4978"/>
      <c r="N2" s="4978"/>
      <c r="O2" s="4978"/>
      <c r="P2" s="4978"/>
      <c r="Q2" s="2507"/>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c r="W3" s="4866" t="s">
        <v>1262</v>
      </c>
      <c r="X3" s="4916"/>
      <c r="Y3" s="4916"/>
      <c r="Z3" s="1901"/>
    </row>
    <row r="4" spans="1:41" s="276" customFormat="1" ht="20.25" customHeight="1">
      <c r="A4" s="2507"/>
      <c r="B4" s="377" t="s">
        <v>1154</v>
      </c>
      <c r="C4" s="2537"/>
      <c r="D4" s="2537"/>
      <c r="E4" s="4830" t="s">
        <v>1706</v>
      </c>
      <c r="F4" s="4830"/>
      <c r="G4" s="4830"/>
      <c r="H4" s="4830"/>
      <c r="I4" s="4830"/>
      <c r="J4" s="4866" t="s">
        <v>1250</v>
      </c>
      <c r="K4" s="4916"/>
      <c r="L4" s="4916"/>
      <c r="M4" s="2522"/>
      <c r="N4" s="4872"/>
      <c r="O4" s="4872"/>
      <c r="P4" s="1896">
        <f>SDÖ1!O3</f>
        <v>0</v>
      </c>
      <c r="Q4" s="2507"/>
      <c r="T4" s="1918" t="b">
        <v>0</v>
      </c>
      <c r="W4" s="4866" t="s">
        <v>1250</v>
      </c>
      <c r="X4" s="4916"/>
      <c r="Y4" s="4916"/>
      <c r="Z4" s="2522"/>
    </row>
    <row r="5" spans="1:41" ht="6" customHeight="1" thickBot="1"/>
    <row r="6" spans="1:41" s="1885" customFormat="1" ht="24" customHeight="1">
      <c r="A6" s="48"/>
      <c r="B6" s="3013" t="s">
        <v>1207</v>
      </c>
      <c r="C6" s="3012"/>
      <c r="D6" s="3012"/>
      <c r="E6" s="3012"/>
      <c r="F6" s="3012"/>
      <c r="G6" s="3011" t="s">
        <v>1700</v>
      </c>
      <c r="H6" s="4972"/>
      <c r="I6" s="4973"/>
      <c r="J6" s="2504">
        <v>1</v>
      </c>
      <c r="K6" s="4974"/>
      <c r="L6" s="4975"/>
      <c r="M6" s="2504">
        <v>1</v>
      </c>
      <c r="N6" s="4976"/>
      <c r="O6" s="4977"/>
      <c r="P6" s="2503">
        <f>M6*1.25</f>
        <v>1.25</v>
      </c>
      <c r="Q6" s="70"/>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c r="H9" s="1877">
        <f>J6-H10</f>
        <v>0.75</v>
      </c>
      <c r="I9" s="1873">
        <f>H9*G9</f>
        <v>0</v>
      </c>
      <c r="J9" s="43"/>
      <c r="K9" s="1876">
        <f>M6-K10</f>
        <v>0.75</v>
      </c>
      <c r="L9" s="1875">
        <f>K9*G9</f>
        <v>0</v>
      </c>
      <c r="M9" s="1854"/>
      <c r="N9" s="1874">
        <f>P6-N10</f>
        <v>0.9375</v>
      </c>
      <c r="O9" s="1873">
        <f>N9*G9</f>
        <v>0</v>
      </c>
      <c r="P9" s="273"/>
      <c r="Q9" s="2533"/>
      <c r="R9" s="935"/>
      <c r="S9" s="265" t="s">
        <v>1265</v>
      </c>
      <c r="T9" s="1872"/>
    </row>
    <row r="10" spans="1:41" s="1842" customFormat="1" ht="15" customHeight="1">
      <c r="A10" s="377"/>
      <c r="B10" s="2120"/>
      <c r="C10" s="281" t="s">
        <v>1689</v>
      </c>
      <c r="D10" s="1851"/>
      <c r="E10" s="4952" t="s">
        <v>1710</v>
      </c>
      <c r="F10" s="4953"/>
      <c r="G10" s="1871"/>
      <c r="H10" s="1866">
        <f>J6*0.25</f>
        <v>0.25</v>
      </c>
      <c r="I10" s="1865">
        <f>H10*G10</f>
        <v>0</v>
      </c>
      <c r="K10" s="1869">
        <f>M6*25%</f>
        <v>0.25</v>
      </c>
      <c r="L10" s="1868">
        <f>K10*G10</f>
        <v>0</v>
      </c>
      <c r="M10" s="1867"/>
      <c r="N10" s="1866">
        <f>P6*25%</f>
        <v>0.3125</v>
      </c>
      <c r="O10" s="1865">
        <f>N10*G10</f>
        <v>0</v>
      </c>
      <c r="P10" s="2500"/>
      <c r="Q10" s="38"/>
      <c r="R10" s="1863">
        <f>I10+I11+I12</f>
        <v>0</v>
      </c>
      <c r="S10" s="1862">
        <f>L10+L11+L12</f>
        <v>0</v>
      </c>
      <c r="T10" s="1861">
        <f>O10+O11+O12</f>
        <v>0</v>
      </c>
      <c r="W10" s="252" t="s">
        <v>1254</v>
      </c>
    </row>
    <row r="11" spans="1:41" s="1842" customFormat="1" ht="15" customHeight="1">
      <c r="A11" s="377"/>
      <c r="B11" s="275"/>
      <c r="C11" s="45" t="s">
        <v>1253</v>
      </c>
      <c r="D11" s="377"/>
      <c r="E11" s="2499">
        <v>0.8</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38"/>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38"/>
    </row>
    <row r="13" spans="1:41" s="252" customFormat="1" ht="18.75" customHeight="1">
      <c r="A13" s="47"/>
      <c r="B13" s="2417" t="s">
        <v>1688</v>
      </c>
      <c r="C13" s="47"/>
      <c r="D13" s="2498"/>
      <c r="E13" s="2498"/>
      <c r="F13" s="2498"/>
      <c r="G13" s="2497" t="s">
        <v>171</v>
      </c>
      <c r="H13" s="1926"/>
      <c r="I13" s="1823"/>
      <c r="J13" s="1614" t="e">
        <f>SUM(I14:I18)</f>
        <v>#REF!</v>
      </c>
      <c r="K13" s="1927"/>
      <c r="L13" s="1825"/>
      <c r="M13" s="1617" t="e">
        <f>SUM(L14:L18)</f>
        <v>#REF!</v>
      </c>
      <c r="N13" s="1926"/>
      <c r="O13" s="1823"/>
      <c r="P13" s="2415" t="e">
        <f>SUM(O14:O18)</f>
        <v>#REF!</v>
      </c>
      <c r="Q13" s="2533"/>
      <c r="R13" s="136"/>
      <c r="W13" s="1840" t="s">
        <v>1247</v>
      </c>
      <c r="X13" s="1838" t="str">
        <f>IF(OR(T3=TRUE,T4=TRUE),J6*$E$11,"0")</f>
        <v>0</v>
      </c>
      <c r="Y13" s="1839" t="str">
        <f>IF(OR(T3=TRUE,T4=TRUE),M6*$E$11,"0")</f>
        <v>0</v>
      </c>
      <c r="Z13" s="1838" t="str">
        <f>IF(OR(T3=TRUE,T4=TRUE),P6*$E$11,"0")</f>
        <v>0</v>
      </c>
    </row>
    <row r="14" spans="1:41" s="42" customFormat="1" ht="15" customHeight="1">
      <c r="A14" s="45"/>
      <c r="B14" s="2495"/>
      <c r="C14" s="4944" t="s">
        <v>1422</v>
      </c>
      <c r="D14" s="4944"/>
      <c r="E14" s="4944"/>
      <c r="F14" s="4944"/>
      <c r="G14" s="1837"/>
      <c r="H14" s="2531"/>
      <c r="I14" s="1817" t="e">
        <f>IF(R14=TRUE,Q14,0)</f>
        <v>#REF!</v>
      </c>
      <c r="K14" s="2531"/>
      <c r="L14" s="1671" t="e">
        <f>IF(S14=TRUE,Q14,0)</f>
        <v>#REF!</v>
      </c>
      <c r="M14" s="2404"/>
      <c r="N14" s="2531"/>
      <c r="O14" s="1817" t="e">
        <f>IF(T14=TRUE,Q14,0)</f>
        <v>#REF!</v>
      </c>
      <c r="P14" s="2403"/>
      <c r="Q14" s="1835" t="e">
        <f>IF(C14=0,0,VLOOKUP(C14,#REF!,10,FALSE))</f>
        <v>#REF!</v>
      </c>
      <c r="R14" s="1925" t="b">
        <v>1</v>
      </c>
      <c r="S14" s="1924" t="b">
        <v>1</v>
      </c>
      <c r="T14" s="1923" t="b">
        <v>1</v>
      </c>
      <c r="W14" s="42" t="s">
        <v>246</v>
      </c>
      <c r="X14" s="1834">
        <f>$X$13*F30</f>
        <v>0</v>
      </c>
      <c r="Y14" s="1834">
        <f>$Y$13*F30</f>
        <v>0</v>
      </c>
      <c r="Z14" s="1834">
        <f>$Z$13*F30</f>
        <v>0</v>
      </c>
    </row>
    <row r="15" spans="1:41" s="42" customFormat="1" ht="15" customHeight="1">
      <c r="A15" s="45"/>
      <c r="B15" s="2495"/>
      <c r="C15" s="4944"/>
      <c r="D15" s="4944"/>
      <c r="E15" s="4944"/>
      <c r="F15" s="4944"/>
      <c r="G15" s="1837"/>
      <c r="H15" s="2531"/>
      <c r="I15" s="1817">
        <f>IF(R15=TRUE,Q15,0)</f>
        <v>0</v>
      </c>
      <c r="J15" s="64"/>
      <c r="K15" s="2531"/>
      <c r="L15" s="1671">
        <f>IF(S15=TRUE,Q15,0)</f>
        <v>0</v>
      </c>
      <c r="M15" s="2404"/>
      <c r="N15" s="2531"/>
      <c r="O15" s="1817">
        <f>IF(T15=TRUE,Q15,0)</f>
        <v>0</v>
      </c>
      <c r="P15" s="2403"/>
      <c r="Q15" s="1835">
        <f>IF(C15=0,0,VLOOKUP(C15,#REF!,10,FALSE))</f>
        <v>0</v>
      </c>
      <c r="R15" s="1922" t="b">
        <v>0</v>
      </c>
      <c r="S15" s="1918" t="b">
        <v>0</v>
      </c>
      <c r="T15" s="1921" t="b">
        <v>0</v>
      </c>
      <c r="W15" s="42" t="s">
        <v>1054</v>
      </c>
      <c r="X15" s="1834">
        <f>$X$13*F31</f>
        <v>0</v>
      </c>
      <c r="Y15" s="1834">
        <f>$Y$13*F31</f>
        <v>0</v>
      </c>
      <c r="Z15" s="1834">
        <f>$Z$13*F31</f>
        <v>0</v>
      </c>
    </row>
    <row r="16" spans="1:41" s="42" customFormat="1" ht="15" customHeight="1">
      <c r="A16" s="45"/>
      <c r="B16" s="2495">
        <v>0</v>
      </c>
      <c r="C16" s="4944">
        <v>0</v>
      </c>
      <c r="D16" s="4944"/>
      <c r="E16" s="4944"/>
      <c r="F16" s="4944"/>
      <c r="G16" s="1837"/>
      <c r="H16" s="2531"/>
      <c r="I16" s="1817">
        <f>IF(R16=TRUE,Q16,0)</f>
        <v>0</v>
      </c>
      <c r="K16" s="2531"/>
      <c r="L16" s="1671">
        <f>IF(S16=TRUE,Q16,0)</f>
        <v>0</v>
      </c>
      <c r="M16" s="2404"/>
      <c r="N16" s="2531"/>
      <c r="O16" s="1817">
        <f>IF(T16=TRUE,Q16,0)</f>
        <v>0</v>
      </c>
      <c r="P16" s="2403"/>
      <c r="Q16" s="1835">
        <f>IF(C16=0,0,VLOOKUP(C16,#REF!,10,FALSE))</f>
        <v>0</v>
      </c>
      <c r="R16" s="1922" t="b">
        <v>0</v>
      </c>
      <c r="S16" s="1918" t="b">
        <v>0</v>
      </c>
      <c r="T16" s="1921" t="b">
        <v>0</v>
      </c>
      <c r="W16" s="42" t="s">
        <v>1053</v>
      </c>
      <c r="X16" s="1834">
        <f>$X$13*F32</f>
        <v>0</v>
      </c>
      <c r="Y16" s="1834">
        <f>$Y$13*F32</f>
        <v>0</v>
      </c>
      <c r="Z16" s="1834">
        <f>$Z$13*F32</f>
        <v>0</v>
      </c>
    </row>
    <row r="17" spans="1:26" s="42" customFormat="1" ht="15" customHeight="1">
      <c r="A17" s="45"/>
      <c r="B17" s="2495"/>
      <c r="C17" s="4944">
        <v>0</v>
      </c>
      <c r="D17" s="4944"/>
      <c r="E17" s="4944"/>
      <c r="F17" s="4944"/>
      <c r="G17" s="1837"/>
      <c r="H17" s="2531"/>
      <c r="I17" s="1817">
        <f>IF(R17=TRUE,Q17,0)</f>
        <v>0</v>
      </c>
      <c r="K17" s="2531"/>
      <c r="L17" s="1671">
        <f>IF(S17=TRUE,Q17,0)</f>
        <v>0</v>
      </c>
      <c r="M17" s="2404"/>
      <c r="N17" s="2531"/>
      <c r="O17" s="1817">
        <f>IF(T17=TRUE,Q17,0)</f>
        <v>0</v>
      </c>
      <c r="P17" s="2403"/>
      <c r="Q17" s="1835">
        <f>IF(C17=0,0,VLOOKUP(C17,#REF!,10,FALSE))</f>
        <v>0</v>
      </c>
      <c r="R17" s="1922" t="b">
        <v>0</v>
      </c>
      <c r="S17" s="1918" t="b">
        <v>0</v>
      </c>
      <c r="T17" s="1921" t="b">
        <v>0</v>
      </c>
      <c r="W17" s="42" t="s">
        <v>240</v>
      </c>
      <c r="X17" s="1834">
        <f>$X$13*F33</f>
        <v>0</v>
      </c>
      <c r="Y17" s="1834">
        <f>$Y$13*F33</f>
        <v>0</v>
      </c>
      <c r="Z17" s="1834">
        <f>$Z$13*F33</f>
        <v>0</v>
      </c>
    </row>
    <row r="18" spans="1:26" s="42" customFormat="1" ht="15" customHeight="1">
      <c r="A18" s="45"/>
      <c r="B18" s="2429"/>
      <c r="C18" s="1833"/>
      <c r="D18" s="281"/>
      <c r="E18" s="281"/>
      <c r="F18" s="281"/>
      <c r="G18" s="1812"/>
      <c r="H18" s="1829"/>
      <c r="I18" s="1832">
        <f>IF($R18=TRUE,IF(G18=0,0,LOOKUP($G$18,#REF!)),0)</f>
        <v>0</v>
      </c>
      <c r="J18" s="281"/>
      <c r="K18" s="1829"/>
      <c r="L18" s="1831">
        <f>IF($S18=TRUE,IF(G18=0,0,LOOKUP($G$18,#REF!)),0)</f>
        <v>0</v>
      </c>
      <c r="M18" s="1830"/>
      <c r="N18" s="1829"/>
      <c r="O18" s="1828">
        <f>IF($T18=TRUE,IF(G18=0,0,LOOKUP($G$18,#REF!)),0)</f>
        <v>0</v>
      </c>
      <c r="P18" s="3010"/>
      <c r="Q18" s="1835">
        <f>IF(C18=0,0,VLOOKUP(C18,#REF!,10,FALSE))</f>
        <v>0</v>
      </c>
      <c r="R18" s="3009" t="b">
        <v>1</v>
      </c>
      <c r="S18" s="3008" t="b">
        <v>0</v>
      </c>
      <c r="T18" s="1893" t="b">
        <v>0</v>
      </c>
    </row>
    <row r="19" spans="1:26" s="2532" customFormat="1" ht="18.75" customHeight="1">
      <c r="A19" s="47"/>
      <c r="B19" s="2417" t="s">
        <v>1687</v>
      </c>
      <c r="C19" s="47"/>
      <c r="D19" s="47"/>
      <c r="E19" s="47"/>
      <c r="F19" s="47"/>
      <c r="G19" s="229" t="s">
        <v>171</v>
      </c>
      <c r="H19" s="1824"/>
      <c r="I19" s="1823"/>
      <c r="J19" s="1614" t="e">
        <f>SUM(I20:I21)</f>
        <v>#REF!</v>
      </c>
      <c r="K19" s="1826"/>
      <c r="L19" s="1825"/>
      <c r="M19" s="1617" t="e">
        <f>SUM(L20:L21)</f>
        <v>#REF!</v>
      </c>
      <c r="N19" s="1824"/>
      <c r="O19" s="1823"/>
      <c r="P19" s="2415" t="e">
        <f>SUM(O20:O21)</f>
        <v>#REF!</v>
      </c>
      <c r="Q19" s="2533"/>
      <c r="R19" s="715" t="s">
        <v>1245</v>
      </c>
      <c r="S19" s="376"/>
      <c r="T19" s="1822"/>
    </row>
    <row r="20" spans="1:26" s="42" customFormat="1" ht="15" customHeight="1">
      <c r="A20" s="45"/>
      <c r="B20" s="2495"/>
      <c r="C20" s="4944" t="s">
        <v>286</v>
      </c>
      <c r="D20" s="4944"/>
      <c r="E20" s="4944"/>
      <c r="F20" s="4944"/>
      <c r="G20" s="1820"/>
      <c r="H20" s="1818"/>
      <c r="I20" s="1817" t="e">
        <f>IF(OR($C20=0,$J$6=0),0,VLOOKUP($C20,#REF!,10,FALSE))</f>
        <v>#REF!</v>
      </c>
      <c r="K20" s="1819"/>
      <c r="L20" s="1671" t="e">
        <f>IF($C20=0,0,VLOOKUP($C20,#REF!,10,FALSE))</f>
        <v>#REF!</v>
      </c>
      <c r="M20" s="2404"/>
      <c r="N20" s="1818"/>
      <c r="O20" s="1817" t="e">
        <f>IF(OR($C20=0,$P$6=0),0,VLOOKUP($C20,#REF!,10,FALSE))</f>
        <v>#REF!</v>
      </c>
      <c r="P20" s="2403"/>
      <c r="Q20" s="2533"/>
      <c r="R20" s="1816" t="e">
        <f>J13+J19</f>
        <v>#REF!</v>
      </c>
      <c r="S20" s="1815" t="e">
        <f>M13+M19</f>
        <v>#REF!</v>
      </c>
      <c r="T20" s="1814" t="e">
        <f>P13+P19</f>
        <v>#REF!</v>
      </c>
    </row>
    <row r="21" spans="1:26" s="42" customFormat="1" ht="0.75" customHeight="1">
      <c r="A21" s="45"/>
      <c r="B21" s="2494"/>
      <c r="C21" s="4945"/>
      <c r="D21" s="4945"/>
      <c r="E21" s="4945"/>
      <c r="F21" s="4945"/>
      <c r="G21" s="1812"/>
      <c r="H21" s="1810"/>
      <c r="I21" s="1809">
        <f>IF(OR($C21=0,$J$6=0),0,VLOOKUP($C21,#REF!,10,FALSE))</f>
        <v>0</v>
      </c>
      <c r="K21" s="1811"/>
      <c r="L21" s="1653">
        <f>IF(OR($C21=0,$M$6=0),0,VLOOKUP($C21,#REF!,10,FALSE))</f>
        <v>0</v>
      </c>
      <c r="M21" s="2404"/>
      <c r="N21" s="1810"/>
      <c r="O21" s="1809">
        <f>IF(OR($C21=0,$P$6=0),0,VLOOKUP($C21,#REF!,10,FALSE))</f>
        <v>0</v>
      </c>
      <c r="P21" s="2427"/>
      <c r="Q21" s="2533"/>
    </row>
    <row r="22" spans="1:26" ht="16.5" customHeight="1">
      <c r="A22" s="377"/>
      <c r="B22" s="2417" t="s">
        <v>901</v>
      </c>
      <c r="C22" s="45"/>
      <c r="D22" s="4946"/>
      <c r="E22" s="4946"/>
      <c r="F22" s="4946"/>
      <c r="G22" s="4947"/>
      <c r="H22" s="1804"/>
      <c r="I22" s="1803"/>
      <c r="J22" s="1802"/>
      <c r="K22" s="1806"/>
      <c r="L22" s="1805"/>
      <c r="M22" s="1802"/>
      <c r="N22" s="1804"/>
      <c r="O22" s="1803"/>
      <c r="P22" s="2493"/>
      <c r="R22" s="2533"/>
      <c r="S22" s="2533"/>
      <c r="T22" s="2533"/>
    </row>
    <row r="23" spans="1:26" ht="18.75" customHeight="1">
      <c r="A23" s="377"/>
      <c r="B23" s="2492" t="s">
        <v>222</v>
      </c>
      <c r="C23" s="1801"/>
      <c r="D23" s="1801"/>
      <c r="G23" s="2476" t="s">
        <v>171</v>
      </c>
      <c r="H23" s="1616"/>
      <c r="I23" s="1615"/>
      <c r="J23" s="1599">
        <f>SUM(I25:I26)</f>
        <v>0</v>
      </c>
      <c r="K23" s="1619"/>
      <c r="L23" s="1618"/>
      <c r="M23" s="1800">
        <f>SUM(L25:L26)</f>
        <v>0</v>
      </c>
      <c r="N23" s="1616"/>
      <c r="O23" s="1615"/>
      <c r="P23" s="2406">
        <f>SUM(O25:O26)</f>
        <v>0</v>
      </c>
    </row>
    <row r="24" spans="1:26" ht="13.15" customHeight="1">
      <c r="A24" s="377"/>
      <c r="B24" s="2491"/>
      <c r="C24" s="1612" t="s">
        <v>1212</v>
      </c>
      <c r="D24" s="1683">
        <f>SDÖ1!$O$10</f>
        <v>0</v>
      </c>
      <c r="E24" s="2490"/>
      <c r="F24" s="2411" t="s">
        <v>249</v>
      </c>
      <c r="G24" s="2434" t="s">
        <v>1211</v>
      </c>
      <c r="H24" s="2481" t="s">
        <v>1232</v>
      </c>
      <c r="I24" s="2407" t="s">
        <v>171</v>
      </c>
      <c r="J24" s="2489"/>
      <c r="K24" s="2483" t="s">
        <v>1232</v>
      </c>
      <c r="L24" s="2409" t="s">
        <v>171</v>
      </c>
      <c r="M24" s="2488"/>
      <c r="N24" s="2481" t="s">
        <v>1232</v>
      </c>
      <c r="O24" s="2407" t="s">
        <v>171</v>
      </c>
      <c r="P24" s="2471"/>
    </row>
    <row r="25" spans="1:26" s="42" customFormat="1" ht="15" customHeight="1">
      <c r="A25" s="1306"/>
      <c r="B25" s="2487"/>
      <c r="C25" s="1306" t="s">
        <v>1241</v>
      </c>
      <c r="D25" s="4851"/>
      <c r="E25" s="4852"/>
      <c r="F25" s="1795"/>
      <c r="G25" s="1794">
        <f>F25*(100+$D$24)/100</f>
        <v>0</v>
      </c>
      <c r="H25" s="1793"/>
      <c r="I25" s="1754">
        <f>H25*$G25</f>
        <v>0</v>
      </c>
      <c r="K25" s="1793"/>
      <c r="L25" s="1596">
        <f>K25*$G25</f>
        <v>0</v>
      </c>
      <c r="M25" s="2404"/>
      <c r="N25" s="1793"/>
      <c r="O25" s="1754">
        <f>N25*$G25</f>
        <v>0</v>
      </c>
      <c r="P25" s="2449"/>
      <c r="Q25" s="2533"/>
      <c r="R25" s="42" t="s">
        <v>1938</v>
      </c>
    </row>
    <row r="26" spans="1:26" s="42" customFormat="1" ht="15" customHeight="1">
      <c r="A26" s="1306"/>
      <c r="B26" s="2419"/>
      <c r="C26" s="2508" t="s">
        <v>191</v>
      </c>
      <c r="D26" s="4853"/>
      <c r="E26" s="4854"/>
      <c r="F26" s="1791"/>
      <c r="G26" s="1790">
        <f>F26*(100+$D$24)/100</f>
        <v>0</v>
      </c>
      <c r="H26" s="1789"/>
      <c r="I26" s="1750">
        <f>H26*$G26</f>
        <v>0</v>
      </c>
      <c r="K26" s="1789"/>
      <c r="L26" s="1590">
        <f>K26*$G26</f>
        <v>0</v>
      </c>
      <c r="M26" s="2404"/>
      <c r="N26" s="1789"/>
      <c r="O26" s="1750">
        <f>N26*$G26</f>
        <v>0</v>
      </c>
      <c r="P26" s="2466"/>
      <c r="Q26" s="2533"/>
    </row>
    <row r="27" spans="1:26" s="2532" customFormat="1" ht="18.75" customHeight="1">
      <c r="A27" s="1270"/>
      <c r="B27" s="2465" t="s">
        <v>221</v>
      </c>
      <c r="C27" s="1270"/>
      <c r="D27" s="2486" t="str">
        <f>IF(SDÖ1!U17=FALSE,"(Nährstoffabfuhr nicht bewertet)","(Nährstoffabfuhr bewertet)")</f>
        <v>(Nährstoffabfuhr bewertet)</v>
      </c>
      <c r="E27" s="2533"/>
      <c r="F27" s="2533"/>
      <c r="G27" s="2476" t="s">
        <v>171</v>
      </c>
      <c r="H27" s="1746"/>
      <c r="I27" s="1745"/>
      <c r="J27" s="1614">
        <f>SUM(I30:I33)</f>
        <v>0</v>
      </c>
      <c r="K27" s="1748"/>
      <c r="L27" s="1747"/>
      <c r="M27" s="1617">
        <f>SUM(L30:L33)</f>
        <v>0</v>
      </c>
      <c r="N27" s="1746"/>
      <c r="O27" s="1745"/>
      <c r="P27" s="2415">
        <f>SUM(O30:O33)</f>
        <v>0</v>
      </c>
      <c r="Q27" s="2533"/>
    </row>
    <row r="28" spans="1:26" s="2532" customFormat="1" ht="13.7" customHeight="1">
      <c r="A28" s="1270"/>
      <c r="B28" s="2459"/>
      <c r="C28" s="2535"/>
      <c r="D28" s="1786" t="s">
        <v>1075</v>
      </c>
      <c r="E28" s="1786" t="s">
        <v>1239</v>
      </c>
      <c r="F28" s="1786" t="s">
        <v>1239</v>
      </c>
      <c r="G28" s="1785" t="s">
        <v>1238</v>
      </c>
      <c r="H28" s="1745"/>
      <c r="I28" s="1782"/>
      <c r="J28" s="2536"/>
      <c r="K28" s="1748"/>
      <c r="L28" s="1678"/>
      <c r="M28" s="1783"/>
      <c r="N28" s="1746"/>
      <c r="O28" s="1782"/>
      <c r="P28" s="2406"/>
      <c r="Q28" s="2533"/>
    </row>
    <row r="29" spans="1:26" s="2532" customFormat="1" ht="15" customHeight="1">
      <c r="A29" s="1270"/>
      <c r="B29" s="2485"/>
      <c r="C29" s="1307" t="s">
        <v>1237</v>
      </c>
      <c r="D29" s="2412" t="s">
        <v>908</v>
      </c>
      <c r="E29" s="2412" t="s">
        <v>1236</v>
      </c>
      <c r="F29" s="2412" t="s">
        <v>1235</v>
      </c>
      <c r="G29" s="2412" t="s">
        <v>909</v>
      </c>
      <c r="H29" s="2481" t="s">
        <v>909</v>
      </c>
      <c r="I29" s="2407" t="s">
        <v>171</v>
      </c>
      <c r="J29" s="2484"/>
      <c r="K29" s="2483" t="s">
        <v>909</v>
      </c>
      <c r="L29" s="2409" t="s">
        <v>171</v>
      </c>
      <c r="M29" s="2482"/>
      <c r="N29" s="2481" t="s">
        <v>909</v>
      </c>
      <c r="O29" s="2407" t="s">
        <v>171</v>
      </c>
      <c r="P29" s="2480"/>
      <c r="Q29" s="2533"/>
    </row>
    <row r="30" spans="1:26" s="42" customFormat="1" ht="15" customHeight="1">
      <c r="A30" s="1306"/>
      <c r="B30" s="2479"/>
      <c r="C30" s="1775" t="s">
        <v>246</v>
      </c>
      <c r="D30" s="1723">
        <f>IF(SDÖ1!$U$17=TRUE,SDÖ1!O55,0)</f>
        <v>4.5333333333333332</v>
      </c>
      <c r="E30" s="2478"/>
      <c r="F30" s="2478"/>
      <c r="G30" s="1773"/>
      <c r="H30" s="1771">
        <f>IF(J$6=0,0,(J$6*$E30+$G30+X14))</f>
        <v>0</v>
      </c>
      <c r="I30" s="1754">
        <f>H30*$D30</f>
        <v>0</v>
      </c>
      <c r="K30" s="1772">
        <f>IF(M$6=0,0,(M$6*$E30+$G30+Y14))</f>
        <v>0</v>
      </c>
      <c r="L30" s="1596">
        <f>K30*$D30</f>
        <v>0</v>
      </c>
      <c r="M30" s="2404"/>
      <c r="N30" s="1771">
        <f>IF(P$6=0,0,(P$6*$E30+$G30+Z14))</f>
        <v>0</v>
      </c>
      <c r="O30" s="1754">
        <f>N30*$D30</f>
        <v>0</v>
      </c>
      <c r="P30" s="2449"/>
      <c r="Q30" s="2533"/>
    </row>
    <row r="31" spans="1:26" s="42" customFormat="1" ht="15" customHeight="1">
      <c r="A31" s="1306"/>
      <c r="B31" s="275"/>
      <c r="C31" s="1306" t="s">
        <v>244</v>
      </c>
      <c r="D31" s="1723">
        <f>IF(SDÖ1!$U$17=TRUE,SDÖ1!O56,0)</f>
        <v>1.3999999999999997</v>
      </c>
      <c r="E31" s="2478"/>
      <c r="F31" s="2478"/>
      <c r="G31" s="1773"/>
      <c r="H31" s="1771">
        <f>IF(J$6=0,0,(J$6*$E31+$G31+X15))</f>
        <v>0</v>
      </c>
      <c r="I31" s="1754">
        <f>H31*$D31</f>
        <v>0</v>
      </c>
      <c r="K31" s="1772">
        <f>IF(M$6=0,0,(M$6*$E31+$G31+Y15))</f>
        <v>0</v>
      </c>
      <c r="L31" s="1596">
        <f>K31*$D31</f>
        <v>0</v>
      </c>
      <c r="M31" s="2404"/>
      <c r="N31" s="1771">
        <f>IF(P$6=0,0,(P$6*$E31+$G31+Z15))</f>
        <v>0</v>
      </c>
      <c r="O31" s="1754">
        <f>N31*$D31</f>
        <v>0</v>
      </c>
      <c r="P31" s="2449"/>
      <c r="Q31" s="2533"/>
    </row>
    <row r="32" spans="1:26" s="42" customFormat="1" ht="15" customHeight="1">
      <c r="A32" s="1306"/>
      <c r="B32" s="275"/>
      <c r="C32" s="1306" t="s">
        <v>242</v>
      </c>
      <c r="D32" s="1723">
        <f>IF(SDÖ1!$U$17=TRUE,SDÖ1!O57,0)</f>
        <v>1.3999999999999997</v>
      </c>
      <c r="E32" s="2478"/>
      <c r="F32" s="2478"/>
      <c r="G32" s="1773"/>
      <c r="H32" s="1771">
        <f>IF(J$6=0,0,(J$6*$E32+$G32+X16))</f>
        <v>0</v>
      </c>
      <c r="I32" s="1754">
        <f>H32*$D32</f>
        <v>0</v>
      </c>
      <c r="K32" s="1772">
        <f>IF(M$6=0,0,(M$6*$E32+$G32+Y16))</f>
        <v>0</v>
      </c>
      <c r="L32" s="1596">
        <f>K32*$D32</f>
        <v>0</v>
      </c>
      <c r="M32" s="2404"/>
      <c r="N32" s="1771">
        <f>IF(P$6=0,0,(P$6*$E32+$G32+Z16))</f>
        <v>0</v>
      </c>
      <c r="O32" s="1754">
        <f>N32*$D32</f>
        <v>0</v>
      </c>
      <c r="P32" s="2449"/>
      <c r="Q32" s="2533"/>
    </row>
    <row r="33" spans="1:17" s="42" customFormat="1" ht="15" customHeight="1">
      <c r="A33" s="1306"/>
      <c r="B33" s="2120"/>
      <c r="C33" s="1331" t="s">
        <v>240</v>
      </c>
      <c r="D33" s="1706">
        <f>IF(SDÖ1!$U$17=TRUE,SDÖ1!O58,0)</f>
        <v>0.5</v>
      </c>
      <c r="E33" s="2477"/>
      <c r="F33" s="2477"/>
      <c r="G33" s="1769"/>
      <c r="H33" s="1767">
        <f>IF(J$6=0,0,(J$6*$E33+$G33+X17))</f>
        <v>0</v>
      </c>
      <c r="I33" s="1750">
        <f>H33*$D33</f>
        <v>0</v>
      </c>
      <c r="K33" s="1768">
        <f>IF(M$6=0,0,(M$6*$E33+$G33+Y17))</f>
        <v>0</v>
      </c>
      <c r="L33" s="1590">
        <f>K33*$D33</f>
        <v>0</v>
      </c>
      <c r="M33" s="2404"/>
      <c r="N33" s="1767">
        <f>IF(P$6=0,0,(P$6*$E33+$G33+Z17))</f>
        <v>0</v>
      </c>
      <c r="O33" s="1750">
        <f>N33*$D33</f>
        <v>0</v>
      </c>
      <c r="P33" s="2466"/>
      <c r="Q33" s="2533"/>
    </row>
    <row r="34" spans="1:17" s="2532" customFormat="1" ht="18.75" customHeight="1">
      <c r="A34" s="1270"/>
      <c r="B34" s="2420" t="s">
        <v>220</v>
      </c>
      <c r="C34" s="1270"/>
      <c r="G34" s="2476" t="s">
        <v>171</v>
      </c>
      <c r="H34" s="1764"/>
      <c r="I34" s="1763"/>
      <c r="J34" s="1614">
        <f>SUM(I36:I42)</f>
        <v>0</v>
      </c>
      <c r="K34" s="1766"/>
      <c r="L34" s="1765"/>
      <c r="M34" s="1617">
        <f>SUM(L36:L42)</f>
        <v>0</v>
      </c>
      <c r="N34" s="1764"/>
      <c r="O34" s="1763"/>
      <c r="P34" s="2415">
        <f>SUM(O36:O42)</f>
        <v>0</v>
      </c>
      <c r="Q34" s="2533"/>
    </row>
    <row r="35" spans="1:17" s="2532" customFormat="1" ht="13.15" customHeight="1">
      <c r="A35" s="1270"/>
      <c r="B35" s="2414"/>
      <c r="C35" s="1612" t="s">
        <v>1212</v>
      </c>
      <c r="D35" s="1683">
        <f>SDÖ1!$O$11</f>
        <v>0</v>
      </c>
      <c r="E35" s="2413"/>
      <c r="F35" s="2411" t="s">
        <v>249</v>
      </c>
      <c r="G35" s="2434" t="s">
        <v>1211</v>
      </c>
      <c r="H35" s="2472" t="s">
        <v>1232</v>
      </c>
      <c r="I35" s="2407" t="s">
        <v>171</v>
      </c>
      <c r="J35" s="2475"/>
      <c r="K35" s="2474" t="s">
        <v>1232</v>
      </c>
      <c r="L35" s="2409" t="s">
        <v>171</v>
      </c>
      <c r="M35" s="2473"/>
      <c r="N35" s="2472" t="s">
        <v>1232</v>
      </c>
      <c r="O35" s="2407" t="s">
        <v>171</v>
      </c>
      <c r="P35" s="2406"/>
      <c r="Q35" s="2533"/>
    </row>
    <row r="36" spans="1:17" s="42" customFormat="1" ht="15" customHeight="1">
      <c r="A36" s="1306"/>
      <c r="B36" s="2405"/>
      <c r="C36" s="4958"/>
      <c r="D36" s="4958"/>
      <c r="E36" s="4959"/>
      <c r="F36" s="1756">
        <f>IF(C36=0,0,VLOOKUP(C36,SDÖ5!$C$6:$D$16,2,FALSE))</f>
        <v>0</v>
      </c>
      <c r="G36" s="1756">
        <f t="shared" ref="G36:G42" si="0">F36*(100+$D$35)/100</f>
        <v>0</v>
      </c>
      <c r="H36" s="2469"/>
      <c r="I36" s="1754">
        <f t="shared" ref="I36:I42" si="1">$G36*H36</f>
        <v>0</v>
      </c>
      <c r="K36" s="2469"/>
      <c r="L36" s="1596">
        <f t="shared" ref="L36:L42" si="2">$G36*K36</f>
        <v>0</v>
      </c>
      <c r="M36" s="2404"/>
      <c r="N36" s="2469"/>
      <c r="O36" s="1754">
        <f t="shared" ref="O36:O42" si="3">$G36*N36</f>
        <v>0</v>
      </c>
      <c r="P36" s="2471"/>
      <c r="Q36" s="2533"/>
    </row>
    <row r="37" spans="1:17" s="42" customFormat="1" ht="15" customHeight="1">
      <c r="A37" s="1306"/>
      <c r="B37" s="2405"/>
      <c r="C37" s="4956"/>
      <c r="D37" s="4956"/>
      <c r="E37" s="4957"/>
      <c r="F37" s="1756">
        <f>IF(C37=0,0,VLOOKUP(C37,SDÖ5!$C$6:$D$16,2,FALSE))</f>
        <v>0</v>
      </c>
      <c r="G37" s="1756">
        <f t="shared" si="0"/>
        <v>0</v>
      </c>
      <c r="H37" s="2469"/>
      <c r="I37" s="1754">
        <f t="shared" si="1"/>
        <v>0</v>
      </c>
      <c r="K37" s="2469"/>
      <c r="L37" s="1596">
        <f t="shared" si="2"/>
        <v>0</v>
      </c>
      <c r="M37" s="2404"/>
      <c r="N37" s="2469"/>
      <c r="O37" s="1754">
        <f t="shared" si="3"/>
        <v>0</v>
      </c>
      <c r="P37" s="2449"/>
      <c r="Q37" s="2533"/>
    </row>
    <row r="38" spans="1:17" s="42" customFormat="1" ht="15" customHeight="1">
      <c r="A38" s="1306"/>
      <c r="B38" s="2470"/>
      <c r="C38" s="4956"/>
      <c r="D38" s="4956"/>
      <c r="E38" s="4957"/>
      <c r="F38" s="1756">
        <f>IF(C38=0,0,VLOOKUP(C38,SDÖ5!$C$6:$D$16,2,FALSE))</f>
        <v>0</v>
      </c>
      <c r="G38" s="1756">
        <f t="shared" si="0"/>
        <v>0</v>
      </c>
      <c r="H38" s="2469"/>
      <c r="I38" s="1754">
        <f t="shared" si="1"/>
        <v>0</v>
      </c>
      <c r="K38" s="2469"/>
      <c r="L38" s="1596">
        <f t="shared" si="2"/>
        <v>0</v>
      </c>
      <c r="M38" s="2404"/>
      <c r="N38" s="2469"/>
      <c r="O38" s="1754">
        <f t="shared" si="3"/>
        <v>0</v>
      </c>
      <c r="P38" s="2449"/>
      <c r="Q38" s="2533"/>
    </row>
    <row r="39" spans="1:17" s="42" customFormat="1" ht="15" hidden="1" customHeight="1">
      <c r="A39" s="1306"/>
      <c r="B39" s="2405"/>
      <c r="C39" s="4956"/>
      <c r="D39" s="4956"/>
      <c r="E39" s="4957"/>
      <c r="F39" s="1756">
        <f>IF(C39=0,0,VLOOKUP(C39,SDÖ5!$C$6:$D$16,2,FALSE))</f>
        <v>0</v>
      </c>
      <c r="G39" s="1756">
        <f t="shared" si="0"/>
        <v>0</v>
      </c>
      <c r="H39" s="2469"/>
      <c r="I39" s="1754">
        <f t="shared" si="1"/>
        <v>0</v>
      </c>
      <c r="K39" s="2469"/>
      <c r="L39" s="1596">
        <f t="shared" si="2"/>
        <v>0</v>
      </c>
      <c r="M39" s="2404"/>
      <c r="N39" s="2469"/>
      <c r="O39" s="1754">
        <f t="shared" si="3"/>
        <v>0</v>
      </c>
      <c r="P39" s="2449"/>
      <c r="Q39" s="2533"/>
    </row>
    <row r="40" spans="1:17" s="42" customFormat="1" ht="15" hidden="1" customHeight="1">
      <c r="A40" s="1306"/>
      <c r="B40" s="2405"/>
      <c r="C40" s="4956"/>
      <c r="D40" s="4956"/>
      <c r="E40" s="4957"/>
      <c r="F40" s="1756">
        <f>IF(C40=0,0,VLOOKUP(C40,SDÖ5!$C$6:$D$16,2,FALSE))</f>
        <v>0</v>
      </c>
      <c r="G40" s="1756">
        <f t="shared" si="0"/>
        <v>0</v>
      </c>
      <c r="H40" s="2469"/>
      <c r="I40" s="1754">
        <f t="shared" si="1"/>
        <v>0</v>
      </c>
      <c r="K40" s="2469"/>
      <c r="L40" s="1596">
        <f t="shared" si="2"/>
        <v>0</v>
      </c>
      <c r="M40" s="2404"/>
      <c r="N40" s="2469"/>
      <c r="O40" s="1754">
        <f t="shared" si="3"/>
        <v>0</v>
      </c>
      <c r="P40" s="2449"/>
      <c r="Q40" s="2533"/>
    </row>
    <row r="41" spans="1:17" s="42" customFormat="1" ht="15" hidden="1" customHeight="1">
      <c r="A41" s="1306"/>
      <c r="B41" s="2405"/>
      <c r="C41" s="4956"/>
      <c r="D41" s="4956"/>
      <c r="E41" s="4957"/>
      <c r="F41" s="1756">
        <f>IF(C41=0,0,VLOOKUP(C41,SDÖ5!$C$6:$D$16,2,FALSE))</f>
        <v>0</v>
      </c>
      <c r="G41" s="1756">
        <f t="shared" si="0"/>
        <v>0</v>
      </c>
      <c r="H41" s="2469"/>
      <c r="I41" s="1754">
        <f t="shared" si="1"/>
        <v>0</v>
      </c>
      <c r="K41" s="2469"/>
      <c r="L41" s="1596">
        <f t="shared" si="2"/>
        <v>0</v>
      </c>
      <c r="M41" s="2404"/>
      <c r="N41" s="2469"/>
      <c r="O41" s="1754">
        <f t="shared" si="3"/>
        <v>0</v>
      </c>
      <c r="P41" s="2449"/>
      <c r="Q41" s="2533"/>
    </row>
    <row r="42" spans="1:17" s="42" customFormat="1" ht="15" hidden="1" customHeight="1">
      <c r="A42" s="1306"/>
      <c r="B42" s="2468"/>
      <c r="C42" s="4960"/>
      <c r="D42" s="4960"/>
      <c r="E42" s="4961"/>
      <c r="F42" s="1752">
        <f>IF(C42=0,0,VLOOKUP(C42,SDÖ5!$C$6:$D$16,2,FALSE))</f>
        <v>0</v>
      </c>
      <c r="G42" s="1752">
        <f t="shared" si="0"/>
        <v>0</v>
      </c>
      <c r="H42" s="2467"/>
      <c r="I42" s="1750">
        <f t="shared" si="1"/>
        <v>0</v>
      </c>
      <c r="K42" s="2467"/>
      <c r="L42" s="1590">
        <f t="shared" si="2"/>
        <v>0</v>
      </c>
      <c r="M42" s="2404"/>
      <c r="N42" s="2467"/>
      <c r="O42" s="1750">
        <f t="shared" si="3"/>
        <v>0</v>
      </c>
      <c r="P42" s="2466"/>
      <c r="Q42" s="2533"/>
    </row>
    <row r="43" spans="1:17" s="2532" customFormat="1" ht="18.75" customHeight="1">
      <c r="A43" s="1270"/>
      <c r="B43" s="2465" t="s">
        <v>1684</v>
      </c>
      <c r="C43" s="1376"/>
      <c r="D43" s="1376"/>
      <c r="E43" s="1376"/>
      <c r="F43" s="1376"/>
      <c r="G43" s="2464" t="s">
        <v>171</v>
      </c>
      <c r="H43" s="2461"/>
      <c r="I43" s="2460"/>
      <c r="J43" s="1614">
        <f>SUM(J46:J57)</f>
        <v>0</v>
      </c>
      <c r="K43" s="2463"/>
      <c r="L43" s="2462"/>
      <c r="M43" s="1617">
        <f>SUM(M46:M57)</f>
        <v>0</v>
      </c>
      <c r="N43" s="2461"/>
      <c r="O43" s="2460"/>
      <c r="P43" s="2415">
        <f>SUM(P46:P57)</f>
        <v>0</v>
      </c>
      <c r="Q43" s="2533"/>
    </row>
    <row r="44" spans="1:17" s="42" customFormat="1" ht="15" customHeight="1">
      <c r="A44" s="1306"/>
      <c r="B44" s="2459"/>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2458"/>
      <c r="Q44" s="2533"/>
    </row>
    <row r="45" spans="1:17" s="42" customFormat="1" ht="15" customHeight="1">
      <c r="A45" s="1306"/>
      <c r="B45" s="2457"/>
      <c r="C45" s="2456"/>
      <c r="D45" s="1736"/>
      <c r="E45" s="1607" t="s">
        <v>1683</v>
      </c>
      <c r="F45" s="2412" t="s">
        <v>1225</v>
      </c>
      <c r="G45" s="2412" t="s">
        <v>612</v>
      </c>
      <c r="H45" s="1732" t="s">
        <v>1224</v>
      </c>
      <c r="I45" s="2411" t="s">
        <v>114</v>
      </c>
      <c r="J45" s="2455" t="s">
        <v>171</v>
      </c>
      <c r="K45" s="1735" t="s">
        <v>1224</v>
      </c>
      <c r="L45" s="2454" t="s">
        <v>114</v>
      </c>
      <c r="M45" s="2453" t="s">
        <v>171</v>
      </c>
      <c r="N45" s="1732" t="s">
        <v>1224</v>
      </c>
      <c r="O45" s="2411" t="s">
        <v>114</v>
      </c>
      <c r="P45" s="2452" t="s">
        <v>171</v>
      </c>
      <c r="Q45" s="2533"/>
    </row>
    <row r="46" spans="1:17" s="42" customFormat="1" ht="15" customHeight="1">
      <c r="A46" s="1306"/>
      <c r="B46" s="2451"/>
      <c r="C46" s="4962"/>
      <c r="D46" s="4963"/>
      <c r="E46" s="1725">
        <f>IF($C46=0,0,VLOOKUP($C46,SDÖ3!$C$24:$N$101,4,FALSE))</f>
        <v>0</v>
      </c>
      <c r="F46" s="1724">
        <f>IF($C46=0,0,VLOOKUP($C46,SDÖ3!$C$24:$N$101,12,FALSE))</f>
        <v>0</v>
      </c>
      <c r="G46" s="1723">
        <f>IF($C46=0,0,VLOOKUP($C46,SDÖ3!$C$24:$N$101,13,FALSE))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2449">
        <f t="shared" ref="P46:P57" si="9">N46*$G46</f>
        <v>0</v>
      </c>
      <c r="Q46" s="2533"/>
    </row>
    <row r="47" spans="1:17" s="42" customFormat="1" ht="15" customHeight="1">
      <c r="A47" s="1306"/>
      <c r="B47" s="2450"/>
      <c r="C47" s="4954"/>
      <c r="D47" s="4955"/>
      <c r="E47" s="1725">
        <f>IF($C47=0,0,VLOOKUP($C47,SDÖ3!$C$24:$N$101,4,FALSE))</f>
        <v>0</v>
      </c>
      <c r="F47" s="1724">
        <f>IF($C47=0,0,VLOOKUP($C47,SDÖ3!$C$24:$N$101,12,FALSE))</f>
        <v>0</v>
      </c>
      <c r="G47" s="1723">
        <f>IF($C47=0,0,VLOOKUP($C47,SDÖ3!$C$24:$N$101,13,FALSE))</f>
        <v>0</v>
      </c>
      <c r="H47" s="1720"/>
      <c r="I47" s="1719">
        <f t="shared" si="4"/>
        <v>0</v>
      </c>
      <c r="J47" s="1718">
        <f t="shared" si="5"/>
        <v>0</v>
      </c>
      <c r="K47" s="1720"/>
      <c r="L47" s="1722">
        <f t="shared" si="6"/>
        <v>0</v>
      </c>
      <c r="M47" s="1721">
        <f t="shared" si="7"/>
        <v>0</v>
      </c>
      <c r="N47" s="1720"/>
      <c r="O47" s="1719">
        <f t="shared" si="8"/>
        <v>0</v>
      </c>
      <c r="P47" s="2449">
        <f t="shared" si="9"/>
        <v>0</v>
      </c>
      <c r="Q47" s="2533"/>
    </row>
    <row r="48" spans="1:17" s="42" customFormat="1" ht="15" customHeight="1">
      <c r="A48" s="1306"/>
      <c r="B48" s="2450"/>
      <c r="C48" s="4954"/>
      <c r="D48" s="4955"/>
      <c r="E48" s="1725">
        <f>IF($C48=0,0,VLOOKUP($C48,SDÖ3!$C$24:$N$101,4,FALSE))</f>
        <v>0</v>
      </c>
      <c r="F48" s="1724">
        <f>IF($C48=0,0,VLOOKUP($C48,SDÖ3!$C$24:$N$101,12,FALSE))</f>
        <v>0</v>
      </c>
      <c r="G48" s="1723">
        <f>IF($C48=0,0,VLOOKUP($C48,SDÖ3!$C$24:$N$101,13,FALSE))</f>
        <v>0</v>
      </c>
      <c r="H48" s="1720"/>
      <c r="I48" s="1719">
        <f t="shared" si="4"/>
        <v>0</v>
      </c>
      <c r="J48" s="1718">
        <f t="shared" si="5"/>
        <v>0</v>
      </c>
      <c r="K48" s="1720"/>
      <c r="L48" s="1722">
        <f t="shared" si="6"/>
        <v>0</v>
      </c>
      <c r="M48" s="1721">
        <f t="shared" si="7"/>
        <v>0</v>
      </c>
      <c r="N48" s="1720"/>
      <c r="O48" s="1719">
        <f t="shared" si="8"/>
        <v>0</v>
      </c>
      <c r="P48" s="2449">
        <f t="shared" si="9"/>
        <v>0</v>
      </c>
      <c r="Q48" s="2533"/>
    </row>
    <row r="49" spans="1:17" s="42" customFormat="1" ht="15" customHeight="1">
      <c r="A49" s="1306"/>
      <c r="B49" s="2450"/>
      <c r="C49" s="4954"/>
      <c r="D49" s="4955"/>
      <c r="E49" s="1725">
        <f>IF($C49=0,0,VLOOKUP($C49,SDÖ3!$C$24:$N$101,4,FALSE))</f>
        <v>0</v>
      </c>
      <c r="F49" s="1724">
        <f>IF($C49=0,0,VLOOKUP($C49,SDÖ3!$C$24:$N$101,12,FALSE))</f>
        <v>0</v>
      </c>
      <c r="G49" s="1723">
        <f>IF($C49=0,0,VLOOKUP($C49,SDÖ3!$C$24:$N$101,13,FALSE))</f>
        <v>0</v>
      </c>
      <c r="H49" s="1720"/>
      <c r="I49" s="1719">
        <f t="shared" si="4"/>
        <v>0</v>
      </c>
      <c r="J49" s="1718">
        <f t="shared" si="5"/>
        <v>0</v>
      </c>
      <c r="K49" s="1720"/>
      <c r="L49" s="1722">
        <f t="shared" si="6"/>
        <v>0</v>
      </c>
      <c r="M49" s="1721">
        <f t="shared" si="7"/>
        <v>0</v>
      </c>
      <c r="N49" s="1720"/>
      <c r="O49" s="1719">
        <f t="shared" si="8"/>
        <v>0</v>
      </c>
      <c r="P49" s="2449">
        <f t="shared" si="9"/>
        <v>0</v>
      </c>
      <c r="Q49" s="2533"/>
    </row>
    <row r="50" spans="1:17" s="42" customFormat="1" ht="15" customHeight="1">
      <c r="A50" s="1306"/>
      <c r="B50" s="2450"/>
      <c r="C50" s="4954"/>
      <c r="D50" s="4955"/>
      <c r="E50" s="1725">
        <f>IF($C50=0,0,VLOOKUP($C50,SDÖ3!$C$24:$N$101,4,FALSE))</f>
        <v>0</v>
      </c>
      <c r="F50" s="1724">
        <f>IF($C50=0,0,VLOOKUP($C50,SDÖ3!$C$24:$N$101,12,FALSE))</f>
        <v>0</v>
      </c>
      <c r="G50" s="1723">
        <f>IF($C50=0,0,VLOOKUP($C50,SDÖ3!$C$24:$N$101,13,FALSE))</f>
        <v>0</v>
      </c>
      <c r="H50" s="1720"/>
      <c r="I50" s="1719">
        <f t="shared" si="4"/>
        <v>0</v>
      </c>
      <c r="J50" s="1718">
        <f t="shared" si="5"/>
        <v>0</v>
      </c>
      <c r="K50" s="1720"/>
      <c r="L50" s="1722">
        <f t="shared" si="6"/>
        <v>0</v>
      </c>
      <c r="M50" s="1721">
        <f t="shared" si="7"/>
        <v>0</v>
      </c>
      <c r="N50" s="1720"/>
      <c r="O50" s="1719">
        <f t="shared" si="8"/>
        <v>0</v>
      </c>
      <c r="P50" s="2449">
        <f t="shared" si="9"/>
        <v>0</v>
      </c>
      <c r="Q50" s="2533"/>
    </row>
    <row r="51" spans="1:17"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17"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17" s="42" customFormat="1" ht="15" customHeight="1">
      <c r="A53" s="1306"/>
      <c r="B53" s="2450"/>
      <c r="C53" s="4954"/>
      <c r="D53" s="4955"/>
      <c r="E53" s="1725">
        <f>IF($C53=0,0,VLOOKUP($C53,SDÖ3!$C$24:$N$101,4,FALSE))</f>
        <v>0</v>
      </c>
      <c r="F53" s="1724">
        <f>IF($C53=0,0,VLOOKUP($C53,SDÖ3!$C$24:$N$101,12,FALSE))</f>
        <v>0</v>
      </c>
      <c r="G53" s="1723">
        <f>IF($C53=0,0,VLOOKUP($C53,SDÖ3!$C$24:$N$101,13,FALSE))</f>
        <v>0</v>
      </c>
      <c r="H53" s="1720"/>
      <c r="I53" s="1719">
        <f t="shared" si="4"/>
        <v>0</v>
      </c>
      <c r="J53" s="1718">
        <f t="shared" si="5"/>
        <v>0</v>
      </c>
      <c r="K53" s="1720"/>
      <c r="L53" s="1722">
        <f t="shared" si="6"/>
        <v>0</v>
      </c>
      <c r="M53" s="1721">
        <f t="shared" si="7"/>
        <v>0</v>
      </c>
      <c r="N53" s="1720"/>
      <c r="O53" s="1719">
        <f t="shared" si="8"/>
        <v>0</v>
      </c>
      <c r="P53" s="2449">
        <f t="shared" si="9"/>
        <v>0</v>
      </c>
      <c r="Q53" s="2533"/>
    </row>
    <row r="54" spans="1:17" s="42" customFormat="1" ht="15" customHeight="1">
      <c r="A54" s="1306"/>
      <c r="B54" s="2450"/>
      <c r="C54" s="4954"/>
      <c r="D54" s="4955"/>
      <c r="E54" s="1725">
        <f>IF($C54=0,0,VLOOKUP($C54,SDÖ3!$C$24:$N$101,4,FALSE))</f>
        <v>0</v>
      </c>
      <c r="F54" s="1724">
        <f>IF($C54=0,0,VLOOKUP($C54,SDÖ3!$C$24:$N$101,12,FALSE))</f>
        <v>0</v>
      </c>
      <c r="G54" s="1723">
        <f>IF($C54=0,0,VLOOKUP($C54,SDÖ3!$C$24:$N$101,13,FALSE))</f>
        <v>0</v>
      </c>
      <c r="H54" s="1720"/>
      <c r="I54" s="1719">
        <f t="shared" si="4"/>
        <v>0</v>
      </c>
      <c r="J54" s="1718">
        <f t="shared" si="5"/>
        <v>0</v>
      </c>
      <c r="K54" s="1720"/>
      <c r="L54" s="1722">
        <f t="shared" si="6"/>
        <v>0</v>
      </c>
      <c r="M54" s="1721">
        <f t="shared" si="7"/>
        <v>0</v>
      </c>
      <c r="N54" s="1720"/>
      <c r="O54" s="1719">
        <f t="shared" si="8"/>
        <v>0</v>
      </c>
      <c r="P54" s="2449">
        <f t="shared" si="9"/>
        <v>0</v>
      </c>
      <c r="Q54" s="2533"/>
    </row>
    <row r="55" spans="1:17"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2533"/>
    </row>
    <row r="56" spans="1:17" s="42" customFormat="1" ht="15" customHeight="1">
      <c r="A56" s="1306"/>
      <c r="B56" s="2450"/>
      <c r="C56" s="4954"/>
      <c r="D56" s="4955"/>
      <c r="E56" s="1725">
        <f>IF($C56=0,0,VLOOKUP($C56,SDÖ3!$C$24:$N$101,4,FALSE))</f>
        <v>0</v>
      </c>
      <c r="F56" s="1724">
        <f>IF($C56=0,0,VLOOKUP($C56,SDÖ3!$C$24:$N$101,12,FALSE))</f>
        <v>0</v>
      </c>
      <c r="G56" s="1723">
        <f>IF($C56=0,0,VLOOKUP($C56,SDÖ3!$C$24:$N$101,13,FALSE))</f>
        <v>0</v>
      </c>
      <c r="H56" s="1720"/>
      <c r="I56" s="1719">
        <f t="shared" si="4"/>
        <v>0</v>
      </c>
      <c r="J56" s="1718">
        <f t="shared" si="5"/>
        <v>0</v>
      </c>
      <c r="K56" s="1720"/>
      <c r="L56" s="1722">
        <f t="shared" si="6"/>
        <v>0</v>
      </c>
      <c r="M56" s="1721">
        <f t="shared" si="7"/>
        <v>0</v>
      </c>
      <c r="N56" s="1720"/>
      <c r="O56" s="1719">
        <f t="shared" si="8"/>
        <v>0</v>
      </c>
      <c r="P56" s="2449">
        <f t="shared" si="9"/>
        <v>0</v>
      </c>
      <c r="Q56" s="2533"/>
    </row>
    <row r="57" spans="1:17" s="42" customFormat="1" ht="24.75" customHeight="1">
      <c r="A57" s="1306"/>
      <c r="B57" s="2429"/>
      <c r="C57" s="4970">
        <v>0</v>
      </c>
      <c r="D57" s="4971"/>
      <c r="E57" s="1708">
        <f>IF($C57=0,0,VLOOKUP($C57,SDÖ3!$C$24:$N$101,4,FALSE))</f>
        <v>0</v>
      </c>
      <c r="F57" s="1707">
        <f>IF($C57=0,0,VLOOKUP($C57,SDÖ3!$C$24:$N$101,12,FALSE))</f>
        <v>0</v>
      </c>
      <c r="G57" s="1706">
        <f>IF($C57=0,0,VLOOKUP($C57,SDÖ3!$C$24:$N$101,13,FALSE))</f>
        <v>0</v>
      </c>
      <c r="H57" s="1704">
        <f>H11/50</f>
        <v>0</v>
      </c>
      <c r="I57" s="1703">
        <f t="shared" si="4"/>
        <v>0</v>
      </c>
      <c r="J57" s="1702">
        <f t="shared" si="5"/>
        <v>0</v>
      </c>
      <c r="K57" s="1704">
        <f>K11/50</f>
        <v>0</v>
      </c>
      <c r="L57" s="1705">
        <f t="shared" si="6"/>
        <v>0</v>
      </c>
      <c r="M57" s="1652">
        <f t="shared" si="7"/>
        <v>0</v>
      </c>
      <c r="N57" s="1704">
        <f>N11/50</f>
        <v>0</v>
      </c>
      <c r="O57" s="1703">
        <f t="shared" si="8"/>
        <v>0</v>
      </c>
      <c r="P57" s="2448">
        <f t="shared" si="9"/>
        <v>0</v>
      </c>
      <c r="Q57" s="2533"/>
    </row>
    <row r="58" spans="1:17" s="42" customFormat="1" ht="24.75" customHeight="1">
      <c r="A58" s="1306"/>
      <c r="B58" s="2447" t="s">
        <v>1682</v>
      </c>
      <c r="C58" s="2446"/>
      <c r="D58" s="2446"/>
      <c r="E58" s="2446"/>
      <c r="F58" s="2446"/>
      <c r="G58" s="2446"/>
      <c r="H58" s="2443"/>
      <c r="I58" s="2442">
        <f>SUM(I46:I57)</f>
        <v>0</v>
      </c>
      <c r="J58" s="2445"/>
      <c r="K58" s="2443"/>
      <c r="L58" s="2442">
        <f>SUM(L46:L57)</f>
        <v>0</v>
      </c>
      <c r="M58" s="2444"/>
      <c r="N58" s="2443"/>
      <c r="O58" s="2442">
        <f>SUM(O46:O57)</f>
        <v>0</v>
      </c>
      <c r="P58" s="2441"/>
      <c r="Q58" s="2533"/>
    </row>
    <row r="59" spans="1:17" s="2532" customFormat="1" ht="18.75" customHeight="1">
      <c r="A59" s="1270"/>
      <c r="B59" s="2420" t="s">
        <v>1681</v>
      </c>
      <c r="C59" s="1270"/>
      <c r="D59" s="1270"/>
      <c r="E59" s="1270"/>
      <c r="F59" s="2533"/>
      <c r="G59" s="2416" t="s">
        <v>171</v>
      </c>
      <c r="H59" s="73"/>
      <c r="I59" s="73"/>
      <c r="J59" s="1614">
        <f>H60*$E60</f>
        <v>0</v>
      </c>
      <c r="K59" s="1629"/>
      <c r="L59" s="1629"/>
      <c r="M59" s="1617">
        <f>K60*$E60</f>
        <v>0</v>
      </c>
      <c r="N59" s="73"/>
      <c r="O59" s="73"/>
      <c r="P59" s="2415">
        <f>N60*$E60</f>
        <v>0</v>
      </c>
      <c r="Q59" s="2533"/>
    </row>
    <row r="60" spans="1:17" s="2532" customFormat="1" ht="15" customHeight="1">
      <c r="A60" s="1270"/>
      <c r="B60" s="2440"/>
      <c r="C60" s="1377"/>
      <c r="D60" s="280" t="s">
        <v>1060</v>
      </c>
      <c r="E60" s="1647">
        <v>10</v>
      </c>
      <c r="F60" s="1622"/>
      <c r="G60" s="2439" t="s">
        <v>516</v>
      </c>
      <c r="H60" s="1588"/>
      <c r="I60" s="1643"/>
      <c r="J60" s="1632"/>
      <c r="K60" s="1588"/>
      <c r="L60" s="1645"/>
      <c r="M60" s="1635"/>
      <c r="N60" s="1588"/>
      <c r="O60" s="1643"/>
      <c r="P60" s="2421"/>
      <c r="Q60" s="2533"/>
    </row>
    <row r="61" spans="1:17" s="65" customFormat="1" ht="18.75" customHeight="1">
      <c r="A61" s="1373"/>
      <c r="B61" s="2420" t="s">
        <v>1680</v>
      </c>
      <c r="C61" s="1373"/>
      <c r="D61" s="1373"/>
      <c r="E61" s="1373"/>
      <c r="F61" s="2533"/>
      <c r="G61" s="2416" t="s">
        <v>516</v>
      </c>
      <c r="H61" s="1697"/>
      <c r="I61" s="1696">
        <f>I58-H60</f>
        <v>0</v>
      </c>
      <c r="J61" s="1701"/>
      <c r="K61" s="1700"/>
      <c r="L61" s="1699">
        <f>L58-K60</f>
        <v>0</v>
      </c>
      <c r="M61" s="1698"/>
      <c r="N61" s="1697"/>
      <c r="O61" s="1696">
        <f>O58-N60</f>
        <v>0</v>
      </c>
      <c r="P61" s="2438"/>
      <c r="Q61" s="2533"/>
    </row>
    <row r="62" spans="1:17" s="65" customFormat="1" ht="15" customHeight="1">
      <c r="A62" s="1373"/>
      <c r="B62" s="2437"/>
      <c r="C62" s="319"/>
      <c r="D62" s="280" t="s">
        <v>1222</v>
      </c>
      <c r="E62" s="1693">
        <v>80</v>
      </c>
      <c r="F62" s="319" t="s">
        <v>1221</v>
      </c>
      <c r="G62" s="142"/>
      <c r="H62" s="1688"/>
      <c r="I62" s="1687">
        <f>IF(I61+SUM($I$46:$I$57)*$E$62%&gt;I61+10,I61+10,I61+SUM($I$46:$I$57)*$E$62%)</f>
        <v>0</v>
      </c>
      <c r="J62" s="1686"/>
      <c r="K62" s="1691"/>
      <c r="L62" s="1690">
        <f>IF(L61+SUM($L$46:$L$57)*$E$62%&gt;L61+10,L61+10,L61+SUM($L$46:$L$57)*$E$62%)</f>
        <v>0</v>
      </c>
      <c r="M62" s="1689"/>
      <c r="N62" s="1688"/>
      <c r="O62" s="1687">
        <f>IF(O61+SUM($O$46:$O$57)*$E$62%&gt;O61+10,O61+10,O61+SUM($O$46:$O$57)*$E$62%)</f>
        <v>0</v>
      </c>
      <c r="P62" s="2436"/>
      <c r="Q62" s="2533"/>
    </row>
    <row r="63" spans="1:17" s="42" customFormat="1" ht="18.75" customHeight="1">
      <c r="A63" s="1306"/>
      <c r="B63" s="2420" t="s">
        <v>355</v>
      </c>
      <c r="C63" s="1373"/>
      <c r="D63" s="1373"/>
      <c r="G63" s="2435" t="s">
        <v>171</v>
      </c>
      <c r="H63" s="2433"/>
      <c r="I63" s="2432"/>
      <c r="J63" s="1614">
        <f>IF(J6=0,0,SUM(I65:I67))</f>
        <v>0</v>
      </c>
      <c r="K63" s="1680"/>
      <c r="L63" s="1679"/>
      <c r="M63" s="1617">
        <f>IF(M6=0,0,SUM(L65:L67))</f>
        <v>0</v>
      </c>
      <c r="N63" s="2433"/>
      <c r="O63" s="2432"/>
      <c r="P63" s="2415">
        <f>IF(P6=0,0,SUM(O65:O67))</f>
        <v>0</v>
      </c>
      <c r="Q63" s="2533"/>
    </row>
    <row r="64" spans="1:17" s="42" customFormat="1" ht="13.15" customHeight="1">
      <c r="A64" s="1306"/>
      <c r="B64" s="2414"/>
      <c r="C64" s="1612" t="s">
        <v>1212</v>
      </c>
      <c r="D64" s="1683">
        <f>SDÖ1!$O$11</f>
        <v>0</v>
      </c>
      <c r="E64" s="2413"/>
      <c r="F64" s="2411" t="s">
        <v>249</v>
      </c>
      <c r="G64" s="2434" t="s">
        <v>1211</v>
      </c>
      <c r="H64" s="2433"/>
      <c r="I64" s="2432"/>
      <c r="J64" s="1782"/>
      <c r="K64" s="1680"/>
      <c r="L64" s="1679"/>
      <c r="M64" s="1678"/>
      <c r="N64" s="2433"/>
      <c r="O64" s="2432"/>
      <c r="P64" s="2406"/>
      <c r="Q64" s="2533"/>
    </row>
    <row r="65" spans="1:20" s="42" customFormat="1" ht="15" customHeight="1">
      <c r="A65" s="1306"/>
      <c r="B65" s="2405"/>
      <c r="C65" s="4944"/>
      <c r="D65" s="4944"/>
      <c r="E65" s="4944"/>
      <c r="F65" s="1674">
        <f>IF($C65=0,0,VLOOKUP($C65,SDÖ3!$C$140:$D$162,2,FALSE))</f>
        <v>0</v>
      </c>
      <c r="G65" s="1673">
        <f>(100+$D$64)/100*F65</f>
        <v>0</v>
      </c>
      <c r="I65" s="1817">
        <f>$G$65</f>
        <v>0</v>
      </c>
      <c r="K65" s="1672"/>
      <c r="L65" s="1671">
        <f>$G$65</f>
        <v>0</v>
      </c>
      <c r="M65" s="2404"/>
      <c r="N65" s="2430"/>
      <c r="O65" s="1817">
        <f>$G$65</f>
        <v>0</v>
      </c>
      <c r="P65" s="2403"/>
      <c r="Q65" s="2533"/>
    </row>
    <row r="66" spans="1:20" s="42" customFormat="1" ht="15" customHeight="1">
      <c r="A66" s="1306"/>
      <c r="B66" s="2405"/>
      <c r="C66" s="4944"/>
      <c r="D66" s="4944"/>
      <c r="E66" s="4965"/>
      <c r="F66" s="2431">
        <f>IF($C66=0,0,VLOOKUP($C66,SDÖ3!$C$140:$D$162,2,FALSE))</f>
        <v>0</v>
      </c>
      <c r="G66" s="1586">
        <f>(100+$D$64)/100*F66</f>
        <v>0</v>
      </c>
      <c r="K66" s="1672"/>
      <c r="L66" s="1671"/>
      <c r="M66" s="2404"/>
      <c r="N66" s="2430"/>
      <c r="O66" s="1817"/>
      <c r="P66" s="2403"/>
      <c r="Q66" s="2533"/>
    </row>
    <row r="67" spans="1:20" s="42" customFormat="1" ht="15" customHeight="1">
      <c r="A67" s="1306"/>
      <c r="B67" s="2429"/>
      <c r="C67" s="4966" t="s">
        <v>322</v>
      </c>
      <c r="D67" s="4966"/>
      <c r="E67" s="4966"/>
      <c r="F67" s="1656">
        <f>IF($T$3=FALSE,0,VLOOKUP($C67,SDÖ3!$C$140:$D$162,2,FALSE))</f>
        <v>0</v>
      </c>
      <c r="G67" s="1655">
        <f>(100+$D$64)/100*F67</f>
        <v>0</v>
      </c>
      <c r="H67" s="2428"/>
      <c r="I67" s="1809">
        <f>H11*$G$67</f>
        <v>0</v>
      </c>
      <c r="K67" s="1654"/>
      <c r="L67" s="1653">
        <f>K11*$G$67</f>
        <v>0</v>
      </c>
      <c r="M67" s="1652"/>
      <c r="N67" s="2428"/>
      <c r="O67" s="1809">
        <f>N11*$G$67</f>
        <v>0</v>
      </c>
      <c r="P67" s="2427"/>
      <c r="Q67" s="2533"/>
    </row>
    <row r="68" spans="1:20" s="2532" customFormat="1" ht="22.9" customHeight="1">
      <c r="A68" s="1270"/>
      <c r="B68" s="2420" t="s">
        <v>1679</v>
      </c>
      <c r="C68" s="1270"/>
      <c r="D68" s="1270"/>
      <c r="E68" s="229"/>
      <c r="F68" s="1642"/>
      <c r="G68" s="2416" t="s">
        <v>171</v>
      </c>
      <c r="H68" s="2424" t="s">
        <v>1217</v>
      </c>
      <c r="I68" s="2423" t="s">
        <v>1216</v>
      </c>
      <c r="J68" s="1963">
        <f>IF($F$69=0,$R$69*H$9*I$69%,$F$69*H$9*I$69%)</f>
        <v>0</v>
      </c>
      <c r="K68" s="2426" t="s">
        <v>1217</v>
      </c>
      <c r="L68" s="2425" t="s">
        <v>1216</v>
      </c>
      <c r="M68" s="1963">
        <f>IF($F$69=0,$S$69*K$9*L$69%,$F$69*K$9*L$69%)</f>
        <v>0</v>
      </c>
      <c r="N68" s="2424" t="s">
        <v>1217</v>
      </c>
      <c r="O68" s="2423" t="s">
        <v>1216</v>
      </c>
      <c r="P68" s="3007">
        <f>IF($F$69=0,$T$69*N$9*O$69%,$F$69*N$9*O$69%)</f>
        <v>0</v>
      </c>
      <c r="Q68" s="2533"/>
    </row>
    <row r="69" spans="1:20" s="2532" customFormat="1" ht="15" customHeight="1">
      <c r="A69" s="1270"/>
      <c r="B69" s="2422"/>
      <c r="C69" s="4967" t="s">
        <v>1678</v>
      </c>
      <c r="D69" s="4967"/>
      <c r="E69" s="4967"/>
      <c r="F69" s="1636"/>
      <c r="G69" s="1627" t="s">
        <v>228</v>
      </c>
      <c r="H69" s="1634"/>
      <c r="I69" s="1633"/>
      <c r="J69" s="1632"/>
      <c r="K69" s="1634"/>
      <c r="L69" s="1633"/>
      <c r="M69" s="1635"/>
      <c r="N69" s="1634"/>
      <c r="O69" s="1633"/>
      <c r="P69" s="2421"/>
      <c r="Q69" s="2533"/>
      <c r="R69" s="1944">
        <f>IF($H$69=0,0,VLOOKUP($H$69,#REF!,2,FALSE))*(1+SDÖ1!$O$11/100)</f>
        <v>0</v>
      </c>
      <c r="S69" s="1631">
        <f>IF($K$69=0,0,VLOOKUP($K$69,#REF!,2,FALSE))*(1+SDÖ1!$O$11/100)</f>
        <v>0</v>
      </c>
      <c r="T69" s="1944">
        <f>IF($N$69=0,0,VLOOKUP($N$69,#REF!,2,FALSE))*(1+SDÖ1!$O$11/100)</f>
        <v>0</v>
      </c>
    </row>
    <row r="70" spans="1:20" s="2532" customFormat="1" ht="18.75" customHeight="1">
      <c r="A70" s="1270"/>
      <c r="B70" s="2420" t="s">
        <v>1677</v>
      </c>
      <c r="C70" s="1270"/>
      <c r="D70" s="1270"/>
      <c r="E70" s="229"/>
      <c r="F70" s="229"/>
      <c r="G70" s="2416" t="s">
        <v>171</v>
      </c>
      <c r="H70" s="44"/>
      <c r="I70" s="73"/>
      <c r="J70" s="1614">
        <f>H71*$F71/1000</f>
        <v>0</v>
      </c>
      <c r="K70" s="1630"/>
      <c r="L70" s="1629"/>
      <c r="M70" s="1617">
        <f>K71*$F71/1000</f>
        <v>0</v>
      </c>
      <c r="N70" s="44"/>
      <c r="O70" s="73"/>
      <c r="P70" s="2415">
        <f>N71*$F71/1000</f>
        <v>0</v>
      </c>
      <c r="Q70" s="2533"/>
    </row>
    <row r="71" spans="1:20" s="2532" customFormat="1" ht="15" customHeight="1">
      <c r="A71" s="1270"/>
      <c r="B71" s="2419"/>
      <c r="C71" s="1331" t="s">
        <v>896</v>
      </c>
      <c r="D71" s="319"/>
      <c r="E71" s="280"/>
      <c r="F71" s="1962"/>
      <c r="G71" s="1627" t="s">
        <v>171</v>
      </c>
      <c r="H71" s="1623">
        <f>I9+I10</f>
        <v>0</v>
      </c>
      <c r="I71" s="1622"/>
      <c r="J71" s="1621"/>
      <c r="K71" s="1626">
        <f>L9+L10</f>
        <v>0</v>
      </c>
      <c r="L71" s="1625"/>
      <c r="M71" s="1624"/>
      <c r="N71" s="1623">
        <f>O9+O10</f>
        <v>0</v>
      </c>
      <c r="O71" s="1622"/>
      <c r="P71" s="2418"/>
      <c r="Q71" s="2533"/>
    </row>
    <row r="72" spans="1:20" ht="18.75" customHeight="1">
      <c r="A72" s="377"/>
      <c r="B72" s="2417" t="s">
        <v>218</v>
      </c>
      <c r="C72" s="377"/>
      <c r="D72" s="377"/>
      <c r="E72" s="229"/>
      <c r="F72" s="2537"/>
      <c r="G72" s="2416" t="s">
        <v>171</v>
      </c>
      <c r="H72" s="1616"/>
      <c r="I72" s="1615"/>
      <c r="J72" s="1614">
        <f>SUM(I74:I75)</f>
        <v>0</v>
      </c>
      <c r="K72" s="1619"/>
      <c r="L72" s="1618"/>
      <c r="M72" s="1617">
        <f>SUM(L74:L75)</f>
        <v>0</v>
      </c>
      <c r="N72" s="1616"/>
      <c r="O72" s="1615"/>
      <c r="P72" s="2415">
        <f>SUM(O74:O75)</f>
        <v>0</v>
      </c>
    </row>
    <row r="73" spans="1:20" ht="13.15" customHeight="1">
      <c r="A73" s="377"/>
      <c r="B73" s="2414"/>
      <c r="C73" s="1612" t="s">
        <v>1212</v>
      </c>
      <c r="D73" s="1611">
        <f>SDÖ1!$O$12</f>
        <v>0</v>
      </c>
      <c r="E73" s="2413"/>
      <c r="F73" s="1609"/>
      <c r="G73" s="1608"/>
      <c r="H73" s="2412" t="s">
        <v>249</v>
      </c>
      <c r="I73" s="2411" t="s">
        <v>1211</v>
      </c>
      <c r="J73" s="1605"/>
      <c r="K73" s="2410" t="s">
        <v>249</v>
      </c>
      <c r="L73" s="2409" t="s">
        <v>1211</v>
      </c>
      <c r="M73" s="1602"/>
      <c r="N73" s="2408" t="s">
        <v>249</v>
      </c>
      <c r="O73" s="2407" t="s">
        <v>1211</v>
      </c>
      <c r="P73" s="2406"/>
    </row>
    <row r="74" spans="1:20" s="42" customFormat="1" ht="15" customHeight="1">
      <c r="A74" s="1306"/>
      <c r="B74" s="2405"/>
      <c r="C74" s="4941" t="s">
        <v>1715</v>
      </c>
      <c r="D74" s="4941"/>
      <c r="E74" s="4941"/>
      <c r="F74" s="1598"/>
      <c r="G74" s="1597"/>
      <c r="H74" s="1591"/>
      <c r="I74" s="1595">
        <f>(100+$D$73)/100*H74</f>
        <v>0</v>
      </c>
      <c r="K74" s="1591"/>
      <c r="L74" s="1596">
        <f>(100+$D$73)/100*K74</f>
        <v>0</v>
      </c>
      <c r="M74" s="2404"/>
      <c r="N74" s="1591"/>
      <c r="O74" s="1595">
        <f>(100+$D$73)/100*N74</f>
        <v>0</v>
      </c>
      <c r="P74" s="2403"/>
      <c r="Q74" s="2533"/>
    </row>
    <row r="75" spans="1:20" s="42" customFormat="1" ht="15" customHeight="1">
      <c r="A75" s="1306"/>
      <c r="B75" s="2405"/>
      <c r="C75" s="4964"/>
      <c r="D75" s="4964"/>
      <c r="E75" s="4964"/>
      <c r="F75" s="1593"/>
      <c r="G75" s="1592"/>
      <c r="H75" s="1588"/>
      <c r="I75" s="1587">
        <f>(100+$D$73)/100*H75</f>
        <v>0</v>
      </c>
      <c r="K75" s="1591"/>
      <c r="L75" s="1590">
        <f>(100+$D$73)/100*K75</f>
        <v>0</v>
      </c>
      <c r="M75" s="2404"/>
      <c r="N75" s="1588"/>
      <c r="O75" s="1587">
        <f>(100+$D$73)/100*N75</f>
        <v>0</v>
      </c>
      <c r="P75" s="2403"/>
      <c r="Q75" s="2533"/>
    </row>
    <row r="76" spans="1:20" s="2532" customFormat="1" ht="30.2" customHeight="1" thickBot="1">
      <c r="A76" s="1270"/>
      <c r="B76" s="4942" t="s">
        <v>1210</v>
      </c>
      <c r="C76" s="4943"/>
      <c r="D76" s="2402" t="s">
        <v>1209</v>
      </c>
      <c r="E76" s="2401">
        <f>SDÖ1!$O$71/100</f>
        <v>1.4999999999999999E-2</v>
      </c>
      <c r="F76" s="2400" t="s">
        <v>1676</v>
      </c>
      <c r="G76" s="2399">
        <v>5</v>
      </c>
      <c r="H76" s="2395"/>
      <c r="I76" s="2398"/>
      <c r="J76" s="2393">
        <f>(J23+J27+J34+J43+J63+J59+J68+J70+J72)*(SDÖ1!$O$71%*$G$76/12)</f>
        <v>0</v>
      </c>
      <c r="K76" s="2397"/>
      <c r="L76" s="2396"/>
      <c r="M76" s="2393">
        <f>(M23+M27+M34+M43+M63+M59+M68+M70+M72)*(SDÖ1!$O$71%*$G$76/12)</f>
        <v>0</v>
      </c>
      <c r="N76" s="2395"/>
      <c r="O76" s="2394"/>
      <c r="P76" s="2393">
        <f>(P23+P27+P34+P43+P63+P59+P68+P70+P72)*(SDÖ1!$O$71%*$G$76/12)</f>
        <v>0</v>
      </c>
      <c r="Q76" s="2533"/>
    </row>
    <row r="81" spans="3:16">
      <c r="C81" s="2390" t="e">
        <f>#REF!</f>
        <v>#REF!</v>
      </c>
      <c r="D81" s="272"/>
      <c r="E81" s="721"/>
      <c r="G81" s="2390" t="e">
        <f>#REF!</f>
        <v>#REF!</v>
      </c>
      <c r="H81" s="272"/>
      <c r="I81" s="721"/>
      <c r="L81" s="33"/>
    </row>
    <row r="82" spans="3:16">
      <c r="C82" s="765" t="e">
        <f>#REF!</f>
        <v>#REF!</v>
      </c>
      <c r="E82" s="2534"/>
      <c r="G82" s="2391" t="e">
        <f>#REF!</f>
        <v>#REF!</v>
      </c>
      <c r="I82" s="2534"/>
      <c r="L82" s="33"/>
      <c r="N82" s="2390" t="str">
        <f>SDÖ3!C24</f>
        <v>Drehpflug 2,10 m</v>
      </c>
      <c r="O82" s="272"/>
      <c r="P82" s="721"/>
    </row>
    <row r="83" spans="3:16">
      <c r="C83" s="765" t="e">
        <f>#REF!</f>
        <v>#REF!</v>
      </c>
      <c r="E83" s="2534"/>
      <c r="G83" s="2392"/>
      <c r="H83" s="319"/>
      <c r="I83" s="709"/>
      <c r="L83" s="33"/>
      <c r="N83" s="2391" t="str">
        <f>SDÖ3!C25</f>
        <v>Schwergrubber 3 m</v>
      </c>
      <c r="P83" s="2534"/>
    </row>
    <row r="84" spans="3:16">
      <c r="C84" s="765" t="e">
        <f>#REF!</f>
        <v>#REF!</v>
      </c>
      <c r="E84" s="2534"/>
      <c r="G84" s="33"/>
      <c r="H84" s="33"/>
      <c r="I84" s="33"/>
      <c r="L84" s="33"/>
      <c r="N84" s="2391" t="str">
        <f>SDÖ3!C26</f>
        <v>Scheibenegge 5 m</v>
      </c>
      <c r="P84" s="2534"/>
    </row>
    <row r="85" spans="3:16">
      <c r="C85" s="765" t="e">
        <f>#REF!</f>
        <v>#REF!</v>
      </c>
      <c r="E85" s="2534"/>
      <c r="G85" s="33"/>
      <c r="H85" s="33"/>
      <c r="I85" s="33"/>
      <c r="L85" s="33"/>
      <c r="N85" s="2391" t="str">
        <f>SDÖ3!C28</f>
        <v>Kreiselegge 3 m</v>
      </c>
      <c r="P85" s="2534"/>
    </row>
    <row r="86" spans="3:16">
      <c r="C86" s="765" t="e">
        <f>#REF!</f>
        <v>#REF!</v>
      </c>
      <c r="E86" s="2534"/>
      <c r="G86" s="33" t="e">
        <f>#REF!</f>
        <v>#REF!</v>
      </c>
      <c r="H86" s="33"/>
      <c r="I86" s="33"/>
      <c r="L86" s="33"/>
      <c r="N86" s="2391" t="str">
        <f>SDÖ3!C29</f>
        <v>Cambridgewalze 4,5 m</v>
      </c>
      <c r="P86" s="2534"/>
    </row>
    <row r="87" spans="3:16">
      <c r="C87" s="765" t="e">
        <f>#REF!</f>
        <v>#REF!</v>
      </c>
      <c r="E87" s="2534"/>
      <c r="G87" s="33"/>
      <c r="H87" s="33"/>
      <c r="I87" s="33"/>
      <c r="L87" s="33"/>
      <c r="N87" s="2391">
        <f>SDÖ3!C30</f>
        <v>0</v>
      </c>
      <c r="P87" s="2534"/>
    </row>
    <row r="88" spans="3:16">
      <c r="C88" s="765" t="e">
        <f>#REF!</f>
        <v>#REF!</v>
      </c>
      <c r="E88" s="2534"/>
      <c r="G88" s="33" t="e">
        <f>#REF!</f>
        <v>#REF!</v>
      </c>
      <c r="H88" s="33"/>
      <c r="I88" s="33"/>
      <c r="L88" s="33"/>
      <c r="N88" s="2391" t="str">
        <f>SDÖ3!C31</f>
        <v>Kreiselegge-Säkomb. 3 m</v>
      </c>
      <c r="P88" s="2534"/>
    </row>
    <row r="89" spans="3:16">
      <c r="C89" s="765" t="e">
        <f>#REF!</f>
        <v>#REF!</v>
      </c>
      <c r="E89" s="2534"/>
      <c r="G89" s="33" t="e">
        <f>#REF!</f>
        <v>#REF!</v>
      </c>
      <c r="H89" s="33"/>
      <c r="I89" s="33"/>
      <c r="L89" s="33"/>
      <c r="N89" s="2391" t="str">
        <f>SDÖ3!C32</f>
        <v>Grubber-Kreiselegge-Säkomb. 3 m</v>
      </c>
      <c r="P89" s="2534"/>
    </row>
    <row r="90" spans="3:16">
      <c r="C90" s="765" t="e">
        <f>#REF!</f>
        <v>#REF!</v>
      </c>
      <c r="E90" s="2534"/>
      <c r="G90" s="33" t="e">
        <f>#REF!</f>
        <v>#REF!</v>
      </c>
      <c r="H90" s="33"/>
      <c r="I90" s="33"/>
      <c r="L90" s="33"/>
      <c r="N90" s="2391" t="str">
        <f>SDÖ3!C33</f>
        <v>Sämaschine 3m</v>
      </c>
      <c r="P90" s="2534"/>
    </row>
    <row r="91" spans="3:16">
      <c r="C91" s="765" t="e">
        <f>#REF!</f>
        <v>#REF!</v>
      </c>
      <c r="E91" s="2534"/>
      <c r="G91" s="33"/>
      <c r="H91" s="33"/>
      <c r="I91" s="33"/>
      <c r="L91" s="33"/>
      <c r="N91" s="2391" t="str">
        <f>SDÖ3!C34</f>
        <v>Einzelkornsaat 4 r (Mais, Sonnenblume)</v>
      </c>
      <c r="P91" s="2534"/>
    </row>
    <row r="92" spans="3:16">
      <c r="C92" s="765" t="e">
        <f>#REF!</f>
        <v>#REF!</v>
      </c>
      <c r="E92" s="2534"/>
      <c r="L92" s="33"/>
      <c r="N92" s="2391" t="str">
        <f>SDÖ3!C35</f>
        <v>Einzelkornsaat 6 r (Rüben)</v>
      </c>
      <c r="P92" s="2534"/>
    </row>
    <row r="93" spans="3:16">
      <c r="C93" s="765" t="e">
        <f>#REF!</f>
        <v>#REF!</v>
      </c>
      <c r="E93" s="2534"/>
      <c r="L93" s="33"/>
      <c r="N93" s="2391" t="str">
        <f>SDÖ3!C37</f>
        <v>Direktsämaschine 3 m</v>
      </c>
      <c r="P93" s="2534"/>
    </row>
    <row r="94" spans="3:16">
      <c r="C94" s="765" t="e">
        <f>#REF!</f>
        <v>#REF!</v>
      </c>
      <c r="E94" s="2534"/>
      <c r="G94" s="2390" t="str">
        <f>SDÖ3!C140</f>
        <v>Mähdrescher - Erbsen/Ackerbohnen</v>
      </c>
      <c r="H94" s="272"/>
      <c r="I94" s="721"/>
      <c r="L94" s="33"/>
      <c r="N94" s="2391" t="str">
        <f>SDÖ3!C38</f>
        <v>Dammkulturgerät mit Säeinheit(3m)</v>
      </c>
      <c r="P94" s="2534"/>
    </row>
    <row r="95" spans="3:16">
      <c r="C95" s="765" t="e">
        <f>#REF!</f>
        <v>#REF!</v>
      </c>
      <c r="E95" s="2534"/>
      <c r="G95" s="2391" t="str">
        <f>SDÖ3!C141</f>
        <v>Mähdrescher - Körnermais</v>
      </c>
      <c r="I95" s="2534"/>
      <c r="L95" s="33"/>
      <c r="N95" s="2391">
        <f>SDÖ3!C39</f>
        <v>0</v>
      </c>
      <c r="P95" s="2534"/>
    </row>
    <row r="96" spans="3:16">
      <c r="C96" s="765" t="e">
        <f>#REF!</f>
        <v>#REF!</v>
      </c>
      <c r="E96" s="2534"/>
      <c r="G96" s="2391" t="str">
        <f>SDÖ3!C142</f>
        <v>Mähdrescher - Getr. m. Strohhäcksler</v>
      </c>
      <c r="I96" s="2534"/>
      <c r="L96" s="33"/>
      <c r="N96" s="2391" t="str">
        <f>SDÖ3!C40</f>
        <v xml:space="preserve">Düngerstreuer ab Hof 12 m, 400 kg/ha </v>
      </c>
      <c r="P96" s="2534"/>
    </row>
    <row r="97" spans="3:16">
      <c r="C97" s="765" t="e">
        <f>#REF!</f>
        <v>#REF!</v>
      </c>
      <c r="E97" s="2534"/>
      <c r="G97" s="2391" t="str">
        <f>SDÖ3!C143</f>
        <v>ZR - Roden, 6-reihig</v>
      </c>
      <c r="I97" s="2534"/>
      <c r="L97" s="33"/>
      <c r="N97" s="2391" t="str">
        <f>SDÖ3!C41</f>
        <v>Mist/Kompost streuen 20 t/ha  (6 m, 10 t) inkl. Beladen</v>
      </c>
      <c r="P97" s="2534"/>
    </row>
    <row r="98" spans="3:16">
      <c r="C98" s="765" t="e">
        <f>#REF!</f>
        <v>#REF!</v>
      </c>
      <c r="E98" s="2534"/>
      <c r="G98" s="2391" t="str">
        <f>SDÖ3!C144</f>
        <v>KA - Vollernter mit Bunker, 2-reihig</v>
      </c>
      <c r="I98" s="2534"/>
      <c r="L98" s="33"/>
      <c r="N98" s="2391" t="e">
        <f>SDÖ3!#REF!</f>
        <v>#REF!</v>
      </c>
      <c r="P98" s="2534"/>
    </row>
    <row r="99" spans="3:16">
      <c r="C99" s="290" t="e">
        <f>#REF!</f>
        <v>#REF!</v>
      </c>
      <c r="D99" s="319"/>
      <c r="E99" s="709"/>
      <c r="G99" s="2391" t="str">
        <f>SDÖ3!C145</f>
        <v>KA - Schlägeln (m. Schl. + Fahrer)</v>
      </c>
      <c r="I99" s="2534"/>
      <c r="L99" s="33"/>
      <c r="N99" s="2391" t="e">
        <f>SDÖ3!#REF!</f>
        <v>#REF!</v>
      </c>
      <c r="P99" s="2534"/>
    </row>
    <row r="100" spans="3:16">
      <c r="C100" s="765"/>
      <c r="E100" s="2534"/>
      <c r="G100" s="2391" t="str">
        <f>SDÖ3!C146</f>
        <v>ZR - Laden, Abfuhr</v>
      </c>
      <c r="I100" s="2534"/>
      <c r="L100" s="33"/>
      <c r="N100" s="2391" t="str">
        <f>SDÖ3!C42</f>
        <v>Gülle ausbringen 20 m³/ha, (15 m³ Fass, Schleppschl. 7,5 m</v>
      </c>
      <c r="P100" s="2534"/>
    </row>
    <row r="101" spans="3:16">
      <c r="C101" s="765"/>
      <c r="E101" s="2534"/>
      <c r="G101" s="2391" t="str">
        <f>SDÖ3!C147</f>
        <v>Mulchen (Lohnunternehmer)</v>
      </c>
      <c r="I101" s="2534"/>
      <c r="L101" s="33"/>
      <c r="N101" s="2391" t="str">
        <f>SDÖ3!C44</f>
        <v>Kalkstreuer 6 m³,15 m, 2t/ha (ab Feld, mit Beladen)</v>
      </c>
      <c r="P101" s="2534"/>
    </row>
    <row r="102" spans="3:16">
      <c r="C102" s="272"/>
      <c r="D102" s="272"/>
      <c r="E102" s="272"/>
      <c r="G102" s="2391" t="str">
        <f>SDÖ3!C148</f>
        <v>Stroh-Rundballen pressen je ha</v>
      </c>
      <c r="I102" s="2534"/>
      <c r="L102" s="33"/>
      <c r="N102" s="2391">
        <f>SDÖ3!C45</f>
        <v>0</v>
      </c>
      <c r="P102" s="2534"/>
    </row>
    <row r="103" spans="3:16">
      <c r="G103" s="2391" t="str">
        <f>SDÖ3!C149</f>
        <v>Stroh-Quaderballen pressen je ha</v>
      </c>
      <c r="I103" s="2534"/>
      <c r="L103" s="33"/>
      <c r="N103" s="2391" t="str">
        <f>SDÖ3!C46</f>
        <v>Pflanzenschutzspritze 12 m, 300 l/ha</v>
      </c>
      <c r="P103" s="2534"/>
    </row>
    <row r="104" spans="3:16">
      <c r="G104" s="2391" t="str">
        <f>SDÖ3!C150</f>
        <v>Silomais Häckseln/Festfahren im Lohn</v>
      </c>
      <c r="I104" s="2534"/>
      <c r="L104" s="33"/>
      <c r="N104" s="2391" t="str">
        <f>SDÖ3!C47</f>
        <v>Mulchgerät 3 m</v>
      </c>
      <c r="P104" s="2534"/>
    </row>
    <row r="105" spans="3:16">
      <c r="C105" s="2528"/>
      <c r="G105" s="2391" t="str">
        <f>SDÖ3!C151</f>
        <v>Silomais Aussaat (im Lohn)</v>
      </c>
      <c r="I105" s="2534"/>
      <c r="L105" s="33"/>
      <c r="N105" s="2391" t="str">
        <f>SDÖ3!C48</f>
        <v>Präparatespritze 6 m</v>
      </c>
      <c r="P105" s="2534"/>
    </row>
    <row r="106" spans="3:16">
      <c r="C106" s="2527" t="s">
        <v>1705</v>
      </c>
      <c r="G106" s="2391" t="str">
        <f>SDÖ3!C152</f>
        <v>Silomais Häckseln (im Lohn)</v>
      </c>
      <c r="I106" s="2534"/>
      <c r="L106" s="33"/>
      <c r="N106" s="2391" t="str">
        <f>SDÖ3!C49</f>
        <v>Hackstriegel 9 m</v>
      </c>
      <c r="P106" s="2534"/>
    </row>
    <row r="107" spans="3:16">
      <c r="C107" s="2527" t="s">
        <v>897</v>
      </c>
      <c r="G107" s="2391" t="str">
        <f>SDÖ3!C153</f>
        <v>GPS Häckseln im Lohn</v>
      </c>
      <c r="I107" s="2534"/>
      <c r="L107" s="33"/>
      <c r="N107" s="2391" t="str">
        <f>SDÖ3!C51</f>
        <v>Reihenhackgerät 3 m</v>
      </c>
      <c r="P107" s="2534"/>
    </row>
    <row r="108" spans="3:16">
      <c r="C108" s="2527"/>
      <c r="G108" s="2391" t="str">
        <f>SDÖ3!C154</f>
        <v>GPS Häckseln/Festfahren im Lohn</v>
      </c>
      <c r="I108" s="2534"/>
      <c r="L108" s="33"/>
      <c r="N108" s="2391">
        <f>SDÖ3!C52</f>
        <v>0</v>
      </c>
      <c r="P108" s="2534"/>
    </row>
    <row r="109" spans="3:16">
      <c r="C109" s="2527"/>
      <c r="G109" s="2391" t="str">
        <f>SDÖ3!C155</f>
        <v>Nachsaatmaschine (¼ Betrag)</v>
      </c>
      <c r="I109" s="2534"/>
      <c r="L109" s="33"/>
      <c r="N109" s="2391" t="str">
        <f>SDÖ3!C53</f>
        <v>Mais/GPS Silage festwalzen, 50 t FM</v>
      </c>
      <c r="P109" s="2534"/>
    </row>
    <row r="110" spans="3:16">
      <c r="C110" s="2526"/>
      <c r="G110" s="2391">
        <f>SDÖ3!C156</f>
        <v>0</v>
      </c>
      <c r="I110" s="2534"/>
      <c r="L110" s="33"/>
      <c r="N110" s="2391" t="str">
        <f>SDÖ3!C54</f>
        <v>Bunkerroder Möhren 0,5 m Arbeitsbreite</v>
      </c>
      <c r="P110" s="2534"/>
    </row>
    <row r="111" spans="3:16">
      <c r="G111" s="2391" t="str">
        <f>SDÖ3!C157</f>
        <v>Stroh-Rundballen pressen je dt</v>
      </c>
      <c r="I111" s="2534"/>
      <c r="L111" s="33"/>
      <c r="N111" s="2391">
        <f>SDÖ3!C55</f>
        <v>0</v>
      </c>
      <c r="P111" s="2534"/>
    </row>
    <row r="112" spans="3:16">
      <c r="G112" s="2391" t="str">
        <f>SDÖ3!C158</f>
        <v>Stroh-Quaderballen pressen je dt</v>
      </c>
      <c r="I112" s="2534"/>
      <c r="L112" s="33"/>
      <c r="N112" s="2391" t="str">
        <f>SDÖ3!C56</f>
        <v>Transp. u. Abkip. Getr. 6 t/ha (5,7 t Ki.)</v>
      </c>
      <c r="P112" s="2534"/>
    </row>
    <row r="113" spans="2:16">
      <c r="G113" s="2391" t="str">
        <f>SDÖ3!C159</f>
        <v>Festmistausbringung (im Lohn) €/t</v>
      </c>
      <c r="I113" s="2534"/>
      <c r="L113" s="33"/>
      <c r="N113" s="2391" t="str">
        <f>SDÖ3!C57</f>
        <v>Transp. u. Abkip. Getr. 6 t/ha (13,5 t Ki.)</v>
      </c>
      <c r="P113" s="2534"/>
    </row>
    <row r="114" spans="2:16">
      <c r="G114" s="2391" t="str">
        <f>SDÖ3!C160</f>
        <v>Gülleausbringung (im Lohn); €/m³</v>
      </c>
      <c r="I114" s="2534"/>
      <c r="L114" s="33"/>
      <c r="N114" s="2391" t="str">
        <f>SDÖ3!C58</f>
        <v>Silagetransport Mais/GPS, 3S.Kip. (10t Nutzl.), 50 t FM</v>
      </c>
      <c r="P114" s="2534"/>
    </row>
    <row r="115" spans="2:16">
      <c r="G115" s="2391" t="str">
        <f>SDÖ3!C161</f>
        <v>Traktor75-92 kW inkl. Diesel + Fahrer je h</v>
      </c>
      <c r="I115" s="2534"/>
      <c r="L115" s="33"/>
      <c r="N115" s="2391" t="str">
        <f>SDÖ3!C59</f>
        <v>Stroh-Rundballen 4 t/ha laden, abfahren, stapeln, 3-S-Kipp.</v>
      </c>
      <c r="P115" s="2534"/>
    </row>
    <row r="116" spans="2:16">
      <c r="G116" s="2391" t="str">
        <f>SDÖ3!C162</f>
        <v>Kipper je t zul Gesamtgewicht je h</v>
      </c>
      <c r="I116" s="2534"/>
      <c r="L116" s="33"/>
      <c r="N116" s="2391">
        <f>SDÖ3!C60</f>
        <v>0</v>
      </c>
      <c r="P116" s="2534"/>
    </row>
    <row r="117" spans="2:16">
      <c r="G117" s="2391">
        <f>SDÖ3!C163</f>
        <v>0</v>
      </c>
      <c r="L117" s="33"/>
      <c r="N117" s="2391" t="str">
        <f>SDÖ3!C61</f>
        <v>Wiesenwalze 3 m</v>
      </c>
      <c r="P117" s="2534"/>
    </row>
    <row r="118" spans="2:16">
      <c r="G118" s="2391">
        <f>SDÖ3!C164</f>
        <v>0</v>
      </c>
      <c r="L118" s="33"/>
      <c r="N118" s="2391" t="str">
        <f>SDÖ3!C62</f>
        <v>Wiesenegge 6 m</v>
      </c>
      <c r="P118" s="2534"/>
    </row>
    <row r="119" spans="2:16">
      <c r="G119" s="2391">
        <f>SDÖ3!C165</f>
        <v>0</v>
      </c>
      <c r="L119" s="33"/>
      <c r="N119" s="2391" t="str">
        <f>SDÖ3!C63</f>
        <v>Mähkomb. Heck/Front (4,5m insges., ohne Aufb.)</v>
      </c>
      <c r="P119" s="2534"/>
    </row>
    <row r="120" spans="2:16">
      <c r="L120" s="33"/>
      <c r="N120" s="2391" t="str">
        <f>SDÖ3!C65</f>
        <v>Rotationsmähwerk (Heck) m. Aufb. 2,8 m</v>
      </c>
      <c r="P120" s="2534"/>
    </row>
    <row r="121" spans="2:16">
      <c r="L121" s="33"/>
      <c r="N121" s="2391" t="str">
        <f>SDÖ3!C66</f>
        <v>Kreiselwender 5,5m</v>
      </c>
      <c r="P121" s="2534"/>
    </row>
    <row r="122" spans="2:16">
      <c r="L122" s="33"/>
      <c r="N122" s="2391" t="str">
        <f>SDÖ3!C67</f>
        <v>Kreiselschwader 7,5m Seitenablage</v>
      </c>
      <c r="O122" s="2534"/>
    </row>
    <row r="123" spans="2:16">
      <c r="B123" s="622">
        <v>1</v>
      </c>
      <c r="C123" s="33" t="str">
        <f>SDÖ5!C6</f>
        <v>Bio-dyn-Präparate (je Anw.)</v>
      </c>
      <c r="E123" s="2533">
        <f>IF(ISNA(VLOOKUP(B123,SDÖ5!$U$26:$X$37,SDÖ5!$U$23,FALSE)),0,(VLOOKUP(B123,SDÖ5!$U$26:$X$37,SDÖ5!$U$23,FALSE)))</f>
        <v>0</v>
      </c>
      <c r="L123" s="33"/>
      <c r="N123" s="2391" t="str">
        <f>SDÖ3!C68</f>
        <v>LW Silage, o. Dosierwalzen; 12 t FM (28 m³, 4 t Nutzl.)</v>
      </c>
      <c r="P123" s="2534"/>
    </row>
    <row r="124" spans="2:16">
      <c r="B124" s="622">
        <v>2</v>
      </c>
      <c r="C124" s="33" t="str">
        <f>SDÖ5!C7</f>
        <v>Propangas (je Anw.)</v>
      </c>
      <c r="E124" s="2533">
        <f>IF(ISNA(VLOOKUP(B124,SDÖ5!$U$26:$X$37,SDÖ5!$U$23,FALSE)),0,(VLOOKUP(B124,SDÖ5!$U$26:$X$37,SDÖ5!$U$23,FALSE)))</f>
        <v>0</v>
      </c>
      <c r="L124" s="33"/>
      <c r="N124" s="2391" t="str">
        <f>SDÖ3!C69</f>
        <v>Grassilo festwalzen, 12 t FM</v>
      </c>
      <c r="P124" s="2534"/>
    </row>
    <row r="125" spans="2:16">
      <c r="B125" s="622">
        <v>3</v>
      </c>
      <c r="C125" s="33" t="str">
        <f>SDÖ5!C8</f>
        <v xml:space="preserve">Schutznetz (je Anw.) </v>
      </c>
      <c r="E125" s="2533">
        <f>IF(ISNA(VLOOKUP(B125,SDÖ5!$U$26:$X$37,SDÖ5!$U$23,FALSE)),0,(VLOOKUP(B125,SDÖ5!$U$26:$X$37,SDÖ5!$U$23,FALSE)))</f>
        <v>0</v>
      </c>
      <c r="L125" s="33"/>
      <c r="N125" s="2391">
        <f>SDÖ3!C70</f>
        <v>0</v>
      </c>
      <c r="P125" s="2534"/>
    </row>
    <row r="126" spans="2:16">
      <c r="B126" s="622">
        <v>4</v>
      </c>
      <c r="C126" s="33" t="str">
        <f>SDÖ5!C9</f>
        <v>Neempräparat (je Anw.)</v>
      </c>
      <c r="E126" s="2533">
        <f>IF(ISNA(VLOOKUP(B126,SDÖ5!$U$26:$X$37,SDÖ5!$U$23,FALSE)),0,(VLOOKUP(B126,SDÖ5!$U$26:$X$37,SDÖ5!$U$23,FALSE)))</f>
        <v>0</v>
      </c>
      <c r="L126" s="33"/>
      <c r="N126" s="2391" t="str">
        <f>SDÖ3!C71</f>
        <v>Kartoffeln vorkeimen</v>
      </c>
      <c r="P126" s="2534"/>
    </row>
    <row r="127" spans="2:16">
      <c r="B127" s="622">
        <v>5</v>
      </c>
      <c r="C127" s="33" t="str">
        <f>SDÖ5!C10</f>
        <v>Kupfer (je Anw.)</v>
      </c>
      <c r="E127" s="2533">
        <f>IF(ISNA(VLOOKUP(B127,SDÖ5!$U$26:$X$37,SDÖ5!$U$23,FALSE)),0,(VLOOKUP(B127,SDÖ5!$U$26:$X$37,SDÖ5!$U$23,FALSE)))</f>
        <v>0</v>
      </c>
      <c r="L127" s="33"/>
      <c r="N127" s="2391" t="str">
        <f>SDÖ3!C72</f>
        <v>Pflanzkartoffeltransport,-laden 2,5 t/ha</v>
      </c>
      <c r="P127" s="2534"/>
    </row>
    <row r="128" spans="2:16">
      <c r="B128" s="622">
        <v>6</v>
      </c>
      <c r="C128" s="33" t="str">
        <f>SDÖ5!C11</f>
        <v>Bac.thureng. kurstaki (je Anw.)</v>
      </c>
      <c r="E128" s="2533">
        <f>IF(ISNA(VLOOKUP(B128,SDÖ5!$U$26:$X$37,SDÖ5!$U$23,FALSE)),0,(VLOOKUP(B128,SDÖ5!$U$26:$X$37,SDÖ5!$U$23,FALSE)))</f>
        <v>0</v>
      </c>
      <c r="L128" s="33"/>
      <c r="N128" s="2391" t="str">
        <f>SDÖ3!C73</f>
        <v>Legemaschine mit starrem Bunker 4 r (Kartoffel)</v>
      </c>
      <c r="P128" s="2534"/>
    </row>
    <row r="129" spans="2:16">
      <c r="B129" s="622">
        <v>7</v>
      </c>
      <c r="C129" s="33" t="str">
        <f>SDÖ5!C12</f>
        <v>Bac.thureng. tenebrionis (je Anw.)</v>
      </c>
      <c r="E129" s="2533">
        <f>IF(ISNA(VLOOKUP(B129,SDÖ5!$U$26:$X$37,SDÖ5!$U$23,FALSE)),0,(VLOOKUP(B129,SDÖ5!$U$26:$X$37,SDÖ5!$U$23,FALSE)))</f>
        <v>0</v>
      </c>
      <c r="L129" s="33"/>
      <c r="N129" s="2391" t="str">
        <f>SDÖ3!C74</f>
        <v>Legemaschine mit Kippbunker 4 r (Kartoffel)</v>
      </c>
      <c r="P129" s="2534"/>
    </row>
    <row r="130" spans="2:16">
      <c r="B130" s="622">
        <v>8</v>
      </c>
      <c r="C130" s="33" t="str">
        <f>SDÖ5!C13</f>
        <v>Eisen-III-Phosphat</v>
      </c>
      <c r="E130" s="2533">
        <f>IF(ISNA(VLOOKUP(B130,SDÖ5!$U$26:$X$37,SDÖ5!$U$23,FALSE)),0,(VLOOKUP(B130,SDÖ5!$U$26:$X$37,SDÖ5!$U$23,FALSE)))</f>
        <v>0</v>
      </c>
      <c r="L130" s="33"/>
      <c r="N130" s="2391" t="str">
        <f>SDÖ3!C75</f>
        <v>Häufeln 4 r, Vorauflauf (Kartoffel)</v>
      </c>
      <c r="P130" s="2534"/>
    </row>
    <row r="131" spans="2:16">
      <c r="B131" s="622">
        <v>9</v>
      </c>
      <c r="C131" s="33">
        <f>SDÖ5!C14</f>
        <v>0</v>
      </c>
      <c r="E131" s="2533">
        <f>IF(ISNA(VLOOKUP(B131,SDÖ5!$U$26:$X$37,SDÖ5!$U$23,FALSE)),0,(VLOOKUP(B131,SDÖ5!$U$26:$X$37,SDÖ5!$U$23,FALSE)))</f>
        <v>0</v>
      </c>
      <c r="L131" s="33"/>
      <c r="N131" s="2391" t="str">
        <f>SDÖ3!C76</f>
        <v>Hacken Nachauflauf 4 r</v>
      </c>
      <c r="P131" s="2534"/>
    </row>
    <row r="132" spans="2:16">
      <c r="B132" s="622">
        <v>10</v>
      </c>
      <c r="C132" s="33">
        <f>SDÖ5!C15</f>
        <v>0</v>
      </c>
      <c r="E132" s="2533">
        <f>IF(ISNA(VLOOKUP(B132,SDÖ5!$U$26:$X$37,SDÖ5!$U$23,FALSE)),0,(VLOOKUP(B132,SDÖ5!$U$26:$X$37,SDÖ5!$U$23,FALSE)))</f>
        <v>0</v>
      </c>
      <c r="L132" s="33"/>
      <c r="N132" s="2391" t="e">
        <f>SDÖ3!#REF!</f>
        <v>#REF!</v>
      </c>
      <c r="P132" s="2534"/>
    </row>
    <row r="133" spans="2:16">
      <c r="B133" s="622">
        <v>11</v>
      </c>
      <c r="C133" s="33" t="str">
        <f>SDÖ5!C16</f>
        <v>Düngemittel</v>
      </c>
      <c r="E133" s="2533">
        <f>IF(ISNA(VLOOKUP(B133,SDÖ5!$U$26:$X$37,SDÖ5!$U$23,FALSE)),0,(VLOOKUP(B133,SDÖ5!$U$26:$X$37,SDÖ5!$U$23,FALSE)))</f>
        <v>0</v>
      </c>
      <c r="L133" s="33"/>
      <c r="N133" s="2391" t="str">
        <f>SDÖ3!C77</f>
        <v>Häufeln 4 r, Nachauflauf (Kartoffel)</v>
      </c>
      <c r="P133" s="2534"/>
    </row>
    <row r="134" spans="2:16">
      <c r="B134" s="622">
        <v>12</v>
      </c>
      <c r="C134" s="33" t="e">
        <f>SDÖ5!#REF!</f>
        <v>#REF!</v>
      </c>
      <c r="E134" s="2533">
        <f>IF(ISNA(VLOOKUP(B134,SDÖ5!$U$26:$X$37,SDÖ5!$U$23,FALSE)),0,(VLOOKUP(B134,SDÖ5!$U$26:$X$37,SDÖ5!$U$23,FALSE)))</f>
        <v>0</v>
      </c>
      <c r="L134" s="33"/>
      <c r="N134" s="2391" t="str">
        <f>SDÖ3!C91</f>
        <v>Hanfstroh Transport 15 km</v>
      </c>
    </row>
    <row r="135" spans="2:16">
      <c r="B135" s="622">
        <v>13</v>
      </c>
      <c r="C135" s="33" t="e">
        <f>SDÖ5!#REF!</f>
        <v>#REF!</v>
      </c>
      <c r="E135" s="2533">
        <f>IF(ISNA(VLOOKUP(B135,SDÖ5!$U$26:$X$37,SDÖ5!$U$23,FALSE)),0,(VLOOKUP(B135,SDÖ5!$U$26:$X$37,SDÖ5!$U$23,FALSE)))</f>
        <v>0</v>
      </c>
      <c r="L135" s="33"/>
      <c r="N135" s="2391" t="str">
        <f>SDÖ3!C92</f>
        <v>Hanfstroh Transport/ein-/auslag.</v>
      </c>
    </row>
    <row r="136" spans="2:16">
      <c r="B136" s="622">
        <v>14</v>
      </c>
      <c r="C136" s="33" t="e">
        <f>SDÖ5!#REF!</f>
        <v>#REF!</v>
      </c>
      <c r="E136" s="2533">
        <f>IF(ISNA(VLOOKUP(B136,SDÖ5!$U$26:$X$37,SDÖ5!$U$23,FALSE)),0,(VLOOKUP(B136,SDÖ5!$U$26:$X$37,SDÖ5!$U$23,FALSE)))</f>
        <v>0</v>
      </c>
      <c r="L136" s="33"/>
      <c r="N136" s="2391">
        <f>SDÖ3!C93</f>
        <v>0</v>
      </c>
    </row>
    <row r="137" spans="2:16">
      <c r="B137" s="622">
        <v>15</v>
      </c>
      <c r="C137" s="33"/>
      <c r="E137" s="2533">
        <f>IF(ISNA(VLOOKUP(B137,SDÖ5!$U$26:$X$37,SDÖ5!$U$23,FALSE)),0,(VLOOKUP(B137,SDÖ5!$U$26:$X$37,SDÖ5!$U$23,FALSE)))</f>
        <v>0</v>
      </c>
      <c r="L137" s="33"/>
      <c r="N137" s="2391" t="str">
        <f>SDÖ3!C94</f>
        <v>Handakh Feld Möhren</v>
      </c>
    </row>
    <row r="138" spans="2:16">
      <c r="B138" s="622">
        <v>16</v>
      </c>
      <c r="C138" s="33"/>
      <c r="E138" s="2533">
        <f>IF(ISNA(VLOOKUP(B138,SDÖ5!$U$26:$X$37,SDÖ5!$U$23,FALSE)),0,(VLOOKUP(B138,SDÖ5!$U$26:$X$37,SDÖ5!$U$23,FALSE)))</f>
        <v>0</v>
      </c>
      <c r="L138" s="33"/>
      <c r="N138" s="2391" t="str">
        <f>SDÖ3!C96</f>
        <v>Handakh Feld sonstige Kultur</v>
      </c>
    </row>
    <row r="139" spans="2:16">
      <c r="B139" s="622"/>
      <c r="C139" s="33"/>
      <c r="L139" s="33"/>
      <c r="N139" s="2391" t="str">
        <f>SDÖ3!C99</f>
        <v>Handakh Aufbereitung sonstige Kultur</v>
      </c>
    </row>
    <row r="140" spans="2:16">
      <c r="B140" s="622"/>
      <c r="C140" s="33"/>
      <c r="L140" s="33"/>
      <c r="N140" s="2391">
        <f>SDÖ3!C100</f>
        <v>0</v>
      </c>
    </row>
    <row r="141" spans="2:16">
      <c r="B141" s="622"/>
      <c r="C141" s="33"/>
      <c r="L141" s="33"/>
      <c r="N141" s="2391">
        <f>SDÖ3!C101</f>
        <v>0</v>
      </c>
    </row>
    <row r="142" spans="2:16">
      <c r="B142" s="622"/>
      <c r="C142" s="33" t="str">
        <f ca="1">MID(CELL("Dateiname",$A$1),FIND("]",CELL("Dateiname",$A$1))+1,31)</f>
        <v>TE8</v>
      </c>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c r="L149" s="33"/>
    </row>
    <row r="150" spans="2:12">
      <c r="B150" s="622"/>
      <c r="C150" s="33"/>
      <c r="L150" s="33"/>
    </row>
    <row r="151" spans="2:12">
      <c r="B151" s="622"/>
      <c r="C151" s="33"/>
      <c r="L151" s="33"/>
    </row>
    <row r="152" spans="2:12">
      <c r="B152" s="622"/>
      <c r="C152" s="33"/>
    </row>
    <row r="153" spans="2:12">
      <c r="B153" s="622"/>
      <c r="C153" s="33"/>
      <c r="H153" s="1929"/>
      <c r="J153" s="2389"/>
    </row>
    <row r="154" spans="2:12">
      <c r="B154" s="622"/>
      <c r="C154" s="33"/>
      <c r="H154" s="1929"/>
      <c r="J154" s="2389"/>
    </row>
    <row r="155" spans="2:12">
      <c r="B155" s="622"/>
      <c r="C155" s="33"/>
      <c r="H155" s="1929"/>
      <c r="J155" s="2389"/>
    </row>
    <row r="156" spans="2:12">
      <c r="B156" s="622"/>
      <c r="C156" s="33"/>
      <c r="H156" s="1929"/>
      <c r="J156" s="2389"/>
    </row>
    <row r="157" spans="2:12">
      <c r="B157" s="622"/>
      <c r="C157" s="33"/>
      <c r="H157" s="1929"/>
      <c r="J157" s="2389"/>
    </row>
    <row r="158" spans="2:12">
      <c r="B158" s="622"/>
      <c r="C158" s="33"/>
      <c r="D158" s="33"/>
      <c r="F158" s="33"/>
      <c r="H158" s="33"/>
      <c r="I158" s="33"/>
      <c r="J158" s="33"/>
      <c r="K158" s="33"/>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row>
    <row r="163" spans="2:11">
      <c r="B163" s="622"/>
      <c r="C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row r="211" spans="2:3">
      <c r="B211" s="622"/>
      <c r="C211" s="33"/>
    </row>
  </sheetData>
  <sheetProtection selectLockedCells="1"/>
  <mergeCells count="49">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 ref="C38:E38"/>
    <mergeCell ref="C55:D55"/>
    <mergeCell ref="B76:C76"/>
    <mergeCell ref="C52:D52"/>
    <mergeCell ref="D22:G22"/>
    <mergeCell ref="C49:D49"/>
    <mergeCell ref="C66:E66"/>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W3:Y3"/>
    <mergeCell ref="W4:Y4"/>
    <mergeCell ref="H6:I6"/>
    <mergeCell ref="D25:E25"/>
    <mergeCell ref="D26:E26"/>
    <mergeCell ref="C14:F14"/>
    <mergeCell ref="C15:F15"/>
    <mergeCell ref="K6:L6"/>
    <mergeCell ref="N3:O4"/>
    <mergeCell ref="C21:F21"/>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Pflanzenschutzmittel" error="Bitte aus Dropdownliste auswählen." sqref="C36:E42">
      <formula1>$E$122:$E$204</formula1>
    </dataValidation>
    <dataValidation type="list" allowBlank="1" showInputMessage="1" showErrorMessage="1" errorTitle="Verfahrensabh. Ausgleichsleist." error="Bitte aus Dropdownliste auswählen." sqref="C14:F17">
      <formula1>$C$81:$C$100</formula1>
    </dataValidation>
    <dataValidation type="decimal" allowBlank="1" showInputMessage="1" showErrorMessage="1" errorTitle="Wassergehalt Getreide" error="Zulässig sind nur Werte zwischen 14,1 und 22,0 % Wassergehalt." sqref="H69 K69 N69">
      <formula1>14.1</formula1>
      <formula2>22</formula2>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Lohnmaschinen" error="Bitte aus Dropdownliste auswählen." sqref="C65:C66 C67:E67">
      <formula1>$G$94:$G$116</formula1>
    </dataValidation>
    <dataValidation type="list" allowBlank="1" showInputMessage="1" showErrorMessage="1" errorTitle="Organisationsabh. Ausgleichsl." error="Bitte aus Dropdownliste auswählen." sqref="C20:F21">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36"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7537"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7538"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7539"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7540"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7541"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7543"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7544"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7545"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7546"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7547"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7548"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7549"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7550"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7551"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2">
    <tabColor rgb="FF7030A0"/>
    <pageSetUpPr fitToPage="1"/>
  </sheetPr>
  <dimension ref="A1:AO211"/>
  <sheetViews>
    <sheetView workbookViewId="0">
      <pane ySplit="4" topLeftCell="A5" activePane="bottomLeft" state="frozen"/>
      <selection activeCell="A5" sqref="A5"/>
      <selection pane="bottomLeft" activeCell="A5" sqref="A5"/>
    </sheetView>
  </sheetViews>
  <sheetFormatPr baseColWidth="10" defaultColWidth="10.5" defaultRowHeight="12.75"/>
  <cols>
    <col min="1" max="1" width="1.5" style="2533" customWidth="1"/>
    <col min="2" max="2" width="3.25" style="2533" customWidth="1"/>
    <col min="3" max="3" width="13.25" style="2533" customWidth="1"/>
    <col min="4" max="6" width="9.25" style="2533" customWidth="1"/>
    <col min="7" max="7" width="9.25" style="39" customWidth="1"/>
    <col min="8" max="9" width="7.25" style="2533" customWidth="1"/>
    <col min="10" max="10" width="7.75" style="2533" customWidth="1"/>
    <col min="11" max="12" width="7.25" style="2533" customWidth="1"/>
    <col min="13" max="13" width="7.75" style="2533" customWidth="1"/>
    <col min="14" max="15" width="7.25" style="2533" customWidth="1"/>
    <col min="16" max="16" width="7.75" style="2533" customWidth="1"/>
    <col min="17" max="17" width="19.75" style="2533" customWidth="1"/>
    <col min="18" max="16384" width="10.5" style="2537"/>
  </cols>
  <sheetData>
    <row r="1" spans="1:41" s="276" customFormat="1" ht="30.2" customHeight="1">
      <c r="A1" s="2507"/>
      <c r="B1" s="326"/>
      <c r="C1" s="1908"/>
      <c r="D1" s="136"/>
      <c r="E1" s="323"/>
      <c r="F1" s="323"/>
      <c r="G1" s="4908" t="s">
        <v>1694</v>
      </c>
      <c r="H1" s="4908"/>
      <c r="I1" s="4908"/>
      <c r="J1" s="1906" t="e">
        <f>(J7+J13+J19+J22+I11+I12)-(J23+J27+J34+J43+J63+J59+J68+J70+J72+J76)</f>
        <v>#REF!</v>
      </c>
      <c r="K1" s="4859" t="e">
        <f>M1-J1</f>
        <v>#REF!</v>
      </c>
      <c r="L1" s="4859"/>
      <c r="M1" s="1906" t="e">
        <f>(M7+M13+M19+M22+L11+L12)-(M23+M27+M34+M43+M63+M59+M68+M70+M72+M76)</f>
        <v>#REF!</v>
      </c>
      <c r="N1" s="4859" t="e">
        <f>P1-M1</f>
        <v>#REF!</v>
      </c>
      <c r="O1" s="4859"/>
      <c r="P1" s="1906" t="e">
        <f>(P7+P13+P19+P22+O11+O12)-(P23+P27+P34+P43+P63+P59+P68+P70+P72+P76)</f>
        <v>#REF!</v>
      </c>
      <c r="Q1" s="2507"/>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row>
    <row r="2" spans="1:41" s="276" customFormat="1" ht="24.6" customHeight="1">
      <c r="A2" s="2507"/>
      <c r="B2" s="1919" t="s">
        <v>1932</v>
      </c>
      <c r="G2" s="1891"/>
      <c r="H2" s="1902"/>
      <c r="K2" s="4898" t="s">
        <v>1941</v>
      </c>
      <c r="L2" s="4898"/>
      <c r="M2" s="4898"/>
      <c r="N2" s="4898"/>
      <c r="O2" s="4898"/>
      <c r="P2" s="4898"/>
      <c r="Q2" s="2507"/>
    </row>
    <row r="3" spans="1:41" s="276" customFormat="1" ht="21.75" customHeight="1">
      <c r="A3" s="2507"/>
      <c r="B3" s="1919"/>
      <c r="G3" s="1891"/>
      <c r="H3" s="1902"/>
      <c r="J3" s="4866" t="s">
        <v>1262</v>
      </c>
      <c r="K3" s="4916"/>
      <c r="L3" s="4916"/>
      <c r="M3" s="1901"/>
      <c r="N3" s="4909" t="str">
        <f>IF(AND(T3=TRUE,T4=TRUE),"nur 1 Strohnutzung möglich","")</f>
        <v/>
      </c>
      <c r="O3" s="4872"/>
      <c r="P3" s="1900"/>
      <c r="Q3" s="2507"/>
      <c r="T3" s="1918" t="b">
        <v>0</v>
      </c>
      <c r="W3" s="4866" t="s">
        <v>1262</v>
      </c>
      <c r="X3" s="4916"/>
      <c r="Y3" s="4916"/>
      <c r="Z3" s="1901"/>
    </row>
    <row r="4" spans="1:41" s="276" customFormat="1" ht="20.25" customHeight="1">
      <c r="A4" s="2507"/>
      <c r="B4" s="377" t="s">
        <v>1154</v>
      </c>
      <c r="C4" s="2537"/>
      <c r="D4" s="2537"/>
      <c r="E4" s="4830" t="s">
        <v>1706</v>
      </c>
      <c r="F4" s="4830"/>
      <c r="G4" s="4830"/>
      <c r="H4" s="4830"/>
      <c r="I4" s="4830"/>
      <c r="J4" s="4866" t="s">
        <v>1250</v>
      </c>
      <c r="K4" s="4916"/>
      <c r="L4" s="4916"/>
      <c r="M4" s="2522"/>
      <c r="N4" s="4872"/>
      <c r="O4" s="4872"/>
      <c r="P4" s="1896">
        <f>SDÖ1!O3</f>
        <v>0</v>
      </c>
      <c r="Q4" s="2507"/>
      <c r="T4" s="1918" t="b">
        <v>0</v>
      </c>
      <c r="W4" s="4866" t="s">
        <v>1250</v>
      </c>
      <c r="X4" s="4916"/>
      <c r="Y4" s="4916"/>
      <c r="Z4" s="2522"/>
    </row>
    <row r="5" spans="1:41" ht="6" customHeight="1" thickBot="1"/>
    <row r="6" spans="1:41" s="1885" customFormat="1" ht="24" customHeight="1">
      <c r="A6" s="48"/>
      <c r="B6" s="3013" t="s">
        <v>1207</v>
      </c>
      <c r="C6" s="3012"/>
      <c r="D6" s="3012"/>
      <c r="E6" s="3012"/>
      <c r="F6" s="3012"/>
      <c r="G6" s="3011" t="s">
        <v>1700</v>
      </c>
      <c r="H6" s="4972"/>
      <c r="I6" s="4973"/>
      <c r="J6" s="2504">
        <v>1</v>
      </c>
      <c r="K6" s="4974"/>
      <c r="L6" s="4975"/>
      <c r="M6" s="2504">
        <v>1</v>
      </c>
      <c r="N6" s="4976"/>
      <c r="O6" s="4977"/>
      <c r="P6" s="2503">
        <f>M6*1.25</f>
        <v>1.25</v>
      </c>
      <c r="Q6" s="70"/>
    </row>
    <row r="7" spans="1:41" s="252" customFormat="1" ht="18.75" customHeight="1">
      <c r="A7" s="47"/>
      <c r="B7" s="2502" t="s">
        <v>1691</v>
      </c>
      <c r="C7" s="47"/>
      <c r="D7" s="47"/>
      <c r="E7" s="47"/>
      <c r="F7" s="47"/>
      <c r="G7" s="2501" t="s">
        <v>171</v>
      </c>
      <c r="H7" s="1881"/>
      <c r="I7" s="1880"/>
      <c r="J7" s="1614">
        <f>SUM(I9:I10)</f>
        <v>0</v>
      </c>
      <c r="K7" s="1883"/>
      <c r="L7" s="1882"/>
      <c r="M7" s="1617">
        <f>SUM(L9:L10)</f>
        <v>0</v>
      </c>
      <c r="N7" s="1881"/>
      <c r="O7" s="1880"/>
      <c r="P7" s="2415">
        <f>SUM(O9:O10)</f>
        <v>0</v>
      </c>
      <c r="Q7" s="2533"/>
    </row>
    <row r="8" spans="1:41" s="252" customFormat="1" ht="13.15" customHeight="1">
      <c r="A8" s="47"/>
      <c r="B8" s="2491"/>
      <c r="C8" s="1879"/>
      <c r="D8" s="1879"/>
      <c r="E8" s="1879"/>
      <c r="F8" s="1879"/>
      <c r="G8" s="2411" t="s">
        <v>228</v>
      </c>
      <c r="H8" s="2481" t="s">
        <v>172</v>
      </c>
      <c r="I8" s="2407" t="s">
        <v>171</v>
      </c>
      <c r="J8" s="1599"/>
      <c r="K8" s="2483" t="s">
        <v>172</v>
      </c>
      <c r="L8" s="2409" t="s">
        <v>171</v>
      </c>
      <c r="M8" s="1800"/>
      <c r="N8" s="2481" t="s">
        <v>172</v>
      </c>
      <c r="O8" s="2407" t="s">
        <v>171</v>
      </c>
      <c r="P8" s="2406"/>
      <c r="Q8" s="2533"/>
    </row>
    <row r="9" spans="1:41" s="252" customFormat="1" ht="16.5" customHeight="1">
      <c r="A9" s="47"/>
      <c r="B9" s="2417"/>
      <c r="C9" s="45" t="s">
        <v>1690</v>
      </c>
      <c r="D9" s="47"/>
      <c r="E9" s="47"/>
      <c r="F9" s="47"/>
      <c r="G9" s="1794"/>
      <c r="H9" s="1877">
        <f>J6-H10</f>
        <v>0.75</v>
      </c>
      <c r="I9" s="1873">
        <f>H9*G9</f>
        <v>0</v>
      </c>
      <c r="J9" s="43"/>
      <c r="K9" s="1876">
        <f>M6-K10</f>
        <v>0.75</v>
      </c>
      <c r="L9" s="1875">
        <f>K9*G9</f>
        <v>0</v>
      </c>
      <c r="M9" s="1854"/>
      <c r="N9" s="1874">
        <f>P6-N10</f>
        <v>0.9375</v>
      </c>
      <c r="O9" s="1873">
        <f>N9*G9</f>
        <v>0</v>
      </c>
      <c r="P9" s="273"/>
      <c r="Q9" s="2533"/>
      <c r="R9" s="935"/>
      <c r="S9" s="265" t="s">
        <v>1265</v>
      </c>
      <c r="T9" s="1872"/>
    </row>
    <row r="10" spans="1:41" s="1842" customFormat="1" ht="15" customHeight="1">
      <c r="A10" s="377"/>
      <c r="B10" s="2120"/>
      <c r="C10" s="281" t="s">
        <v>1689</v>
      </c>
      <c r="D10" s="1851"/>
      <c r="E10" s="4952" t="s">
        <v>1710</v>
      </c>
      <c r="F10" s="4953"/>
      <c r="G10" s="1871"/>
      <c r="H10" s="1866">
        <f>J6*0.25</f>
        <v>0.25</v>
      </c>
      <c r="I10" s="1865">
        <f>H10*G10</f>
        <v>0</v>
      </c>
      <c r="K10" s="1869">
        <f>M6*25%</f>
        <v>0.25</v>
      </c>
      <c r="L10" s="1868">
        <f>K10*G10</f>
        <v>0</v>
      </c>
      <c r="M10" s="1867"/>
      <c r="N10" s="1866">
        <f>P6*25%</f>
        <v>0.3125</v>
      </c>
      <c r="O10" s="1865">
        <f>N10*G10</f>
        <v>0</v>
      </c>
      <c r="P10" s="2500"/>
      <c r="Q10" s="2533"/>
      <c r="R10" s="1863">
        <f>I10+I11+I12</f>
        <v>0</v>
      </c>
      <c r="S10" s="1862">
        <f>L10+L11+L12</f>
        <v>0</v>
      </c>
      <c r="T10" s="1861">
        <f>O10+O11+O12</f>
        <v>0</v>
      </c>
      <c r="W10" s="252" t="s">
        <v>1254</v>
      </c>
    </row>
    <row r="11" spans="1:41" s="1842" customFormat="1" ht="15" customHeight="1">
      <c r="A11" s="377"/>
      <c r="B11" s="275"/>
      <c r="C11" s="45" t="s">
        <v>1253</v>
      </c>
      <c r="D11" s="377"/>
      <c r="E11" s="2499">
        <v>0.8</v>
      </c>
      <c r="F11" s="45" t="s">
        <v>1252</v>
      </c>
      <c r="G11" s="1859">
        <f>SDÖ1!$O$51</f>
        <v>11.333333333333336</v>
      </c>
      <c r="H11" s="1858">
        <f>IF($T$3=FALSE,0,J6*$E$11)</f>
        <v>0</v>
      </c>
      <c r="I11" s="1852">
        <f>H11*$G$11</f>
        <v>0</v>
      </c>
      <c r="J11" s="1857"/>
      <c r="K11" s="1856">
        <f>IF($T$3=FALSE,0,M6*$E$11)</f>
        <v>0</v>
      </c>
      <c r="L11" s="1855">
        <f>K11*$G$11</f>
        <v>0</v>
      </c>
      <c r="M11" s="1854"/>
      <c r="N11" s="1853">
        <f>IF($T$3=FALSE,0,P6*$E$11)</f>
        <v>0</v>
      </c>
      <c r="O11" s="1852">
        <f>N11*$G$11</f>
        <v>0</v>
      </c>
      <c r="P11" s="273"/>
      <c r="Q11" s="2533"/>
      <c r="W11" s="1842" t="s">
        <v>1251</v>
      </c>
    </row>
    <row r="12" spans="1:41" s="1842" customFormat="1" ht="15" customHeight="1">
      <c r="A12" s="377"/>
      <c r="B12" s="2120"/>
      <c r="C12" s="281" t="s">
        <v>1250</v>
      </c>
      <c r="D12" s="1851"/>
      <c r="E12" s="1850"/>
      <c r="F12" s="281" t="s">
        <v>1249</v>
      </c>
      <c r="G12" s="1849"/>
      <c r="H12" s="1848"/>
      <c r="I12" s="1843">
        <f>IF(T4=TRUE,L12*(J6/M6),0)</f>
        <v>0</v>
      </c>
      <c r="J12" s="1847"/>
      <c r="K12" s="1844"/>
      <c r="L12" s="1846"/>
      <c r="M12" s="1845">
        <f>IF(AND(L12&gt;0,T4=FALSE),"keine Angabe bei M4 ?",0)</f>
        <v>0</v>
      </c>
      <c r="N12" s="1844"/>
      <c r="O12" s="1843">
        <f>IF(T4=TRUE,L12*(P6/M6),0)</f>
        <v>0</v>
      </c>
      <c r="P12" s="273"/>
      <c r="Q12" s="2533"/>
    </row>
    <row r="13" spans="1:41" s="252" customFormat="1" ht="18.75" customHeight="1">
      <c r="A13" s="47"/>
      <c r="B13" s="2417" t="s">
        <v>1688</v>
      </c>
      <c r="C13" s="47"/>
      <c r="D13" s="2498"/>
      <c r="E13" s="2498"/>
      <c r="F13" s="2498"/>
      <c r="G13" s="2497" t="s">
        <v>171</v>
      </c>
      <c r="H13" s="1926"/>
      <c r="I13" s="1823"/>
      <c r="J13" s="1614" t="e">
        <f>SUM(I14:I18)</f>
        <v>#REF!</v>
      </c>
      <c r="K13" s="1927"/>
      <c r="L13" s="1825"/>
      <c r="M13" s="1617" t="e">
        <f>SUM(L14:L18)</f>
        <v>#REF!</v>
      </c>
      <c r="N13" s="1926"/>
      <c r="O13" s="1823"/>
      <c r="P13" s="2415" t="e">
        <f>SUM(O14:O18)</f>
        <v>#REF!</v>
      </c>
      <c r="Q13" s="2533"/>
      <c r="R13" s="136"/>
      <c r="W13" s="1840" t="s">
        <v>1247</v>
      </c>
      <c r="X13" s="1838" t="str">
        <f>IF(OR(T3=TRUE,T4=TRUE),J6*$E$11,"0")</f>
        <v>0</v>
      </c>
      <c r="Y13" s="1839" t="str">
        <f>IF(OR(T3=TRUE,T4=TRUE),M6*$E$11,"0")</f>
        <v>0</v>
      </c>
      <c r="Z13" s="1838" t="str">
        <f>IF(OR(T3=TRUE,T4=TRUE),P6*$E$11,"0")</f>
        <v>0</v>
      </c>
    </row>
    <row r="14" spans="1:41" s="42" customFormat="1" ht="15" customHeight="1">
      <c r="A14" s="45"/>
      <c r="B14" s="2495"/>
      <c r="C14" s="4944" t="s">
        <v>1422</v>
      </c>
      <c r="D14" s="4944"/>
      <c r="E14" s="4944"/>
      <c r="F14" s="4944"/>
      <c r="G14" s="1837"/>
      <c r="H14" s="2531"/>
      <c r="I14" s="1817" t="e">
        <f>IF(R14=TRUE,Q14,0)</f>
        <v>#REF!</v>
      </c>
      <c r="K14" s="2531"/>
      <c r="L14" s="1671" t="e">
        <f>IF(S14=TRUE,Q14,0)</f>
        <v>#REF!</v>
      </c>
      <c r="M14" s="2404"/>
      <c r="N14" s="2531"/>
      <c r="O14" s="1817" t="e">
        <f>IF(T14=TRUE,Q14,0)</f>
        <v>#REF!</v>
      </c>
      <c r="P14" s="2403"/>
      <c r="Q14" s="1835" t="e">
        <f>IF(C14=0,0,VLOOKUP(C14,#REF!,10,FALSE))</f>
        <v>#REF!</v>
      </c>
      <c r="R14" s="1925" t="b">
        <v>1</v>
      </c>
      <c r="S14" s="1924" t="b">
        <v>1</v>
      </c>
      <c r="T14" s="1923" t="b">
        <v>1</v>
      </c>
      <c r="W14" s="42" t="s">
        <v>246</v>
      </c>
      <c r="X14" s="1834">
        <f>$X$13*F30</f>
        <v>0</v>
      </c>
      <c r="Y14" s="1834">
        <f>$Y$13*F30</f>
        <v>0</v>
      </c>
      <c r="Z14" s="1834">
        <f>$Z$13*F30</f>
        <v>0</v>
      </c>
    </row>
    <row r="15" spans="1:41" s="42" customFormat="1" ht="15" customHeight="1">
      <c r="A15" s="45"/>
      <c r="B15" s="2495"/>
      <c r="C15" s="4944"/>
      <c r="D15" s="4944"/>
      <c r="E15" s="4944"/>
      <c r="F15" s="4944"/>
      <c r="G15" s="1837"/>
      <c r="H15" s="2531"/>
      <c r="I15" s="1817">
        <f>IF(R15=TRUE,Q15,0)</f>
        <v>0</v>
      </c>
      <c r="J15" s="64"/>
      <c r="K15" s="2531"/>
      <c r="L15" s="1671">
        <f>IF(S15=TRUE,Q15,0)</f>
        <v>0</v>
      </c>
      <c r="M15" s="2404"/>
      <c r="N15" s="2531"/>
      <c r="O15" s="1817">
        <f>IF(T15=TRUE,Q15,0)</f>
        <v>0</v>
      </c>
      <c r="P15" s="2403"/>
      <c r="Q15" s="1835">
        <f>IF(C15=0,0,VLOOKUP(C15,#REF!,10,FALSE))</f>
        <v>0</v>
      </c>
      <c r="R15" s="1922" t="b">
        <v>0</v>
      </c>
      <c r="S15" s="1918" t="b">
        <v>0</v>
      </c>
      <c r="T15" s="1921" t="b">
        <v>0</v>
      </c>
      <c r="W15" s="42" t="s">
        <v>1054</v>
      </c>
      <c r="X15" s="1834">
        <f>$X$13*F31</f>
        <v>0</v>
      </c>
      <c r="Y15" s="1834">
        <f>$Y$13*F31</f>
        <v>0</v>
      </c>
      <c r="Z15" s="1834">
        <f>$Z$13*F31</f>
        <v>0</v>
      </c>
    </row>
    <row r="16" spans="1:41" s="42" customFormat="1" ht="15" customHeight="1">
      <c r="A16" s="45"/>
      <c r="B16" s="2495">
        <v>0</v>
      </c>
      <c r="C16" s="4944">
        <v>0</v>
      </c>
      <c r="D16" s="4944"/>
      <c r="E16" s="4944"/>
      <c r="F16" s="4944"/>
      <c r="G16" s="1837"/>
      <c r="H16" s="2531"/>
      <c r="I16" s="1817">
        <f>IF(R16=TRUE,Q16,0)</f>
        <v>0</v>
      </c>
      <c r="K16" s="2531"/>
      <c r="L16" s="1671">
        <f>IF(S16=TRUE,Q16,0)</f>
        <v>0</v>
      </c>
      <c r="M16" s="2404"/>
      <c r="N16" s="2531"/>
      <c r="O16" s="1817">
        <f>IF(T16=TRUE,Q16,0)</f>
        <v>0</v>
      </c>
      <c r="P16" s="2403"/>
      <c r="Q16" s="1835">
        <f>IF(C16=0,0,VLOOKUP(C16,#REF!,10,FALSE))</f>
        <v>0</v>
      </c>
      <c r="R16" s="1922" t="b">
        <v>0</v>
      </c>
      <c r="S16" s="1918" t="b">
        <v>0</v>
      </c>
      <c r="T16" s="1921" t="b">
        <v>0</v>
      </c>
      <c r="W16" s="42" t="s">
        <v>1053</v>
      </c>
      <c r="X16" s="1834">
        <f>$X$13*F32</f>
        <v>0</v>
      </c>
      <c r="Y16" s="1834">
        <f>$Y$13*F32</f>
        <v>0</v>
      </c>
      <c r="Z16" s="1834">
        <f>$Z$13*F32</f>
        <v>0</v>
      </c>
    </row>
    <row r="17" spans="1:26" s="42" customFormat="1" ht="15" customHeight="1">
      <c r="A17" s="45"/>
      <c r="B17" s="2495"/>
      <c r="C17" s="4944">
        <v>0</v>
      </c>
      <c r="D17" s="4944"/>
      <c r="E17" s="4944"/>
      <c r="F17" s="4944"/>
      <c r="G17" s="1837"/>
      <c r="H17" s="2531"/>
      <c r="I17" s="1817">
        <f>IF(R17=TRUE,Q17,0)</f>
        <v>0</v>
      </c>
      <c r="K17" s="2531"/>
      <c r="L17" s="1671">
        <f>IF(S17=TRUE,Q17,0)</f>
        <v>0</v>
      </c>
      <c r="M17" s="2404"/>
      <c r="N17" s="2531"/>
      <c r="O17" s="1817">
        <f>IF(T17=TRUE,Q17,0)</f>
        <v>0</v>
      </c>
      <c r="P17" s="2403"/>
      <c r="Q17" s="1835">
        <f>IF(C17=0,0,VLOOKUP(C17,#REF!,10,FALSE))</f>
        <v>0</v>
      </c>
      <c r="R17" s="1922" t="b">
        <v>0</v>
      </c>
      <c r="S17" s="1918" t="b">
        <v>0</v>
      </c>
      <c r="T17" s="1921" t="b">
        <v>0</v>
      </c>
      <c r="W17" s="42" t="s">
        <v>240</v>
      </c>
      <c r="X17" s="1834">
        <f>$X$13*F33</f>
        <v>0</v>
      </c>
      <c r="Y17" s="1834">
        <f>$Y$13*F33</f>
        <v>0</v>
      </c>
      <c r="Z17" s="1834">
        <f>$Z$13*F33</f>
        <v>0</v>
      </c>
    </row>
    <row r="18" spans="1:26" s="42" customFormat="1" ht="15" customHeight="1">
      <c r="A18" s="45"/>
      <c r="B18" s="2429"/>
      <c r="C18" s="1833"/>
      <c r="D18" s="281"/>
      <c r="E18" s="281"/>
      <c r="F18" s="281"/>
      <c r="G18" s="1812"/>
      <c r="H18" s="1829"/>
      <c r="I18" s="1832">
        <f>IF($R18=TRUE,IF(G18=0,0,LOOKUP($G$18,#REF!)),0)</f>
        <v>0</v>
      </c>
      <c r="J18" s="281"/>
      <c r="K18" s="1829"/>
      <c r="L18" s="1831">
        <f>IF($S18=TRUE,IF(G18=0,0,LOOKUP($G$18,#REF!)),0)</f>
        <v>0</v>
      </c>
      <c r="M18" s="1830"/>
      <c r="N18" s="1829"/>
      <c r="O18" s="1828">
        <f>IF($T18=TRUE,IF(G18=0,0,LOOKUP($G$18,#REF!)),0)</f>
        <v>0</v>
      </c>
      <c r="P18" s="3010"/>
      <c r="Q18" s="1835">
        <f>IF(C18=0,0,VLOOKUP(C18,#REF!,10,FALSE))</f>
        <v>0</v>
      </c>
      <c r="R18" s="3009" t="b">
        <v>0</v>
      </c>
      <c r="S18" s="3008" t="b">
        <v>0</v>
      </c>
      <c r="T18" s="1893" t="b">
        <v>0</v>
      </c>
    </row>
    <row r="19" spans="1:26" s="2532" customFormat="1" ht="18.75" customHeight="1">
      <c r="A19" s="47"/>
      <c r="B19" s="2417" t="s">
        <v>1687</v>
      </c>
      <c r="C19" s="47"/>
      <c r="D19" s="47"/>
      <c r="E19" s="47"/>
      <c r="F19" s="47"/>
      <c r="G19" s="229" t="s">
        <v>171</v>
      </c>
      <c r="H19" s="1824"/>
      <c r="I19" s="1823"/>
      <c r="J19" s="1614" t="e">
        <f>SUM(I20:I21)</f>
        <v>#REF!</v>
      </c>
      <c r="K19" s="1826"/>
      <c r="L19" s="1825"/>
      <c r="M19" s="1617" t="e">
        <f>SUM(L20:L21)</f>
        <v>#REF!</v>
      </c>
      <c r="N19" s="1824"/>
      <c r="O19" s="1823"/>
      <c r="P19" s="2415" t="e">
        <f>SUM(O20:O21)</f>
        <v>#REF!</v>
      </c>
      <c r="Q19" s="2533"/>
      <c r="R19" s="715" t="s">
        <v>1245</v>
      </c>
      <c r="S19" s="376"/>
      <c r="T19" s="1822"/>
    </row>
    <row r="20" spans="1:26" s="42" customFormat="1" ht="15" customHeight="1">
      <c r="A20" s="45"/>
      <c r="B20" s="2495"/>
      <c r="C20" s="4944" t="s">
        <v>286</v>
      </c>
      <c r="D20" s="4944"/>
      <c r="E20" s="4944"/>
      <c r="F20" s="4944"/>
      <c r="G20" s="1820"/>
      <c r="H20" s="1818"/>
      <c r="I20" s="1817" t="e">
        <f>IF(OR($C20=0,$J$6=0),0,VLOOKUP($C20,#REF!,10,FALSE))</f>
        <v>#REF!</v>
      </c>
      <c r="K20" s="1819"/>
      <c r="L20" s="1671" t="e">
        <f>IF($C20=0,0,VLOOKUP($C20,#REF!,10,FALSE))</f>
        <v>#REF!</v>
      </c>
      <c r="M20" s="2404"/>
      <c r="N20" s="1818"/>
      <c r="O20" s="1817" t="e">
        <f>IF(OR($C20=0,$P$6=0),0,VLOOKUP($C20,#REF!,10,FALSE))</f>
        <v>#REF!</v>
      </c>
      <c r="P20" s="2403"/>
      <c r="Q20" s="2533"/>
      <c r="R20" s="1816" t="e">
        <f>J13+J19</f>
        <v>#REF!</v>
      </c>
      <c r="S20" s="1815" t="e">
        <f>M13+M19</f>
        <v>#REF!</v>
      </c>
      <c r="T20" s="1814" t="e">
        <f>P13+P19</f>
        <v>#REF!</v>
      </c>
    </row>
    <row r="21" spans="1:26" s="42" customFormat="1" ht="0.75" customHeight="1">
      <c r="A21" s="45"/>
      <c r="B21" s="2494"/>
      <c r="C21" s="4945"/>
      <c r="D21" s="4945"/>
      <c r="E21" s="4945"/>
      <c r="F21" s="4945"/>
      <c r="G21" s="1812"/>
      <c r="H21" s="1810"/>
      <c r="I21" s="1809">
        <f>IF(OR($C21=0,$J$6=0),0,VLOOKUP($C21,#REF!,10,FALSE))</f>
        <v>0</v>
      </c>
      <c r="K21" s="1811"/>
      <c r="L21" s="1653">
        <f>IF(OR($C21=0,$M$6=0),0,VLOOKUP($C21,#REF!,10,FALSE))</f>
        <v>0</v>
      </c>
      <c r="M21" s="2404"/>
      <c r="N21" s="1810"/>
      <c r="O21" s="1809">
        <f>IF(OR($C21=0,$P$6=0),0,VLOOKUP($C21,#REF!,10,FALSE))</f>
        <v>0</v>
      </c>
      <c r="P21" s="2427"/>
      <c r="Q21" s="2533"/>
    </row>
    <row r="22" spans="1:26" ht="16.5" customHeight="1">
      <c r="A22" s="377"/>
      <c r="B22" s="2417" t="s">
        <v>901</v>
      </c>
      <c r="C22" s="45"/>
      <c r="D22" s="4946"/>
      <c r="E22" s="4946"/>
      <c r="F22" s="4946"/>
      <c r="G22" s="4947"/>
      <c r="H22" s="1804"/>
      <c r="I22" s="1803"/>
      <c r="J22" s="1802"/>
      <c r="K22" s="1806"/>
      <c r="L22" s="1805"/>
      <c r="M22" s="1802"/>
      <c r="N22" s="1804"/>
      <c r="O22" s="1803"/>
      <c r="P22" s="2493"/>
      <c r="R22" s="2533"/>
      <c r="S22" s="2533"/>
      <c r="T22" s="2533"/>
    </row>
    <row r="23" spans="1:26" ht="18.75" customHeight="1">
      <c r="A23" s="377"/>
      <c r="B23" s="2492" t="s">
        <v>222</v>
      </c>
      <c r="C23" s="1801"/>
      <c r="D23" s="1801"/>
      <c r="G23" s="2476" t="s">
        <v>171</v>
      </c>
      <c r="H23" s="1616"/>
      <c r="I23" s="1615"/>
      <c r="J23" s="1599">
        <f>SUM(I25:I26)</f>
        <v>0</v>
      </c>
      <c r="K23" s="1619"/>
      <c r="L23" s="1618"/>
      <c r="M23" s="1800">
        <f>SUM(L25:L26)</f>
        <v>0</v>
      </c>
      <c r="N23" s="1616"/>
      <c r="O23" s="1615"/>
      <c r="P23" s="2406">
        <f>SUM(O25:O26)</f>
        <v>0</v>
      </c>
      <c r="Q23" s="38"/>
    </row>
    <row r="24" spans="1:26" ht="13.15" customHeight="1">
      <c r="A24" s="377"/>
      <c r="B24" s="2491"/>
      <c r="C24" s="1612" t="s">
        <v>1212</v>
      </c>
      <c r="D24" s="1683">
        <f>SDÖ1!$O$10</f>
        <v>0</v>
      </c>
      <c r="E24" s="2490"/>
      <c r="F24" s="2411" t="s">
        <v>249</v>
      </c>
      <c r="G24" s="2434" t="s">
        <v>1211</v>
      </c>
      <c r="H24" s="2481" t="s">
        <v>1232</v>
      </c>
      <c r="I24" s="2407" t="s">
        <v>171</v>
      </c>
      <c r="J24" s="2489"/>
      <c r="K24" s="2483" t="s">
        <v>1232</v>
      </c>
      <c r="L24" s="2409" t="s">
        <v>171</v>
      </c>
      <c r="M24" s="2488"/>
      <c r="N24" s="2481" t="s">
        <v>1232</v>
      </c>
      <c r="O24" s="2407" t="s">
        <v>171</v>
      </c>
      <c r="P24" s="2471"/>
      <c r="R24" s="35" t="s">
        <v>1699</v>
      </c>
    </row>
    <row r="25" spans="1:26" s="42" customFormat="1" ht="15" customHeight="1">
      <c r="A25" s="1306"/>
      <c r="B25" s="2487"/>
      <c r="C25" s="1306" t="s">
        <v>1241</v>
      </c>
      <c r="D25" s="4851"/>
      <c r="E25" s="4852"/>
      <c r="F25" s="1795"/>
      <c r="G25" s="1794">
        <f>F25*(100+$D$24)/100</f>
        <v>0</v>
      </c>
      <c r="H25" s="1793"/>
      <c r="I25" s="1754">
        <f>H25*$G25</f>
        <v>0</v>
      </c>
      <c r="K25" s="1793"/>
      <c r="L25" s="1596">
        <f>K25*$G25</f>
        <v>0</v>
      </c>
      <c r="M25" s="2404"/>
      <c r="N25" s="1793"/>
      <c r="O25" s="1754">
        <f>N25*$G25</f>
        <v>0</v>
      </c>
      <c r="P25" s="2449"/>
      <c r="Q25" s="2533"/>
      <c r="R25" s="42" t="s">
        <v>1940</v>
      </c>
    </row>
    <row r="26" spans="1:26" s="42" customFormat="1" ht="15" customHeight="1">
      <c r="A26" s="1306"/>
      <c r="B26" s="2419"/>
      <c r="C26" s="2508" t="s">
        <v>191</v>
      </c>
      <c r="D26" s="4853"/>
      <c r="E26" s="4854"/>
      <c r="F26" s="1791"/>
      <c r="G26" s="1790">
        <f>F26*(100+$D$24)/100</f>
        <v>0</v>
      </c>
      <c r="H26" s="1789"/>
      <c r="I26" s="1750">
        <f>H26*$G26</f>
        <v>0</v>
      </c>
      <c r="K26" s="1789"/>
      <c r="L26" s="1590">
        <f>K26*$G26</f>
        <v>0</v>
      </c>
      <c r="M26" s="2404"/>
      <c r="N26" s="1789"/>
      <c r="O26" s="1750">
        <f>N26*$G26</f>
        <v>0</v>
      </c>
      <c r="P26" s="2466"/>
      <c r="Q26" s="2533"/>
    </row>
    <row r="27" spans="1:26" s="2532" customFormat="1" ht="18.75" customHeight="1">
      <c r="A27" s="1270"/>
      <c r="B27" s="2465" t="s">
        <v>221</v>
      </c>
      <c r="C27" s="1270"/>
      <c r="D27" s="2486" t="str">
        <f>IF(SDÖ1!U17=FALSE,"(Nährstoffabfuhr nicht bewertet)","(Nährstoffabfuhr bewertet)")</f>
        <v>(Nährstoffabfuhr bewertet)</v>
      </c>
      <c r="E27" s="2533"/>
      <c r="F27" s="2533"/>
      <c r="G27" s="2476" t="s">
        <v>171</v>
      </c>
      <c r="H27" s="1746"/>
      <c r="I27" s="1745"/>
      <c r="J27" s="1614">
        <f>SUM(I30:I33)</f>
        <v>0</v>
      </c>
      <c r="K27" s="1748"/>
      <c r="L27" s="1747"/>
      <c r="M27" s="1617">
        <f>SUM(L30:L33)</f>
        <v>0</v>
      </c>
      <c r="N27" s="1746"/>
      <c r="O27" s="1745"/>
      <c r="P27" s="2415">
        <f>SUM(O30:O33)</f>
        <v>0</v>
      </c>
      <c r="Q27" s="2533"/>
    </row>
    <row r="28" spans="1:26" s="2532" customFormat="1" ht="13.7" customHeight="1">
      <c r="A28" s="1270"/>
      <c r="B28" s="2459"/>
      <c r="C28" s="2535"/>
      <c r="D28" s="1786" t="s">
        <v>1075</v>
      </c>
      <c r="E28" s="1786" t="s">
        <v>1239</v>
      </c>
      <c r="F28" s="1786" t="s">
        <v>1239</v>
      </c>
      <c r="G28" s="1785" t="s">
        <v>1238</v>
      </c>
      <c r="H28" s="1745"/>
      <c r="I28" s="1782"/>
      <c r="J28" s="2536"/>
      <c r="K28" s="1748"/>
      <c r="L28" s="1678"/>
      <c r="M28" s="1783"/>
      <c r="N28" s="1746"/>
      <c r="O28" s="1782"/>
      <c r="P28" s="2406"/>
      <c r="Q28" s="2533"/>
    </row>
    <row r="29" spans="1:26" s="2532" customFormat="1" ht="15" customHeight="1">
      <c r="A29" s="1270"/>
      <c r="B29" s="2485"/>
      <c r="C29" s="1307" t="s">
        <v>1237</v>
      </c>
      <c r="D29" s="2412" t="s">
        <v>908</v>
      </c>
      <c r="E29" s="2412" t="s">
        <v>1236</v>
      </c>
      <c r="F29" s="2412" t="s">
        <v>1235</v>
      </c>
      <c r="G29" s="2412" t="s">
        <v>909</v>
      </c>
      <c r="H29" s="2481" t="s">
        <v>909</v>
      </c>
      <c r="I29" s="2407" t="s">
        <v>171</v>
      </c>
      <c r="J29" s="2484"/>
      <c r="K29" s="2483" t="s">
        <v>909</v>
      </c>
      <c r="L29" s="2409" t="s">
        <v>171</v>
      </c>
      <c r="M29" s="2482"/>
      <c r="N29" s="2481" t="s">
        <v>909</v>
      </c>
      <c r="O29" s="2407" t="s">
        <v>171</v>
      </c>
      <c r="P29" s="2480"/>
      <c r="Q29" s="2533"/>
    </row>
    <row r="30" spans="1:26" s="42" customFormat="1" ht="15" customHeight="1">
      <c r="A30" s="1306"/>
      <c r="B30" s="2479"/>
      <c r="C30" s="1775" t="s">
        <v>246</v>
      </c>
      <c r="D30" s="1723">
        <f>IF(SDÖ1!$U$17=TRUE,SDÖ1!O55,0)</f>
        <v>4.5333333333333332</v>
      </c>
      <c r="E30" s="2478"/>
      <c r="F30" s="2478"/>
      <c r="G30" s="1773"/>
      <c r="H30" s="1771">
        <f>IF(J$6=0,0,(J$6*$E30+$G30+X14))</f>
        <v>0</v>
      </c>
      <c r="I30" s="1754">
        <f>H30*$D30</f>
        <v>0</v>
      </c>
      <c r="K30" s="1772">
        <f>IF(M$6=0,0,(M$6*$E30+$G30+Y14))</f>
        <v>0</v>
      </c>
      <c r="L30" s="1596">
        <f>K30*$D30</f>
        <v>0</v>
      </c>
      <c r="M30" s="2404"/>
      <c r="N30" s="1771">
        <f>IF(P$6=0,0,(P$6*$E30+$G30+Z14))</f>
        <v>0</v>
      </c>
      <c r="O30" s="1754">
        <f>N30*$D30</f>
        <v>0</v>
      </c>
      <c r="P30" s="2449"/>
      <c r="Q30" s="2533"/>
    </row>
    <row r="31" spans="1:26" s="42" customFormat="1" ht="15" customHeight="1">
      <c r="A31" s="1306"/>
      <c r="B31" s="275"/>
      <c r="C31" s="1306" t="s">
        <v>244</v>
      </c>
      <c r="D31" s="1723">
        <f>IF(SDÖ1!$U$17=TRUE,SDÖ1!O56,0)</f>
        <v>1.3999999999999997</v>
      </c>
      <c r="E31" s="2478"/>
      <c r="F31" s="2478"/>
      <c r="G31" s="1773"/>
      <c r="H31" s="1771">
        <f>IF(J$6=0,0,(J$6*$E31+$G31+X15))</f>
        <v>0</v>
      </c>
      <c r="I31" s="1754">
        <f>H31*$D31</f>
        <v>0</v>
      </c>
      <c r="K31" s="1772">
        <f>IF(M$6=0,0,(M$6*$E31+$G31+Y15))</f>
        <v>0</v>
      </c>
      <c r="L31" s="1596">
        <f>K31*$D31</f>
        <v>0</v>
      </c>
      <c r="M31" s="2404"/>
      <c r="N31" s="1771">
        <f>IF(P$6=0,0,(P$6*$E31+$G31+Z15))</f>
        <v>0</v>
      </c>
      <c r="O31" s="1754">
        <f>N31*$D31</f>
        <v>0</v>
      </c>
      <c r="P31" s="2449"/>
      <c r="Q31" s="2533"/>
    </row>
    <row r="32" spans="1:26" s="42" customFormat="1" ht="15" customHeight="1">
      <c r="A32" s="1306"/>
      <c r="B32" s="275"/>
      <c r="C32" s="1306" t="s">
        <v>242</v>
      </c>
      <c r="D32" s="1723">
        <f>IF(SDÖ1!$U$17=TRUE,SDÖ1!O57,0)</f>
        <v>1.3999999999999997</v>
      </c>
      <c r="E32" s="2478"/>
      <c r="F32" s="2478"/>
      <c r="G32" s="1773"/>
      <c r="H32" s="1771">
        <f>IF(J$6=0,0,(J$6*$E32+$G32+X16))</f>
        <v>0</v>
      </c>
      <c r="I32" s="1754">
        <f>H32*$D32</f>
        <v>0</v>
      </c>
      <c r="K32" s="1772">
        <f>IF(M$6=0,0,(M$6*$E32+$G32+Y16))</f>
        <v>0</v>
      </c>
      <c r="L32" s="1596">
        <f>K32*$D32</f>
        <v>0</v>
      </c>
      <c r="M32" s="2404"/>
      <c r="N32" s="1771">
        <f>IF(P$6=0,0,(P$6*$E32+$G32+Z16))</f>
        <v>0</v>
      </c>
      <c r="O32" s="1754">
        <f>N32*$D32</f>
        <v>0</v>
      </c>
      <c r="P32" s="2449"/>
      <c r="Q32" s="2533"/>
    </row>
    <row r="33" spans="1:17" s="42" customFormat="1" ht="15" customHeight="1">
      <c r="A33" s="1306"/>
      <c r="B33" s="2120"/>
      <c r="C33" s="1331" t="s">
        <v>240</v>
      </c>
      <c r="D33" s="1706">
        <f>IF(SDÖ1!$U$17=TRUE,SDÖ1!O58,0)</f>
        <v>0.5</v>
      </c>
      <c r="E33" s="2477"/>
      <c r="F33" s="2477"/>
      <c r="G33" s="1769"/>
      <c r="H33" s="1767">
        <f>IF(J$6=0,0,(J$6*$E33+$G33+X17))</f>
        <v>0</v>
      </c>
      <c r="I33" s="1750">
        <f>H33*$D33</f>
        <v>0</v>
      </c>
      <c r="K33" s="1768">
        <f>IF(M$6=0,0,(M$6*$E33+$G33+Y17))</f>
        <v>0</v>
      </c>
      <c r="L33" s="1590">
        <f>K33*$D33</f>
        <v>0</v>
      </c>
      <c r="M33" s="2404"/>
      <c r="N33" s="1767">
        <f>IF(P$6=0,0,(P$6*$E33+$G33+Z17))</f>
        <v>0</v>
      </c>
      <c r="O33" s="1750">
        <f>N33*$D33</f>
        <v>0</v>
      </c>
      <c r="P33" s="2466"/>
      <c r="Q33" s="2533"/>
    </row>
    <row r="34" spans="1:17" s="2532" customFormat="1" ht="18.75" customHeight="1">
      <c r="A34" s="1270"/>
      <c r="B34" s="2420" t="s">
        <v>220</v>
      </c>
      <c r="C34" s="1270"/>
      <c r="G34" s="2476" t="s">
        <v>171</v>
      </c>
      <c r="H34" s="1764"/>
      <c r="I34" s="1763"/>
      <c r="J34" s="1614">
        <f>SUM(I36:I42)</f>
        <v>0</v>
      </c>
      <c r="K34" s="1766"/>
      <c r="L34" s="1765"/>
      <c r="M34" s="1617">
        <f>SUM(L36:L42)</f>
        <v>0</v>
      </c>
      <c r="N34" s="1764"/>
      <c r="O34" s="1763"/>
      <c r="P34" s="2415">
        <f>SUM(O36:O42)</f>
        <v>0</v>
      </c>
      <c r="Q34" s="2533"/>
    </row>
    <row r="35" spans="1:17" s="2532" customFormat="1" ht="13.15" customHeight="1">
      <c r="A35" s="1270"/>
      <c r="B35" s="2414"/>
      <c r="C35" s="1612" t="s">
        <v>1212</v>
      </c>
      <c r="D35" s="1683">
        <f>SDÖ1!$O$11</f>
        <v>0</v>
      </c>
      <c r="E35" s="2413"/>
      <c r="F35" s="2411" t="s">
        <v>249</v>
      </c>
      <c r="G35" s="2434" t="s">
        <v>1211</v>
      </c>
      <c r="H35" s="2472" t="s">
        <v>1232</v>
      </c>
      <c r="I35" s="2407" t="s">
        <v>171</v>
      </c>
      <c r="J35" s="2475"/>
      <c r="K35" s="2474" t="s">
        <v>1232</v>
      </c>
      <c r="L35" s="2409" t="s">
        <v>171</v>
      </c>
      <c r="M35" s="2473"/>
      <c r="N35" s="2472" t="s">
        <v>1232</v>
      </c>
      <c r="O35" s="2407" t="s">
        <v>171</v>
      </c>
      <c r="P35" s="2406"/>
      <c r="Q35" s="2533"/>
    </row>
    <row r="36" spans="1:17" s="42" customFormat="1" ht="15" customHeight="1">
      <c r="A36" s="1306"/>
      <c r="B36" s="2405"/>
      <c r="C36" s="4958"/>
      <c r="D36" s="4958"/>
      <c r="E36" s="4959"/>
      <c r="F36" s="1756">
        <f>IF(C36=0,0,VLOOKUP(C36,SDÖ5!$C$6:$D$16,2,FALSE))</f>
        <v>0</v>
      </c>
      <c r="G36" s="1756">
        <f t="shared" ref="G36:G42" si="0">F36*(100+$D$35)/100</f>
        <v>0</v>
      </c>
      <c r="H36" s="2469"/>
      <c r="I36" s="1754">
        <f t="shared" ref="I36:I42" si="1">$G36*H36</f>
        <v>0</v>
      </c>
      <c r="K36" s="2469"/>
      <c r="L36" s="1596">
        <f t="shared" ref="L36:L42" si="2">$G36*K36</f>
        <v>0</v>
      </c>
      <c r="M36" s="2404"/>
      <c r="N36" s="2469"/>
      <c r="O36" s="1754">
        <f t="shared" ref="O36:O42" si="3">$G36*N36</f>
        <v>0</v>
      </c>
      <c r="P36" s="2471"/>
      <c r="Q36" s="2533"/>
    </row>
    <row r="37" spans="1:17" s="42" customFormat="1" ht="15" customHeight="1">
      <c r="A37" s="1306"/>
      <c r="B37" s="2405"/>
      <c r="C37" s="4956"/>
      <c r="D37" s="4956"/>
      <c r="E37" s="4957"/>
      <c r="F37" s="1756">
        <f>IF(C37=0,0,VLOOKUP(C37,SDÖ5!$C$6:$D$16,2,FALSE))</f>
        <v>0</v>
      </c>
      <c r="G37" s="1756">
        <f t="shared" si="0"/>
        <v>0</v>
      </c>
      <c r="H37" s="2469"/>
      <c r="I37" s="1754">
        <f t="shared" si="1"/>
        <v>0</v>
      </c>
      <c r="K37" s="2469"/>
      <c r="L37" s="1596">
        <f t="shared" si="2"/>
        <v>0</v>
      </c>
      <c r="M37" s="2404"/>
      <c r="N37" s="2469"/>
      <c r="O37" s="1754">
        <f t="shared" si="3"/>
        <v>0</v>
      </c>
      <c r="P37" s="2449"/>
      <c r="Q37" s="2533"/>
    </row>
    <row r="38" spans="1:17" s="42" customFormat="1" ht="15" customHeight="1">
      <c r="A38" s="1306"/>
      <c r="B38" s="2470"/>
      <c r="C38" s="4956"/>
      <c r="D38" s="4956"/>
      <c r="E38" s="4957"/>
      <c r="F38" s="1756">
        <f>IF(C38=0,0,VLOOKUP(C38,SDÖ5!$C$6:$D$16,2,FALSE))</f>
        <v>0</v>
      </c>
      <c r="G38" s="1756">
        <f t="shared" si="0"/>
        <v>0</v>
      </c>
      <c r="H38" s="2469"/>
      <c r="I38" s="1754">
        <f t="shared" si="1"/>
        <v>0</v>
      </c>
      <c r="K38" s="2469"/>
      <c r="L38" s="1596">
        <f t="shared" si="2"/>
        <v>0</v>
      </c>
      <c r="M38" s="2404"/>
      <c r="N38" s="2469"/>
      <c r="O38" s="1754">
        <f t="shared" si="3"/>
        <v>0</v>
      </c>
      <c r="P38" s="2449"/>
      <c r="Q38" s="2533"/>
    </row>
    <row r="39" spans="1:17" s="42" customFormat="1" ht="15" hidden="1" customHeight="1">
      <c r="A39" s="1306"/>
      <c r="B39" s="2405"/>
      <c r="C39" s="4956"/>
      <c r="D39" s="4956"/>
      <c r="E39" s="4957"/>
      <c r="F39" s="1756">
        <f>IF(C39=0,0,VLOOKUP(C39,SDÖ5!$C$6:$D$16,2,FALSE))</f>
        <v>0</v>
      </c>
      <c r="G39" s="1756">
        <f t="shared" si="0"/>
        <v>0</v>
      </c>
      <c r="H39" s="2469"/>
      <c r="I39" s="1754">
        <f t="shared" si="1"/>
        <v>0</v>
      </c>
      <c r="K39" s="2469"/>
      <c r="L39" s="1596">
        <f t="shared" si="2"/>
        <v>0</v>
      </c>
      <c r="M39" s="2404"/>
      <c r="N39" s="2469"/>
      <c r="O39" s="1754">
        <f t="shared" si="3"/>
        <v>0</v>
      </c>
      <c r="P39" s="2449"/>
      <c r="Q39" s="2533"/>
    </row>
    <row r="40" spans="1:17" s="42" customFormat="1" ht="15" hidden="1" customHeight="1">
      <c r="A40" s="1306"/>
      <c r="B40" s="2405"/>
      <c r="C40" s="4956"/>
      <c r="D40" s="4956"/>
      <c r="E40" s="4957"/>
      <c r="F40" s="1756">
        <f>IF(C40=0,0,VLOOKUP(C40,SDÖ5!$C$6:$D$16,2,FALSE))</f>
        <v>0</v>
      </c>
      <c r="G40" s="1756">
        <f t="shared" si="0"/>
        <v>0</v>
      </c>
      <c r="H40" s="2469"/>
      <c r="I40" s="1754">
        <f t="shared" si="1"/>
        <v>0</v>
      </c>
      <c r="K40" s="2469"/>
      <c r="L40" s="1596">
        <f t="shared" si="2"/>
        <v>0</v>
      </c>
      <c r="M40" s="2404"/>
      <c r="N40" s="2469"/>
      <c r="O40" s="1754">
        <f t="shared" si="3"/>
        <v>0</v>
      </c>
      <c r="P40" s="2449"/>
      <c r="Q40" s="2533"/>
    </row>
    <row r="41" spans="1:17" s="42" customFormat="1" ht="15" hidden="1" customHeight="1">
      <c r="A41" s="1306"/>
      <c r="B41" s="2405"/>
      <c r="C41" s="4956"/>
      <c r="D41" s="4956"/>
      <c r="E41" s="4957"/>
      <c r="F41" s="1756">
        <f>IF(C41=0,0,VLOOKUP(C41,SDÖ5!$C$6:$D$16,2,FALSE))</f>
        <v>0</v>
      </c>
      <c r="G41" s="1756">
        <f t="shared" si="0"/>
        <v>0</v>
      </c>
      <c r="H41" s="2469"/>
      <c r="I41" s="1754">
        <f t="shared" si="1"/>
        <v>0</v>
      </c>
      <c r="K41" s="2469"/>
      <c r="L41" s="1596">
        <f t="shared" si="2"/>
        <v>0</v>
      </c>
      <c r="M41" s="2404"/>
      <c r="N41" s="2469"/>
      <c r="O41" s="1754">
        <f t="shared" si="3"/>
        <v>0</v>
      </c>
      <c r="P41" s="2449"/>
      <c r="Q41" s="2533"/>
    </row>
    <row r="42" spans="1:17" s="42" customFormat="1" ht="15" hidden="1" customHeight="1">
      <c r="A42" s="1306"/>
      <c r="B42" s="2468"/>
      <c r="C42" s="4960"/>
      <c r="D42" s="4960"/>
      <c r="E42" s="4961"/>
      <c r="F42" s="1752">
        <f>IF(C42=0,0,VLOOKUP(C42,SDÖ5!$C$6:$D$16,2,FALSE))</f>
        <v>0</v>
      </c>
      <c r="G42" s="1752">
        <f t="shared" si="0"/>
        <v>0</v>
      </c>
      <c r="H42" s="2467"/>
      <c r="I42" s="1750">
        <f t="shared" si="1"/>
        <v>0</v>
      </c>
      <c r="K42" s="2467"/>
      <c r="L42" s="1590">
        <f t="shared" si="2"/>
        <v>0</v>
      </c>
      <c r="M42" s="2404"/>
      <c r="N42" s="2467"/>
      <c r="O42" s="1750">
        <f t="shared" si="3"/>
        <v>0</v>
      </c>
      <c r="P42" s="2466"/>
      <c r="Q42" s="2533"/>
    </row>
    <row r="43" spans="1:17" s="2532" customFormat="1" ht="18.75" customHeight="1">
      <c r="A43" s="1270"/>
      <c r="B43" s="2465" t="s">
        <v>1684</v>
      </c>
      <c r="C43" s="1376"/>
      <c r="D43" s="1376"/>
      <c r="E43" s="1376"/>
      <c r="F43" s="1376"/>
      <c r="G43" s="2464" t="s">
        <v>171</v>
      </c>
      <c r="H43" s="2461"/>
      <c r="I43" s="2460"/>
      <c r="J43" s="1614">
        <f>SUM(J46:J57)</f>
        <v>0</v>
      </c>
      <c r="K43" s="2463"/>
      <c r="L43" s="2462"/>
      <c r="M43" s="1617">
        <f>SUM(M46:M57)</f>
        <v>0</v>
      </c>
      <c r="N43" s="2461"/>
      <c r="O43" s="2460"/>
      <c r="P43" s="2415">
        <f>SUM(P46:P57)</f>
        <v>0</v>
      </c>
      <c r="Q43" s="2533"/>
    </row>
    <row r="44" spans="1:17" s="42" customFormat="1" ht="15" customHeight="1">
      <c r="A44" s="1306"/>
      <c r="B44" s="2459"/>
      <c r="C44" s="1306" t="s">
        <v>1230</v>
      </c>
      <c r="D44" s="1306"/>
      <c r="E44" s="1744" t="s">
        <v>519</v>
      </c>
      <c r="F44" s="1743" t="s">
        <v>1229</v>
      </c>
      <c r="G44" s="1742"/>
      <c r="H44" s="374" t="s">
        <v>1228</v>
      </c>
      <c r="I44" s="1738" t="s">
        <v>1227</v>
      </c>
      <c r="J44" s="1737"/>
      <c r="K44" s="1741" t="s">
        <v>1228</v>
      </c>
      <c r="L44" s="1740" t="s">
        <v>1227</v>
      </c>
      <c r="M44" s="1739"/>
      <c r="N44" s="374" t="s">
        <v>1228</v>
      </c>
      <c r="O44" s="1738" t="s">
        <v>1227</v>
      </c>
      <c r="P44" s="2458"/>
      <c r="Q44" s="2533"/>
    </row>
    <row r="45" spans="1:17" s="42" customFormat="1" ht="15" customHeight="1">
      <c r="A45" s="1306"/>
      <c r="B45" s="2457"/>
      <c r="C45" s="2456"/>
      <c r="D45" s="1736"/>
      <c r="E45" s="1607" t="s">
        <v>1683</v>
      </c>
      <c r="F45" s="2412" t="s">
        <v>1225</v>
      </c>
      <c r="G45" s="2412" t="s">
        <v>612</v>
      </c>
      <c r="H45" s="1732" t="s">
        <v>1224</v>
      </c>
      <c r="I45" s="2411" t="s">
        <v>114</v>
      </c>
      <c r="J45" s="2455" t="s">
        <v>171</v>
      </c>
      <c r="K45" s="1735" t="s">
        <v>1224</v>
      </c>
      <c r="L45" s="2454" t="s">
        <v>114</v>
      </c>
      <c r="M45" s="2453" t="s">
        <v>171</v>
      </c>
      <c r="N45" s="1732" t="s">
        <v>1224</v>
      </c>
      <c r="O45" s="2411" t="s">
        <v>114</v>
      </c>
      <c r="P45" s="2452" t="s">
        <v>171</v>
      </c>
      <c r="Q45" s="2533"/>
    </row>
    <row r="46" spans="1:17" s="42" customFormat="1" ht="15" customHeight="1">
      <c r="A46" s="1306"/>
      <c r="B46" s="2451"/>
      <c r="C46" s="4962"/>
      <c r="D46" s="4963"/>
      <c r="E46" s="1725">
        <f>IF($C46=0,0,VLOOKUP($C46,SDÖ3!$C$24:$N$101,4,FALSE))</f>
        <v>0</v>
      </c>
      <c r="F46" s="1724">
        <f>IF($C46=0,0,VLOOKUP($C46,SDÖ3!$C$24:$N$101,12,FALSE))</f>
        <v>0</v>
      </c>
      <c r="G46" s="1723">
        <f>IF($C46=0,0,VLOOKUP($C46,SDÖ3!$C$24:$N$101,13,FALSE))</f>
        <v>0</v>
      </c>
      <c r="H46" s="1728"/>
      <c r="I46" s="1727">
        <f t="shared" ref="I46:I57" si="4">$F46*H46</f>
        <v>0</v>
      </c>
      <c r="J46" s="1718">
        <f t="shared" ref="J46:J57" si="5">H46*$G46</f>
        <v>0</v>
      </c>
      <c r="K46" s="1728"/>
      <c r="L46" s="1729">
        <f t="shared" ref="L46:L57" si="6">$F46*K46</f>
        <v>0</v>
      </c>
      <c r="M46" s="1721">
        <f t="shared" ref="M46:M57" si="7">K46*$G46</f>
        <v>0</v>
      </c>
      <c r="N46" s="1728"/>
      <c r="O46" s="1727">
        <f t="shared" ref="O46:O57" si="8">$F46*N46</f>
        <v>0</v>
      </c>
      <c r="P46" s="2449">
        <f t="shared" ref="P46:P57" si="9">N46*$G46</f>
        <v>0</v>
      </c>
      <c r="Q46" s="2533"/>
    </row>
    <row r="47" spans="1:17" s="42" customFormat="1" ht="15" customHeight="1">
      <c r="A47" s="1306"/>
      <c r="B47" s="2450"/>
      <c r="C47" s="4954"/>
      <c r="D47" s="4955"/>
      <c r="E47" s="1725">
        <f>IF($C47=0,0,VLOOKUP($C47,SDÖ3!$C$24:$N$101,4,FALSE))</f>
        <v>0</v>
      </c>
      <c r="F47" s="1724">
        <f>IF($C47=0,0,VLOOKUP($C47,SDÖ3!$C$24:$N$101,12,FALSE))</f>
        <v>0</v>
      </c>
      <c r="G47" s="1723">
        <f>IF($C47=0,0,VLOOKUP($C47,SDÖ3!$C$24:$N$101,13,FALSE))</f>
        <v>0</v>
      </c>
      <c r="H47" s="1720"/>
      <c r="I47" s="1719">
        <f t="shared" si="4"/>
        <v>0</v>
      </c>
      <c r="J47" s="1718">
        <f t="shared" si="5"/>
        <v>0</v>
      </c>
      <c r="K47" s="1720"/>
      <c r="L47" s="1722">
        <f t="shared" si="6"/>
        <v>0</v>
      </c>
      <c r="M47" s="1721">
        <f t="shared" si="7"/>
        <v>0</v>
      </c>
      <c r="N47" s="1720"/>
      <c r="O47" s="1719">
        <f t="shared" si="8"/>
        <v>0</v>
      </c>
      <c r="P47" s="2449">
        <f t="shared" si="9"/>
        <v>0</v>
      </c>
      <c r="Q47" s="2533"/>
    </row>
    <row r="48" spans="1:17" s="42" customFormat="1" ht="15" customHeight="1">
      <c r="A48" s="1306"/>
      <c r="B48" s="2450"/>
      <c r="C48" s="4954"/>
      <c r="D48" s="4955"/>
      <c r="E48" s="1725">
        <f>IF($C48=0,0,VLOOKUP($C48,SDÖ3!$C$24:$N$101,4,FALSE))</f>
        <v>0</v>
      </c>
      <c r="F48" s="1724">
        <f>IF($C48=0,0,VLOOKUP($C48,SDÖ3!$C$24:$N$101,12,FALSE))</f>
        <v>0</v>
      </c>
      <c r="G48" s="1723">
        <f>IF($C48=0,0,VLOOKUP($C48,SDÖ3!$C$24:$N$101,13,FALSE))</f>
        <v>0</v>
      </c>
      <c r="H48" s="1720"/>
      <c r="I48" s="1719">
        <f t="shared" si="4"/>
        <v>0</v>
      </c>
      <c r="J48" s="1718">
        <f t="shared" si="5"/>
        <v>0</v>
      </c>
      <c r="K48" s="1720"/>
      <c r="L48" s="1722">
        <f t="shared" si="6"/>
        <v>0</v>
      </c>
      <c r="M48" s="1721">
        <f t="shared" si="7"/>
        <v>0</v>
      </c>
      <c r="N48" s="1720"/>
      <c r="O48" s="1719">
        <f t="shared" si="8"/>
        <v>0</v>
      </c>
      <c r="P48" s="2449">
        <f t="shared" si="9"/>
        <v>0</v>
      </c>
      <c r="Q48" s="2533"/>
    </row>
    <row r="49" spans="1:17" s="42" customFormat="1" ht="15" customHeight="1">
      <c r="A49" s="1306"/>
      <c r="B49" s="2450"/>
      <c r="C49" s="4954"/>
      <c r="D49" s="4955"/>
      <c r="E49" s="1725">
        <f>IF($C49=0,0,VLOOKUP($C49,SDÖ3!$C$24:$N$101,4,FALSE))</f>
        <v>0</v>
      </c>
      <c r="F49" s="1724">
        <f>IF($C49=0,0,VLOOKUP($C49,SDÖ3!$C$24:$N$101,12,FALSE))</f>
        <v>0</v>
      </c>
      <c r="G49" s="1723">
        <f>IF($C49=0,0,VLOOKUP($C49,SDÖ3!$C$24:$N$101,13,FALSE))</f>
        <v>0</v>
      </c>
      <c r="H49" s="1720"/>
      <c r="I49" s="1719">
        <f t="shared" si="4"/>
        <v>0</v>
      </c>
      <c r="J49" s="1718">
        <f t="shared" si="5"/>
        <v>0</v>
      </c>
      <c r="K49" s="1720"/>
      <c r="L49" s="1722">
        <f t="shared" si="6"/>
        <v>0</v>
      </c>
      <c r="M49" s="1721">
        <f t="shared" si="7"/>
        <v>0</v>
      </c>
      <c r="N49" s="1720"/>
      <c r="O49" s="1719">
        <f t="shared" si="8"/>
        <v>0</v>
      </c>
      <c r="P49" s="2449">
        <f t="shared" si="9"/>
        <v>0</v>
      </c>
      <c r="Q49" s="2533"/>
    </row>
    <row r="50" spans="1:17" s="42" customFormat="1" ht="15" customHeight="1">
      <c r="A50" s="1306"/>
      <c r="B50" s="2450"/>
      <c r="C50" s="4954"/>
      <c r="D50" s="4955"/>
      <c r="E50" s="1725">
        <f>IF($C50=0,0,VLOOKUP($C50,SDÖ3!$C$24:$N$101,4,FALSE))</f>
        <v>0</v>
      </c>
      <c r="F50" s="1724">
        <f>IF($C50=0,0,VLOOKUP($C50,SDÖ3!$C$24:$N$101,12,FALSE))</f>
        <v>0</v>
      </c>
      <c r="G50" s="1723">
        <f>IF($C50=0,0,VLOOKUP($C50,SDÖ3!$C$24:$N$101,13,FALSE))</f>
        <v>0</v>
      </c>
      <c r="H50" s="1720"/>
      <c r="I50" s="1719">
        <f t="shared" si="4"/>
        <v>0</v>
      </c>
      <c r="J50" s="1718">
        <f t="shared" si="5"/>
        <v>0</v>
      </c>
      <c r="K50" s="1720"/>
      <c r="L50" s="1722">
        <f t="shared" si="6"/>
        <v>0</v>
      </c>
      <c r="M50" s="1721">
        <f t="shared" si="7"/>
        <v>0</v>
      </c>
      <c r="N50" s="1720"/>
      <c r="O50" s="1719">
        <f t="shared" si="8"/>
        <v>0</v>
      </c>
      <c r="P50" s="2449">
        <f t="shared" si="9"/>
        <v>0</v>
      </c>
      <c r="Q50" s="2533"/>
    </row>
    <row r="51" spans="1:17" s="42" customFormat="1" ht="15" customHeight="1">
      <c r="A51" s="1306"/>
      <c r="B51" s="2450"/>
      <c r="C51" s="4954"/>
      <c r="D51" s="4955"/>
      <c r="E51" s="1725">
        <f>IF($C51=0,0,VLOOKUP($C51,SDÖ3!$C$24:$N$101,4,FALSE))</f>
        <v>0</v>
      </c>
      <c r="F51" s="1724">
        <f>IF($C51=0,0,VLOOKUP($C51,SDÖ3!$C$24:$N$101,12,FALSE))</f>
        <v>0</v>
      </c>
      <c r="G51" s="1723">
        <f>IF($C51=0,0,VLOOKUP($C51,SDÖ3!$C$24:$N$101,13,FALSE))</f>
        <v>0</v>
      </c>
      <c r="H51" s="1720"/>
      <c r="I51" s="1719">
        <f t="shared" si="4"/>
        <v>0</v>
      </c>
      <c r="J51" s="1718">
        <f t="shared" si="5"/>
        <v>0</v>
      </c>
      <c r="K51" s="1720"/>
      <c r="L51" s="1722">
        <f t="shared" si="6"/>
        <v>0</v>
      </c>
      <c r="M51" s="1721">
        <f t="shared" si="7"/>
        <v>0</v>
      </c>
      <c r="N51" s="1720"/>
      <c r="O51" s="1719">
        <f t="shared" si="8"/>
        <v>0</v>
      </c>
      <c r="P51" s="2449">
        <f t="shared" si="9"/>
        <v>0</v>
      </c>
      <c r="Q51" s="2533"/>
    </row>
    <row r="52" spans="1:17" s="42" customFormat="1" ht="15" customHeight="1">
      <c r="A52" s="1306"/>
      <c r="B52" s="2450"/>
      <c r="C52" s="4954"/>
      <c r="D52" s="4955"/>
      <c r="E52" s="1725">
        <f>IF($C52=0,0,VLOOKUP($C52,SDÖ3!$C$24:$N$101,4,FALSE))</f>
        <v>0</v>
      </c>
      <c r="F52" s="1724">
        <f>IF($C52=0,0,VLOOKUP($C52,SDÖ3!$C$24:$N$101,12,FALSE))</f>
        <v>0</v>
      </c>
      <c r="G52" s="1723">
        <f>IF($C52=0,0,VLOOKUP($C52,SDÖ3!$C$24:$N$101,13,FALSE))</f>
        <v>0</v>
      </c>
      <c r="H52" s="1720"/>
      <c r="I52" s="1719">
        <f t="shared" si="4"/>
        <v>0</v>
      </c>
      <c r="J52" s="1718">
        <f t="shared" si="5"/>
        <v>0</v>
      </c>
      <c r="K52" s="1720"/>
      <c r="L52" s="1722">
        <f t="shared" si="6"/>
        <v>0</v>
      </c>
      <c r="M52" s="1721">
        <f t="shared" si="7"/>
        <v>0</v>
      </c>
      <c r="N52" s="1720"/>
      <c r="O52" s="1719">
        <f t="shared" si="8"/>
        <v>0</v>
      </c>
      <c r="P52" s="2449">
        <f t="shared" si="9"/>
        <v>0</v>
      </c>
      <c r="Q52" s="2533"/>
    </row>
    <row r="53" spans="1:17" s="42" customFormat="1" ht="15" customHeight="1">
      <c r="A53" s="1306"/>
      <c r="B53" s="2450"/>
      <c r="C53" s="4954"/>
      <c r="D53" s="4955"/>
      <c r="E53" s="1725">
        <f>IF($C53=0,0,VLOOKUP($C53,SDÖ3!$C$24:$N$101,4,FALSE))</f>
        <v>0</v>
      </c>
      <c r="F53" s="1724">
        <f>IF($C53=0,0,VLOOKUP($C53,SDÖ3!$C$24:$N$101,12,FALSE))</f>
        <v>0</v>
      </c>
      <c r="G53" s="1723">
        <f>IF($C53=0,0,VLOOKUP($C53,SDÖ3!$C$24:$N$101,13,FALSE))</f>
        <v>0</v>
      </c>
      <c r="H53" s="1720"/>
      <c r="I53" s="1719">
        <f t="shared" si="4"/>
        <v>0</v>
      </c>
      <c r="J53" s="1718">
        <f t="shared" si="5"/>
        <v>0</v>
      </c>
      <c r="K53" s="1720"/>
      <c r="L53" s="1722">
        <f t="shared" si="6"/>
        <v>0</v>
      </c>
      <c r="M53" s="1721">
        <f t="shared" si="7"/>
        <v>0</v>
      </c>
      <c r="N53" s="1720"/>
      <c r="O53" s="1719">
        <f t="shared" si="8"/>
        <v>0</v>
      </c>
      <c r="P53" s="2449">
        <f t="shared" si="9"/>
        <v>0</v>
      </c>
      <c r="Q53" s="2533"/>
    </row>
    <row r="54" spans="1:17" s="42" customFormat="1" ht="15" customHeight="1">
      <c r="A54" s="1306"/>
      <c r="B54" s="2450"/>
      <c r="C54" s="4954"/>
      <c r="D54" s="4955"/>
      <c r="E54" s="1725">
        <f>IF($C54=0,0,VLOOKUP($C54,SDÖ3!$C$24:$N$101,4,FALSE))</f>
        <v>0</v>
      </c>
      <c r="F54" s="1724">
        <f>IF($C54=0,0,VLOOKUP($C54,SDÖ3!$C$24:$N$101,12,FALSE))</f>
        <v>0</v>
      </c>
      <c r="G54" s="1723">
        <f>IF($C54=0,0,VLOOKUP($C54,SDÖ3!$C$24:$N$101,13,FALSE))</f>
        <v>0</v>
      </c>
      <c r="H54" s="1720"/>
      <c r="I54" s="1719">
        <f t="shared" si="4"/>
        <v>0</v>
      </c>
      <c r="J54" s="1718">
        <f t="shared" si="5"/>
        <v>0</v>
      </c>
      <c r="K54" s="1720"/>
      <c r="L54" s="1722">
        <f t="shared" si="6"/>
        <v>0</v>
      </c>
      <c r="M54" s="1721">
        <f t="shared" si="7"/>
        <v>0</v>
      </c>
      <c r="N54" s="1720"/>
      <c r="O54" s="1719">
        <f t="shared" si="8"/>
        <v>0</v>
      </c>
      <c r="P54" s="2449">
        <f t="shared" si="9"/>
        <v>0</v>
      </c>
      <c r="Q54" s="38"/>
    </row>
    <row r="55" spans="1:17" s="42" customFormat="1" ht="15" customHeight="1">
      <c r="A55" s="1306"/>
      <c r="B55" s="2450"/>
      <c r="C55" s="4954"/>
      <c r="D55" s="4955"/>
      <c r="E55" s="1725">
        <f>IF($C55=0,0,VLOOKUP($C55,SDÖ3!$C$24:$N$101,4,FALSE))</f>
        <v>0</v>
      </c>
      <c r="F55" s="1724">
        <f>IF($C55=0,0,VLOOKUP($C55,SDÖ3!$C$24:$N$101,12,FALSE))</f>
        <v>0</v>
      </c>
      <c r="G55" s="1723">
        <f>IF($C55=0,0,VLOOKUP($C55,SDÖ3!$C$24:$N$101,13,FALSE))</f>
        <v>0</v>
      </c>
      <c r="H55" s="1720"/>
      <c r="I55" s="1719">
        <f t="shared" si="4"/>
        <v>0</v>
      </c>
      <c r="J55" s="1718">
        <f t="shared" si="5"/>
        <v>0</v>
      </c>
      <c r="K55" s="1720"/>
      <c r="L55" s="1722">
        <f t="shared" si="6"/>
        <v>0</v>
      </c>
      <c r="M55" s="1721">
        <f t="shared" si="7"/>
        <v>0</v>
      </c>
      <c r="N55" s="1720"/>
      <c r="O55" s="1719">
        <f t="shared" si="8"/>
        <v>0</v>
      </c>
      <c r="P55" s="2449">
        <f t="shared" si="9"/>
        <v>0</v>
      </c>
      <c r="Q55" s="38"/>
    </row>
    <row r="56" spans="1:17" s="42" customFormat="1" ht="15" customHeight="1">
      <c r="A56" s="1306"/>
      <c r="B56" s="2450"/>
      <c r="C56" s="4954"/>
      <c r="D56" s="4955"/>
      <c r="E56" s="1725">
        <f>IF($C56=0,0,VLOOKUP($C56,SDÖ3!$C$24:$N$101,4,FALSE))</f>
        <v>0</v>
      </c>
      <c r="F56" s="1724">
        <f>IF($C56=0,0,VLOOKUP($C56,SDÖ3!$C$24:$N$101,12,FALSE))</f>
        <v>0</v>
      </c>
      <c r="G56" s="1723">
        <f>IF($C56=0,0,VLOOKUP($C56,SDÖ3!$C$24:$N$101,13,FALSE))</f>
        <v>0</v>
      </c>
      <c r="H56" s="1720"/>
      <c r="I56" s="1719">
        <f t="shared" si="4"/>
        <v>0</v>
      </c>
      <c r="J56" s="1718">
        <f t="shared" si="5"/>
        <v>0</v>
      </c>
      <c r="K56" s="1720"/>
      <c r="L56" s="1722">
        <f t="shared" si="6"/>
        <v>0</v>
      </c>
      <c r="M56" s="1721">
        <f t="shared" si="7"/>
        <v>0</v>
      </c>
      <c r="N56" s="1720"/>
      <c r="O56" s="1719">
        <f t="shared" si="8"/>
        <v>0</v>
      </c>
      <c r="P56" s="2449">
        <f t="shared" si="9"/>
        <v>0</v>
      </c>
      <c r="Q56" s="2533"/>
    </row>
    <row r="57" spans="1:17" s="42" customFormat="1" ht="24.75" customHeight="1">
      <c r="A57" s="1306"/>
      <c r="B57" s="2429"/>
      <c r="C57" s="4970">
        <v>0</v>
      </c>
      <c r="D57" s="4971"/>
      <c r="E57" s="1708">
        <f>IF($C57=0,0,VLOOKUP($C57,SDÖ3!$C$24:$N$101,4,FALSE))</f>
        <v>0</v>
      </c>
      <c r="F57" s="1707">
        <f>IF($C57=0,0,VLOOKUP($C57,SDÖ3!$C$24:$N$101,12,FALSE))</f>
        <v>0</v>
      </c>
      <c r="G57" s="1706">
        <f>IF($C57=0,0,VLOOKUP($C57,SDÖ3!$C$24:$N$101,13,FALSE))</f>
        <v>0</v>
      </c>
      <c r="H57" s="1704">
        <f>H11/50</f>
        <v>0</v>
      </c>
      <c r="I57" s="1703">
        <f t="shared" si="4"/>
        <v>0</v>
      </c>
      <c r="J57" s="1702">
        <f t="shared" si="5"/>
        <v>0</v>
      </c>
      <c r="K57" s="1704">
        <f>K11/50</f>
        <v>0</v>
      </c>
      <c r="L57" s="1705">
        <f t="shared" si="6"/>
        <v>0</v>
      </c>
      <c r="M57" s="1652">
        <f t="shared" si="7"/>
        <v>0</v>
      </c>
      <c r="N57" s="1704">
        <f>N11/50</f>
        <v>0</v>
      </c>
      <c r="O57" s="1703">
        <f t="shared" si="8"/>
        <v>0</v>
      </c>
      <c r="P57" s="2448">
        <f t="shared" si="9"/>
        <v>0</v>
      </c>
      <c r="Q57" s="2533"/>
    </row>
    <row r="58" spans="1:17" s="42" customFormat="1" ht="24.75" customHeight="1">
      <c r="A58" s="1306"/>
      <c r="B58" s="2447" t="s">
        <v>1682</v>
      </c>
      <c r="C58" s="2446"/>
      <c r="D58" s="2446"/>
      <c r="E58" s="2446"/>
      <c r="F58" s="2446"/>
      <c r="G58" s="2446"/>
      <c r="H58" s="2443"/>
      <c r="I58" s="2442">
        <f>SUM(I46:I57)</f>
        <v>0</v>
      </c>
      <c r="J58" s="2445"/>
      <c r="K58" s="2443"/>
      <c r="L58" s="2442">
        <f>SUM(L46:L57)</f>
        <v>0</v>
      </c>
      <c r="M58" s="2444"/>
      <c r="N58" s="2443"/>
      <c r="O58" s="2442">
        <f>SUM(O46:O57)</f>
        <v>0</v>
      </c>
      <c r="P58" s="2441"/>
      <c r="Q58" s="2533"/>
    </row>
    <row r="59" spans="1:17" s="2532" customFormat="1" ht="18.75" customHeight="1">
      <c r="A59" s="1270"/>
      <c r="B59" s="2420" t="s">
        <v>1681</v>
      </c>
      <c r="C59" s="1270"/>
      <c r="D59" s="1270"/>
      <c r="E59" s="1270"/>
      <c r="F59" s="2533"/>
      <c r="G59" s="2416" t="s">
        <v>171</v>
      </c>
      <c r="H59" s="73"/>
      <c r="I59" s="73"/>
      <c r="J59" s="1614">
        <f>H60*$E60</f>
        <v>0</v>
      </c>
      <c r="K59" s="1629"/>
      <c r="L59" s="1629"/>
      <c r="M59" s="1617">
        <f>K60*$E60</f>
        <v>0</v>
      </c>
      <c r="N59" s="73"/>
      <c r="O59" s="73"/>
      <c r="P59" s="2415">
        <f>N60*$E60</f>
        <v>0</v>
      </c>
      <c r="Q59" s="2533"/>
    </row>
    <row r="60" spans="1:17" s="2532" customFormat="1" ht="15" customHeight="1">
      <c r="A60" s="1270"/>
      <c r="B60" s="2440"/>
      <c r="C60" s="1377"/>
      <c r="D60" s="280" t="s">
        <v>1060</v>
      </c>
      <c r="E60" s="1647">
        <v>10</v>
      </c>
      <c r="F60" s="1622"/>
      <c r="G60" s="2439" t="s">
        <v>516</v>
      </c>
      <c r="H60" s="1588"/>
      <c r="I60" s="1643"/>
      <c r="J60" s="1632"/>
      <c r="K60" s="1588"/>
      <c r="L60" s="1645"/>
      <c r="M60" s="1635"/>
      <c r="N60" s="1588"/>
      <c r="O60" s="1643"/>
      <c r="P60" s="2421"/>
      <c r="Q60" s="2533"/>
    </row>
    <row r="61" spans="1:17" s="65" customFormat="1" ht="18.75" customHeight="1">
      <c r="A61" s="1373"/>
      <c r="B61" s="2420" t="s">
        <v>1680</v>
      </c>
      <c r="C61" s="1373"/>
      <c r="D61" s="1373"/>
      <c r="E61" s="1373"/>
      <c r="F61" s="2533"/>
      <c r="G61" s="2416" t="s">
        <v>516</v>
      </c>
      <c r="H61" s="1697"/>
      <c r="I61" s="1696">
        <f>I58-H60</f>
        <v>0</v>
      </c>
      <c r="J61" s="1701"/>
      <c r="K61" s="1700"/>
      <c r="L61" s="1699">
        <f>L58-K60</f>
        <v>0</v>
      </c>
      <c r="M61" s="1698"/>
      <c r="N61" s="1697"/>
      <c r="O61" s="1696">
        <f>O58-N60</f>
        <v>0</v>
      </c>
      <c r="P61" s="2438"/>
      <c r="Q61" s="2533"/>
    </row>
    <row r="62" spans="1:17" s="65" customFormat="1" ht="15" customHeight="1">
      <c r="A62" s="1373"/>
      <c r="B62" s="2437"/>
      <c r="C62" s="319"/>
      <c r="D62" s="280" t="s">
        <v>1222</v>
      </c>
      <c r="E62" s="1693">
        <v>80</v>
      </c>
      <c r="F62" s="319" t="s">
        <v>1221</v>
      </c>
      <c r="G62" s="142"/>
      <c r="H62" s="1688"/>
      <c r="I62" s="1687">
        <f>IF(I61+SUM($I$46:$I$57)*$E$62%&gt;I61+10,I61+10,I61+SUM($I$46:$I$57)*$E$62%)</f>
        <v>0</v>
      </c>
      <c r="J62" s="1686"/>
      <c r="K62" s="1691"/>
      <c r="L62" s="1690">
        <f>IF(L61+SUM($L$46:$L$57)*$E$62%&gt;L61+10,L61+10,L61+SUM($L$46:$L$57)*$E$62%)</f>
        <v>0</v>
      </c>
      <c r="M62" s="1689"/>
      <c r="N62" s="1688"/>
      <c r="O62" s="1687">
        <f>IF(O61+SUM($O$46:$O$57)*$E$62%&gt;O61+10,O61+10,O61+SUM($O$46:$O$57)*$E$62%)</f>
        <v>0</v>
      </c>
      <c r="P62" s="2436"/>
      <c r="Q62" s="2533"/>
    </row>
    <row r="63" spans="1:17" s="42" customFormat="1" ht="18.75" customHeight="1">
      <c r="A63" s="1306"/>
      <c r="B63" s="2420" t="s">
        <v>355</v>
      </c>
      <c r="C63" s="1373"/>
      <c r="D63" s="1373"/>
      <c r="G63" s="2435" t="s">
        <v>171</v>
      </c>
      <c r="H63" s="2433"/>
      <c r="I63" s="2432"/>
      <c r="J63" s="1614">
        <f>IF(J6=0,0,SUM(I65:I67))</f>
        <v>0</v>
      </c>
      <c r="K63" s="1680"/>
      <c r="L63" s="1679"/>
      <c r="M63" s="1617">
        <f>IF(M6=0,0,SUM(L65:L67))</f>
        <v>0</v>
      </c>
      <c r="N63" s="2433"/>
      <c r="O63" s="2432"/>
      <c r="P63" s="2415">
        <f>IF(P6=0,0,SUM(O65:O67))</f>
        <v>0</v>
      </c>
      <c r="Q63" s="2533"/>
    </row>
    <row r="64" spans="1:17" s="42" customFormat="1" ht="13.15" customHeight="1">
      <c r="A64" s="1306"/>
      <c r="B64" s="2414"/>
      <c r="C64" s="1612" t="s">
        <v>1212</v>
      </c>
      <c r="D64" s="1683">
        <f>SDÖ1!$O$11</f>
        <v>0</v>
      </c>
      <c r="E64" s="2413"/>
      <c r="F64" s="2411" t="s">
        <v>249</v>
      </c>
      <c r="G64" s="2434" t="s">
        <v>1211</v>
      </c>
      <c r="H64" s="2433"/>
      <c r="I64" s="2432"/>
      <c r="J64" s="1782"/>
      <c r="K64" s="1680"/>
      <c r="L64" s="1679"/>
      <c r="M64" s="1678"/>
      <c r="N64" s="2433"/>
      <c r="O64" s="2432"/>
      <c r="P64" s="2406"/>
      <c r="Q64" s="2533"/>
    </row>
    <row r="65" spans="1:20" s="42" customFormat="1" ht="15" customHeight="1">
      <c r="A65" s="1306"/>
      <c r="B65" s="2405"/>
      <c r="C65" s="4944"/>
      <c r="D65" s="4944"/>
      <c r="E65" s="4944"/>
      <c r="F65" s="1674">
        <f>IF($C65=0,0,VLOOKUP($C65,SDÖ3!$C$140:$D$162,2,FALSE))</f>
        <v>0</v>
      </c>
      <c r="G65" s="1673">
        <f>(100+$D$64)/100*F65</f>
        <v>0</v>
      </c>
      <c r="I65" s="1817">
        <f>$G$65</f>
        <v>0</v>
      </c>
      <c r="K65" s="1672"/>
      <c r="L65" s="1671">
        <f>$G$65</f>
        <v>0</v>
      </c>
      <c r="M65" s="2404"/>
      <c r="N65" s="2430"/>
      <c r="O65" s="1817">
        <f>$G$65</f>
        <v>0</v>
      </c>
      <c r="P65" s="2403"/>
      <c r="Q65" s="2533"/>
    </row>
    <row r="66" spans="1:20" s="42" customFormat="1" ht="15" customHeight="1">
      <c r="A66" s="1306"/>
      <c r="B66" s="2405"/>
      <c r="C66" s="4944"/>
      <c r="D66" s="4944"/>
      <c r="E66" s="4965"/>
      <c r="F66" s="2431">
        <f>IF($C66=0,0,VLOOKUP($C66,SDÖ3!$C$140:$D$162,2,FALSE))</f>
        <v>0</v>
      </c>
      <c r="G66" s="1586">
        <f>(100+$D$64)/100*F66</f>
        <v>0</v>
      </c>
      <c r="K66" s="1672"/>
      <c r="L66" s="1671"/>
      <c r="M66" s="2404"/>
      <c r="N66" s="2430"/>
      <c r="O66" s="1817"/>
      <c r="P66" s="2403"/>
      <c r="Q66" s="2533"/>
    </row>
    <row r="67" spans="1:20" s="42" customFormat="1" ht="15" customHeight="1">
      <c r="A67" s="1306"/>
      <c r="B67" s="2429"/>
      <c r="C67" s="4966" t="s">
        <v>322</v>
      </c>
      <c r="D67" s="4966"/>
      <c r="E67" s="4966"/>
      <c r="F67" s="1656">
        <f>IF($T$3=FALSE,0,VLOOKUP($C67,SDÖ3!$C$140:$D$162,2,FALSE))</f>
        <v>0</v>
      </c>
      <c r="G67" s="1655">
        <f>(100+$D$64)/100*F67</f>
        <v>0</v>
      </c>
      <c r="H67" s="2428"/>
      <c r="I67" s="1809">
        <f>H11*$G$67</f>
        <v>0</v>
      </c>
      <c r="K67" s="1654"/>
      <c r="L67" s="1653">
        <f>K11*$G$67</f>
        <v>0</v>
      </c>
      <c r="M67" s="1652"/>
      <c r="N67" s="2428"/>
      <c r="O67" s="1809">
        <f>N11*$G$67</f>
        <v>0</v>
      </c>
      <c r="P67" s="2427"/>
      <c r="Q67" s="2533"/>
    </row>
    <row r="68" spans="1:20" s="2532" customFormat="1" ht="22.9" customHeight="1">
      <c r="A68" s="1270"/>
      <c r="B68" s="2420" t="s">
        <v>1679</v>
      </c>
      <c r="C68" s="1270"/>
      <c r="D68" s="1270"/>
      <c r="E68" s="229"/>
      <c r="F68" s="1642"/>
      <c r="G68" s="2416" t="s">
        <v>171</v>
      </c>
      <c r="H68" s="2424" t="s">
        <v>1217</v>
      </c>
      <c r="I68" s="2423" t="s">
        <v>1216</v>
      </c>
      <c r="J68" s="1963">
        <f>IF($F$69=0,$R$69*H$9*I$69%,$F$69*H$9*I$69%)</f>
        <v>0</v>
      </c>
      <c r="K68" s="2426" t="s">
        <v>1217</v>
      </c>
      <c r="L68" s="2425" t="s">
        <v>1216</v>
      </c>
      <c r="M68" s="1963">
        <f>IF($F$69=0,$S$69*K$9*L$69%,$F$69*K$9*L$69%)</f>
        <v>0</v>
      </c>
      <c r="N68" s="2424" t="s">
        <v>1217</v>
      </c>
      <c r="O68" s="2423" t="s">
        <v>1216</v>
      </c>
      <c r="P68" s="3007">
        <f>IF($F$69=0,$T$69*N$9*O$69%,$F$69*N$9*O$69%)</f>
        <v>0</v>
      </c>
      <c r="Q68" s="2533"/>
    </row>
    <row r="69" spans="1:20" s="2532" customFormat="1" ht="15" customHeight="1">
      <c r="A69" s="1270"/>
      <c r="B69" s="2422"/>
      <c r="C69" s="4967" t="s">
        <v>1678</v>
      </c>
      <c r="D69" s="4967"/>
      <c r="E69" s="4967"/>
      <c r="F69" s="1636"/>
      <c r="G69" s="1627" t="s">
        <v>228</v>
      </c>
      <c r="H69" s="1634"/>
      <c r="I69" s="1633"/>
      <c r="J69" s="1632"/>
      <c r="K69" s="1634"/>
      <c r="L69" s="1633"/>
      <c r="M69" s="1635"/>
      <c r="N69" s="1634"/>
      <c r="O69" s="1633"/>
      <c r="P69" s="2421"/>
      <c r="Q69" s="2533"/>
      <c r="R69" s="1944">
        <f>IF($H$69=0,0,VLOOKUP($H$69,#REF!,2,FALSE))*(1+SDÖ1!$O$11/100)</f>
        <v>0</v>
      </c>
      <c r="S69" s="1631">
        <f>IF($K$69=0,0,VLOOKUP($K$69,#REF!,2,FALSE))*(1+SDÖ1!$O$11/100)</f>
        <v>0</v>
      </c>
      <c r="T69" s="1944">
        <f>IF($N$69=0,0,VLOOKUP($N$69,#REF!,2,FALSE))*(1+SDÖ1!$O$11/100)</f>
        <v>0</v>
      </c>
    </row>
    <row r="70" spans="1:20" s="2532" customFormat="1" ht="18.75" customHeight="1">
      <c r="A70" s="1270"/>
      <c r="B70" s="2420" t="s">
        <v>1677</v>
      </c>
      <c r="C70" s="1270"/>
      <c r="D70" s="1270"/>
      <c r="E70" s="229"/>
      <c r="F70" s="229"/>
      <c r="G70" s="2416" t="s">
        <v>171</v>
      </c>
      <c r="H70" s="44"/>
      <c r="I70" s="73"/>
      <c r="J70" s="1614">
        <f>H71*$F71/1000</f>
        <v>0</v>
      </c>
      <c r="K70" s="1630"/>
      <c r="L70" s="1629"/>
      <c r="M70" s="1617">
        <f>K71*$F71/1000</f>
        <v>0</v>
      </c>
      <c r="N70" s="44"/>
      <c r="O70" s="73"/>
      <c r="P70" s="2415">
        <f>N71*$F71/1000</f>
        <v>0</v>
      </c>
      <c r="Q70" s="2533"/>
    </row>
    <row r="71" spans="1:20" s="2532" customFormat="1" ht="15" customHeight="1">
      <c r="A71" s="1270"/>
      <c r="B71" s="2419"/>
      <c r="C71" s="1331" t="s">
        <v>896</v>
      </c>
      <c r="D71" s="319"/>
      <c r="E71" s="280"/>
      <c r="F71" s="1962"/>
      <c r="G71" s="1627" t="s">
        <v>171</v>
      </c>
      <c r="H71" s="1623">
        <f>I9+I10</f>
        <v>0</v>
      </c>
      <c r="I71" s="1622"/>
      <c r="J71" s="1621"/>
      <c r="K71" s="1626">
        <f>L9+L10</f>
        <v>0</v>
      </c>
      <c r="L71" s="1625"/>
      <c r="M71" s="1624"/>
      <c r="N71" s="1623">
        <f>O9+O10</f>
        <v>0</v>
      </c>
      <c r="O71" s="1622"/>
      <c r="P71" s="2418"/>
      <c r="Q71" s="2533"/>
    </row>
    <row r="72" spans="1:20" ht="18.75" customHeight="1">
      <c r="A72" s="377"/>
      <c r="B72" s="2417" t="s">
        <v>218</v>
      </c>
      <c r="C72" s="377"/>
      <c r="D72" s="377"/>
      <c r="E72" s="229"/>
      <c r="F72" s="2537"/>
      <c r="G72" s="2416" t="s">
        <v>171</v>
      </c>
      <c r="H72" s="1616"/>
      <c r="I72" s="1615"/>
      <c r="J72" s="1614">
        <f>SUM(I74:I75)</f>
        <v>0</v>
      </c>
      <c r="K72" s="1619"/>
      <c r="L72" s="1618"/>
      <c r="M72" s="1617">
        <f>SUM(L74:L75)</f>
        <v>0</v>
      </c>
      <c r="N72" s="1616"/>
      <c r="O72" s="1615"/>
      <c r="P72" s="2415">
        <f>SUM(O74:O75)</f>
        <v>0</v>
      </c>
    </row>
    <row r="73" spans="1:20" ht="13.15" customHeight="1">
      <c r="A73" s="377"/>
      <c r="B73" s="2414"/>
      <c r="C73" s="1612" t="s">
        <v>1212</v>
      </c>
      <c r="D73" s="1611">
        <f>SDÖ1!$O$12</f>
        <v>0</v>
      </c>
      <c r="E73" s="2413"/>
      <c r="F73" s="1609"/>
      <c r="G73" s="1608"/>
      <c r="H73" s="2412" t="s">
        <v>249</v>
      </c>
      <c r="I73" s="2411" t="s">
        <v>1211</v>
      </c>
      <c r="J73" s="1605"/>
      <c r="K73" s="2410" t="s">
        <v>249</v>
      </c>
      <c r="L73" s="2409" t="s">
        <v>1211</v>
      </c>
      <c r="M73" s="1602"/>
      <c r="N73" s="2408" t="s">
        <v>249</v>
      </c>
      <c r="O73" s="2407" t="s">
        <v>1211</v>
      </c>
      <c r="P73" s="2406"/>
    </row>
    <row r="74" spans="1:20" s="42" customFormat="1" ht="15" customHeight="1">
      <c r="A74" s="1306"/>
      <c r="B74" s="2405"/>
      <c r="C74" s="4941"/>
      <c r="D74" s="4941"/>
      <c r="E74" s="4941"/>
      <c r="F74" s="1598"/>
      <c r="G74" s="1597"/>
      <c r="H74" s="1591"/>
      <c r="I74" s="1595">
        <f>(100+$D$73)/100*H74</f>
        <v>0</v>
      </c>
      <c r="K74" s="1591"/>
      <c r="L74" s="1596">
        <f>(100+$D$73)/100*K74</f>
        <v>0</v>
      </c>
      <c r="M74" s="2404"/>
      <c r="N74" s="1591"/>
      <c r="O74" s="1595">
        <f>(100+$D$73)/100*N74</f>
        <v>0</v>
      </c>
      <c r="P74" s="2403"/>
      <c r="Q74" s="2530"/>
      <c r="R74" s="2529"/>
    </row>
    <row r="75" spans="1:20" s="42" customFormat="1" ht="15" customHeight="1">
      <c r="A75" s="1306"/>
      <c r="B75" s="2405"/>
      <c r="C75" s="4964"/>
      <c r="D75" s="4964"/>
      <c r="E75" s="4964"/>
      <c r="F75" s="1593"/>
      <c r="G75" s="1592"/>
      <c r="H75" s="1588"/>
      <c r="I75" s="1587">
        <f>(100+$D$73)/100*H75</f>
        <v>0</v>
      </c>
      <c r="K75" s="1591"/>
      <c r="L75" s="1590">
        <f>(100+$D$73)/100*K75</f>
        <v>0</v>
      </c>
      <c r="M75" s="2404"/>
      <c r="N75" s="1588"/>
      <c r="O75" s="1587">
        <f>(100+$D$73)/100*N75</f>
        <v>0</v>
      </c>
      <c r="P75" s="2403"/>
      <c r="Q75" s="2530"/>
      <c r="R75" s="2529"/>
    </row>
    <row r="76" spans="1:20" s="2532" customFormat="1" ht="30.2" customHeight="1" thickBot="1">
      <c r="A76" s="1270"/>
      <c r="B76" s="4942" t="s">
        <v>1210</v>
      </c>
      <c r="C76" s="4943"/>
      <c r="D76" s="2402" t="s">
        <v>1209</v>
      </c>
      <c r="E76" s="2401">
        <f>SDÖ1!$O$71/100</f>
        <v>1.4999999999999999E-2</v>
      </c>
      <c r="F76" s="2400" t="s">
        <v>1676</v>
      </c>
      <c r="G76" s="2399">
        <v>5</v>
      </c>
      <c r="H76" s="2395"/>
      <c r="I76" s="2398"/>
      <c r="J76" s="2393">
        <f>(J23+J27+J34+J43+J63+J59+J68+J70+J72)*(SDÖ1!$O$71%*$G$76/12)</f>
        <v>0</v>
      </c>
      <c r="K76" s="2397"/>
      <c r="L76" s="2396"/>
      <c r="M76" s="2393">
        <f>(M23+M27+M34+M43+M63+M59+M68+M70+M72)*(SDÖ1!$O$71%*$G$76/12)</f>
        <v>0</v>
      </c>
      <c r="N76" s="2395"/>
      <c r="O76" s="2394"/>
      <c r="P76" s="2393">
        <f>(P23+P27+P34+P43+P63+P59+P68+P70+P72)*(SDÖ1!$O$71%*$G$76/12)</f>
        <v>0</v>
      </c>
      <c r="Q76" s="2533"/>
    </row>
    <row r="81" spans="3:16">
      <c r="C81" s="2390" t="e">
        <f>#REF!</f>
        <v>#REF!</v>
      </c>
      <c r="D81" s="272"/>
      <c r="E81" s="721"/>
      <c r="G81" s="2390" t="e">
        <f>#REF!</f>
        <v>#REF!</v>
      </c>
      <c r="H81" s="272"/>
      <c r="I81" s="721"/>
      <c r="L81" s="33"/>
    </row>
    <row r="82" spans="3:16">
      <c r="C82" s="765" t="e">
        <f>#REF!</f>
        <v>#REF!</v>
      </c>
      <c r="E82" s="2534"/>
      <c r="G82" s="2391" t="e">
        <f>#REF!</f>
        <v>#REF!</v>
      </c>
      <c r="I82" s="2534"/>
      <c r="L82" s="33"/>
      <c r="N82" s="2390" t="str">
        <f>SDÖ3!C24</f>
        <v>Drehpflug 2,10 m</v>
      </c>
      <c r="O82" s="272"/>
      <c r="P82" s="721"/>
    </row>
    <row r="83" spans="3:16">
      <c r="C83" s="765" t="e">
        <f>#REF!</f>
        <v>#REF!</v>
      </c>
      <c r="E83" s="2534"/>
      <c r="G83" s="2392"/>
      <c r="H83" s="319"/>
      <c r="I83" s="709"/>
      <c r="L83" s="33"/>
      <c r="N83" s="2391" t="str">
        <f>SDÖ3!C25</f>
        <v>Schwergrubber 3 m</v>
      </c>
      <c r="P83" s="2534"/>
    </row>
    <row r="84" spans="3:16">
      <c r="C84" s="765" t="e">
        <f>#REF!</f>
        <v>#REF!</v>
      </c>
      <c r="E84" s="2534"/>
      <c r="G84" s="33"/>
      <c r="H84" s="33"/>
      <c r="I84" s="33"/>
      <c r="L84" s="33"/>
      <c r="N84" s="2391" t="str">
        <f>SDÖ3!C26</f>
        <v>Scheibenegge 5 m</v>
      </c>
      <c r="P84" s="2534"/>
    </row>
    <row r="85" spans="3:16">
      <c r="C85" s="765" t="e">
        <f>#REF!</f>
        <v>#REF!</v>
      </c>
      <c r="E85" s="2534"/>
      <c r="G85" s="33"/>
      <c r="H85" s="33"/>
      <c r="I85" s="33"/>
      <c r="L85" s="33"/>
      <c r="N85" s="2391" t="str">
        <f>SDÖ3!C28</f>
        <v>Kreiselegge 3 m</v>
      </c>
      <c r="P85" s="2534"/>
    </row>
    <row r="86" spans="3:16">
      <c r="C86" s="765" t="e">
        <f>#REF!</f>
        <v>#REF!</v>
      </c>
      <c r="E86" s="2534"/>
      <c r="G86" s="33" t="e">
        <f>#REF!</f>
        <v>#REF!</v>
      </c>
      <c r="H86" s="33"/>
      <c r="I86" s="33"/>
      <c r="L86" s="33"/>
      <c r="N86" s="2391" t="str">
        <f>SDÖ3!C29</f>
        <v>Cambridgewalze 4,5 m</v>
      </c>
      <c r="P86" s="2534"/>
    </row>
    <row r="87" spans="3:16">
      <c r="C87" s="765" t="e">
        <f>#REF!</f>
        <v>#REF!</v>
      </c>
      <c r="E87" s="2534"/>
      <c r="G87" s="33"/>
      <c r="H87" s="33"/>
      <c r="I87" s="33"/>
      <c r="L87" s="33"/>
      <c r="N87" s="2391">
        <f>SDÖ3!C30</f>
        <v>0</v>
      </c>
      <c r="P87" s="2534"/>
    </row>
    <row r="88" spans="3:16">
      <c r="C88" s="765" t="e">
        <f>#REF!</f>
        <v>#REF!</v>
      </c>
      <c r="E88" s="2534"/>
      <c r="G88" s="33" t="e">
        <f>#REF!</f>
        <v>#REF!</v>
      </c>
      <c r="H88" s="33"/>
      <c r="I88" s="33"/>
      <c r="L88" s="33"/>
      <c r="N88" s="2391" t="str">
        <f>SDÖ3!C31</f>
        <v>Kreiselegge-Säkomb. 3 m</v>
      </c>
      <c r="P88" s="2534"/>
    </row>
    <row r="89" spans="3:16">
      <c r="C89" s="765" t="e">
        <f>#REF!</f>
        <v>#REF!</v>
      </c>
      <c r="E89" s="2534"/>
      <c r="G89" s="33" t="e">
        <f>#REF!</f>
        <v>#REF!</v>
      </c>
      <c r="H89" s="33"/>
      <c r="I89" s="33"/>
      <c r="L89" s="33"/>
      <c r="N89" s="2391" t="str">
        <f>SDÖ3!C32</f>
        <v>Grubber-Kreiselegge-Säkomb. 3 m</v>
      </c>
      <c r="P89" s="2534"/>
    </row>
    <row r="90" spans="3:16">
      <c r="C90" s="765" t="e">
        <f>#REF!</f>
        <v>#REF!</v>
      </c>
      <c r="E90" s="2534"/>
      <c r="G90" s="33" t="e">
        <f>#REF!</f>
        <v>#REF!</v>
      </c>
      <c r="H90" s="33"/>
      <c r="I90" s="33"/>
      <c r="L90" s="33"/>
      <c r="N90" s="2391" t="str">
        <f>SDÖ3!C33</f>
        <v>Sämaschine 3m</v>
      </c>
      <c r="P90" s="2534"/>
    </row>
    <row r="91" spans="3:16">
      <c r="C91" s="765" t="e">
        <f>#REF!</f>
        <v>#REF!</v>
      </c>
      <c r="E91" s="2534"/>
      <c r="G91" s="33"/>
      <c r="H91" s="33"/>
      <c r="I91" s="33"/>
      <c r="L91" s="33"/>
      <c r="N91" s="2391" t="str">
        <f>SDÖ3!C34</f>
        <v>Einzelkornsaat 4 r (Mais, Sonnenblume)</v>
      </c>
      <c r="P91" s="2534"/>
    </row>
    <row r="92" spans="3:16">
      <c r="C92" s="765" t="e">
        <f>#REF!</f>
        <v>#REF!</v>
      </c>
      <c r="E92" s="2534"/>
      <c r="L92" s="33"/>
      <c r="N92" s="2391" t="str">
        <f>SDÖ3!C35</f>
        <v>Einzelkornsaat 6 r (Rüben)</v>
      </c>
      <c r="P92" s="2534"/>
    </row>
    <row r="93" spans="3:16">
      <c r="C93" s="765" t="e">
        <f>#REF!</f>
        <v>#REF!</v>
      </c>
      <c r="E93" s="2534"/>
      <c r="L93" s="33"/>
      <c r="N93" s="2391" t="str">
        <f>SDÖ3!C37</f>
        <v>Direktsämaschine 3 m</v>
      </c>
      <c r="P93" s="2534"/>
    </row>
    <row r="94" spans="3:16">
      <c r="C94" s="765" t="e">
        <f>#REF!</f>
        <v>#REF!</v>
      </c>
      <c r="E94" s="2534"/>
      <c r="G94" s="2390" t="str">
        <f>SDÖ3!C140</f>
        <v>Mähdrescher - Erbsen/Ackerbohnen</v>
      </c>
      <c r="H94" s="272"/>
      <c r="I94" s="721"/>
      <c r="L94" s="33"/>
      <c r="N94" s="2391" t="str">
        <f>SDÖ3!C38</f>
        <v>Dammkulturgerät mit Säeinheit(3m)</v>
      </c>
      <c r="P94" s="2534"/>
    </row>
    <row r="95" spans="3:16">
      <c r="C95" s="765" t="e">
        <f>#REF!</f>
        <v>#REF!</v>
      </c>
      <c r="E95" s="2534"/>
      <c r="G95" s="2391" t="str">
        <f>SDÖ3!C141</f>
        <v>Mähdrescher - Körnermais</v>
      </c>
      <c r="I95" s="2534"/>
      <c r="L95" s="33"/>
      <c r="N95" s="2391">
        <f>SDÖ3!C39</f>
        <v>0</v>
      </c>
      <c r="P95" s="2534"/>
    </row>
    <row r="96" spans="3:16">
      <c r="C96" s="765" t="e">
        <f>#REF!</f>
        <v>#REF!</v>
      </c>
      <c r="E96" s="2534"/>
      <c r="G96" s="2391" t="str">
        <f>SDÖ3!C142</f>
        <v>Mähdrescher - Getr. m. Strohhäcksler</v>
      </c>
      <c r="I96" s="2534"/>
      <c r="L96" s="33"/>
      <c r="N96" s="2391" t="str">
        <f>SDÖ3!C40</f>
        <v xml:space="preserve">Düngerstreuer ab Hof 12 m, 400 kg/ha </v>
      </c>
      <c r="P96" s="2534"/>
    </row>
    <row r="97" spans="3:16">
      <c r="C97" s="765" t="e">
        <f>#REF!</f>
        <v>#REF!</v>
      </c>
      <c r="E97" s="2534"/>
      <c r="G97" s="2391" t="str">
        <f>SDÖ3!C143</f>
        <v>ZR - Roden, 6-reihig</v>
      </c>
      <c r="I97" s="2534"/>
      <c r="L97" s="33"/>
      <c r="N97" s="2391" t="str">
        <f>SDÖ3!C41</f>
        <v>Mist/Kompost streuen 20 t/ha  (6 m, 10 t) inkl. Beladen</v>
      </c>
      <c r="P97" s="2534"/>
    </row>
    <row r="98" spans="3:16">
      <c r="C98" s="765" t="e">
        <f>#REF!</f>
        <v>#REF!</v>
      </c>
      <c r="E98" s="2534"/>
      <c r="G98" s="2391" t="str">
        <f>SDÖ3!C144</f>
        <v>KA - Vollernter mit Bunker, 2-reihig</v>
      </c>
      <c r="I98" s="2534"/>
      <c r="L98" s="33"/>
      <c r="N98" s="2391" t="e">
        <f>SDÖ3!#REF!</f>
        <v>#REF!</v>
      </c>
      <c r="P98" s="2534"/>
    </row>
    <row r="99" spans="3:16">
      <c r="C99" s="290" t="e">
        <f>#REF!</f>
        <v>#REF!</v>
      </c>
      <c r="D99" s="319"/>
      <c r="E99" s="709"/>
      <c r="G99" s="2391" t="str">
        <f>SDÖ3!C145</f>
        <v>KA - Schlägeln (m. Schl. + Fahrer)</v>
      </c>
      <c r="I99" s="2534"/>
      <c r="L99" s="33"/>
      <c r="N99" s="2391" t="e">
        <f>SDÖ3!#REF!</f>
        <v>#REF!</v>
      </c>
      <c r="P99" s="2534"/>
    </row>
    <row r="100" spans="3:16">
      <c r="C100" s="765"/>
      <c r="E100" s="2534"/>
      <c r="G100" s="2391" t="str">
        <f>SDÖ3!C146</f>
        <v>ZR - Laden, Abfuhr</v>
      </c>
      <c r="I100" s="2534"/>
      <c r="L100" s="33"/>
      <c r="N100" s="2391" t="str">
        <f>SDÖ3!C42</f>
        <v>Gülle ausbringen 20 m³/ha, (15 m³ Fass, Schleppschl. 7,5 m</v>
      </c>
      <c r="P100" s="2534"/>
    </row>
    <row r="101" spans="3:16">
      <c r="C101" s="765"/>
      <c r="E101" s="2534"/>
      <c r="G101" s="2391" t="str">
        <f>SDÖ3!C147</f>
        <v>Mulchen (Lohnunternehmer)</v>
      </c>
      <c r="I101" s="2534"/>
      <c r="L101" s="33"/>
      <c r="N101" s="2391" t="str">
        <f>SDÖ3!C44</f>
        <v>Kalkstreuer 6 m³,15 m, 2t/ha (ab Feld, mit Beladen)</v>
      </c>
      <c r="P101" s="2534"/>
    </row>
    <row r="102" spans="3:16">
      <c r="C102" s="272"/>
      <c r="D102" s="272"/>
      <c r="E102" s="272"/>
      <c r="G102" s="2391" t="str">
        <f>SDÖ3!C148</f>
        <v>Stroh-Rundballen pressen je ha</v>
      </c>
      <c r="I102" s="2534"/>
      <c r="L102" s="33"/>
      <c r="N102" s="2391">
        <f>SDÖ3!C45</f>
        <v>0</v>
      </c>
      <c r="P102" s="2534"/>
    </row>
    <row r="103" spans="3:16">
      <c r="G103" s="2391" t="str">
        <f>SDÖ3!C149</f>
        <v>Stroh-Quaderballen pressen je ha</v>
      </c>
      <c r="I103" s="2534"/>
      <c r="L103" s="33"/>
      <c r="N103" s="2391" t="str">
        <f>SDÖ3!C46</f>
        <v>Pflanzenschutzspritze 12 m, 300 l/ha</v>
      </c>
      <c r="P103" s="2534"/>
    </row>
    <row r="104" spans="3:16">
      <c r="G104" s="2391" t="str">
        <f>SDÖ3!C150</f>
        <v>Silomais Häckseln/Festfahren im Lohn</v>
      </c>
      <c r="I104" s="2534"/>
      <c r="L104" s="33"/>
      <c r="N104" s="2391" t="str">
        <f>SDÖ3!C47</f>
        <v>Mulchgerät 3 m</v>
      </c>
      <c r="P104" s="2534"/>
    </row>
    <row r="105" spans="3:16">
      <c r="C105" s="2528"/>
      <c r="G105" s="2391" t="str">
        <f>SDÖ3!C151</f>
        <v>Silomais Aussaat (im Lohn)</v>
      </c>
      <c r="I105" s="2534"/>
      <c r="L105" s="33"/>
      <c r="N105" s="2391" t="str">
        <f>SDÖ3!C48</f>
        <v>Präparatespritze 6 m</v>
      </c>
      <c r="P105" s="2534"/>
    </row>
    <row r="106" spans="3:16">
      <c r="C106" s="2527" t="s">
        <v>1705</v>
      </c>
      <c r="G106" s="2391" t="str">
        <f>SDÖ3!C152</f>
        <v>Silomais Häckseln (im Lohn)</v>
      </c>
      <c r="I106" s="2534"/>
      <c r="L106" s="33"/>
      <c r="N106" s="2391" t="str">
        <f>SDÖ3!C49</f>
        <v>Hackstriegel 9 m</v>
      </c>
      <c r="P106" s="2534"/>
    </row>
    <row r="107" spans="3:16">
      <c r="C107" s="2527" t="s">
        <v>897</v>
      </c>
      <c r="G107" s="2391" t="str">
        <f>SDÖ3!C153</f>
        <v>GPS Häckseln im Lohn</v>
      </c>
      <c r="I107" s="2534"/>
      <c r="L107" s="33"/>
      <c r="N107" s="2391" t="str">
        <f>SDÖ3!C51</f>
        <v>Reihenhackgerät 3 m</v>
      </c>
      <c r="P107" s="2534"/>
    </row>
    <row r="108" spans="3:16">
      <c r="C108" s="2527"/>
      <c r="G108" s="2391" t="str">
        <f>SDÖ3!C154</f>
        <v>GPS Häckseln/Festfahren im Lohn</v>
      </c>
      <c r="I108" s="2534"/>
      <c r="L108" s="33"/>
      <c r="N108" s="2391">
        <f>SDÖ3!C52</f>
        <v>0</v>
      </c>
      <c r="P108" s="2534"/>
    </row>
    <row r="109" spans="3:16">
      <c r="C109" s="2527"/>
      <c r="G109" s="2391" t="str">
        <f>SDÖ3!C155</f>
        <v>Nachsaatmaschine (¼ Betrag)</v>
      </c>
      <c r="I109" s="2534"/>
      <c r="L109" s="33"/>
      <c r="N109" s="2391" t="str">
        <f>SDÖ3!C53</f>
        <v>Mais/GPS Silage festwalzen, 50 t FM</v>
      </c>
      <c r="P109" s="2534"/>
    </row>
    <row r="110" spans="3:16">
      <c r="C110" s="2526"/>
      <c r="G110" s="2391">
        <f>SDÖ3!C156</f>
        <v>0</v>
      </c>
      <c r="I110" s="2534"/>
      <c r="L110" s="33"/>
      <c r="N110" s="2391" t="str">
        <f>SDÖ3!C54</f>
        <v>Bunkerroder Möhren 0,5 m Arbeitsbreite</v>
      </c>
      <c r="P110" s="2534"/>
    </row>
    <row r="111" spans="3:16">
      <c r="G111" s="2391" t="str">
        <f>SDÖ3!C157</f>
        <v>Stroh-Rundballen pressen je dt</v>
      </c>
      <c r="I111" s="2534"/>
      <c r="L111" s="33"/>
      <c r="N111" s="2391">
        <f>SDÖ3!C55</f>
        <v>0</v>
      </c>
      <c r="P111" s="2534"/>
    </row>
    <row r="112" spans="3:16">
      <c r="G112" s="2391" t="str">
        <f>SDÖ3!C158</f>
        <v>Stroh-Quaderballen pressen je dt</v>
      </c>
      <c r="I112" s="2534"/>
      <c r="L112" s="33"/>
      <c r="N112" s="2391" t="str">
        <f>SDÖ3!C56</f>
        <v>Transp. u. Abkip. Getr. 6 t/ha (5,7 t Ki.)</v>
      </c>
      <c r="P112" s="2534"/>
    </row>
    <row r="113" spans="2:16">
      <c r="G113" s="2391" t="str">
        <f>SDÖ3!C159</f>
        <v>Festmistausbringung (im Lohn) €/t</v>
      </c>
      <c r="I113" s="2534"/>
      <c r="L113" s="33"/>
      <c r="N113" s="2391" t="str">
        <f>SDÖ3!C57</f>
        <v>Transp. u. Abkip. Getr. 6 t/ha (13,5 t Ki.)</v>
      </c>
      <c r="P113" s="2534"/>
    </row>
    <row r="114" spans="2:16">
      <c r="G114" s="2391" t="str">
        <f>SDÖ3!C160</f>
        <v>Gülleausbringung (im Lohn); €/m³</v>
      </c>
      <c r="I114" s="2534"/>
      <c r="L114" s="33"/>
      <c r="N114" s="2391" t="str">
        <f>SDÖ3!C58</f>
        <v>Silagetransport Mais/GPS, 3S.Kip. (10t Nutzl.), 50 t FM</v>
      </c>
      <c r="P114" s="2534"/>
    </row>
    <row r="115" spans="2:16">
      <c r="G115" s="2391" t="str">
        <f>SDÖ3!C161</f>
        <v>Traktor75-92 kW inkl. Diesel + Fahrer je h</v>
      </c>
      <c r="I115" s="2534"/>
      <c r="L115" s="33"/>
      <c r="N115" s="2391" t="str">
        <f>SDÖ3!C59</f>
        <v>Stroh-Rundballen 4 t/ha laden, abfahren, stapeln, 3-S-Kipp.</v>
      </c>
      <c r="P115" s="2534"/>
    </row>
    <row r="116" spans="2:16">
      <c r="G116" s="2391" t="str">
        <f>SDÖ3!C162</f>
        <v>Kipper je t zul Gesamtgewicht je h</v>
      </c>
      <c r="I116" s="2534"/>
      <c r="L116" s="33"/>
      <c r="N116" s="2391">
        <f>SDÖ3!C60</f>
        <v>0</v>
      </c>
      <c r="P116" s="2534"/>
    </row>
    <row r="117" spans="2:16">
      <c r="G117" s="2391">
        <f>SDÖ3!C163</f>
        <v>0</v>
      </c>
      <c r="L117" s="33"/>
      <c r="N117" s="2391" t="str">
        <f>SDÖ3!C61</f>
        <v>Wiesenwalze 3 m</v>
      </c>
      <c r="P117" s="2534"/>
    </row>
    <row r="118" spans="2:16">
      <c r="G118" s="2391">
        <f>SDÖ3!C164</f>
        <v>0</v>
      </c>
      <c r="L118" s="33"/>
      <c r="N118" s="2391" t="str">
        <f>SDÖ3!C62</f>
        <v>Wiesenegge 6 m</v>
      </c>
      <c r="P118" s="2534"/>
    </row>
    <row r="119" spans="2:16">
      <c r="G119" s="2391">
        <f>SDÖ3!C165</f>
        <v>0</v>
      </c>
      <c r="L119" s="33"/>
      <c r="N119" s="2391" t="str">
        <f>SDÖ3!C63</f>
        <v>Mähkomb. Heck/Front (4,5m insges., ohne Aufb.)</v>
      </c>
      <c r="P119" s="2534"/>
    </row>
    <row r="120" spans="2:16">
      <c r="L120" s="33"/>
      <c r="N120" s="2391" t="str">
        <f>SDÖ3!C65</f>
        <v>Rotationsmähwerk (Heck) m. Aufb. 2,8 m</v>
      </c>
      <c r="P120" s="2534"/>
    </row>
    <row r="121" spans="2:16">
      <c r="L121" s="33"/>
      <c r="N121" s="2391" t="str">
        <f>SDÖ3!C66</f>
        <v>Kreiselwender 5,5m</v>
      </c>
      <c r="P121" s="2534"/>
    </row>
    <row r="122" spans="2:16">
      <c r="L122" s="33"/>
      <c r="N122" s="2391" t="str">
        <f>SDÖ3!C67</f>
        <v>Kreiselschwader 7,5m Seitenablage</v>
      </c>
      <c r="O122" s="2534"/>
    </row>
    <row r="123" spans="2:16">
      <c r="B123" s="622">
        <v>1</v>
      </c>
      <c r="C123" s="33" t="str">
        <f>SDÖ5!C6</f>
        <v>Bio-dyn-Präparate (je Anw.)</v>
      </c>
      <c r="E123" s="2533">
        <f>IF(ISNA(VLOOKUP(B123,SDÖ5!$U$26:$X$37,SDÖ5!$U$23,FALSE)),0,(VLOOKUP(B123,SDÖ5!$U$26:$X$37,SDÖ5!$U$23,FALSE)))</f>
        <v>0</v>
      </c>
      <c r="L123" s="33"/>
      <c r="N123" s="2391" t="str">
        <f>SDÖ3!C68</f>
        <v>LW Silage, o. Dosierwalzen; 12 t FM (28 m³, 4 t Nutzl.)</v>
      </c>
      <c r="P123" s="2534"/>
    </row>
    <row r="124" spans="2:16">
      <c r="B124" s="622">
        <v>2</v>
      </c>
      <c r="C124" s="33" t="str">
        <f>SDÖ5!C7</f>
        <v>Propangas (je Anw.)</v>
      </c>
      <c r="E124" s="2533">
        <f>IF(ISNA(VLOOKUP(B124,SDÖ5!$U$26:$X$37,SDÖ5!$U$23,FALSE)),0,(VLOOKUP(B124,SDÖ5!$U$26:$X$37,SDÖ5!$U$23,FALSE)))</f>
        <v>0</v>
      </c>
      <c r="L124" s="33"/>
      <c r="N124" s="2391" t="str">
        <f>SDÖ3!C69</f>
        <v>Grassilo festwalzen, 12 t FM</v>
      </c>
      <c r="P124" s="2534"/>
    </row>
    <row r="125" spans="2:16">
      <c r="B125" s="622">
        <v>3</v>
      </c>
      <c r="C125" s="33" t="str">
        <f>SDÖ5!C8</f>
        <v xml:space="preserve">Schutznetz (je Anw.) </v>
      </c>
      <c r="E125" s="2533">
        <f>IF(ISNA(VLOOKUP(B125,SDÖ5!$U$26:$X$37,SDÖ5!$U$23,FALSE)),0,(VLOOKUP(B125,SDÖ5!$U$26:$X$37,SDÖ5!$U$23,FALSE)))</f>
        <v>0</v>
      </c>
      <c r="L125" s="33"/>
      <c r="N125" s="2391">
        <f>SDÖ3!C70</f>
        <v>0</v>
      </c>
      <c r="P125" s="2534"/>
    </row>
    <row r="126" spans="2:16">
      <c r="B126" s="622">
        <v>4</v>
      </c>
      <c r="C126" s="33" t="str">
        <f>SDÖ5!C9</f>
        <v>Neempräparat (je Anw.)</v>
      </c>
      <c r="E126" s="2533">
        <f>IF(ISNA(VLOOKUP(B126,SDÖ5!$U$26:$X$37,SDÖ5!$U$23,FALSE)),0,(VLOOKUP(B126,SDÖ5!$U$26:$X$37,SDÖ5!$U$23,FALSE)))</f>
        <v>0</v>
      </c>
      <c r="L126" s="33"/>
      <c r="N126" s="2391" t="str">
        <f>SDÖ3!C71</f>
        <v>Kartoffeln vorkeimen</v>
      </c>
      <c r="P126" s="2534"/>
    </row>
    <row r="127" spans="2:16">
      <c r="B127" s="622">
        <v>5</v>
      </c>
      <c r="C127" s="33" t="str">
        <f>SDÖ5!C10</f>
        <v>Kupfer (je Anw.)</v>
      </c>
      <c r="E127" s="2533">
        <f>IF(ISNA(VLOOKUP(B127,SDÖ5!$U$26:$X$37,SDÖ5!$U$23,FALSE)),0,(VLOOKUP(B127,SDÖ5!$U$26:$X$37,SDÖ5!$U$23,FALSE)))</f>
        <v>0</v>
      </c>
      <c r="L127" s="33"/>
      <c r="N127" s="2391" t="str">
        <f>SDÖ3!C72</f>
        <v>Pflanzkartoffeltransport,-laden 2,5 t/ha</v>
      </c>
      <c r="P127" s="2534"/>
    </row>
    <row r="128" spans="2:16">
      <c r="B128" s="622">
        <v>6</v>
      </c>
      <c r="C128" s="33" t="str">
        <f>SDÖ5!C11</f>
        <v>Bac.thureng. kurstaki (je Anw.)</v>
      </c>
      <c r="E128" s="2533">
        <f>IF(ISNA(VLOOKUP(B128,SDÖ5!$U$26:$X$37,SDÖ5!$U$23,FALSE)),0,(VLOOKUP(B128,SDÖ5!$U$26:$X$37,SDÖ5!$U$23,FALSE)))</f>
        <v>0</v>
      </c>
      <c r="L128" s="33"/>
      <c r="N128" s="2391" t="str">
        <f>SDÖ3!C73</f>
        <v>Legemaschine mit starrem Bunker 4 r (Kartoffel)</v>
      </c>
      <c r="P128" s="2534"/>
    </row>
    <row r="129" spans="2:16">
      <c r="B129" s="622">
        <v>7</v>
      </c>
      <c r="C129" s="33" t="str">
        <f>SDÖ5!C12</f>
        <v>Bac.thureng. tenebrionis (je Anw.)</v>
      </c>
      <c r="E129" s="2533">
        <f>IF(ISNA(VLOOKUP(B129,SDÖ5!$U$26:$X$37,SDÖ5!$U$23,FALSE)),0,(VLOOKUP(B129,SDÖ5!$U$26:$X$37,SDÖ5!$U$23,FALSE)))</f>
        <v>0</v>
      </c>
      <c r="L129" s="33"/>
      <c r="N129" s="2391" t="str">
        <f>SDÖ3!C74</f>
        <v>Legemaschine mit Kippbunker 4 r (Kartoffel)</v>
      </c>
      <c r="P129" s="2534"/>
    </row>
    <row r="130" spans="2:16">
      <c r="B130" s="622">
        <v>8</v>
      </c>
      <c r="C130" s="33" t="str">
        <f>SDÖ5!C13</f>
        <v>Eisen-III-Phosphat</v>
      </c>
      <c r="E130" s="2533">
        <f>IF(ISNA(VLOOKUP(B130,SDÖ5!$U$26:$X$37,SDÖ5!$U$23,FALSE)),0,(VLOOKUP(B130,SDÖ5!$U$26:$X$37,SDÖ5!$U$23,FALSE)))</f>
        <v>0</v>
      </c>
      <c r="L130" s="33"/>
      <c r="N130" s="2391" t="str">
        <f>SDÖ3!C75</f>
        <v>Häufeln 4 r, Vorauflauf (Kartoffel)</v>
      </c>
      <c r="P130" s="2534"/>
    </row>
    <row r="131" spans="2:16">
      <c r="B131" s="622">
        <v>9</v>
      </c>
      <c r="C131" s="33">
        <f>SDÖ5!C14</f>
        <v>0</v>
      </c>
      <c r="E131" s="2533">
        <f>IF(ISNA(VLOOKUP(B131,SDÖ5!$U$26:$X$37,SDÖ5!$U$23,FALSE)),0,(VLOOKUP(B131,SDÖ5!$U$26:$X$37,SDÖ5!$U$23,FALSE)))</f>
        <v>0</v>
      </c>
      <c r="L131" s="33"/>
      <c r="N131" s="2391" t="str">
        <f>SDÖ3!C76</f>
        <v>Hacken Nachauflauf 4 r</v>
      </c>
      <c r="P131" s="2534"/>
    </row>
    <row r="132" spans="2:16">
      <c r="B132" s="622">
        <v>10</v>
      </c>
      <c r="C132" s="33">
        <f>SDÖ5!C15</f>
        <v>0</v>
      </c>
      <c r="E132" s="2533">
        <f>IF(ISNA(VLOOKUP(B132,SDÖ5!$U$26:$X$37,SDÖ5!$U$23,FALSE)),0,(VLOOKUP(B132,SDÖ5!$U$26:$X$37,SDÖ5!$U$23,FALSE)))</f>
        <v>0</v>
      </c>
      <c r="L132" s="33"/>
      <c r="N132" s="2391" t="e">
        <f>SDÖ3!#REF!</f>
        <v>#REF!</v>
      </c>
      <c r="P132" s="2534"/>
    </row>
    <row r="133" spans="2:16">
      <c r="B133" s="622">
        <v>11</v>
      </c>
      <c r="C133" s="33" t="str">
        <f>SDÖ5!C16</f>
        <v>Düngemittel</v>
      </c>
      <c r="E133" s="2533">
        <f>IF(ISNA(VLOOKUP(B133,SDÖ5!$U$26:$X$37,SDÖ5!$U$23,FALSE)),0,(VLOOKUP(B133,SDÖ5!$U$26:$X$37,SDÖ5!$U$23,FALSE)))</f>
        <v>0</v>
      </c>
      <c r="L133" s="33"/>
      <c r="N133" s="2391" t="str">
        <f>SDÖ3!C77</f>
        <v>Häufeln 4 r, Nachauflauf (Kartoffel)</v>
      </c>
      <c r="P133" s="2534"/>
    </row>
    <row r="134" spans="2:16">
      <c r="B134" s="622">
        <v>12</v>
      </c>
      <c r="C134" s="33" t="e">
        <f>SDÖ5!#REF!</f>
        <v>#REF!</v>
      </c>
      <c r="E134" s="2533">
        <f>IF(ISNA(VLOOKUP(B134,SDÖ5!$U$26:$X$37,SDÖ5!$U$23,FALSE)),0,(VLOOKUP(B134,SDÖ5!$U$26:$X$37,SDÖ5!$U$23,FALSE)))</f>
        <v>0</v>
      </c>
      <c r="L134" s="33"/>
      <c r="N134" s="2391" t="str">
        <f>SDÖ3!C91</f>
        <v>Hanfstroh Transport 15 km</v>
      </c>
    </row>
    <row r="135" spans="2:16">
      <c r="B135" s="622">
        <v>13</v>
      </c>
      <c r="C135" s="33" t="e">
        <f>SDÖ5!#REF!</f>
        <v>#REF!</v>
      </c>
      <c r="E135" s="2533">
        <f>IF(ISNA(VLOOKUP(B135,SDÖ5!$U$26:$X$37,SDÖ5!$U$23,FALSE)),0,(VLOOKUP(B135,SDÖ5!$U$26:$X$37,SDÖ5!$U$23,FALSE)))</f>
        <v>0</v>
      </c>
      <c r="L135" s="33"/>
      <c r="N135" s="2391" t="str">
        <f>SDÖ3!C92</f>
        <v>Hanfstroh Transport/ein-/auslag.</v>
      </c>
    </row>
    <row r="136" spans="2:16">
      <c r="B136" s="622">
        <v>14</v>
      </c>
      <c r="C136" s="33" t="e">
        <f>SDÖ5!#REF!</f>
        <v>#REF!</v>
      </c>
      <c r="E136" s="2533">
        <f>IF(ISNA(VLOOKUP(B136,SDÖ5!$U$26:$X$37,SDÖ5!$U$23,FALSE)),0,(VLOOKUP(B136,SDÖ5!$U$26:$X$37,SDÖ5!$U$23,FALSE)))</f>
        <v>0</v>
      </c>
      <c r="L136" s="33"/>
      <c r="N136" s="2391">
        <f>SDÖ3!C93</f>
        <v>0</v>
      </c>
    </row>
    <row r="137" spans="2:16">
      <c r="B137" s="622">
        <v>15</v>
      </c>
      <c r="C137" s="33"/>
      <c r="E137" s="2533">
        <f>IF(ISNA(VLOOKUP(B137,SDÖ5!$U$26:$X$37,SDÖ5!$U$23,FALSE)),0,(VLOOKUP(B137,SDÖ5!$U$26:$X$37,SDÖ5!$U$23,FALSE)))</f>
        <v>0</v>
      </c>
      <c r="L137" s="33"/>
      <c r="N137" s="2391" t="str">
        <f>SDÖ3!C94</f>
        <v>Handakh Feld Möhren</v>
      </c>
    </row>
    <row r="138" spans="2:16">
      <c r="B138" s="622">
        <v>16</v>
      </c>
      <c r="C138" s="33"/>
      <c r="E138" s="2533">
        <f>IF(ISNA(VLOOKUP(B138,SDÖ5!$U$26:$X$37,SDÖ5!$U$23,FALSE)),0,(VLOOKUP(B138,SDÖ5!$U$26:$X$37,SDÖ5!$U$23,FALSE)))</f>
        <v>0</v>
      </c>
      <c r="L138" s="33"/>
      <c r="N138" s="2391" t="str">
        <f>SDÖ3!C96</f>
        <v>Handakh Feld sonstige Kultur</v>
      </c>
    </row>
    <row r="139" spans="2:16">
      <c r="B139" s="622"/>
      <c r="C139" s="33"/>
      <c r="L139" s="33"/>
      <c r="N139" s="2391" t="str">
        <f>SDÖ3!C99</f>
        <v>Handakh Aufbereitung sonstige Kultur</v>
      </c>
    </row>
    <row r="140" spans="2:16">
      <c r="B140" s="622"/>
      <c r="C140" s="33"/>
      <c r="L140" s="33"/>
      <c r="N140" s="2391">
        <f>SDÖ3!C100</f>
        <v>0</v>
      </c>
    </row>
    <row r="141" spans="2:16">
      <c r="B141" s="622"/>
      <c r="C141" s="33"/>
      <c r="L141" s="33"/>
      <c r="N141" s="2391">
        <f>SDÖ3!C101</f>
        <v>0</v>
      </c>
    </row>
    <row r="142" spans="2:16">
      <c r="B142" s="622"/>
      <c r="C142" s="33" t="str">
        <f ca="1">MID(CELL("Dateiname",$A$1),FIND("]",CELL("Dateiname",$A$1))+1,31)</f>
        <v>TE9</v>
      </c>
      <c r="L142" s="33"/>
    </row>
    <row r="143" spans="2:16">
      <c r="B143" s="622"/>
      <c r="C143" s="33"/>
      <c r="L143" s="33"/>
    </row>
    <row r="144" spans="2:16">
      <c r="B144" s="622"/>
      <c r="C144" s="33"/>
      <c r="L144" s="33"/>
    </row>
    <row r="145" spans="2:12">
      <c r="B145" s="622"/>
      <c r="C145" s="33"/>
      <c r="L145" s="33"/>
    </row>
    <row r="146" spans="2:12">
      <c r="B146" s="622"/>
      <c r="C146" s="33"/>
      <c r="L146" s="33"/>
    </row>
    <row r="147" spans="2:12">
      <c r="B147" s="622"/>
      <c r="C147" s="33"/>
      <c r="L147" s="33"/>
    </row>
    <row r="148" spans="2:12">
      <c r="B148" s="622"/>
      <c r="C148" s="33"/>
      <c r="L148" s="33"/>
    </row>
    <row r="149" spans="2:12">
      <c r="B149" s="622"/>
      <c r="C149" s="33"/>
      <c r="L149" s="33"/>
    </row>
    <row r="150" spans="2:12">
      <c r="B150" s="622"/>
      <c r="C150" s="33"/>
      <c r="L150" s="33"/>
    </row>
    <row r="151" spans="2:12">
      <c r="B151" s="622"/>
      <c r="C151" s="33"/>
      <c r="L151" s="33"/>
    </row>
    <row r="152" spans="2:12">
      <c r="B152" s="622"/>
      <c r="C152" s="33"/>
    </row>
    <row r="153" spans="2:12">
      <c r="B153" s="622"/>
      <c r="C153" s="33"/>
    </row>
    <row r="154" spans="2:12">
      <c r="B154" s="622"/>
      <c r="C154" s="33"/>
    </row>
    <row r="155" spans="2:12">
      <c r="B155" s="622"/>
      <c r="C155" s="33"/>
    </row>
    <row r="156" spans="2:12">
      <c r="B156" s="622"/>
      <c r="C156" s="33"/>
      <c r="H156" s="1929"/>
      <c r="J156" s="2389"/>
    </row>
    <row r="157" spans="2:12">
      <c r="B157" s="622"/>
      <c r="C157" s="33"/>
      <c r="H157" s="1929"/>
      <c r="J157" s="2389"/>
    </row>
    <row r="158" spans="2:12">
      <c r="B158" s="622"/>
      <c r="C158" s="33"/>
      <c r="H158" s="1929"/>
      <c r="J158" s="2389"/>
    </row>
    <row r="159" spans="2:12">
      <c r="B159" s="622"/>
      <c r="C159" s="33"/>
      <c r="D159" s="33"/>
      <c r="F159" s="33"/>
      <c r="G159" s="33"/>
      <c r="H159" s="33"/>
      <c r="I159" s="33"/>
      <c r="J159" s="33"/>
      <c r="K159" s="33"/>
    </row>
    <row r="160" spans="2:12">
      <c r="B160" s="622"/>
      <c r="C160" s="33"/>
      <c r="D160" s="33"/>
      <c r="F160" s="33"/>
      <c r="G160" s="33"/>
      <c r="H160" s="33"/>
      <c r="I160" s="33"/>
      <c r="J160" s="33"/>
      <c r="K160" s="33"/>
    </row>
    <row r="161" spans="2:11">
      <c r="B161" s="622"/>
      <c r="C161" s="33"/>
      <c r="D161" s="33"/>
      <c r="F161" s="33"/>
      <c r="G161" s="33"/>
      <c r="H161" s="33"/>
      <c r="I161" s="33"/>
      <c r="J161" s="33"/>
      <c r="K161" s="33"/>
    </row>
    <row r="162" spans="2:11">
      <c r="B162" s="622"/>
      <c r="C162" s="33"/>
      <c r="H162" s="1929"/>
      <c r="J162" s="2389"/>
    </row>
    <row r="163" spans="2:11">
      <c r="B163" s="622"/>
      <c r="C163" s="33"/>
    </row>
    <row r="164" spans="2:11">
      <c r="B164" s="622"/>
      <c r="C164" s="33"/>
    </row>
    <row r="165" spans="2:11">
      <c r="B165" s="622"/>
      <c r="C165" s="33"/>
    </row>
    <row r="166" spans="2:11">
      <c r="B166" s="622"/>
      <c r="C166" s="33"/>
    </row>
    <row r="167" spans="2:11">
      <c r="B167" s="622"/>
      <c r="C167" s="33"/>
    </row>
    <row r="168" spans="2:11">
      <c r="B168" s="622"/>
      <c r="C168" s="33"/>
    </row>
    <row r="169" spans="2:11">
      <c r="B169" s="622"/>
      <c r="C169" s="33"/>
    </row>
    <row r="170" spans="2:11">
      <c r="B170" s="622"/>
      <c r="C170" s="33"/>
    </row>
    <row r="171" spans="2:11">
      <c r="B171" s="622"/>
      <c r="C171" s="33"/>
    </row>
    <row r="172" spans="2:11">
      <c r="B172" s="622"/>
      <c r="C172" s="33"/>
    </row>
    <row r="173" spans="2:11">
      <c r="B173" s="622"/>
      <c r="C173" s="33"/>
    </row>
    <row r="174" spans="2:11">
      <c r="B174" s="622"/>
      <c r="C174" s="33"/>
    </row>
    <row r="175" spans="2:11">
      <c r="B175" s="622"/>
      <c r="C175" s="33"/>
    </row>
    <row r="176" spans="2:11">
      <c r="B176" s="622"/>
      <c r="C176" s="33"/>
    </row>
    <row r="177" spans="2:3">
      <c r="B177" s="622"/>
      <c r="C177" s="33"/>
    </row>
    <row r="178" spans="2:3">
      <c r="B178" s="622"/>
      <c r="C178" s="33"/>
    </row>
    <row r="179" spans="2:3">
      <c r="B179" s="622"/>
      <c r="C179" s="33"/>
    </row>
    <row r="180" spans="2:3">
      <c r="B180" s="622"/>
      <c r="C180" s="33"/>
    </row>
    <row r="181" spans="2:3">
      <c r="B181" s="622"/>
      <c r="C181" s="33"/>
    </row>
    <row r="182" spans="2:3">
      <c r="B182" s="622"/>
      <c r="C182" s="33"/>
    </row>
    <row r="183" spans="2:3">
      <c r="B183" s="622"/>
      <c r="C183" s="33"/>
    </row>
    <row r="184" spans="2:3">
      <c r="B184" s="622"/>
      <c r="C184" s="33"/>
    </row>
    <row r="185" spans="2:3">
      <c r="B185" s="622"/>
      <c r="C185" s="33"/>
    </row>
    <row r="186" spans="2:3">
      <c r="B186" s="622"/>
      <c r="C186" s="33"/>
    </row>
    <row r="187" spans="2:3">
      <c r="B187" s="622"/>
      <c r="C187" s="33"/>
    </row>
    <row r="188" spans="2:3">
      <c r="B188" s="622"/>
      <c r="C188" s="33"/>
    </row>
    <row r="189" spans="2:3">
      <c r="B189" s="622"/>
      <c r="C189" s="33"/>
    </row>
    <row r="190" spans="2:3">
      <c r="B190" s="622"/>
      <c r="C190" s="33"/>
    </row>
    <row r="191" spans="2:3">
      <c r="B191" s="622"/>
      <c r="C191" s="33"/>
    </row>
    <row r="192" spans="2:3">
      <c r="B192" s="622"/>
      <c r="C192" s="33"/>
    </row>
    <row r="193" spans="2:3">
      <c r="B193" s="622"/>
      <c r="C193" s="33"/>
    </row>
    <row r="194" spans="2:3">
      <c r="B194" s="622"/>
      <c r="C194" s="33"/>
    </row>
    <row r="195" spans="2:3">
      <c r="B195" s="622"/>
      <c r="C195" s="33"/>
    </row>
    <row r="196" spans="2:3">
      <c r="B196" s="622"/>
      <c r="C196" s="33"/>
    </row>
    <row r="197" spans="2:3">
      <c r="B197" s="622"/>
      <c r="C197" s="33"/>
    </row>
    <row r="198" spans="2:3">
      <c r="B198" s="622"/>
      <c r="C198" s="33"/>
    </row>
    <row r="199" spans="2:3">
      <c r="B199" s="622"/>
      <c r="C199" s="33"/>
    </row>
    <row r="200" spans="2:3">
      <c r="B200" s="622"/>
      <c r="C200" s="33"/>
    </row>
    <row r="201" spans="2:3">
      <c r="B201" s="622"/>
      <c r="C201" s="33"/>
    </row>
    <row r="202" spans="2:3">
      <c r="B202" s="622"/>
      <c r="C202" s="33"/>
    </row>
    <row r="203" spans="2:3">
      <c r="B203" s="622"/>
      <c r="C203" s="33"/>
    </row>
    <row r="204" spans="2:3">
      <c r="B204" s="622"/>
      <c r="C204" s="33"/>
    </row>
    <row r="205" spans="2:3">
      <c r="B205" s="622"/>
      <c r="C205" s="33"/>
    </row>
    <row r="206" spans="2:3">
      <c r="B206" s="622"/>
      <c r="C206" s="33"/>
    </row>
    <row r="207" spans="2:3">
      <c r="B207" s="622"/>
      <c r="C207" s="33"/>
    </row>
    <row r="208" spans="2:3">
      <c r="B208" s="622"/>
      <c r="C208" s="33"/>
    </row>
    <row r="209" spans="2:3">
      <c r="B209" s="622"/>
      <c r="C209" s="33"/>
    </row>
    <row r="210" spans="2:3">
      <c r="B210" s="622"/>
      <c r="C210" s="33"/>
    </row>
    <row r="211" spans="2:3">
      <c r="B211" s="622"/>
      <c r="C211" s="33"/>
    </row>
  </sheetData>
  <sheetProtection selectLockedCells="1"/>
  <mergeCells count="49">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 ref="B76:C76"/>
    <mergeCell ref="C66:E66"/>
    <mergeCell ref="C67:E67"/>
    <mergeCell ref="C69:E69"/>
    <mergeCell ref="C74:E74"/>
    <mergeCell ref="C75:E75"/>
    <mergeCell ref="G1:I1"/>
    <mergeCell ref="J3:L3"/>
    <mergeCell ref="J4:L4"/>
    <mergeCell ref="K1:L1"/>
    <mergeCell ref="N1:O1"/>
    <mergeCell ref="K2:P2"/>
    <mergeCell ref="N3:O4"/>
    <mergeCell ref="W3:Y3"/>
    <mergeCell ref="E4:I4"/>
    <mergeCell ref="W4:Y4"/>
    <mergeCell ref="C17:F17"/>
    <mergeCell ref="H6:I6"/>
    <mergeCell ref="K6:L6"/>
    <mergeCell ref="N6:O6"/>
    <mergeCell ref="E10:F10"/>
    <mergeCell ref="C14:F14"/>
    <mergeCell ref="C15:F15"/>
    <mergeCell ref="C16:F16"/>
    <mergeCell ref="D22:G22"/>
    <mergeCell ref="C20:F20"/>
    <mergeCell ref="C21:F21"/>
    <mergeCell ref="C51:D51"/>
    <mergeCell ref="D25:E25"/>
    <mergeCell ref="C41:E41"/>
    <mergeCell ref="C47:D47"/>
    <mergeCell ref="C48:D48"/>
    <mergeCell ref="C49:D49"/>
    <mergeCell ref="C38:E38"/>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1"/>
  <headerFooter alignWithMargins="0">
    <oddFooter>&amp;L&amp;11LEL Schwäbisch Gmünd&amp;C68&amp;R&amp;11&amp;F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60" r:id="rId4" name="Check Box 16">
              <controlPr defaultSize="0" autoFill="0" autoLine="0" autoPict="0">
                <anchor moveWithCells="1">
                  <from>
                    <xdr:col>18</xdr:col>
                    <xdr:colOff>209550</xdr:colOff>
                    <xdr:row>1</xdr:row>
                    <xdr:rowOff>257175</xdr:rowOff>
                  </from>
                  <to>
                    <xdr:col>18</xdr:col>
                    <xdr:colOff>476250</xdr:colOff>
                    <xdr:row>2</xdr:row>
                    <xdr:rowOff>180975</xdr:rowOff>
                  </to>
                </anchor>
              </controlPr>
            </control>
          </mc:Choice>
        </mc:AlternateContent>
        <mc:AlternateContent xmlns:mc="http://schemas.openxmlformats.org/markup-compatibility/2006">
          <mc:Choice Requires="x14">
            <control shapeId="108561" r:id="rId5" name="Check Box 17">
              <controlPr defaultSize="0" autoFill="0" autoLine="0" autoPict="0">
                <anchor moveWithCells="1">
                  <from>
                    <xdr:col>18</xdr:col>
                    <xdr:colOff>209550</xdr:colOff>
                    <xdr:row>1</xdr:row>
                    <xdr:rowOff>57150</xdr:rowOff>
                  </from>
                  <to>
                    <xdr:col>18</xdr:col>
                    <xdr:colOff>476250</xdr:colOff>
                    <xdr:row>1</xdr:row>
                    <xdr:rowOff>295275</xdr:rowOff>
                  </to>
                </anchor>
              </controlPr>
            </control>
          </mc:Choice>
        </mc:AlternateContent>
        <mc:AlternateContent xmlns:mc="http://schemas.openxmlformats.org/markup-compatibility/2006">
          <mc:Choice Requires="x14">
            <control shapeId="108562"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8563"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8564"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8565"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8567"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8568"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8569"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8570"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8571"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8572"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8573"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8574"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8575"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91</vt:i4>
      </vt:variant>
      <vt:variant>
        <vt:lpstr>Benannte Bereiche</vt:lpstr>
      </vt:variant>
      <vt:variant>
        <vt:i4>96</vt:i4>
      </vt:variant>
    </vt:vector>
  </HeadingPairs>
  <TitlesOfParts>
    <vt:vector size="187" baseType="lpstr">
      <vt:lpstr>Inhalt</vt:lpstr>
      <vt:lpstr>Hinw</vt:lpstr>
      <vt:lpstr>E1</vt:lpstr>
      <vt:lpstr>E2</vt:lpstr>
      <vt:lpstr>EK1</vt:lpstr>
      <vt:lpstr>EK2</vt:lpstr>
      <vt:lpstr>EÖ1</vt:lpstr>
      <vt:lpstr>EÖ2</vt:lpstr>
      <vt:lpstr>SDK1</vt:lpstr>
      <vt:lpstr>Erträge_2-J</vt:lpstr>
      <vt:lpstr>Erträge_3-J</vt:lpstr>
      <vt:lpstr>Erträge_4-J</vt:lpstr>
      <vt:lpstr>Erträge_5-J</vt:lpstr>
      <vt:lpstr>Preiskalkulation_Biomasse</vt:lpstr>
      <vt:lpstr>Maschinenauslastung</vt:lpstr>
      <vt:lpstr>SDÖ1</vt:lpstr>
      <vt:lpstr>SD2</vt:lpstr>
      <vt:lpstr>SDK3</vt:lpstr>
      <vt:lpstr>SDÖ3</vt:lpstr>
      <vt:lpstr>SDK4</vt:lpstr>
      <vt:lpstr>SDÖ4</vt:lpstr>
      <vt:lpstr>SDK5</vt:lpstr>
      <vt:lpstr>SDÖ5</vt:lpstr>
      <vt:lpstr>SD6</vt:lpstr>
      <vt:lpstr>SDÖ7</vt:lpstr>
      <vt:lpstr>SDK7</vt:lpstr>
      <vt:lpstr>SD8</vt:lpstr>
      <vt:lpstr>Betriebsübersicht</vt:lpstr>
      <vt:lpstr>Kostenrechnung</vt:lpstr>
      <vt:lpstr>Daten</vt:lpstr>
      <vt:lpstr>WW1</vt:lpstr>
      <vt:lpstr>WW2</vt:lpstr>
      <vt:lpstr>WRo</vt:lpstr>
      <vt:lpstr>Tr</vt:lpstr>
      <vt:lpstr>WG</vt:lpstr>
      <vt:lpstr>Di</vt:lpstr>
      <vt:lpstr>SW</vt:lpstr>
      <vt:lpstr>SG-Fu</vt:lpstr>
      <vt:lpstr>BG</vt:lpstr>
      <vt:lpstr>Ha</vt:lpstr>
      <vt:lpstr>KöM</vt:lpstr>
      <vt:lpstr>Du</vt:lpstr>
      <vt:lpstr>KH</vt:lpstr>
      <vt:lpstr>WR</vt:lpstr>
      <vt:lpstr>SR</vt:lpstr>
      <vt:lpstr>Soja</vt:lpstr>
      <vt:lpstr>Öl</vt:lpstr>
      <vt:lpstr>FE</vt:lpstr>
      <vt:lpstr>AB</vt:lpstr>
      <vt:lpstr>Lu</vt:lpstr>
      <vt:lpstr>ZR</vt:lpstr>
      <vt:lpstr>FrühKa</vt:lpstr>
      <vt:lpstr>FrühKaFolieBer</vt:lpstr>
      <vt:lpstr>SpKa</vt:lpstr>
      <vt:lpstr>SpKaBer</vt:lpstr>
      <vt:lpstr>WW3</vt:lpstr>
      <vt:lpstr>WW4</vt:lpstr>
      <vt:lpstr>SoBl</vt:lpstr>
      <vt:lpstr>FAKT-Brachebegrünung</vt:lpstr>
      <vt:lpstr>Begr</vt:lpstr>
      <vt:lpstr>Kultur A</vt:lpstr>
      <vt:lpstr>Grafik1-DB</vt:lpstr>
      <vt:lpstr>Öko-KG1</vt:lpstr>
      <vt:lpstr>Öko-KG2</vt:lpstr>
      <vt:lpstr>Öko-LU1</vt:lpstr>
      <vt:lpstr>Öko-LU2</vt:lpstr>
      <vt:lpstr>Öko-WW-Brot</vt:lpstr>
      <vt:lpstr>Öko-WW-Futter</vt:lpstr>
      <vt:lpstr>Öko-Dinkel</vt:lpstr>
      <vt:lpstr>Öko-Dinkel,gegerbt</vt:lpstr>
      <vt:lpstr>Öko-Roggen</vt:lpstr>
      <vt:lpstr>Öko-Hafer</vt:lpstr>
      <vt:lpstr>Öko-Wintergerste</vt:lpstr>
      <vt:lpstr>Öko-Braugerste</vt:lpstr>
      <vt:lpstr>Öko-Körnermais</vt:lpstr>
      <vt:lpstr>Öko-Ackerbohnen</vt:lpstr>
      <vt:lpstr>Öko-Erbsen</vt:lpstr>
      <vt:lpstr>Öko-Sojabohnen</vt:lpstr>
      <vt:lpstr>Öko-Soblu</vt:lpstr>
      <vt:lpstr>Öko-Kartoffel</vt:lpstr>
      <vt:lpstr>Linsen</vt:lpstr>
      <vt:lpstr>Öko-Raps</vt:lpstr>
      <vt:lpstr>TE1</vt:lpstr>
      <vt:lpstr>Blühm.</vt:lpstr>
      <vt:lpstr>Tabelle1</vt:lpstr>
      <vt:lpstr>Begrün.</vt:lpstr>
      <vt:lpstr>TE5</vt:lpstr>
      <vt:lpstr>TE6</vt:lpstr>
      <vt:lpstr>TE7</vt:lpstr>
      <vt:lpstr>TE8</vt:lpstr>
      <vt:lpstr>TE9</vt:lpstr>
      <vt:lpstr>a</vt:lpstr>
      <vt:lpstr>AB!Druckbereich</vt:lpstr>
      <vt:lpstr>Begr!Druckbereich</vt:lpstr>
      <vt:lpstr>Begrün.!Druckbereich</vt:lpstr>
      <vt:lpstr>BG!Druckbereich</vt:lpstr>
      <vt:lpstr>Blühm.!Druckbereich</vt:lpstr>
      <vt:lpstr>Daten!Druckbereich</vt:lpstr>
      <vt:lpstr>Di!Druckbereich</vt:lpstr>
      <vt:lpstr>Du!Druckbereich</vt:lpstr>
      <vt:lpstr>'E1'!Druckbereich</vt:lpstr>
      <vt:lpstr>'E2'!Druckbereich</vt:lpstr>
      <vt:lpstr>'EK1'!Druckbereich</vt:lpstr>
      <vt:lpstr>'EK2'!Druckbereich</vt:lpstr>
      <vt:lpstr>EÖ1!Druckbereich</vt:lpstr>
      <vt:lpstr>EÖ2!Druckbereich</vt:lpstr>
      <vt:lpstr>'FAKT-Brachebegrünung'!Druckbereich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'Kultur A'!Druckbereich</vt:lpstr>
      <vt:lpstr>Linsen!Druckbereich</vt:lpstr>
      <vt:lpstr>Lu!Druckbereich</vt:lpstr>
      <vt:lpstr>'Öko-Ackerbohnen'!Druckbereich</vt:lpstr>
      <vt:lpstr>'Öko-Braugerste'!Druckbereich</vt:lpstr>
      <vt:lpstr>'Öko-Dinkel'!Druckbereich</vt:lpstr>
      <vt:lpstr>'Öko-Dinkel,gegerbt'!Druckbereich</vt:lpstr>
      <vt:lpstr>'Öko-Erbsen'!Druckbereich</vt:lpstr>
      <vt:lpstr>'Öko-Hafer'!Druckbereich</vt:lpstr>
      <vt:lpstr>'Öko-Kartoffel'!Druckbereich</vt:lpstr>
      <vt:lpstr>'Öko-KG1'!Druckbereich</vt:lpstr>
      <vt:lpstr>'Öko-KG2'!Druckbereich</vt:lpstr>
      <vt:lpstr>'Öko-Körnermais'!Druckbereich</vt:lpstr>
      <vt:lpstr>'Öko-LU1'!Druckbereich</vt:lpstr>
      <vt:lpstr>'Öko-LU2'!Druckbereich</vt:lpstr>
      <vt:lpstr>'Öko-Raps'!Druckbereich</vt:lpstr>
      <vt:lpstr>'Öko-Roggen'!Druckbereich</vt:lpstr>
      <vt:lpstr>'Öko-Soblu'!Druckbereich</vt:lpstr>
      <vt:lpstr>'Öko-Sojabohnen'!Druckbereich</vt:lpstr>
      <vt:lpstr>'Öko-Wintergerste'!Druckbereich</vt:lpstr>
      <vt:lpstr>'Öko-WW-Brot'!Druckbereich</vt:lpstr>
      <vt:lpstr>'Öko-WW-Futter'!Druckbereich</vt:lpstr>
      <vt:lpstr>Öl!Druckbereich</vt:lpstr>
      <vt:lpstr>Preiskalkulation_Biomasse!Druckbereich</vt:lpstr>
      <vt:lpstr>'SD2'!Druckbereich</vt:lpstr>
      <vt:lpstr>'SD6'!Druckbereich</vt:lpstr>
      <vt:lpstr>'SD8'!Druckbereich</vt:lpstr>
      <vt:lpstr>'SDK1'!Druckbereich</vt:lpstr>
      <vt:lpstr>'SDK3'!Druckbereich</vt:lpstr>
      <vt:lpstr>'SDK4'!Druckbereich</vt:lpstr>
      <vt:lpstr>'SDK5'!Druckbereich</vt:lpstr>
      <vt:lpstr>'SDK7'!Druckbereich</vt:lpstr>
      <vt:lpstr>SDÖ1!Druckbereich</vt:lpstr>
      <vt:lpstr>SDÖ3!Druckbereich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'TE1'!Druckbereich</vt:lpstr>
      <vt:lpstr>'TE5'!Druckbereich</vt:lpstr>
      <vt:lpstr>'TE6'!Druckbereich</vt:lpstr>
      <vt:lpstr>'TE7'!Druckbereich</vt:lpstr>
      <vt:lpstr>'TE8'!Druckbereich</vt:lpstr>
      <vt:lpstr>'TE9'!Druckbereich</vt:lpstr>
      <vt:lpstr>Tr!Druckbereich</vt:lpstr>
      <vt:lpstr>WG!Druckbereich</vt:lpstr>
      <vt:lpstr>WR!Druckbereich</vt:lpstr>
      <vt:lpstr>WRo!Druckbereich</vt:lpstr>
      <vt:lpstr>'WW1'!Druckbereich</vt:lpstr>
      <vt:lpstr>'WW2'!Druckbereich</vt:lpstr>
      <vt:lpstr>'WW3'!Druckbereich</vt:lpstr>
      <vt:lpstr>'WW4'!Druckbereich</vt:lpstr>
      <vt:lpstr>ZR!Druckbereich</vt:lpstr>
      <vt:lpstr>Daten!Drucktitel</vt:lpstr>
      <vt:lpstr>Preiskalkulation_Biomasse!Drucktitel</vt:lpstr>
      <vt:lpstr>'SD2'!Drucktitel</vt:lpstr>
      <vt:lpstr>'SD6'!Drucktitel</vt:lpstr>
      <vt:lpstr>'SDK3'!Drucktitel</vt:lpstr>
      <vt:lpstr>'SDK7'!Drucktitel</vt:lpstr>
      <vt:lpstr>SDÖ3!Drucktitel</vt:lpstr>
      <vt:lpstr>SDÖ7!Drucktitel</vt:lpstr>
      <vt:lpstr>Saatbettkombination_4_5_m</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Schroeder, Gudrun (LEL-SG)</cp:lastModifiedBy>
  <cp:lastPrinted>2020-01-30T10:16:15Z</cp:lastPrinted>
  <dcterms:created xsi:type="dcterms:W3CDTF">2019-09-04T10:23:21Z</dcterms:created>
  <dcterms:modified xsi:type="dcterms:W3CDTF">2023-04-18T12:33:09Z</dcterms:modified>
</cp:coreProperties>
</file>